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ctrlProps/ctrlProp1.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ctrlProps/ctrlProp2.xml" ContentType="application/vnd.ms-excel.controlproperti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ctrlProps/ctrlProp3.xml" ContentType="application/vnd.ms-excel.controlproperti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5.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Z:\Sdau1\Pre-16 development\Routine products\Transition Matrices\2019\KS2-4\Amended\Amended v3 TM\To publish\"/>
    </mc:Choice>
  </mc:AlternateContent>
  <workbookProtection workbookAlgorithmName="SHA-512" workbookHashValue="+aFuOsW0VRZrZsQKpJcEwuYlDPfwBfeS3rIfOtIPXaJyDsskN1L9H4Ky++bOS2TGHYWD0jDcNoFKCNaWAARFMw==" workbookSaltValue="jLx3hfmvYZX1L1m0SRTglg==" workbookSpinCount="100000" lockStructure="1"/>
  <bookViews>
    <workbookView xWindow="-98" yWindow="-98" windowWidth="22695" windowHeight="14595"/>
  </bookViews>
  <sheets>
    <sheet name="TM Information" sheetId="29" r:id="rId1"/>
    <sheet name="KS2-4 Subject TMs" sheetId="27" r:id="rId2"/>
    <sheet name="KS2-4 Combined Science TMs" sheetId="33" r:id="rId3"/>
    <sheet name="KS2-4 Attainment TMs" sheetId="28" r:id="rId4"/>
    <sheet name="KS2-4 Underlying TM data" sheetId="21" r:id="rId5"/>
    <sheet name="TM Subject Groupings" sheetId="34" r:id="rId6"/>
    <sheet name="Inputs" sheetId="14" state="hidden" r:id="rId7"/>
    <sheet name="InputsCS" sheetId="32" state="hidden" r:id="rId8"/>
  </sheets>
  <externalReferences>
    <externalReference r:id="rId9"/>
  </externalReferences>
  <definedNames>
    <definedName name="ach_data">'KS2-4 Attainment TMs'!$E$15:$F$26</definedName>
    <definedName name="ach_left">'KS2-4 Attainment TMs'!$D$15:$D$26</definedName>
    <definedName name="ach_top">'KS2-4 Attainment TMs'!$E$14:$F$14</definedName>
    <definedName name="Ancient_Languages">'KS2-4 Underlying TM data'!$F$770:$DN$797</definedName>
    <definedName name="Art_Design">'KS2-4 Underlying TM data'!$F$803:$DO$830</definedName>
    <definedName name="Attainment">Inputs!$E$1:$E$7</definedName>
    <definedName name="Biology">'KS2-4 Underlying TM data'!$F$176:$DO$203</definedName>
    <definedName name="Business_Studies">'KS2-4 Underlying TM data'!$F$374:$DO$401</definedName>
    <definedName name="Chemistry">'KS2-4 Underlying TM data'!$F$143:$DO$170</definedName>
    <definedName name="Citizenship_Studies">'KS2-4 Underlying TM data'!$F$836:$DO$863</definedName>
    <definedName name="Classical_Studies">'KS2-4 Underlying TM data'!$F$737:$DO$764</definedName>
    <definedName name="Combined_Science">'KS2-4 Underlying TM data'!$F$1133:$GR$1160</definedName>
    <definedName name="Computer_Science">'KS2-4 Underlying TM data'!$F$209:$DO$236</definedName>
    <definedName name="Dance">'KS2-4 Underlying TM data'!$F$869:$DO$896</definedName>
    <definedName name="datat">Inputs!$B$1:$B$4</definedName>
    <definedName name="datatCS">InputsCS!$B$1:$B$4</definedName>
    <definedName name="Design_Technology">'KS2-4 Underlying TM data'!$F$308:$DO$335</definedName>
    <definedName name="Ebacc_94">'KS2-4 Underlying TM data'!$F$1200:$DI$1227</definedName>
    <definedName name="Ebacc_95">'KS2-4 Underlying TM data'!$F$1233:$DI$1260</definedName>
    <definedName name="Ebacc_Entry">'KS2-4 Underlying TM data'!$F$1167:$DI$1194</definedName>
    <definedName name="Economics">'KS2-4 Underlying TM data'!$F$473:$DO$500</definedName>
    <definedName name="EM_94">'KS2-4 Underlying TM data'!$F$1266:$DI$1293</definedName>
    <definedName name="EM_95">'KS2-4 Underlying TM data'!$F$1299:$DI$1326</definedName>
    <definedName name="Engineering">'KS2-4 Underlying TM data'!$F$341:$DO$368</definedName>
    <definedName name="English_Language">'KS2-4 Underlying TM data'!$F$11:$DO$38</definedName>
    <definedName name="English_Literature">'KS2-4 Underlying TM data'!$F$44:$DO$71</definedName>
    <definedName name="f_data">'KS2-4 Subject TMs'!$E$45:$N$56</definedName>
    <definedName name="f_data2">'KS2-4 Combined Science TMs'!$E$45:$W$56</definedName>
    <definedName name="f_left">'KS2-4 Subject TMs'!$D$45:$D$56</definedName>
    <definedName name="f_left2">'KS2-4 Combined Science TMs'!$D$45:$D$56</definedName>
    <definedName name="f_top">'KS2-4 Subject TMs'!$E$44:$N$44</definedName>
    <definedName name="f_top2">'KS2-4 Combined Science TMs'!$E$44:$W$44</definedName>
    <definedName name="fach_data">'KS2-4 Attainment TMs'!$E$48:$F$59</definedName>
    <definedName name="fach_left">'KS2-4 Attainment TMs'!$D$48:$D$59</definedName>
    <definedName name="fach_top">'KS2-4 Attainment TMs'!$E$47:$F$47</definedName>
    <definedName name="Food_Preparation_and_Nutrition">'KS2-4 Underlying TM data'!$F$275:$DO$302</definedName>
    <definedName name="French">'KS2-4 Underlying TM data'!$F$572:$DO$599</definedName>
    <definedName name="Geography">'KS2-4 Underlying TM data'!$F$407:$DO$434</definedName>
    <definedName name="German">'KS2-4 Underlying TM data'!$F$605:$DO$632</definedName>
    <definedName name="History">'KS2-4 Underlying TM data'!$F$440:$DO$467</definedName>
    <definedName name="m_data">'KS2-4 Subject TMs'!$E$63:$N$74</definedName>
    <definedName name="m_data2">'KS2-4 Combined Science TMs'!$E$63:$W$74</definedName>
    <definedName name="m_left">'KS2-4 Subject TMs'!$D$63:$D$74</definedName>
    <definedName name="m_left2">'KS2-4 Combined Science TMs'!$D$63:$D$74</definedName>
    <definedName name="m_top">'KS2-4 Subject TMs'!$E$62:$N$62</definedName>
    <definedName name="m_top2">'KS2-4 Combined Science TMs'!$E$62:$W$62</definedName>
    <definedName name="mach_data">'KS2-4 Attainment TMs'!$J$48:$K$59</definedName>
    <definedName name="mach_left">'KS2-4 Attainment TMs'!$I$48:$I$59</definedName>
    <definedName name="mach_top">'KS2-4 Attainment TMs'!$J$47:$K$47</definedName>
    <definedName name="Mathematics">'KS2-4 Underlying TM data'!$F$77:$DO$104</definedName>
    <definedName name="Media_Studies">'KS2-4 Underlying TM data'!$F$902:$DO$929</definedName>
    <definedName name="Music">'KS2-4 Underlying TM data'!$F$935:$DO$962</definedName>
    <definedName name="Other_Modern_Languages_9_to_1">'KS2-4 Underlying TM data'!$F$671:$DO$698</definedName>
    <definedName name="Other_Modern_Languages_A_to_G">'KS2-4 Underlying TM data'!$F$704:$DN$731</definedName>
    <definedName name="Other_Sciences">'KS2-4 Underlying TM data'!$F$242:$DO$269</definedName>
    <definedName name="Performing_Arts">'KS2-4 Underlying TM data'!$F$968:$DO$995</definedName>
    <definedName name="Photography">'KS2-4 Underlying TM data'!$F$1001:$DO$1028</definedName>
    <definedName name="Physical_Education">'KS2-4 Underlying TM data'!$F$1034:$DO$1061</definedName>
    <definedName name="Physics">'KS2-4 Underlying TM data'!$F$110:$DO$137</definedName>
    <definedName name="prior">Inputs!$C$1:$C$14</definedName>
    <definedName name="prior_2">Inputs!$D$1:$D$14</definedName>
    <definedName name="prior_2CS">InputsCS!$D$1:$D$14</definedName>
    <definedName name="priorCS">InputsCS!$C$1:$C$14</definedName>
    <definedName name="Psychology">'KS2-4 Underlying TM data'!$F$506:$DO$533</definedName>
    <definedName name="Religious_Studies">'KS2-4 Underlying TM data'!$F$1067:$DO$1094</definedName>
    <definedName name="Sociology">'KS2-4 Underlying TM data'!$F$539:$DO$566</definedName>
    <definedName name="Spanish">'KS2-4 Underlying TM data'!$F$638:$DO$665</definedName>
    <definedName name="Statistics">'KS2-4 Underlying TM data'!$F$1100:$DO$1127</definedName>
    <definedName name="subj">Inputs!$A$1:$A$41</definedName>
    <definedName name="subj_CS">InputsCS!$A$1:$A$4</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1" i="14" l="1"/>
  <c r="I1" i="14"/>
  <c r="N62" i="27" s="1"/>
  <c r="N19" i="27"/>
  <c r="G62" i="27" l="1"/>
  <c r="H62" i="27"/>
  <c r="L62" i="27"/>
  <c r="F44" i="27"/>
  <c r="I62" i="27"/>
  <c r="M62" i="27"/>
  <c r="K62" i="27"/>
  <c r="F62" i="27"/>
  <c r="J62" i="27"/>
  <c r="H15" i="27"/>
  <c r="L15" i="27"/>
  <c r="I15" i="27"/>
  <c r="M15" i="27"/>
  <c r="F15" i="27"/>
  <c r="J15" i="27"/>
  <c r="N15" i="27"/>
  <c r="G15" i="27"/>
  <c r="K15" i="27"/>
  <c r="N16" i="27"/>
  <c r="N27" i="27"/>
  <c r="N22" i="27"/>
  <c r="N23" i="27"/>
  <c r="N25" i="27"/>
  <c r="N24" i="27"/>
  <c r="N20" i="27"/>
  <c r="N18" i="27"/>
  <c r="N17" i="27"/>
  <c r="N21" i="27"/>
  <c r="N26" i="27"/>
  <c r="M44" i="27" l="1"/>
  <c r="I44" i="27"/>
  <c r="G44" i="27"/>
  <c r="J44" i="27"/>
  <c r="L44" i="27"/>
  <c r="H44" i="27"/>
  <c r="K44" i="27"/>
  <c r="N44" i="27"/>
  <c r="G1" i="32"/>
  <c r="I1" i="32" l="1"/>
  <c r="N44" i="28" l="1"/>
  <c r="J44" i="28" l="1"/>
  <c r="F30" i="14"/>
  <c r="F29" i="14"/>
  <c r="E44" i="28"/>
  <c r="C60" i="33"/>
  <c r="C42" i="33"/>
  <c r="AA47" i="33"/>
  <c r="E59" i="33" l="1"/>
  <c r="E41" i="33"/>
  <c r="F22" i="32"/>
  <c r="F23" i="32"/>
  <c r="S47" i="27" l="1"/>
  <c r="Q21" i="32"/>
  <c r="R21" i="32"/>
  <c r="S21" i="32"/>
  <c r="T21" i="32"/>
  <c r="U21" i="32"/>
  <c r="V21" i="32"/>
  <c r="W21" i="32"/>
  <c r="X21" i="32"/>
  <c r="Y21" i="32"/>
  <c r="Q5" i="32"/>
  <c r="R5" i="32"/>
  <c r="S5" i="32"/>
  <c r="T5" i="32"/>
  <c r="U5" i="32"/>
  <c r="V5" i="32"/>
  <c r="W5" i="32"/>
  <c r="X5" i="32"/>
  <c r="Y5" i="32"/>
  <c r="P21" i="32"/>
  <c r="O21" i="32"/>
  <c r="N21" i="32"/>
  <c r="M21" i="32"/>
  <c r="L21" i="32"/>
  <c r="K21" i="32"/>
  <c r="J21" i="32"/>
  <c r="I21" i="32"/>
  <c r="H21" i="32"/>
  <c r="G21" i="32"/>
  <c r="F17" i="32"/>
  <c r="F16" i="32"/>
  <c r="F15" i="32"/>
  <c r="F14" i="32"/>
  <c r="F13" i="32"/>
  <c r="F12" i="32"/>
  <c r="F11" i="32"/>
  <c r="F10" i="32"/>
  <c r="F9" i="32"/>
  <c r="F8" i="32"/>
  <c r="E8" i="32"/>
  <c r="F7" i="32"/>
  <c r="F6" i="32"/>
  <c r="P5" i="32"/>
  <c r="O5" i="32"/>
  <c r="N5" i="32"/>
  <c r="M5" i="32"/>
  <c r="L5" i="32"/>
  <c r="K5" i="32"/>
  <c r="J5" i="32"/>
  <c r="I5" i="32"/>
  <c r="H5" i="32"/>
  <c r="G5" i="32"/>
  <c r="F26" i="32"/>
  <c r="M1" i="32"/>
  <c r="K1" i="32"/>
  <c r="N45" i="27"/>
  <c r="N52" i="27"/>
  <c r="N73" i="27"/>
  <c r="N74" i="27"/>
  <c r="N72" i="27"/>
  <c r="N64" i="27"/>
  <c r="N71" i="27"/>
  <c r="N53" i="27"/>
  <c r="N54" i="27"/>
  <c r="N48" i="27"/>
  <c r="N55" i="27"/>
  <c r="N69" i="27"/>
  <c r="N68" i="27"/>
  <c r="N47" i="27"/>
  <c r="N67" i="27"/>
  <c r="N50" i="27"/>
  <c r="N66" i="27"/>
  <c r="N63" i="27"/>
  <c r="N65" i="27"/>
  <c r="N56" i="27"/>
  <c r="N51" i="27"/>
  <c r="N46" i="27"/>
  <c r="N49" i="27"/>
  <c r="N70" i="27"/>
  <c r="E41" i="27" l="1"/>
  <c r="F23" i="14"/>
  <c r="F22" i="14"/>
  <c r="E59" i="27"/>
  <c r="C42" i="27" l="1"/>
  <c r="H45" i="28" l="1"/>
  <c r="G21" i="14" l="1"/>
  <c r="O21" i="14" l="1"/>
  <c r="K21" i="14"/>
  <c r="N21" i="14"/>
  <c r="F17" i="14"/>
  <c r="F13" i="14"/>
  <c r="F9" i="14"/>
  <c r="F16" i="14"/>
  <c r="F12" i="14"/>
  <c r="F8" i="14"/>
  <c r="F10" i="14"/>
  <c r="F15" i="14"/>
  <c r="F11" i="14"/>
  <c r="F7" i="14"/>
  <c r="F14" i="14"/>
  <c r="F6" i="14"/>
  <c r="C45" i="28"/>
  <c r="M1" i="14"/>
  <c r="K1" i="14"/>
  <c r="F26" i="14"/>
  <c r="C12" i="28"/>
  <c r="V53" i="33"/>
  <c r="T67" i="33"/>
  <c r="V48" i="33"/>
  <c r="O56" i="33"/>
  <c r="R54" i="33"/>
  <c r="R53" i="33"/>
  <c r="U49" i="33"/>
  <c r="E68" i="33"/>
  <c r="P64" i="33"/>
  <c r="T53" i="33"/>
  <c r="R65" i="33"/>
  <c r="G70" i="33"/>
  <c r="I68" i="33"/>
  <c r="J63" i="33"/>
  <c r="J52" i="33"/>
  <c r="H65" i="33"/>
  <c r="Q71" i="33"/>
  <c r="R73" i="33"/>
  <c r="S72" i="33"/>
  <c r="E70" i="33"/>
  <c r="H70" i="33"/>
  <c r="I48" i="33"/>
  <c r="F71" i="33"/>
  <c r="I63" i="33"/>
  <c r="V49" i="33"/>
  <c r="L70" i="33"/>
  <c r="J67" i="33"/>
  <c r="J48" i="33"/>
  <c r="O46" i="33"/>
  <c r="L73" i="33"/>
  <c r="G73" i="33"/>
  <c r="J70" i="33"/>
  <c r="S49" i="33"/>
  <c r="I52" i="33"/>
  <c r="S66" i="33"/>
  <c r="E65" i="33"/>
  <c r="O73" i="33"/>
  <c r="T49" i="33"/>
  <c r="P51" i="33"/>
  <c r="L52" i="33"/>
  <c r="O64" i="33"/>
  <c r="J55" i="33"/>
  <c r="K56" i="33"/>
  <c r="G52" i="33"/>
  <c r="P66" i="33"/>
  <c r="O63" i="33"/>
  <c r="I70" i="33"/>
  <c r="O53" i="33"/>
  <c r="S65" i="33"/>
  <c r="U53" i="33"/>
  <c r="H48" i="33"/>
  <c r="L63" i="33"/>
  <c r="H71" i="33"/>
  <c r="V45" i="33"/>
  <c r="L71" i="33"/>
  <c r="L67" i="33"/>
  <c r="O70" i="33"/>
  <c r="S47" i="33"/>
  <c r="F51" i="33"/>
  <c r="Q47" i="33"/>
  <c r="N50" i="33"/>
  <c r="U68" i="33"/>
  <c r="G54" i="33"/>
  <c r="F54" i="33"/>
  <c r="K68" i="33"/>
  <c r="Q69" i="33"/>
  <c r="L56" i="33"/>
  <c r="T64" i="33"/>
  <c r="P52" i="33"/>
  <c r="G55" i="33"/>
  <c r="M47" i="33"/>
  <c r="R50" i="33"/>
  <c r="O67" i="33"/>
  <c r="N55" i="33"/>
  <c r="M46" i="33"/>
  <c r="O48" i="33"/>
  <c r="F46" i="33"/>
  <c r="G47" i="33"/>
  <c r="L69" i="33"/>
  <c r="G69" i="33"/>
  <c r="N73" i="33"/>
  <c r="T52" i="33"/>
  <c r="J51" i="33"/>
  <c r="E53" i="33"/>
  <c r="J46" i="33"/>
  <c r="P54" i="33"/>
  <c r="F47" i="33"/>
  <c r="F45" i="33"/>
  <c r="U54" i="33"/>
  <c r="K65" i="33"/>
  <c r="F68" i="33"/>
  <c r="H46" i="33"/>
  <c r="O55" i="33"/>
  <c r="M54" i="33"/>
  <c r="S74" i="33"/>
  <c r="K52" i="33"/>
  <c r="M45" i="33"/>
  <c r="P50" i="33"/>
  <c r="V50" i="33"/>
  <c r="N69" i="33"/>
  <c r="T74" i="33"/>
  <c r="H50" i="33"/>
  <c r="U52" i="33"/>
  <c r="Q53" i="33"/>
  <c r="L55" i="33"/>
  <c r="U73" i="33"/>
  <c r="G68" i="33"/>
  <c r="K73" i="33"/>
  <c r="K69" i="33"/>
  <c r="J66" i="33"/>
  <c r="J68" i="33"/>
  <c r="M74" i="33"/>
  <c r="J56" i="33"/>
  <c r="I46" i="33"/>
  <c r="K46" i="33"/>
  <c r="I66" i="33"/>
  <c r="V66" i="33"/>
  <c r="M56" i="33"/>
  <c r="J71" i="33"/>
  <c r="E55" i="33"/>
  <c r="J50" i="33"/>
  <c r="G46" i="33"/>
  <c r="I64" i="33"/>
  <c r="K74" i="33"/>
  <c r="S69" i="33"/>
  <c r="H64" i="33"/>
  <c r="N53" i="33"/>
  <c r="L68" i="33"/>
  <c r="R45" i="33"/>
  <c r="G63" i="33"/>
  <c r="T73" i="33"/>
  <c r="G72" i="33"/>
  <c r="M52" i="33"/>
  <c r="R71" i="33"/>
  <c r="F74" i="33"/>
  <c r="E47" i="33"/>
  <c r="S68" i="33"/>
  <c r="G74" i="33"/>
  <c r="F63" i="33"/>
  <c r="O68" i="33"/>
  <c r="T68" i="33"/>
  <c r="N66" i="33"/>
  <c r="P67" i="33"/>
  <c r="V72" i="33"/>
  <c r="E54" i="33"/>
  <c r="H51" i="33"/>
  <c r="K55" i="33"/>
  <c r="M73" i="33"/>
  <c r="N64" i="33"/>
  <c r="O47" i="33"/>
  <c r="Q50" i="33"/>
  <c r="N45" i="33"/>
  <c r="O51" i="33"/>
  <c r="P70" i="33"/>
  <c r="K47" i="33"/>
  <c r="T72" i="33"/>
  <c r="Q54" i="33"/>
  <c r="N74" i="33"/>
  <c r="K50" i="33"/>
  <c r="Q64" i="33"/>
  <c r="S52" i="33"/>
  <c r="S51" i="33"/>
  <c r="E64" i="33"/>
  <c r="S70" i="33"/>
  <c r="V51" i="33"/>
  <c r="Q48" i="33"/>
  <c r="R70" i="33"/>
  <c r="R69" i="33"/>
  <c r="H49" i="33"/>
  <c r="M71" i="33"/>
  <c r="O69" i="33"/>
  <c r="L74" i="33"/>
  <c r="E46" i="33"/>
  <c r="T45" i="33"/>
  <c r="L64" i="33"/>
  <c r="U50" i="33"/>
  <c r="V52" i="33"/>
  <c r="T65" i="33"/>
  <c r="V64" i="33"/>
  <c r="M66" i="33"/>
  <c r="U72" i="33"/>
  <c r="J69" i="33"/>
  <c r="I65" i="33"/>
  <c r="L47" i="33"/>
  <c r="G65" i="33"/>
  <c r="K72" i="33"/>
  <c r="E74" i="33"/>
  <c r="O71" i="33"/>
  <c r="E69" i="33"/>
  <c r="P55" i="33"/>
  <c r="U51" i="33"/>
  <c r="H56" i="33"/>
  <c r="N65" i="33"/>
  <c r="G71" i="33"/>
  <c r="M65" i="33"/>
  <c r="U56" i="33"/>
  <c r="F70" i="33"/>
  <c r="O54" i="33"/>
  <c r="U71" i="33"/>
  <c r="P53" i="33"/>
  <c r="K54" i="33"/>
  <c r="F66" i="33"/>
  <c r="I56" i="33"/>
  <c r="I69" i="33"/>
  <c r="K66" i="33"/>
  <c r="N71" i="33"/>
  <c r="F52" i="33"/>
  <c r="P65" i="33"/>
  <c r="P45" i="33"/>
  <c r="L46" i="33"/>
  <c r="U47" i="33"/>
  <c r="R46" i="33"/>
  <c r="V56" i="33"/>
  <c r="T55" i="33"/>
  <c r="E51" i="33"/>
  <c r="P71" i="33"/>
  <c r="O49" i="33"/>
  <c r="M53" i="33"/>
  <c r="F55" i="33"/>
  <c r="R74" i="33"/>
  <c r="U64" i="33"/>
  <c r="M51" i="33"/>
  <c r="M72" i="33"/>
  <c r="F72" i="33"/>
  <c r="M67" i="33"/>
  <c r="Q46" i="33"/>
  <c r="L54" i="33"/>
  <c r="Q52" i="33"/>
  <c r="J47" i="33"/>
  <c r="S64" i="33"/>
  <c r="U74" i="33"/>
  <c r="V69" i="33"/>
  <c r="M55" i="33"/>
  <c r="V63" i="33"/>
  <c r="E71" i="33"/>
  <c r="H55" i="33"/>
  <c r="K64" i="33"/>
  <c r="R49" i="33"/>
  <c r="P49" i="33"/>
  <c r="K53" i="33"/>
  <c r="J45" i="33"/>
  <c r="F64" i="33"/>
  <c r="M68" i="33"/>
  <c r="P47" i="33"/>
  <c r="V65" i="33"/>
  <c r="G56" i="33"/>
  <c r="U65" i="33"/>
  <c r="E66" i="33"/>
  <c r="H53" i="33"/>
  <c r="L66" i="33"/>
  <c r="E56" i="33"/>
  <c r="G50" i="33"/>
  <c r="U67" i="33"/>
  <c r="M48" i="33"/>
  <c r="R63" i="33"/>
  <c r="R51" i="33"/>
  <c r="J72" i="33"/>
  <c r="G53" i="33"/>
  <c r="Q51" i="33"/>
  <c r="P46" i="33"/>
  <c r="I74" i="33"/>
  <c r="T71" i="33"/>
  <c r="O66" i="33"/>
  <c r="S67" i="33"/>
  <c r="N49" i="33"/>
  <c r="K67" i="33"/>
  <c r="J64" i="33"/>
  <c r="P63" i="33"/>
  <c r="R68" i="33"/>
  <c r="L51" i="33"/>
  <c r="R67" i="33"/>
  <c r="M64" i="33"/>
  <c r="H63" i="33"/>
  <c r="H66" i="33"/>
  <c r="Q70" i="33"/>
  <c r="L45" i="33"/>
  <c r="S50" i="33"/>
  <c r="R47" i="33"/>
  <c r="T48" i="33"/>
  <c r="H68" i="33"/>
  <c r="V73" i="33"/>
  <c r="S55" i="33"/>
  <c r="M70" i="33"/>
  <c r="U46" i="33"/>
  <c r="I73" i="33"/>
  <c r="L65" i="33"/>
  <c r="R55" i="33"/>
  <c r="N70" i="33"/>
  <c r="F53" i="33"/>
  <c r="U66" i="33"/>
  <c r="J53" i="33"/>
  <c r="K70" i="33"/>
  <c r="P74" i="33"/>
  <c r="L48" i="33"/>
  <c r="V71" i="33"/>
  <c r="G64" i="33"/>
  <c r="F49" i="33"/>
  <c r="E63" i="33"/>
  <c r="V68" i="33"/>
  <c r="V55" i="33"/>
  <c r="H67" i="33"/>
  <c r="P48" i="33"/>
  <c r="F56" i="33"/>
  <c r="V46" i="33"/>
  <c r="R52" i="33"/>
  <c r="S73" i="33"/>
  <c r="I71" i="33"/>
  <c r="J74" i="33"/>
  <c r="Q74" i="33"/>
  <c r="H45" i="33"/>
  <c r="H52" i="33"/>
  <c r="K45" i="33"/>
  <c r="G67" i="33"/>
  <c r="M49" i="33"/>
  <c r="I50" i="33"/>
  <c r="I47" i="33"/>
  <c r="N68" i="33"/>
  <c r="J54" i="33"/>
  <c r="T47" i="33"/>
  <c r="T56" i="33"/>
  <c r="N51" i="33"/>
  <c r="G49" i="33"/>
  <c r="R56" i="33"/>
  <c r="F69" i="33"/>
  <c r="V67" i="33"/>
  <c r="E49" i="33"/>
  <c r="H54" i="33"/>
  <c r="M69" i="33"/>
  <c r="I53" i="33"/>
  <c r="K71" i="33"/>
  <c r="O50" i="33"/>
  <c r="K51" i="33"/>
  <c r="J73" i="33"/>
  <c r="I54" i="33"/>
  <c r="Q68" i="33"/>
  <c r="G45" i="33"/>
  <c r="F50" i="33"/>
  <c r="N72" i="33"/>
  <c r="S54" i="33"/>
  <c r="P73" i="33"/>
  <c r="R64" i="33"/>
  <c r="T51" i="33"/>
  <c r="S48" i="33"/>
  <c r="P56" i="33"/>
  <c r="S46" i="33"/>
  <c r="S71" i="33"/>
  <c r="H47" i="33"/>
  <c r="I51" i="33"/>
  <c r="U70" i="33"/>
  <c r="T69" i="33"/>
  <c r="T54" i="33"/>
  <c r="T46" i="33"/>
  <c r="E45" i="33"/>
  <c r="H72" i="33"/>
  <c r="E52" i="33"/>
  <c r="G66" i="33"/>
  <c r="N52" i="33"/>
  <c r="H73" i="33"/>
  <c r="J65" i="33"/>
  <c r="O72" i="33"/>
  <c r="K49" i="33"/>
  <c r="S56" i="33"/>
  <c r="U48" i="33"/>
  <c r="V54" i="33"/>
  <c r="U63" i="33"/>
  <c r="G48" i="33"/>
  <c r="O52" i="33"/>
  <c r="R48" i="33"/>
  <c r="N46" i="33"/>
  <c r="Q65" i="33"/>
  <c r="P68" i="33"/>
  <c r="K48" i="33"/>
  <c r="E67" i="33"/>
  <c r="O65" i="33"/>
  <c r="P72" i="33"/>
  <c r="N47" i="33"/>
  <c r="N67" i="33"/>
  <c r="Q45" i="33"/>
  <c r="T50" i="33"/>
  <c r="K63" i="33"/>
  <c r="L53" i="33"/>
  <c r="M50" i="33"/>
  <c r="V70" i="33"/>
  <c r="Q63" i="33"/>
  <c r="R66" i="33"/>
  <c r="L49" i="33"/>
  <c r="S63" i="33"/>
  <c r="N48" i="33"/>
  <c r="N54" i="33"/>
  <c r="E73" i="33"/>
  <c r="J49" i="33"/>
  <c r="E50" i="33"/>
  <c r="N56" i="33"/>
  <c r="F48" i="33"/>
  <c r="P69" i="33"/>
  <c r="O74" i="33"/>
  <c r="L72" i="33"/>
  <c r="U45" i="33"/>
  <c r="V74" i="33"/>
  <c r="I45" i="33"/>
  <c r="S53" i="33"/>
  <c r="I72" i="33"/>
  <c r="Q49" i="33"/>
  <c r="G51" i="33"/>
  <c r="Q73" i="33"/>
  <c r="Q66" i="33"/>
  <c r="F67" i="33"/>
  <c r="H69" i="33"/>
  <c r="L50" i="33"/>
  <c r="Q55" i="33"/>
  <c r="E48" i="33"/>
  <c r="Q56" i="33"/>
  <c r="O45" i="33"/>
  <c r="S45" i="33"/>
  <c r="I49" i="33"/>
  <c r="V47" i="33"/>
  <c r="U69" i="33"/>
  <c r="I55" i="33"/>
  <c r="I67" i="33"/>
  <c r="E72" i="33"/>
  <c r="N63" i="33"/>
  <c r="Q67" i="33"/>
  <c r="Q72" i="33"/>
  <c r="F73" i="33"/>
  <c r="T63" i="33"/>
  <c r="H74" i="33"/>
  <c r="F65" i="33"/>
  <c r="U55" i="33"/>
  <c r="T70" i="33"/>
  <c r="M63" i="33"/>
  <c r="R72" i="33"/>
  <c r="T66" i="33"/>
  <c r="I21" i="14" l="1"/>
  <c r="P21" i="14"/>
  <c r="P23" i="14" s="1"/>
  <c r="J21" i="14"/>
  <c r="L21" i="14"/>
  <c r="H21" i="14"/>
  <c r="M21" i="14"/>
  <c r="K47" i="28"/>
  <c r="J47" i="28"/>
  <c r="F14" i="28"/>
  <c r="E14" i="28"/>
  <c r="F47" i="28"/>
  <c r="E47" i="28"/>
  <c r="C13" i="27"/>
  <c r="K54" i="28"/>
  <c r="J51" i="28"/>
  <c r="K56" i="28"/>
  <c r="J58" i="28"/>
  <c r="J49" i="28"/>
  <c r="J48" i="28"/>
  <c r="F50" i="28"/>
  <c r="F55" i="28"/>
  <c r="E57" i="28"/>
  <c r="F57" i="28"/>
  <c r="E50" i="28"/>
  <c r="E48" i="28"/>
  <c r="F49" i="28"/>
  <c r="F51" i="28"/>
  <c r="F54" i="28"/>
  <c r="J53" i="28"/>
  <c r="K50" i="28"/>
  <c r="K48" i="28"/>
  <c r="E55" i="28"/>
  <c r="E52" i="28"/>
  <c r="E56" i="28"/>
  <c r="K52" i="28"/>
  <c r="K55" i="28"/>
  <c r="J52" i="28"/>
  <c r="K49" i="28"/>
  <c r="F52" i="28"/>
  <c r="F58" i="28"/>
  <c r="E49" i="28"/>
  <c r="K59" i="28"/>
  <c r="J50" i="28"/>
  <c r="J56" i="28"/>
  <c r="K51" i="28"/>
  <c r="K53" i="28"/>
  <c r="K58" i="28"/>
  <c r="F59" i="28"/>
  <c r="E51" i="28"/>
  <c r="E53" i="28"/>
  <c r="J55" i="28"/>
  <c r="J57" i="28"/>
  <c r="J54" i="28"/>
  <c r="F56" i="28"/>
  <c r="E58" i="28"/>
  <c r="F53" i="28"/>
  <c r="K57" i="28"/>
  <c r="J59" i="28"/>
  <c r="F48" i="28"/>
  <c r="E54" i="28"/>
  <c r="E59" i="28"/>
  <c r="F18" i="28"/>
  <c r="E21" i="28"/>
  <c r="E20" i="28"/>
  <c r="F20" i="28"/>
  <c r="E18" i="28"/>
  <c r="E16" i="28"/>
  <c r="F17" i="28"/>
  <c r="E23" i="28"/>
  <c r="F21" i="28"/>
  <c r="E15" i="28"/>
  <c r="F26" i="28"/>
  <c r="F19" i="28"/>
  <c r="F24" i="28"/>
  <c r="F15" i="28"/>
  <c r="E24" i="28"/>
  <c r="F23" i="28"/>
  <c r="F16" i="28"/>
  <c r="F25" i="28"/>
  <c r="E26" i="28"/>
  <c r="E25" i="28"/>
  <c r="E17" i="28"/>
  <c r="F22" i="28"/>
  <c r="E19" i="28"/>
  <c r="E22" i="28"/>
  <c r="H34" i="32" l="1"/>
  <c r="H34" i="14"/>
  <c r="H41" i="32"/>
  <c r="H41" i="14"/>
  <c r="H35" i="14"/>
  <c r="H35" i="32"/>
  <c r="H37" i="32"/>
  <c r="H37" i="14"/>
  <c r="H40" i="14"/>
  <c r="H40" i="32"/>
  <c r="H39" i="32"/>
  <c r="H39" i="14"/>
  <c r="H44" i="32"/>
  <c r="H44" i="14"/>
  <c r="H43" i="32"/>
  <c r="H43" i="14"/>
  <c r="H33" i="14"/>
  <c r="H33" i="32"/>
  <c r="G39" i="32"/>
  <c r="G39" i="14"/>
  <c r="H36" i="14"/>
  <c r="H36" i="32"/>
  <c r="H38" i="14"/>
  <c r="H38" i="32"/>
  <c r="H42" i="14"/>
  <c r="H42" i="32"/>
  <c r="H28" i="14"/>
  <c r="H30" i="14" s="1"/>
  <c r="H28" i="32"/>
  <c r="G28" i="14"/>
  <c r="G30" i="14" s="1"/>
  <c r="G28" i="32"/>
  <c r="G32" i="14"/>
  <c r="H26" i="32"/>
  <c r="G32" i="32"/>
  <c r="G26" i="32"/>
  <c r="H32" i="14"/>
  <c r="H32" i="32"/>
  <c r="G34" i="32"/>
  <c r="G40" i="32"/>
  <c r="G44" i="32"/>
  <c r="G42" i="32"/>
  <c r="G43" i="32"/>
  <c r="G38" i="32"/>
  <c r="G37" i="32"/>
  <c r="G41" i="32"/>
  <c r="G36" i="32"/>
  <c r="G33" i="32"/>
  <c r="G35" i="32"/>
  <c r="H26" i="14"/>
  <c r="G29" i="14"/>
  <c r="G34" i="14"/>
  <c r="G41" i="14"/>
  <c r="G44" i="14"/>
  <c r="G40" i="14"/>
  <c r="G38" i="14"/>
  <c r="G35" i="14"/>
  <c r="G36" i="14"/>
  <c r="G42" i="14"/>
  <c r="G37" i="14"/>
  <c r="G43" i="14"/>
  <c r="G33" i="14"/>
  <c r="G26" i="14"/>
  <c r="C60" i="27"/>
  <c r="H29" i="14" l="1"/>
  <c r="G29" i="32"/>
  <c r="G30" i="32"/>
  <c r="H30" i="32"/>
  <c r="H29" i="32"/>
  <c r="E8" i="14"/>
  <c r="P16" i="14" l="1"/>
  <c r="P22" i="14"/>
  <c r="P7" i="14"/>
  <c r="P6" i="14"/>
  <c r="P12" i="14"/>
  <c r="P11" i="14"/>
  <c r="P14" i="14"/>
  <c r="P17" i="14"/>
  <c r="P8" i="14"/>
  <c r="P9" i="14"/>
  <c r="P15" i="14"/>
  <c r="P10" i="14"/>
  <c r="P13" i="14"/>
  <c r="G5" i="14"/>
  <c r="P5" i="14"/>
  <c r="I5" i="14" l="1"/>
  <c r="N5" i="14"/>
  <c r="L5" i="14"/>
  <c r="K5" i="14"/>
  <c r="J5" i="14"/>
  <c r="H5" i="14"/>
  <c r="M5" i="14"/>
  <c r="O5" i="14"/>
  <c r="Q17" i="33"/>
  <c r="G20" i="33"/>
  <c r="V26" i="33"/>
  <c r="N20" i="33"/>
  <c r="F25" i="33"/>
  <c r="R27" i="33"/>
  <c r="M20" i="33"/>
  <c r="R23" i="33"/>
  <c r="K16" i="33"/>
  <c r="O22" i="33"/>
  <c r="F24" i="33"/>
  <c r="L27" i="33"/>
  <c r="N19" i="33"/>
  <c r="V25" i="33"/>
  <c r="G24" i="33"/>
  <c r="I16" i="33"/>
  <c r="T27" i="33"/>
  <c r="M25" i="33"/>
  <c r="N22" i="33"/>
  <c r="L18" i="33"/>
  <c r="K26" i="33"/>
  <c r="Q26" i="33"/>
  <c r="J19" i="33"/>
  <c r="K23" i="33"/>
  <c r="H17" i="33"/>
  <c r="V24" i="33"/>
  <c r="N27" i="33"/>
  <c r="Q18" i="33"/>
  <c r="S24" i="33"/>
  <c r="O17" i="33"/>
  <c r="R16" i="33"/>
  <c r="N25" i="33"/>
  <c r="S26" i="33"/>
  <c r="T16" i="33"/>
  <c r="L21" i="33"/>
  <c r="K20" i="33"/>
  <c r="V27" i="33"/>
  <c r="J26" i="33"/>
  <c r="S18" i="33"/>
  <c r="J21" i="33"/>
  <c r="G21" i="33"/>
  <c r="F19" i="33"/>
  <c r="M22" i="33"/>
  <c r="R17" i="33"/>
  <c r="E18" i="33"/>
  <c r="E21" i="33"/>
  <c r="I23" i="33"/>
  <c r="H22" i="33"/>
  <c r="P23" i="33"/>
  <c r="L24" i="33"/>
  <c r="R26" i="33"/>
  <c r="I25" i="33"/>
  <c r="H23" i="33"/>
  <c r="Q27" i="33"/>
  <c r="F21" i="33"/>
  <c r="V20" i="33"/>
  <c r="R19" i="33"/>
  <c r="F26" i="33"/>
  <c r="L20" i="33"/>
  <c r="P22" i="33"/>
  <c r="J18" i="33"/>
  <c r="O25" i="33"/>
  <c r="V19" i="33"/>
  <c r="N26" i="33"/>
  <c r="S23" i="33"/>
  <c r="F17" i="33"/>
  <c r="J24" i="33"/>
  <c r="U16" i="33"/>
  <c r="L19" i="33"/>
  <c r="M27" i="33"/>
  <c r="T19" i="33"/>
  <c r="G26" i="33"/>
  <c r="E16" i="33"/>
  <c r="P19" i="33"/>
  <c r="H26" i="33"/>
  <c r="Q25" i="33"/>
  <c r="H27" i="33"/>
  <c r="P17" i="33"/>
  <c r="H24" i="33"/>
  <c r="R20" i="33"/>
  <c r="G22" i="33"/>
  <c r="E27" i="33"/>
  <c r="O20" i="33"/>
  <c r="G16" i="33"/>
  <c r="V17" i="33"/>
  <c r="F20" i="33"/>
  <c r="E23" i="33"/>
  <c r="Q16" i="33"/>
  <c r="G17" i="33"/>
  <c r="G19" i="33"/>
  <c r="S20" i="33"/>
  <c r="H21" i="33"/>
  <c r="T18" i="33"/>
  <c r="P27" i="33"/>
  <c r="H18" i="33"/>
  <c r="P24" i="33"/>
  <c r="U25" i="33"/>
  <c r="N18" i="33"/>
  <c r="J20" i="33"/>
  <c r="F23" i="33"/>
  <c r="R22" i="33"/>
  <c r="P26" i="33"/>
  <c r="Q22" i="33"/>
  <c r="S21" i="33"/>
  <c r="T24" i="33"/>
  <c r="U21" i="33"/>
  <c r="G23" i="33"/>
  <c r="O16" i="33"/>
  <c r="N16" i="33"/>
  <c r="T17" i="33"/>
  <c r="M16" i="33"/>
  <c r="M24" i="33"/>
  <c r="L17" i="33"/>
  <c r="T21" i="33"/>
  <c r="E25" i="33"/>
  <c r="Q20" i="33"/>
  <c r="G25" i="33"/>
  <c r="I24" i="33"/>
  <c r="V22" i="33"/>
  <c r="P20" i="33"/>
  <c r="H20" i="33"/>
  <c r="I27" i="33"/>
  <c r="T26" i="33"/>
  <c r="N17" i="33"/>
  <c r="S22" i="33"/>
  <c r="H16" i="33"/>
  <c r="L16" i="33"/>
  <c r="E17" i="33"/>
  <c r="U22" i="33"/>
  <c r="J23" i="33"/>
  <c r="R24" i="33"/>
  <c r="U26" i="33"/>
  <c r="J27" i="33"/>
  <c r="E19" i="33"/>
  <c r="K27" i="33"/>
  <c r="Q23" i="33"/>
  <c r="L22" i="33"/>
  <c r="J25" i="33"/>
  <c r="M26" i="33"/>
  <c r="V23" i="33"/>
  <c r="E22" i="33"/>
  <c r="V21" i="33"/>
  <c r="I17" i="33"/>
  <c r="H25" i="33"/>
  <c r="J22" i="33"/>
  <c r="G18" i="33"/>
  <c r="T20" i="33"/>
  <c r="O18" i="33"/>
  <c r="O26" i="33"/>
  <c r="Q21" i="33"/>
  <c r="O19" i="33"/>
  <c r="T25" i="33"/>
  <c r="I22" i="33"/>
  <c r="K25" i="33"/>
  <c r="I18" i="33"/>
  <c r="N23" i="33"/>
  <c r="U24" i="33"/>
  <c r="J16" i="33"/>
  <c r="E20" i="33"/>
  <c r="L23" i="33"/>
  <c r="V16" i="33"/>
  <c r="O24" i="33"/>
  <c r="L25" i="33"/>
  <c r="M23" i="33"/>
  <c r="K24" i="33"/>
  <c r="K22" i="33"/>
  <c r="E24" i="33"/>
  <c r="S25" i="33"/>
  <c r="P25" i="33"/>
  <c r="U17" i="33"/>
  <c r="S27" i="33"/>
  <c r="J17" i="33"/>
  <c r="K18" i="33"/>
  <c r="E26" i="33"/>
  <c r="U27" i="33"/>
  <c r="O27" i="33"/>
  <c r="M19" i="33"/>
  <c r="M18" i="33"/>
  <c r="S17" i="33"/>
  <c r="K19" i="33"/>
  <c r="T23" i="33"/>
  <c r="Q24" i="33"/>
  <c r="V18" i="33"/>
  <c r="F16" i="33"/>
  <c r="I21" i="33"/>
  <c r="I26" i="33"/>
  <c r="I19" i="33"/>
  <c r="M17" i="33"/>
  <c r="U18" i="33"/>
  <c r="K17" i="33"/>
  <c r="F22" i="33"/>
  <c r="U23" i="33"/>
  <c r="P16" i="33"/>
  <c r="K21" i="33"/>
  <c r="F18" i="33"/>
  <c r="R18" i="33"/>
  <c r="N21" i="33"/>
  <c r="R21" i="33"/>
  <c r="O23" i="33"/>
  <c r="P21" i="33"/>
  <c r="R25" i="33"/>
  <c r="F27" i="33"/>
  <c r="Q19" i="33"/>
  <c r="O21" i="33"/>
  <c r="U19" i="33"/>
  <c r="P18" i="33"/>
  <c r="I20" i="33"/>
  <c r="H19" i="33"/>
  <c r="S16" i="33"/>
  <c r="S19" i="33"/>
  <c r="N24" i="33"/>
  <c r="G27" i="33"/>
  <c r="U20" i="33"/>
  <c r="L26" i="33"/>
  <c r="T22" i="33"/>
  <c r="M21" i="33"/>
  <c r="X13" i="32" l="1"/>
  <c r="H17" i="32"/>
  <c r="N8" i="32"/>
  <c r="T6" i="32"/>
  <c r="X16" i="32"/>
  <c r="H15" i="32"/>
  <c r="V15" i="32"/>
  <c r="V13" i="32"/>
  <c r="U8" i="32"/>
  <c r="X8" i="32"/>
  <c r="Q16" i="32"/>
  <c r="U16" i="32"/>
  <c r="R14" i="32"/>
  <c r="Q12" i="32"/>
  <c r="P8" i="32"/>
  <c r="R9" i="32"/>
  <c r="O7" i="32"/>
  <c r="L7" i="32"/>
  <c r="O8" i="32"/>
  <c r="G17" i="32"/>
  <c r="Y17" i="32"/>
  <c r="K13" i="32"/>
  <c r="Y12" i="32"/>
  <c r="L8" i="32"/>
  <c r="M13" i="32"/>
  <c r="W17" i="32"/>
  <c r="O6" i="32"/>
  <c r="G16" i="32"/>
  <c r="W14" i="32"/>
  <c r="P9" i="32"/>
  <c r="M12" i="32"/>
  <c r="N11" i="32"/>
  <c r="M11" i="32"/>
  <c r="L11" i="32"/>
  <c r="U11" i="32"/>
  <c r="R8" i="32"/>
  <c r="Q17" i="32"/>
  <c r="J12" i="32"/>
  <c r="G6" i="32"/>
  <c r="K11" i="32"/>
  <c r="N6" i="32"/>
  <c r="V17" i="32"/>
  <c r="H8" i="32"/>
  <c r="O17" i="32"/>
  <c r="U6" i="32"/>
  <c r="L9" i="32"/>
  <c r="G9" i="32"/>
  <c r="Y16" i="32"/>
  <c r="T17" i="32"/>
  <c r="J15" i="32"/>
  <c r="X15" i="32"/>
  <c r="P7" i="32"/>
  <c r="G8" i="32"/>
  <c r="T12" i="32"/>
  <c r="H7" i="32"/>
  <c r="T8" i="32"/>
  <c r="Y11" i="32"/>
  <c r="N9" i="32"/>
  <c r="K12" i="32"/>
  <c r="M9" i="32"/>
  <c r="S17" i="32"/>
  <c r="S11" i="32"/>
  <c r="J11" i="32"/>
  <c r="K15" i="32"/>
  <c r="O15" i="32"/>
  <c r="Y6" i="32"/>
  <c r="N14" i="32"/>
  <c r="U14" i="32"/>
  <c r="H13" i="32"/>
  <c r="I16" i="32"/>
  <c r="P12" i="32"/>
  <c r="J7" i="32"/>
  <c r="I7" i="32"/>
  <c r="W6" i="32"/>
  <c r="R15" i="32"/>
  <c r="Q15" i="32"/>
  <c r="H16" i="32"/>
  <c r="J8" i="32"/>
  <c r="R17" i="32"/>
  <c r="N15" i="32"/>
  <c r="X6" i="32"/>
  <c r="L17" i="32"/>
  <c r="R6" i="32"/>
  <c r="S13" i="32"/>
  <c r="M16" i="32"/>
  <c r="O16" i="32"/>
  <c r="T15" i="32"/>
  <c r="H12" i="32"/>
  <c r="T13" i="32"/>
  <c r="I9" i="32"/>
  <c r="I8" i="32"/>
  <c r="G11" i="32"/>
  <c r="S6" i="32"/>
  <c r="G13" i="32"/>
  <c r="I12" i="32"/>
  <c r="S9" i="32"/>
  <c r="J9" i="32"/>
  <c r="P14" i="32"/>
  <c r="Q7" i="32"/>
  <c r="H9" i="32"/>
  <c r="I6" i="32"/>
  <c r="Q8" i="32"/>
  <c r="K9" i="32"/>
  <c r="U7" i="32"/>
  <c r="Q11" i="32"/>
  <c r="T7" i="32"/>
  <c r="K14" i="32"/>
  <c r="O9" i="32"/>
  <c r="R13" i="32"/>
  <c r="X11" i="32"/>
  <c r="P6" i="32"/>
  <c r="W16" i="32"/>
  <c r="N16" i="32"/>
  <c r="O14" i="32"/>
  <c r="M7" i="32"/>
  <c r="S14" i="32"/>
  <c r="L15" i="32"/>
  <c r="V7" i="32"/>
  <c r="X7" i="32"/>
  <c r="W12" i="32"/>
  <c r="Q14" i="32"/>
  <c r="M17" i="32"/>
  <c r="H6" i="32"/>
  <c r="W9" i="32"/>
  <c r="J16" i="32"/>
  <c r="X12" i="32"/>
  <c r="V9" i="32"/>
  <c r="Y9" i="32"/>
  <c r="P15" i="32"/>
  <c r="Y7" i="32"/>
  <c r="Y14" i="32"/>
  <c r="L16" i="32"/>
  <c r="U15" i="32"/>
  <c r="N12" i="32"/>
  <c r="M8" i="32"/>
  <c r="I11" i="32"/>
  <c r="K8" i="32"/>
  <c r="I15" i="32"/>
  <c r="O12" i="32"/>
  <c r="K17" i="32"/>
  <c r="O13" i="32"/>
  <c r="V8" i="32"/>
  <c r="W8" i="32"/>
  <c r="N17" i="32"/>
  <c r="O11" i="32"/>
  <c r="J14" i="32"/>
  <c r="W15" i="32"/>
  <c r="R12" i="32"/>
  <c r="V12" i="32"/>
  <c r="X17" i="32"/>
  <c r="W11" i="32"/>
  <c r="U17" i="32"/>
  <c r="H14" i="32"/>
  <c r="L13" i="32"/>
  <c r="M14" i="32"/>
  <c r="P17" i="32"/>
  <c r="Y15" i="32"/>
  <c r="S8" i="32"/>
  <c r="I14" i="32"/>
  <c r="P13" i="32"/>
  <c r="Q13" i="32"/>
  <c r="Q6" i="32"/>
  <c r="U13" i="32"/>
  <c r="W13" i="32"/>
  <c r="V16" i="32"/>
  <c r="L14" i="32"/>
  <c r="R16" i="32"/>
  <c r="M6" i="32"/>
  <c r="G12" i="32"/>
  <c r="G15" i="32"/>
  <c r="G7" i="32"/>
  <c r="M15" i="32"/>
  <c r="I17" i="32"/>
  <c r="R11" i="32"/>
  <c r="X14" i="32"/>
  <c r="I13" i="32"/>
  <c r="X9" i="32"/>
  <c r="V6" i="32"/>
  <c r="J17" i="32"/>
  <c r="S15" i="32"/>
  <c r="V14" i="32"/>
  <c r="J6" i="32"/>
  <c r="L12" i="32"/>
  <c r="Y13" i="32"/>
  <c r="P11" i="32"/>
  <c r="N7" i="32"/>
  <c r="Q9" i="32"/>
  <c r="Y8" i="32"/>
  <c r="K6" i="32"/>
  <c r="R7" i="32"/>
  <c r="T14" i="32"/>
  <c r="J13" i="32"/>
  <c r="S16" i="32"/>
  <c r="K7" i="32"/>
  <c r="K16" i="32"/>
  <c r="W7" i="32"/>
  <c r="T16" i="32"/>
  <c r="P16" i="32"/>
  <c r="T9" i="32"/>
  <c r="S12" i="32"/>
  <c r="U9" i="32"/>
  <c r="N13" i="32"/>
  <c r="T11" i="32"/>
  <c r="L6" i="32"/>
  <c r="H11" i="32"/>
  <c r="V11" i="32"/>
  <c r="U12" i="32"/>
  <c r="G14" i="32"/>
  <c r="S7" i="32"/>
  <c r="V10" i="32"/>
  <c r="K23" i="32"/>
  <c r="X23" i="32"/>
  <c r="Y10" i="32"/>
  <c r="G23" i="32"/>
  <c r="W23" i="32"/>
  <c r="H22" i="32"/>
  <c r="W10" i="32"/>
  <c r="M23" i="32"/>
  <c r="L23" i="32"/>
  <c r="W22" i="32"/>
  <c r="N23" i="32"/>
  <c r="Q10" i="32"/>
  <c r="V23" i="32"/>
  <c r="U22" i="32"/>
  <c r="I23" i="32"/>
  <c r="X10" i="32"/>
  <c r="L22" i="32"/>
  <c r="P23" i="32"/>
  <c r="K10" i="32"/>
  <c r="U23" i="32"/>
  <c r="R22" i="32"/>
  <c r="O22" i="32"/>
  <c r="R23" i="32"/>
  <c r="N10" i="32"/>
  <c r="M10" i="32"/>
  <c r="T23" i="32"/>
  <c r="Y23" i="32"/>
  <c r="O23" i="32"/>
  <c r="H23" i="32"/>
  <c r="H10" i="32"/>
  <c r="N22" i="32"/>
  <c r="V22" i="32"/>
  <c r="R10" i="32"/>
  <c r="P22" i="32"/>
  <c r="X22" i="32"/>
  <c r="Y22" i="32"/>
  <c r="I22" i="32"/>
  <c r="U10" i="32"/>
  <c r="S22" i="32"/>
  <c r="G22" i="32"/>
  <c r="I10" i="32"/>
  <c r="Q22" i="32"/>
  <c r="L10" i="32"/>
  <c r="G10" i="32"/>
  <c r="S23" i="32"/>
  <c r="K22" i="32"/>
  <c r="M22" i="32"/>
  <c r="Q23" i="32"/>
  <c r="J22" i="32"/>
  <c r="O10" i="32"/>
  <c r="S10" i="32"/>
  <c r="T22" i="32"/>
  <c r="P10" i="32"/>
  <c r="T10" i="32"/>
  <c r="J23" i="32"/>
  <c r="J10" i="32"/>
  <c r="M50" i="27"/>
  <c r="E46" i="27"/>
  <c r="G74" i="27"/>
  <c r="G56" i="27"/>
  <c r="F56" i="27"/>
  <c r="H63" i="27"/>
  <c r="F70" i="27"/>
  <c r="E64" i="27"/>
  <c r="I70" i="27"/>
  <c r="L46" i="27"/>
  <c r="F73" i="27"/>
  <c r="J64" i="27"/>
  <c r="F45" i="27"/>
  <c r="I51" i="27"/>
  <c r="F66" i="27"/>
  <c r="M49" i="27"/>
  <c r="G63" i="27"/>
  <c r="E66" i="27"/>
  <c r="L64" i="27"/>
  <c r="I47" i="27"/>
  <c r="I72" i="27"/>
  <c r="G70" i="27"/>
  <c r="L71" i="27"/>
  <c r="I49" i="27"/>
  <c r="I54" i="27"/>
  <c r="E49" i="27"/>
  <c r="K45" i="27"/>
  <c r="I63" i="27"/>
  <c r="L67" i="27"/>
  <c r="H52" i="27"/>
  <c r="L74" i="27"/>
  <c r="E52" i="27"/>
  <c r="E70" i="27"/>
  <c r="E48" i="27"/>
  <c r="J73" i="27"/>
  <c r="G67" i="27"/>
  <c r="K65" i="27"/>
  <c r="H47" i="27"/>
  <c r="K71" i="27"/>
  <c r="G64" i="27"/>
  <c r="L54" i="27"/>
  <c r="E63" i="27"/>
  <c r="M53" i="27"/>
  <c r="H72" i="27"/>
  <c r="H67" i="27"/>
  <c r="F52" i="27"/>
  <c r="F72" i="27"/>
  <c r="L45" i="27"/>
  <c r="F48" i="27"/>
  <c r="L55" i="27"/>
  <c r="G49" i="27"/>
  <c r="I52" i="27"/>
  <c r="L53" i="27"/>
  <c r="J68" i="27"/>
  <c r="L72" i="27"/>
  <c r="M56" i="27"/>
  <c r="F63" i="27"/>
  <c r="H50" i="27"/>
  <c r="J66" i="27"/>
  <c r="K72" i="27"/>
  <c r="F51" i="27"/>
  <c r="K50" i="27"/>
  <c r="I56" i="27"/>
  <c r="E54" i="27"/>
  <c r="H73" i="27"/>
  <c r="E65" i="27"/>
  <c r="K49" i="27"/>
  <c r="H46" i="27"/>
  <c r="F68" i="27"/>
  <c r="J72" i="27"/>
  <c r="K64" i="27"/>
  <c r="M69" i="27"/>
  <c r="H53" i="27"/>
  <c r="J46" i="27"/>
  <c r="J56" i="27"/>
  <c r="L52" i="27"/>
  <c r="F47" i="27"/>
  <c r="E56" i="27"/>
  <c r="H56" i="27"/>
  <c r="M70" i="27"/>
  <c r="J69" i="27"/>
  <c r="E72" i="27"/>
  <c r="M65" i="27"/>
  <c r="K67" i="27"/>
  <c r="J67" i="27"/>
  <c r="H51" i="27"/>
  <c r="L50" i="27"/>
  <c r="L70" i="27"/>
  <c r="M68" i="27"/>
  <c r="H74" i="27"/>
  <c r="K47" i="27"/>
  <c r="F64" i="27"/>
  <c r="G46" i="27"/>
  <c r="F50" i="27"/>
  <c r="K73" i="27"/>
  <c r="K69" i="27"/>
  <c r="J54" i="27"/>
  <c r="J48" i="27"/>
  <c r="G71" i="27"/>
  <c r="J53" i="27"/>
  <c r="E67" i="27"/>
  <c r="G55" i="27"/>
  <c r="M71" i="27"/>
  <c r="M52" i="27"/>
  <c r="G48" i="27"/>
  <c r="F65" i="27"/>
  <c r="G52" i="27"/>
  <c r="I65" i="27"/>
  <c r="H65" i="27"/>
  <c r="H48" i="27"/>
  <c r="G54" i="27"/>
  <c r="K70" i="27"/>
  <c r="H68" i="27"/>
  <c r="J55" i="27"/>
  <c r="I48" i="27"/>
  <c r="G45" i="27"/>
  <c r="F74" i="27"/>
  <c r="M48" i="27"/>
  <c r="M74" i="27"/>
  <c r="E47" i="27"/>
  <c r="H71" i="27"/>
  <c r="L56" i="27"/>
  <c r="H45" i="27"/>
  <c r="G69" i="27"/>
  <c r="J71" i="27"/>
  <c r="M54" i="27"/>
  <c r="K54" i="27"/>
  <c r="H49" i="27"/>
  <c r="I74" i="27"/>
  <c r="J47" i="27"/>
  <c r="L73" i="27"/>
  <c r="G53" i="27"/>
  <c r="H66" i="27"/>
  <c r="J65" i="27"/>
  <c r="M67" i="27"/>
  <c r="M64" i="27"/>
  <c r="E69" i="27"/>
  <c r="E71" i="27"/>
  <c r="L47" i="27"/>
  <c r="K56" i="27"/>
  <c r="G68" i="27"/>
  <c r="M46" i="27"/>
  <c r="G50" i="27"/>
  <c r="K52" i="27"/>
  <c r="I71" i="27"/>
  <c r="F46" i="27"/>
  <c r="I66" i="27"/>
  <c r="F49" i="27"/>
  <c r="F54" i="27"/>
  <c r="M47" i="27"/>
  <c r="L65" i="27"/>
  <c r="L66" i="27"/>
  <c r="G73" i="27"/>
  <c r="E68" i="27"/>
  <c r="L68" i="27"/>
  <c r="I45" i="27"/>
  <c r="I64" i="27"/>
  <c r="H69" i="27"/>
  <c r="K63" i="27"/>
  <c r="E50" i="27"/>
  <c r="F67" i="27"/>
  <c r="F53" i="27"/>
  <c r="J51" i="27"/>
  <c r="J63" i="27"/>
  <c r="G72" i="27"/>
  <c r="I50" i="27"/>
  <c r="I68" i="27"/>
  <c r="H55" i="27"/>
  <c r="F71" i="27"/>
  <c r="K48" i="27"/>
  <c r="E74" i="27"/>
  <c r="G51" i="27"/>
  <c r="M72" i="27"/>
  <c r="G65" i="27"/>
  <c r="K51" i="27"/>
  <c r="K66" i="27"/>
  <c r="G47" i="27"/>
  <c r="H54" i="27"/>
  <c r="F69" i="27"/>
  <c r="I73" i="27"/>
  <c r="H64" i="27"/>
  <c r="J52" i="27"/>
  <c r="E73" i="27"/>
  <c r="L51" i="27"/>
  <c r="M45" i="27"/>
  <c r="E55" i="27"/>
  <c r="G66" i="27"/>
  <c r="K55" i="27"/>
  <c r="K46" i="27"/>
  <c r="E53" i="27"/>
  <c r="M51" i="27"/>
  <c r="M63" i="27"/>
  <c r="J74" i="27"/>
  <c r="L69" i="27"/>
  <c r="L49" i="27"/>
  <c r="H70" i="27"/>
  <c r="I55" i="27"/>
  <c r="M73" i="27"/>
  <c r="L63" i="27"/>
  <c r="J70" i="27"/>
  <c r="J49" i="27"/>
  <c r="F55" i="27"/>
  <c r="E45" i="27"/>
  <c r="K68" i="27"/>
  <c r="I67" i="27"/>
  <c r="E51" i="27"/>
  <c r="I46" i="27"/>
  <c r="M55" i="27"/>
  <c r="J50" i="27"/>
  <c r="I69" i="27"/>
  <c r="L48" i="27"/>
  <c r="K74" i="27"/>
  <c r="M66" i="27"/>
  <c r="K53" i="27"/>
  <c r="I53" i="27"/>
  <c r="J45" i="27"/>
  <c r="K16" i="27"/>
  <c r="G20" i="27"/>
  <c r="K19" i="27"/>
  <c r="K22" i="27"/>
  <c r="K27" i="27"/>
  <c r="I20" i="27"/>
  <c r="G25" i="27"/>
  <c r="F17" i="27"/>
  <c r="G22" i="27"/>
  <c r="J25" i="27"/>
  <c r="E20" i="27"/>
  <c r="J22" i="27"/>
  <c r="H18" i="27"/>
  <c r="I23" i="27"/>
  <c r="M19" i="27"/>
  <c r="H26" i="27"/>
  <c r="K23" i="27"/>
  <c r="L20" i="27"/>
  <c r="I25" i="27"/>
  <c r="H27" i="27"/>
  <c r="E23" i="27"/>
  <c r="M25" i="27"/>
  <c r="M23" i="27"/>
  <c r="G19" i="27"/>
  <c r="L17" i="27"/>
  <c r="E17" i="27"/>
  <c r="G27" i="27"/>
  <c r="E27" i="27"/>
  <c r="M24" i="27"/>
  <c r="E26" i="27"/>
  <c r="M18" i="27"/>
  <c r="F26" i="27"/>
  <c r="L23" i="27"/>
  <c r="L25" i="27"/>
  <c r="E25" i="27"/>
  <c r="L18" i="27"/>
  <c r="L22" i="27"/>
  <c r="J18" i="27"/>
  <c r="H16" i="27"/>
  <c r="K25" i="27"/>
  <c r="L27" i="27"/>
  <c r="I18" i="27"/>
  <c r="M22" i="27"/>
  <c r="J17" i="27"/>
  <c r="H23" i="27"/>
  <c r="J19" i="27"/>
  <c r="H21" i="27"/>
  <c r="I17" i="27"/>
  <c r="I27" i="27"/>
  <c r="L19" i="27"/>
  <c r="H19" i="27"/>
  <c r="F19" i="27"/>
  <c r="I16" i="27"/>
  <c r="H17" i="27"/>
  <c r="G21" i="27"/>
  <c r="G16" i="27"/>
  <c r="H24" i="27"/>
  <c r="F20" i="27"/>
  <c r="M26" i="27"/>
  <c r="M16" i="27"/>
  <c r="K24" i="27"/>
  <c r="J24" i="27"/>
  <c r="J21" i="27"/>
  <c r="H20" i="27"/>
  <c r="K18" i="27"/>
  <c r="J20" i="27"/>
  <c r="E16" i="27"/>
  <c r="I21" i="27"/>
  <c r="J23" i="27"/>
  <c r="F18" i="27"/>
  <c r="G24" i="27"/>
  <c r="G23" i="27"/>
  <c r="I19" i="27"/>
  <c r="G17" i="27"/>
  <c r="E21" i="27"/>
  <c r="J26" i="27"/>
  <c r="F21" i="27"/>
  <c r="K21" i="27"/>
  <c r="F27" i="27"/>
  <c r="E19" i="27"/>
  <c r="H22" i="27"/>
  <c r="E18" i="27"/>
  <c r="L21" i="27"/>
  <c r="L24" i="27"/>
  <c r="L16" i="27"/>
  <c r="F16" i="27"/>
  <c r="E24" i="27"/>
  <c r="M20" i="27"/>
  <c r="K17" i="27"/>
  <c r="K20" i="27"/>
  <c r="M17" i="27"/>
  <c r="M21" i="27"/>
  <c r="F22" i="27"/>
  <c r="F24" i="27"/>
  <c r="I22" i="27"/>
  <c r="J27" i="27"/>
  <c r="K26" i="27"/>
  <c r="H25" i="27"/>
  <c r="M27" i="27"/>
  <c r="I24" i="27"/>
  <c r="L26" i="27"/>
  <c r="I26" i="27"/>
  <c r="F25" i="27"/>
  <c r="E22" i="27"/>
  <c r="G18" i="27"/>
  <c r="G26" i="27"/>
  <c r="J16" i="27"/>
  <c r="F23" i="27"/>
  <c r="G17" i="14" l="1"/>
  <c r="L22" i="14"/>
  <c r="G9" i="14"/>
  <c r="G7" i="14"/>
  <c r="H17" i="14"/>
  <c r="I17" i="14"/>
  <c r="N7" i="14"/>
  <c r="K14" i="14"/>
  <c r="G22" i="14"/>
  <c r="M11" i="14"/>
  <c r="N23" i="14"/>
  <c r="O12" i="14"/>
  <c r="O17" i="14"/>
  <c r="K11" i="14"/>
  <c r="I9" i="14"/>
  <c r="H11" i="14"/>
  <c r="G6" i="14"/>
  <c r="G16" i="14"/>
  <c r="O23" i="14"/>
  <c r="O22" i="14"/>
  <c r="L10" i="14"/>
  <c r="O13" i="14"/>
  <c r="K8" i="14"/>
  <c r="J15" i="14"/>
  <c r="O15" i="14"/>
  <c r="L16" i="14"/>
  <c r="M8" i="14"/>
  <c r="G13" i="14"/>
  <c r="N17" i="14"/>
  <c r="J10" i="14"/>
  <c r="J17" i="14"/>
  <c r="H13" i="14"/>
  <c r="O14" i="14"/>
  <c r="M15" i="14"/>
  <c r="G11" i="14"/>
  <c r="M16" i="14"/>
  <c r="K15" i="14"/>
  <c r="L23" i="14"/>
  <c r="I7" i="14"/>
  <c r="J6" i="14"/>
  <c r="M23" i="14"/>
  <c r="K9" i="14"/>
  <c r="K22" i="14"/>
  <c r="L17" i="14"/>
  <c r="N10" i="14"/>
  <c r="L11" i="14"/>
  <c r="M13" i="14"/>
  <c r="J16" i="14"/>
  <c r="K12" i="14"/>
  <c r="L14" i="14"/>
  <c r="O9" i="14"/>
  <c r="L8" i="14"/>
  <c r="H14" i="14"/>
  <c r="M14" i="14"/>
  <c r="L6" i="14"/>
  <c r="O6" i="14"/>
  <c r="K13" i="14"/>
  <c r="J22" i="14"/>
  <c r="N12" i="14"/>
  <c r="H12" i="14"/>
  <c r="N8" i="14"/>
  <c r="I22" i="14"/>
  <c r="J8" i="14"/>
  <c r="I16" i="14"/>
  <c r="O11" i="14"/>
  <c r="G15" i="14"/>
  <c r="O7" i="14"/>
  <c r="O16" i="14"/>
  <c r="L12" i="14"/>
  <c r="I13" i="14"/>
  <c r="M10" i="14"/>
  <c r="H10" i="14"/>
  <c r="G10" i="14"/>
  <c r="J14" i="14"/>
  <c r="I14" i="14"/>
  <c r="L15" i="14"/>
  <c r="N15" i="14"/>
  <c r="M7" i="14"/>
  <c r="I12" i="14"/>
  <c r="I8" i="14"/>
  <c r="I6" i="14"/>
  <c r="O10" i="14"/>
  <c r="I11" i="14"/>
  <c r="G12" i="14"/>
  <c r="N13" i="14"/>
  <c r="J7" i="14"/>
  <c r="H8" i="14"/>
  <c r="K6" i="14"/>
  <c r="H15" i="14"/>
  <c r="G14" i="14"/>
  <c r="H7" i="14"/>
  <c r="H23" i="14"/>
  <c r="N22" i="14"/>
  <c r="I15" i="14"/>
  <c r="K16" i="14"/>
  <c r="H6" i="14"/>
  <c r="H9" i="14"/>
  <c r="G23" i="14"/>
  <c r="J9" i="14"/>
  <c r="N9" i="14"/>
  <c r="H16" i="14"/>
  <c r="K10" i="14"/>
  <c r="N16" i="14"/>
  <c r="M17" i="14"/>
  <c r="K23" i="14"/>
  <c r="K17" i="14"/>
  <c r="M12" i="14"/>
  <c r="L13" i="14"/>
  <c r="N6" i="14"/>
  <c r="K7" i="14"/>
  <c r="M9" i="14"/>
  <c r="M22" i="14"/>
  <c r="N14" i="14"/>
  <c r="J11" i="14"/>
  <c r="I10" i="14"/>
  <c r="O8" i="14"/>
  <c r="N11" i="14"/>
  <c r="L9" i="14"/>
  <c r="M6" i="14"/>
  <c r="G8" i="14"/>
  <c r="J13" i="14"/>
  <c r="I23" i="14"/>
  <c r="H22" i="14"/>
  <c r="J12" i="14"/>
  <c r="L7" i="14"/>
  <c r="J23" i="14"/>
</calcChain>
</file>

<file path=xl/comments1.xml><?xml version="1.0" encoding="utf-8"?>
<comments xmlns="http://schemas.openxmlformats.org/spreadsheetml/2006/main">
  <authors>
    <author>MANCHESTER, Simon</author>
  </authors>
  <commentList>
    <comment ref="B704" authorId="0" shapeId="0">
      <text>
        <r>
          <rPr>
            <sz val="12"/>
            <color indexed="81"/>
            <rFont val="Tahoma"/>
            <family val="2"/>
          </rPr>
          <t xml:space="preserve">includes:
Gujarati
Persian
Portuguese
Turkish
</t>
        </r>
      </text>
    </comment>
    <comment ref="B770" authorId="0" shapeId="0">
      <text>
        <r>
          <rPr>
            <sz val="12"/>
            <color indexed="81"/>
            <rFont val="Tahoma"/>
            <family val="2"/>
          </rPr>
          <t>includes:
 Biblical Hebrew</t>
        </r>
      </text>
    </comment>
  </commentList>
</comments>
</file>

<file path=xl/sharedStrings.xml><?xml version="1.0" encoding="utf-8"?>
<sst xmlns="http://schemas.openxmlformats.org/spreadsheetml/2006/main" count="14480" uniqueCount="130">
  <si>
    <t>U</t>
  </si>
  <si>
    <t>W</t>
  </si>
  <si>
    <t>2</t>
  </si>
  <si>
    <t>3c</t>
  </si>
  <si>
    <t>3b</t>
  </si>
  <si>
    <t>3a</t>
  </si>
  <si>
    <t>4c</t>
  </si>
  <si>
    <t>4b</t>
  </si>
  <si>
    <t>4a</t>
  </si>
  <si>
    <t>5c</t>
  </si>
  <si>
    <t>5b</t>
  </si>
  <si>
    <t>5a</t>
  </si>
  <si>
    <t xml:space="preserve">KS4 Attainment </t>
  </si>
  <si>
    <t>KS2 Attainment</t>
  </si>
  <si>
    <t>Spanish</t>
  </si>
  <si>
    <t>Female</t>
  </si>
  <si>
    <t>Pupil Percentage</t>
  </si>
  <si>
    <t>All</t>
  </si>
  <si>
    <r>
      <t xml:space="preserve">Chart: </t>
    </r>
    <r>
      <rPr>
        <sz val="14"/>
        <rFont val="Arial"/>
        <family val="2"/>
      </rPr>
      <t>KS4 outcome distributions for a chosen or all KS2 attainment levels</t>
    </r>
  </si>
  <si>
    <t xml:space="preserve">Male </t>
  </si>
  <si>
    <t>Mathematics</t>
  </si>
  <si>
    <t>Pupil Numbers</t>
  </si>
  <si>
    <t>Pupil Percentages</t>
  </si>
  <si>
    <t>All Pupils</t>
  </si>
  <si>
    <t>Pupil Number</t>
  </si>
  <si>
    <t>Female Pupils</t>
  </si>
  <si>
    <t>Male Pupils</t>
  </si>
  <si>
    <t>English Literature</t>
  </si>
  <si>
    <t>Physics</t>
  </si>
  <si>
    <t>Chemistry</t>
  </si>
  <si>
    <t>Computer Science</t>
  </si>
  <si>
    <t>Other Sciences</t>
  </si>
  <si>
    <t>Business Studies</t>
  </si>
  <si>
    <t>Engineering</t>
  </si>
  <si>
    <t>Geography</t>
  </si>
  <si>
    <t>History</t>
  </si>
  <si>
    <t>Economics</t>
  </si>
  <si>
    <t>French</t>
  </si>
  <si>
    <t>German</t>
  </si>
  <si>
    <t>Psychology</t>
  </si>
  <si>
    <t>Sociology</t>
  </si>
  <si>
    <t>Classical Studies</t>
  </si>
  <si>
    <t>Dance</t>
  </si>
  <si>
    <t>Music</t>
  </si>
  <si>
    <t>Performing Arts</t>
  </si>
  <si>
    <t>Physical Education</t>
  </si>
  <si>
    <t>Religious Studies</t>
  </si>
  <si>
    <t>Statistics</t>
  </si>
  <si>
    <t>Citizenship Studies</t>
  </si>
  <si>
    <t>Media Studies</t>
  </si>
  <si>
    <t>Photography</t>
  </si>
  <si>
    <t>Art &amp; Design</t>
  </si>
  <si>
    <r>
      <t xml:space="preserve">Please select a </t>
    </r>
    <r>
      <rPr>
        <b/>
        <sz val="14"/>
        <color rgb="FF104F75"/>
        <rFont val="Arial"/>
        <family val="2"/>
      </rPr>
      <t>KS4 subject</t>
    </r>
    <r>
      <rPr>
        <sz val="14"/>
        <color theme="1"/>
        <rFont val="Arial"/>
        <family val="2"/>
      </rPr>
      <t xml:space="preserve"> to view TM data:</t>
    </r>
  </si>
  <si>
    <r>
      <t xml:space="preserve">Please select either </t>
    </r>
    <r>
      <rPr>
        <b/>
        <sz val="14"/>
        <color rgb="FF104F75"/>
        <rFont val="Arial"/>
        <family val="2"/>
      </rPr>
      <t>pupil number or percentages</t>
    </r>
    <r>
      <rPr>
        <sz val="14"/>
        <color theme="1"/>
        <rFont val="Arial"/>
        <family val="2"/>
      </rPr>
      <t xml:space="preserve"> to view TM data:  </t>
    </r>
  </si>
  <si>
    <t/>
  </si>
  <si>
    <t>Please Select</t>
  </si>
  <si>
    <t>1</t>
  </si>
  <si>
    <r>
      <t xml:space="preserve">Please choose a </t>
    </r>
    <r>
      <rPr>
        <b/>
        <sz val="14"/>
        <color rgb="FF104F75"/>
        <rFont val="Arial"/>
        <family val="2"/>
      </rPr>
      <t>KS2 attainment level</t>
    </r>
    <r>
      <rPr>
        <sz val="14"/>
        <color theme="1"/>
        <rFont val="Arial"/>
        <family val="2"/>
      </rPr>
      <t xml:space="preserve"> to highlight the KS4 outcome distribution:</t>
    </r>
  </si>
  <si>
    <t>KS4 Outcome</t>
  </si>
  <si>
    <t>Ebacc Entry</t>
  </si>
  <si>
    <t>Ebacc Achievement 9-4</t>
  </si>
  <si>
    <t>Ebacc Achievement 9-5</t>
  </si>
  <si>
    <t>English &amp; Mathematics Achievement 9-4</t>
  </si>
  <si>
    <t>English &amp; Mathematics Achievement 9-5</t>
  </si>
  <si>
    <t>Achieved</t>
  </si>
  <si>
    <t>Not Achieved</t>
  </si>
  <si>
    <r>
      <rPr>
        <b/>
        <sz val="14"/>
        <color rgb="FF104F75"/>
        <rFont val="Arial"/>
        <family val="2"/>
      </rPr>
      <t>Chart:</t>
    </r>
    <r>
      <rPr>
        <sz val="14"/>
        <color rgb="FF104F75"/>
        <rFont val="Arial"/>
        <family val="2"/>
      </rPr>
      <t xml:space="preserve"> </t>
    </r>
    <r>
      <rPr>
        <sz val="14"/>
        <color theme="1"/>
        <rFont val="Arial"/>
        <family val="2"/>
      </rPr>
      <t>KS4 outcomes for all KS2 attainment levels</t>
    </r>
  </si>
  <si>
    <t>English Language</t>
  </si>
  <si>
    <t>Subject Group</t>
  </si>
  <si>
    <t>Astronomy</t>
  </si>
  <si>
    <t xml:space="preserve">Geology </t>
  </si>
  <si>
    <t>Electronics (Physics)</t>
  </si>
  <si>
    <t>Arabic</t>
  </si>
  <si>
    <t>Bengali</t>
  </si>
  <si>
    <t>Chinese</t>
  </si>
  <si>
    <t>Gujarati</t>
  </si>
  <si>
    <t>Italian</t>
  </si>
  <si>
    <t>Japanese</t>
  </si>
  <si>
    <t>Modern Greek</t>
  </si>
  <si>
    <t>Modern Hebrew</t>
  </si>
  <si>
    <t>Persian</t>
  </si>
  <si>
    <t>Polish</t>
  </si>
  <si>
    <t>Portuguese</t>
  </si>
  <si>
    <t>Punjabi</t>
  </si>
  <si>
    <t>Russian</t>
  </si>
  <si>
    <t>Turkish</t>
  </si>
  <si>
    <t>Urdu</t>
  </si>
  <si>
    <t xml:space="preserve">Classical Civilisation </t>
  </si>
  <si>
    <t>Classic Greek</t>
  </si>
  <si>
    <t xml:space="preserve">Latin </t>
  </si>
  <si>
    <t>inc.</t>
  </si>
  <si>
    <r>
      <t xml:space="preserve">Please select a </t>
    </r>
    <r>
      <rPr>
        <b/>
        <sz val="14"/>
        <color rgb="FF104F75"/>
        <rFont val="Arial"/>
        <family val="2"/>
      </rPr>
      <t>KS4 attainment category</t>
    </r>
    <r>
      <rPr>
        <sz val="14"/>
        <color theme="1"/>
        <rFont val="Arial"/>
        <family val="2"/>
      </rPr>
      <t xml:space="preserve"> to view TM data:</t>
    </r>
  </si>
  <si>
    <r>
      <t>Please choose a</t>
    </r>
    <r>
      <rPr>
        <b/>
        <sz val="14"/>
        <color rgb="FF104F75"/>
        <rFont val="Arial"/>
        <family val="2"/>
      </rPr>
      <t xml:space="preserve"> KS2 attainment level</t>
    </r>
    <r>
      <rPr>
        <sz val="14"/>
        <color theme="1"/>
        <rFont val="Arial"/>
        <family val="2"/>
      </rPr>
      <t xml:space="preserve"> to highlight the KS4 outcome distribution:</t>
    </r>
  </si>
  <si>
    <t>Gender</t>
  </si>
  <si>
    <t>Disadvantage</t>
  </si>
  <si>
    <t>SEN</t>
  </si>
  <si>
    <t>EAL</t>
  </si>
  <si>
    <t>Disadvantaged Pupils</t>
  </si>
  <si>
    <t>Non-disadvantaged Pupils</t>
  </si>
  <si>
    <t>SEN Pupils</t>
  </si>
  <si>
    <t>Non-SEN Pupils</t>
  </si>
  <si>
    <t>EAL Pupils</t>
  </si>
  <si>
    <t>Non-EAL Pupils</t>
  </si>
  <si>
    <t>Combined Science</t>
  </si>
  <si>
    <t>Food Preparation and Nutrition</t>
  </si>
  <si>
    <t>Food Preparation And Nutrition</t>
  </si>
  <si>
    <t>KS4 Attainment</t>
  </si>
  <si>
    <r>
      <rPr>
        <b/>
        <sz val="14"/>
        <color rgb="FF104F75"/>
        <rFont val="Arial"/>
        <family val="2"/>
      </rPr>
      <t>Chart:</t>
    </r>
    <r>
      <rPr>
        <sz val="14"/>
        <color rgb="FF104F75"/>
        <rFont val="Arial"/>
        <family val="2"/>
      </rPr>
      <t xml:space="preserve"> </t>
    </r>
    <r>
      <rPr>
        <sz val="14"/>
        <color theme="1"/>
        <rFont val="Arial"/>
        <family val="2"/>
      </rPr>
      <t>KS4 outcomes for a chosen KS2 attainment level</t>
    </r>
    <r>
      <rPr>
        <b/>
        <sz val="14"/>
        <color theme="1"/>
        <rFont val="Arial"/>
        <family val="2"/>
      </rPr>
      <t xml:space="preserve"> split by selected characteristic</t>
    </r>
  </si>
  <si>
    <t>Entered</t>
  </si>
  <si>
    <t>Not Entered</t>
  </si>
  <si>
    <t>Not achieved</t>
  </si>
  <si>
    <t>G</t>
  </si>
  <si>
    <t>F</t>
  </si>
  <si>
    <t>E</t>
  </si>
  <si>
    <t>D</t>
  </si>
  <si>
    <t>C</t>
  </si>
  <si>
    <t>B</t>
  </si>
  <si>
    <t>A</t>
  </si>
  <si>
    <r>
      <t xml:space="preserve">Use the arrows below to scroll between </t>
    </r>
    <r>
      <rPr>
        <b/>
        <sz val="14"/>
        <color rgb="FF104F75"/>
        <rFont val="Arial"/>
        <family val="2"/>
      </rPr>
      <t>pupil characteristics</t>
    </r>
    <r>
      <rPr>
        <sz val="14"/>
        <color theme="1"/>
        <rFont val="Arial"/>
        <family val="2"/>
      </rPr>
      <t xml:space="preserve"> to disaggregate by:</t>
    </r>
  </si>
  <si>
    <t xml:space="preserve">                                                                                                                                                                               </t>
  </si>
  <si>
    <t>Ancient Languages</t>
  </si>
  <si>
    <t>Biblical Hebrew</t>
  </si>
  <si>
    <t>Biology</t>
  </si>
  <si>
    <t>Design &amp; Technology</t>
  </si>
  <si>
    <t>Design and Technology</t>
  </si>
  <si>
    <t>Other Modern Languages 9 to 1</t>
  </si>
  <si>
    <t>Other Modern Languages A* to G</t>
  </si>
  <si>
    <t>A*</t>
  </si>
  <si>
    <t>-</t>
  </si>
  <si>
    <t>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</si>
</sst>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8" x14ac:knownFonts="1">
    <font>
      <sz val="11"/>
      <color theme="1"/>
      <name val="Calibri"/>
      <family val="2"/>
      <scheme val="minor"/>
    </font>
    <font>
      <sz val="10"/>
      <name val="Tahoma"/>
      <family val="2"/>
    </font>
    <font>
      <sz val="12"/>
      <color theme="1"/>
      <name val="Arial"/>
      <family val="2"/>
    </font>
    <font>
      <sz val="12"/>
      <name val="Arial"/>
      <family val="2"/>
    </font>
    <font>
      <sz val="11"/>
      <color theme="0"/>
      <name val="Calibri"/>
      <family val="2"/>
      <scheme val="minor"/>
    </font>
    <font>
      <b/>
      <sz val="16"/>
      <color rgb="FF104F75"/>
      <name val="Arial"/>
      <family val="2"/>
    </font>
    <font>
      <sz val="14"/>
      <name val="Arial"/>
      <family val="2"/>
    </font>
    <font>
      <sz val="11"/>
      <color rgb="FFFF0000"/>
      <name val="Calibri"/>
      <family val="2"/>
      <scheme val="minor"/>
    </font>
    <font>
      <sz val="14"/>
      <color theme="1"/>
      <name val="Arial"/>
      <family val="2"/>
    </font>
    <font>
      <sz val="10"/>
      <name val="Arial"/>
      <family val="2"/>
    </font>
    <font>
      <b/>
      <sz val="14"/>
      <color rgb="FF104F75"/>
      <name val="Arial"/>
      <family val="2"/>
    </font>
    <font>
      <b/>
      <sz val="11"/>
      <color rgb="FFFF0000"/>
      <name val="Calibri"/>
      <family val="2"/>
      <scheme val="minor"/>
    </font>
    <font>
      <sz val="14"/>
      <color theme="1"/>
      <name val="Calibri"/>
      <family val="2"/>
      <scheme val="minor"/>
    </font>
    <font>
      <b/>
      <sz val="18"/>
      <color rgb="FF104F75"/>
      <name val="Arial"/>
      <family val="2"/>
    </font>
    <font>
      <sz val="11"/>
      <name val="Calibri"/>
      <family val="2"/>
      <scheme val="minor"/>
    </font>
    <font>
      <b/>
      <sz val="14"/>
      <name val="Arial"/>
      <family val="2"/>
    </font>
    <font>
      <sz val="10"/>
      <name val="Courier"/>
      <family val="3"/>
    </font>
    <font>
      <b/>
      <sz val="14"/>
      <color theme="1"/>
      <name val="Arial"/>
      <family val="2"/>
    </font>
    <font>
      <sz val="11"/>
      <color rgb="FF104F75"/>
      <name val="Calibri"/>
      <family val="2"/>
      <scheme val="minor"/>
    </font>
    <font>
      <sz val="10"/>
      <color theme="1"/>
      <name val="Arial"/>
      <family val="2"/>
    </font>
    <font>
      <sz val="10"/>
      <color theme="1"/>
      <name val="Calibri"/>
      <family val="2"/>
      <scheme val="minor"/>
    </font>
    <font>
      <sz val="11"/>
      <color theme="1"/>
      <name val="Arial"/>
      <family val="2"/>
    </font>
    <font>
      <sz val="12"/>
      <color theme="1"/>
      <name val="Calibri"/>
      <family val="2"/>
      <scheme val="minor"/>
    </font>
    <font>
      <sz val="14"/>
      <color rgb="FF104F75"/>
      <name val="Arial"/>
      <family val="2"/>
    </font>
    <font>
      <sz val="14"/>
      <color rgb="FF000000"/>
      <name val="Arial"/>
      <family val="2"/>
    </font>
    <font>
      <i/>
      <sz val="14"/>
      <color rgb="FF104F75"/>
      <name val="Arial"/>
      <family val="2"/>
    </font>
    <font>
      <b/>
      <sz val="11"/>
      <name val="Calibri"/>
      <family val="2"/>
      <scheme val="minor"/>
    </font>
    <font>
      <sz val="12"/>
      <color indexed="81"/>
      <name val="Tahoma"/>
      <family val="2"/>
    </font>
  </fonts>
  <fills count="14">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CFDCE2"/>
        <bgColor indexed="64"/>
      </patternFill>
    </fill>
    <fill>
      <patternFill patternType="solid">
        <fgColor rgb="FF85A5B9"/>
        <bgColor indexed="64"/>
      </patternFill>
    </fill>
    <fill>
      <patternFill patternType="solid">
        <fgColor rgb="FF9FB9C8"/>
        <bgColor indexed="64"/>
      </patternFill>
    </fill>
    <fill>
      <patternFill patternType="solid">
        <fgColor rgb="FFCFDCE3"/>
        <bgColor indexed="64"/>
      </patternFill>
    </fill>
    <fill>
      <patternFill patternType="solid">
        <fgColor rgb="FFFFFFFF"/>
        <bgColor rgb="FFFFFFFF"/>
      </patternFill>
    </fill>
    <fill>
      <patternFill patternType="solid">
        <fgColor rgb="FFFFFF00"/>
        <bgColor indexed="64"/>
      </patternFill>
    </fill>
    <fill>
      <patternFill patternType="solid">
        <fgColor rgb="FFFFC000"/>
        <bgColor indexed="64"/>
      </patternFill>
    </fill>
    <fill>
      <patternFill patternType="solid">
        <fgColor rgb="FFFF66FF"/>
        <bgColor indexed="64"/>
      </patternFill>
    </fill>
    <fill>
      <patternFill patternType="solid">
        <fgColor rgb="FFCCFFCC"/>
        <bgColor indexed="64"/>
      </patternFill>
    </fill>
    <fill>
      <patternFill patternType="solid">
        <fgColor rgb="FFCCECFF"/>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rgb="FF000000"/>
      </bottom>
      <diagonal/>
    </border>
  </borders>
  <cellStyleXfs count="5">
    <xf numFmtId="0" fontId="0" fillId="0" borderId="0"/>
    <xf numFmtId="0" fontId="1" fillId="0" borderId="0"/>
    <xf numFmtId="0" fontId="9" fillId="0" borderId="0"/>
    <xf numFmtId="0" fontId="16" fillId="0" borderId="0"/>
    <xf numFmtId="0" fontId="9" fillId="0" borderId="0"/>
  </cellStyleXfs>
  <cellXfs count="151">
    <xf numFmtId="0" fontId="0" fillId="0" borderId="0" xfId="0"/>
    <xf numFmtId="0" fontId="0" fillId="2" borderId="0" xfId="0" applyFill="1"/>
    <xf numFmtId="0" fontId="2" fillId="0" borderId="0" xfId="0" applyFont="1"/>
    <xf numFmtId="3" fontId="3" fillId="0" borderId="1" xfId="2" applyNumberFormat="1" applyFont="1" applyBorder="1" applyAlignment="1">
      <alignment horizontal="center" vertical="center"/>
    </xf>
    <xf numFmtId="0" fontId="11" fillId="0" borderId="0" xfId="0" applyFont="1"/>
    <xf numFmtId="0" fontId="5" fillId="0" borderId="0" xfId="0" applyFont="1" applyAlignment="1">
      <alignment vertical="center"/>
    </xf>
    <xf numFmtId="0" fontId="13" fillId="0" borderId="0" xfId="0" applyFont="1" applyAlignment="1">
      <alignment vertical="center"/>
    </xf>
    <xf numFmtId="3" fontId="3" fillId="0" borderId="0" xfId="2" applyNumberFormat="1" applyFont="1" applyBorder="1" applyAlignment="1">
      <alignment horizontal="center" vertical="center"/>
    </xf>
    <xf numFmtId="0" fontId="8" fillId="0" borderId="0" xfId="0" applyFont="1" applyAlignment="1">
      <alignment vertical="center"/>
    </xf>
    <xf numFmtId="3" fontId="3" fillId="5" borderId="7" xfId="2" applyNumberFormat="1" applyFont="1" applyFill="1" applyBorder="1" applyAlignment="1">
      <alignment horizontal="center" vertical="center"/>
    </xf>
    <xf numFmtId="3" fontId="3" fillId="2" borderId="0" xfId="2" applyNumberFormat="1" applyFont="1" applyFill="1" applyBorder="1" applyAlignment="1">
      <alignment horizontal="center" vertical="center" textRotation="90"/>
    </xf>
    <xf numFmtId="0" fontId="9" fillId="2" borderId="0" xfId="2" applyFont="1" applyFill="1" applyBorder="1" applyAlignment="1">
      <alignment horizontal="center" vertical="center"/>
    </xf>
    <xf numFmtId="0" fontId="4" fillId="0" borderId="0" xfId="0" applyFont="1"/>
    <xf numFmtId="0" fontId="14" fillId="0" borderId="0" xfId="0" applyFont="1"/>
    <xf numFmtId="0" fontId="7" fillId="0" borderId="0" xfId="0" applyFont="1"/>
    <xf numFmtId="0" fontId="10" fillId="0" borderId="0" xfId="0" applyFont="1" applyAlignment="1">
      <alignment wrapText="1"/>
    </xf>
    <xf numFmtId="0" fontId="3" fillId="2" borderId="0" xfId="2" applyFont="1" applyFill="1" applyBorder="1" applyAlignment="1" applyProtection="1">
      <alignment horizontal="center" vertical="center"/>
      <protection hidden="1"/>
    </xf>
    <xf numFmtId="3" fontId="3" fillId="2" borderId="1" xfId="2" applyNumberFormat="1" applyFont="1" applyFill="1" applyBorder="1" applyAlignment="1">
      <alignment horizontal="center" vertical="center"/>
    </xf>
    <xf numFmtId="0" fontId="14" fillId="2" borderId="0" xfId="0" applyFont="1" applyFill="1"/>
    <xf numFmtId="0" fontId="10" fillId="0" borderId="0" xfId="0" applyFont="1" applyAlignment="1"/>
    <xf numFmtId="0" fontId="10" fillId="0" borderId="0" xfId="0" applyFont="1" applyAlignment="1">
      <alignment vertical="center" wrapText="1"/>
    </xf>
    <xf numFmtId="0" fontId="3" fillId="0" borderId="0" xfId="3" applyFont="1" applyFill="1" applyAlignment="1" applyProtection="1">
      <alignment horizontal="center" vertical="center"/>
      <protection locked="0"/>
    </xf>
    <xf numFmtId="0" fontId="3" fillId="0" borderId="0" xfId="0" applyFont="1" applyBorder="1" applyAlignment="1" applyProtection="1">
      <alignment horizontal="center" vertical="center"/>
      <protection locked="0"/>
    </xf>
    <xf numFmtId="0" fontId="3" fillId="0" borderId="0" xfId="0" applyFont="1" applyAlignment="1">
      <alignment horizontal="center" vertical="center"/>
    </xf>
    <xf numFmtId="1" fontId="3" fillId="0" borderId="1" xfId="2" applyNumberFormat="1" applyFont="1" applyBorder="1" applyAlignment="1">
      <alignment horizontal="center" vertical="center"/>
    </xf>
    <xf numFmtId="0" fontId="0" fillId="0" borderId="0" xfId="0" applyFont="1"/>
    <xf numFmtId="0" fontId="18" fillId="0" borderId="0" xfId="0" applyFont="1"/>
    <xf numFmtId="0" fontId="19" fillId="0" borderId="0" xfId="0" applyFont="1" applyBorder="1" applyAlignment="1">
      <alignment horizontal="center" vertical="center"/>
    </xf>
    <xf numFmtId="0" fontId="19" fillId="0" borderId="0" xfId="0" applyFont="1" applyAlignment="1">
      <alignment horizontal="center" vertical="center"/>
    </xf>
    <xf numFmtId="0" fontId="20" fillId="0" borderId="0" xfId="0" applyFont="1"/>
    <xf numFmtId="0" fontId="9" fillId="2" borderId="0" xfId="2" applyFont="1" applyFill="1" applyBorder="1" applyAlignment="1" applyProtection="1">
      <alignment horizontal="center" vertical="center"/>
      <protection hidden="1"/>
    </xf>
    <xf numFmtId="0" fontId="9" fillId="0" borderId="0" xfId="3" applyFont="1" applyFill="1" applyAlignment="1" applyProtection="1">
      <alignment horizontal="center" vertical="center"/>
      <protection locked="0"/>
    </xf>
    <xf numFmtId="0" fontId="9" fillId="0" borderId="0" xfId="0" applyFont="1" applyBorder="1" applyAlignment="1" applyProtection="1">
      <alignment horizontal="center" vertical="center"/>
      <protection locked="0"/>
    </xf>
    <xf numFmtId="0" fontId="19" fillId="0" borderId="0" xfId="0" applyFont="1"/>
    <xf numFmtId="0" fontId="9" fillId="0" borderId="0" xfId="4" applyFont="1" applyFill="1" applyBorder="1" applyAlignment="1" applyProtection="1">
      <alignment horizontal="center" vertical="center"/>
      <protection locked="0"/>
    </xf>
    <xf numFmtId="0" fontId="9" fillId="0" borderId="0" xfId="4" applyFont="1" applyBorder="1" applyAlignment="1" applyProtection="1">
      <alignment horizontal="center" vertical="center"/>
      <protection locked="0"/>
    </xf>
    <xf numFmtId="0" fontId="9" fillId="0" borderId="0" xfId="0" applyFont="1" applyAlignment="1">
      <alignment horizontal="center" vertical="center"/>
    </xf>
    <xf numFmtId="0" fontId="9" fillId="2" borderId="0" xfId="0" applyFont="1" applyFill="1" applyBorder="1" applyAlignment="1">
      <alignment horizontal="center" vertical="center"/>
    </xf>
    <xf numFmtId="0" fontId="21" fillId="0" borderId="0" xfId="0" applyFont="1" applyAlignment="1">
      <alignment horizontal="center" vertical="center"/>
    </xf>
    <xf numFmtId="0" fontId="8" fillId="0" borderId="0" xfId="0" applyFont="1"/>
    <xf numFmtId="0" fontId="5" fillId="0" borderId="0" xfId="0" applyFont="1" applyAlignment="1">
      <alignment horizontal="center" vertical="center"/>
    </xf>
    <xf numFmtId="0" fontId="0" fillId="0" borderId="0" xfId="0" applyAlignment="1">
      <alignment horizontal="center" vertical="center"/>
    </xf>
    <xf numFmtId="3" fontId="0" fillId="0" borderId="0" xfId="0" applyNumberFormat="1"/>
    <xf numFmtId="3" fontId="13" fillId="0" borderId="0" xfId="0" applyNumberFormat="1" applyFont="1" applyAlignment="1">
      <alignment horizontal="center" vertical="center"/>
    </xf>
    <xf numFmtId="3" fontId="13" fillId="0" borderId="0" xfId="0" applyNumberFormat="1" applyFont="1" applyAlignment="1">
      <alignment vertical="center"/>
    </xf>
    <xf numFmtId="3" fontId="12" fillId="0" borderId="0" xfId="0" applyNumberFormat="1" applyFont="1"/>
    <xf numFmtId="3" fontId="3" fillId="7" borderId="1" xfId="2" applyNumberFormat="1" applyFont="1" applyFill="1" applyBorder="1" applyAlignment="1">
      <alignment horizontal="center"/>
    </xf>
    <xf numFmtId="3" fontId="3" fillId="4" borderId="1" xfId="2" applyNumberFormat="1" applyFont="1" applyFill="1" applyBorder="1" applyAlignment="1">
      <alignment horizontal="center"/>
    </xf>
    <xf numFmtId="3" fontId="5" fillId="0" borderId="0" xfId="0" applyNumberFormat="1" applyFont="1" applyAlignment="1">
      <alignment horizontal="center" vertical="center"/>
    </xf>
    <xf numFmtId="3" fontId="3" fillId="7" borderId="4" xfId="2" applyNumberFormat="1" applyFont="1" applyFill="1" applyBorder="1" applyAlignment="1">
      <alignment horizontal="center"/>
    </xf>
    <xf numFmtId="3" fontId="22" fillId="0" borderId="0" xfId="0" applyNumberFormat="1" applyFont="1"/>
    <xf numFmtId="0" fontId="8" fillId="0" borderId="0" xfId="0" applyFont="1" applyAlignment="1"/>
    <xf numFmtId="0" fontId="21" fillId="0" borderId="0" xfId="0" applyFont="1"/>
    <xf numFmtId="3" fontId="19" fillId="0" borderId="0" xfId="0" applyNumberFormat="1" applyFont="1" applyAlignment="1">
      <alignment horizontal="center" vertical="center"/>
    </xf>
    <xf numFmtId="0" fontId="5" fillId="0" borderId="0" xfId="0" applyFont="1" applyAlignment="1">
      <alignment horizontal="center" vertical="center"/>
    </xf>
    <xf numFmtId="0" fontId="19" fillId="0" borderId="0" xfId="0" applyFont="1" applyAlignment="1" applyProtection="1">
      <alignment horizontal="center" vertical="center"/>
      <protection locked="0"/>
    </xf>
    <xf numFmtId="0" fontId="21" fillId="0" borderId="0" xfId="0" applyFont="1" applyAlignment="1" applyProtection="1">
      <alignment horizontal="center" vertical="center"/>
      <protection locked="0"/>
    </xf>
    <xf numFmtId="0" fontId="19" fillId="0" borderId="0" xfId="0" applyFont="1" applyProtection="1">
      <protection locked="0"/>
    </xf>
    <xf numFmtId="0" fontId="12" fillId="0" borderId="0" xfId="0" applyFont="1" applyProtection="1">
      <protection hidden="1"/>
    </xf>
    <xf numFmtId="3" fontId="15" fillId="6" borderId="1" xfId="2" applyNumberFormat="1" applyFont="1" applyFill="1" applyBorder="1" applyAlignment="1" applyProtection="1">
      <alignment horizontal="center" vertical="center"/>
      <protection hidden="1"/>
    </xf>
    <xf numFmtId="0" fontId="15" fillId="7" borderId="1" xfId="2" applyFont="1" applyFill="1" applyBorder="1" applyAlignment="1" applyProtection="1">
      <alignment horizontal="center"/>
      <protection hidden="1"/>
    </xf>
    <xf numFmtId="3" fontId="3" fillId="0" borderId="1" xfId="2" applyNumberFormat="1" applyFont="1" applyBorder="1" applyAlignment="1" applyProtection="1">
      <alignment horizontal="center" vertical="center"/>
      <protection hidden="1"/>
    </xf>
    <xf numFmtId="3" fontId="3" fillId="2" borderId="1" xfId="2" applyNumberFormat="1" applyFont="1" applyFill="1" applyBorder="1" applyAlignment="1" applyProtection="1">
      <alignment horizontal="center" vertical="center"/>
      <protection hidden="1"/>
    </xf>
    <xf numFmtId="0" fontId="0" fillId="0" borderId="0" xfId="0" applyProtection="1">
      <protection hidden="1"/>
    </xf>
    <xf numFmtId="3" fontId="6" fillId="3" borderId="4" xfId="2" applyNumberFormat="1" applyFont="1" applyFill="1" applyBorder="1" applyAlignment="1" applyProtection="1">
      <alignment horizontal="center" vertical="center"/>
      <protection hidden="1"/>
    </xf>
    <xf numFmtId="3" fontId="3" fillId="3" borderId="5" xfId="2" applyNumberFormat="1" applyFont="1" applyFill="1" applyBorder="1" applyAlignment="1" applyProtection="1">
      <alignment vertical="center"/>
      <protection hidden="1"/>
    </xf>
    <xf numFmtId="3" fontId="15" fillId="3" borderId="5" xfId="2" applyNumberFormat="1" applyFont="1" applyFill="1" applyBorder="1" applyAlignment="1" applyProtection="1">
      <alignment vertical="center"/>
      <protection hidden="1"/>
    </xf>
    <xf numFmtId="3" fontId="15" fillId="6" borderId="7" xfId="2" applyNumberFormat="1" applyFont="1" applyFill="1" applyBorder="1" applyAlignment="1" applyProtection="1">
      <alignment horizontal="center" vertical="center"/>
      <protection hidden="1"/>
    </xf>
    <xf numFmtId="0" fontId="17" fillId="2" borderId="0" xfId="0" applyFont="1" applyFill="1" applyAlignment="1" applyProtection="1">
      <alignment horizontal="center" vertical="center"/>
      <protection hidden="1"/>
    </xf>
    <xf numFmtId="3" fontId="3" fillId="0" borderId="0" xfId="2" applyNumberFormat="1" applyFont="1" applyBorder="1" applyAlignment="1" applyProtection="1">
      <alignment horizontal="center" vertical="center"/>
      <protection hidden="1"/>
    </xf>
    <xf numFmtId="3" fontId="3" fillId="3" borderId="4" xfId="2" applyNumberFormat="1" applyFont="1" applyFill="1" applyBorder="1" applyAlignment="1" applyProtection="1">
      <alignment horizontal="center" vertical="center"/>
      <protection hidden="1"/>
    </xf>
    <xf numFmtId="0" fontId="0" fillId="2" borderId="0" xfId="0" applyFill="1" applyBorder="1" applyProtection="1">
      <protection hidden="1"/>
    </xf>
    <xf numFmtId="0" fontId="10" fillId="0" borderId="0" xfId="0" applyFont="1" applyAlignment="1">
      <alignment horizontal="left" vertical="top"/>
    </xf>
    <xf numFmtId="0" fontId="24" fillId="0" borderId="0" xfId="0" applyFont="1" applyAlignment="1">
      <alignment horizontal="left" vertical="top"/>
    </xf>
    <xf numFmtId="0" fontId="12" fillId="0" borderId="0" xfId="0" applyFont="1"/>
    <xf numFmtId="0" fontId="24" fillId="0" borderId="11" xfId="0" applyFont="1" applyBorder="1" applyAlignment="1">
      <alignment horizontal="left" vertical="top"/>
    </xf>
    <xf numFmtId="0" fontId="24" fillId="8" borderId="0" xfId="2" applyFont="1" applyFill="1" applyAlignment="1" applyProtection="1">
      <alignment horizontal="left" vertical="top"/>
      <protection hidden="1"/>
    </xf>
    <xf numFmtId="0" fontId="24" fillId="8" borderId="11" xfId="2" applyFont="1" applyFill="1" applyBorder="1" applyAlignment="1" applyProtection="1">
      <alignment horizontal="left" vertical="top"/>
      <protection hidden="1"/>
    </xf>
    <xf numFmtId="0" fontId="24" fillId="0" borderId="11" xfId="3" applyFont="1" applyFill="1" applyBorder="1" applyAlignment="1" applyProtection="1">
      <alignment horizontal="left" vertical="top"/>
      <protection locked="0"/>
    </xf>
    <xf numFmtId="0" fontId="24" fillId="0" borderId="0" xfId="0" applyFont="1"/>
    <xf numFmtId="0" fontId="25" fillId="0" borderId="0" xfId="3" applyFont="1" applyFill="1" applyAlignment="1" applyProtection="1">
      <alignment horizontal="left" vertical="top"/>
      <protection locked="0"/>
    </xf>
    <xf numFmtId="0" fontId="25" fillId="0" borderId="0" xfId="0" applyFont="1"/>
    <xf numFmtId="0" fontId="25" fillId="0" borderId="0" xfId="0" applyFont="1" applyAlignment="1">
      <alignment horizontal="left" vertical="top"/>
    </xf>
    <xf numFmtId="0" fontId="24" fillId="0" borderId="0" xfId="0" applyFont="1" applyAlignment="1" applyProtection="1">
      <alignment horizontal="left" vertical="top"/>
      <protection locked="0"/>
    </xf>
    <xf numFmtId="0" fontId="24" fillId="0" borderId="0" xfId="2" applyFont="1" applyFill="1" applyAlignment="1"/>
    <xf numFmtId="0" fontId="25" fillId="0" borderId="0" xfId="2" applyFont="1" applyFill="1" applyAlignment="1"/>
    <xf numFmtId="0" fontId="24" fillId="0" borderId="0" xfId="4" applyFont="1" applyFill="1" applyAlignment="1" applyProtection="1">
      <alignment horizontal="left" vertical="top"/>
      <protection locked="0"/>
    </xf>
    <xf numFmtId="3" fontId="3" fillId="0" borderId="1" xfId="2" applyNumberFormat="1" applyFont="1" applyBorder="1" applyAlignment="1">
      <alignment horizontal="center" vertical="center"/>
    </xf>
    <xf numFmtId="0" fontId="13" fillId="0" borderId="0" xfId="0" applyFont="1" applyAlignment="1">
      <alignment horizontal="center" vertical="center"/>
    </xf>
    <xf numFmtId="3" fontId="3" fillId="0" borderId="1" xfId="2" applyNumberFormat="1" applyFont="1" applyBorder="1" applyAlignment="1">
      <alignment horizontal="center" vertical="center"/>
    </xf>
    <xf numFmtId="0" fontId="13" fillId="0" borderId="0" xfId="0" applyFont="1" applyAlignment="1">
      <alignment horizontal="center" vertical="center"/>
    </xf>
    <xf numFmtId="3" fontId="3" fillId="0" borderId="1" xfId="2" applyNumberFormat="1" applyFont="1" applyBorder="1" applyAlignment="1">
      <alignment horizontal="center" vertical="center"/>
    </xf>
    <xf numFmtId="0" fontId="26" fillId="0" borderId="0" xfId="0" applyFont="1"/>
    <xf numFmtId="3" fontId="15" fillId="3" borderId="4" xfId="2" applyNumberFormat="1" applyFont="1" applyFill="1" applyBorder="1" applyAlignment="1" applyProtection="1">
      <alignment horizontal="centerContinuous" vertical="center"/>
      <protection hidden="1"/>
    </xf>
    <xf numFmtId="3" fontId="3" fillId="3" borderId="5" xfId="2" applyNumberFormat="1" applyFont="1" applyFill="1" applyBorder="1" applyAlignment="1" applyProtection="1">
      <alignment horizontal="centerContinuous" vertical="center"/>
      <protection hidden="1"/>
    </xf>
    <xf numFmtId="3" fontId="15" fillId="3" borderId="5" xfId="2" applyNumberFormat="1" applyFont="1" applyFill="1" applyBorder="1" applyAlignment="1" applyProtection="1">
      <alignment horizontal="centerContinuous" vertical="center"/>
      <protection hidden="1"/>
    </xf>
    <xf numFmtId="3" fontId="6" fillId="3" borderId="4" xfId="2" applyNumberFormat="1" applyFont="1" applyFill="1" applyBorder="1" applyAlignment="1" applyProtection="1">
      <alignment horizontal="centerContinuous" vertical="center"/>
      <protection hidden="1"/>
    </xf>
    <xf numFmtId="3" fontId="6" fillId="3" borderId="1" xfId="2" applyNumberFormat="1" applyFont="1" applyFill="1" applyBorder="1" applyAlignment="1" applyProtection="1">
      <alignment horizontal="centerContinuous" vertical="center"/>
      <protection hidden="1"/>
    </xf>
    <xf numFmtId="1" fontId="3" fillId="5" borderId="7" xfId="2" applyNumberFormat="1" applyFont="1" applyFill="1" applyBorder="1" applyAlignment="1">
      <alignment horizontal="center" vertical="center"/>
    </xf>
    <xf numFmtId="0" fontId="0" fillId="0" borderId="0" xfId="0" applyFill="1"/>
    <xf numFmtId="1" fontId="12" fillId="0" borderId="0" xfId="0" applyNumberFormat="1" applyFont="1"/>
    <xf numFmtId="1" fontId="3" fillId="3" borderId="1" xfId="2" applyNumberFormat="1" applyFont="1" applyFill="1" applyBorder="1" applyAlignment="1">
      <alignment horizontal="centerContinuous" vertical="center"/>
    </xf>
    <xf numFmtId="1" fontId="0" fillId="0" borderId="0" xfId="0" applyNumberFormat="1"/>
    <xf numFmtId="3" fontId="3" fillId="0" borderId="1" xfId="2" applyNumberFormat="1" applyFont="1" applyBorder="1" applyAlignment="1">
      <alignment horizontal="center" vertical="center"/>
    </xf>
    <xf numFmtId="0" fontId="10" fillId="0" borderId="0" xfId="0" applyFont="1" applyAlignment="1">
      <alignment vertical="center"/>
    </xf>
    <xf numFmtId="0" fontId="24" fillId="0" borderId="0" xfId="3" applyFont="1" applyFill="1" applyAlignment="1" applyProtection="1">
      <alignment horizontal="left" vertical="top"/>
      <protection locked="0"/>
    </xf>
    <xf numFmtId="0" fontId="24" fillId="0" borderId="0" xfId="3" applyFont="1" applyFill="1" applyAlignment="1" applyProtection="1">
      <alignment horizontal="left" vertical="top"/>
      <protection locked="0"/>
    </xf>
    <xf numFmtId="0" fontId="3" fillId="0" borderId="1" xfId="2" applyNumberFormat="1" applyFont="1" applyBorder="1" applyAlignment="1">
      <alignment horizontal="center" vertical="center"/>
    </xf>
    <xf numFmtId="3" fontId="3" fillId="3" borderId="1" xfId="2" applyNumberFormat="1" applyFont="1" applyFill="1" applyBorder="1" applyAlignment="1">
      <alignment horizontal="center" vertical="center"/>
    </xf>
    <xf numFmtId="3" fontId="3" fillId="3" borderId="3" xfId="2" applyNumberFormat="1" applyFont="1" applyFill="1" applyBorder="1" applyAlignment="1">
      <alignment horizontal="center" vertical="center" textRotation="90"/>
    </xf>
    <xf numFmtId="3" fontId="3" fillId="3" borderId="6" xfId="2" applyNumberFormat="1" applyFont="1" applyFill="1" applyBorder="1" applyAlignment="1">
      <alignment horizontal="center" vertical="center" textRotation="90"/>
    </xf>
    <xf numFmtId="3" fontId="3" fillId="3" borderId="7" xfId="2" applyNumberFormat="1" applyFont="1" applyFill="1" applyBorder="1" applyAlignment="1">
      <alignment horizontal="center" vertical="center" textRotation="90"/>
    </xf>
    <xf numFmtId="3" fontId="10" fillId="2" borderId="0" xfId="1" applyNumberFormat="1" applyFont="1" applyFill="1" applyBorder="1" applyAlignment="1">
      <alignment horizontal="center" vertical="center" wrapText="1"/>
    </xf>
    <xf numFmtId="3" fontId="10" fillId="2" borderId="8" xfId="1" applyNumberFormat="1" applyFont="1" applyFill="1" applyBorder="1" applyAlignment="1">
      <alignment horizontal="center" vertical="center" wrapText="1"/>
    </xf>
    <xf numFmtId="0" fontId="13" fillId="0" borderId="0" xfId="0" applyFont="1" applyAlignment="1">
      <alignment horizontal="center" vertical="center" textRotation="90" wrapText="1"/>
    </xf>
    <xf numFmtId="0" fontId="10" fillId="0" borderId="0" xfId="0" applyFont="1" applyAlignment="1">
      <alignment horizontal="center" vertical="center" wrapText="1"/>
    </xf>
    <xf numFmtId="0" fontId="8" fillId="3" borderId="4" xfId="0" applyFont="1" applyFill="1" applyBorder="1" applyAlignment="1">
      <alignment horizontal="center" vertical="center"/>
    </xf>
    <xf numFmtId="0" fontId="8" fillId="3" borderId="5" xfId="0" applyFont="1" applyFill="1" applyBorder="1" applyAlignment="1">
      <alignment horizontal="center" vertical="center"/>
    </xf>
    <xf numFmtId="0" fontId="8" fillId="3" borderId="2" xfId="0" applyFont="1" applyFill="1" applyBorder="1" applyAlignment="1">
      <alignment horizontal="center" vertical="center"/>
    </xf>
    <xf numFmtId="3" fontId="15" fillId="3" borderId="3" xfId="2" applyNumberFormat="1" applyFont="1" applyFill="1" applyBorder="1" applyAlignment="1" applyProtection="1">
      <alignment horizontal="center" vertical="center" textRotation="90"/>
      <protection hidden="1"/>
    </xf>
    <xf numFmtId="3" fontId="15" fillId="3" borderId="6" xfId="2" applyNumberFormat="1" applyFont="1" applyFill="1" applyBorder="1" applyAlignment="1" applyProtection="1">
      <alignment horizontal="center" vertical="center" textRotation="90"/>
      <protection hidden="1"/>
    </xf>
    <xf numFmtId="3" fontId="15" fillId="3" borderId="7" xfId="2" applyNumberFormat="1" applyFont="1" applyFill="1" applyBorder="1" applyAlignment="1" applyProtection="1">
      <alignment horizontal="center" vertical="center" textRotation="90"/>
      <protection hidden="1"/>
    </xf>
    <xf numFmtId="0" fontId="5" fillId="2" borderId="0" xfId="1" applyFont="1" applyFill="1" applyBorder="1" applyAlignment="1" applyProtection="1">
      <alignment horizontal="center" vertical="center" wrapText="1"/>
      <protection hidden="1"/>
    </xf>
    <xf numFmtId="0" fontId="5" fillId="2" borderId="8" xfId="1" applyFont="1" applyFill="1" applyBorder="1" applyAlignment="1" applyProtection="1">
      <alignment horizontal="center" vertical="center" wrapText="1"/>
      <protection hidden="1"/>
    </xf>
    <xf numFmtId="0" fontId="5" fillId="0" borderId="0" xfId="0" applyFont="1" applyAlignment="1">
      <alignment horizontal="left" vertical="center"/>
    </xf>
    <xf numFmtId="0" fontId="8" fillId="0" borderId="0" xfId="0" applyFont="1" applyAlignment="1">
      <alignment horizontal="center" wrapText="1"/>
    </xf>
    <xf numFmtId="3" fontId="15" fillId="3" borderId="1" xfId="2" applyNumberFormat="1" applyFont="1" applyFill="1" applyBorder="1" applyAlignment="1" applyProtection="1">
      <alignment horizontal="center" vertical="center"/>
      <protection hidden="1"/>
    </xf>
    <xf numFmtId="0" fontId="8" fillId="0" borderId="0" xfId="0" applyFont="1" applyAlignment="1">
      <alignment horizontal="center"/>
    </xf>
    <xf numFmtId="1" fontId="3" fillId="3" borderId="4" xfId="2" applyNumberFormat="1" applyFont="1" applyFill="1" applyBorder="1" applyAlignment="1">
      <alignment horizontal="center" vertical="center"/>
    </xf>
    <xf numFmtId="1" fontId="3" fillId="3" borderId="5" xfId="2" applyNumberFormat="1" applyFont="1" applyFill="1" applyBorder="1" applyAlignment="1">
      <alignment horizontal="center" vertical="center"/>
    </xf>
    <xf numFmtId="1" fontId="3" fillId="3" borderId="2" xfId="2" applyNumberFormat="1" applyFont="1" applyFill="1" applyBorder="1" applyAlignment="1">
      <alignment horizontal="center" vertical="center"/>
    </xf>
    <xf numFmtId="3" fontId="3" fillId="3" borderId="4" xfId="2" applyNumberFormat="1" applyFont="1" applyFill="1" applyBorder="1" applyAlignment="1">
      <alignment horizontal="center" vertical="center"/>
    </xf>
    <xf numFmtId="3" fontId="3" fillId="3" borderId="5" xfId="2" applyNumberFormat="1" applyFont="1" applyFill="1" applyBorder="1" applyAlignment="1">
      <alignment horizontal="center" vertical="center"/>
    </xf>
    <xf numFmtId="3" fontId="3" fillId="3" borderId="2" xfId="2" applyNumberFormat="1" applyFont="1" applyFill="1" applyBorder="1" applyAlignment="1">
      <alignment horizontal="center" vertical="center"/>
    </xf>
    <xf numFmtId="0" fontId="13" fillId="0" borderId="0" xfId="0" applyFont="1" applyFill="1" applyAlignment="1">
      <alignment horizontal="center" vertical="center" textRotation="90" wrapText="1"/>
    </xf>
    <xf numFmtId="0" fontId="13" fillId="0" borderId="0" xfId="0" applyFont="1" applyFill="1" applyAlignment="1">
      <alignment horizontal="center" vertical="center" textRotation="90"/>
    </xf>
    <xf numFmtId="1" fontId="3" fillId="3" borderId="3" xfId="2" applyNumberFormat="1" applyFont="1" applyFill="1" applyBorder="1" applyAlignment="1">
      <alignment horizontal="center" vertical="center" textRotation="90"/>
    </xf>
    <xf numFmtId="1" fontId="3" fillId="3" borderId="6" xfId="2" applyNumberFormat="1" applyFont="1" applyFill="1" applyBorder="1" applyAlignment="1">
      <alignment horizontal="center" vertical="center" textRotation="90"/>
    </xf>
    <xf numFmtId="1" fontId="3" fillId="3" borderId="7" xfId="2" applyNumberFormat="1" applyFont="1" applyFill="1" applyBorder="1" applyAlignment="1">
      <alignment horizontal="center" vertical="center" textRotation="90"/>
    </xf>
    <xf numFmtId="0" fontId="13" fillId="9" borderId="0" xfId="0" applyFont="1" applyFill="1" applyAlignment="1">
      <alignment horizontal="center" vertical="center"/>
    </xf>
    <xf numFmtId="0" fontId="13" fillId="13" borderId="0" xfId="0" applyFont="1" applyFill="1" applyAlignment="1">
      <alignment horizontal="center" vertical="center"/>
    </xf>
    <xf numFmtId="3" fontId="3" fillId="0" borderId="4" xfId="2" applyNumberFormat="1" applyFont="1" applyBorder="1" applyAlignment="1">
      <alignment horizontal="center" vertical="center"/>
    </xf>
    <xf numFmtId="3" fontId="3" fillId="0" borderId="2" xfId="2" applyNumberFormat="1" applyFont="1" applyBorder="1" applyAlignment="1">
      <alignment horizontal="center" vertical="center"/>
    </xf>
    <xf numFmtId="3" fontId="3" fillId="6" borderId="9" xfId="2" applyNumberFormat="1" applyFont="1" applyFill="1" applyBorder="1" applyAlignment="1">
      <alignment horizontal="center" vertical="center"/>
    </xf>
    <xf numFmtId="3" fontId="3" fillId="6" borderId="10" xfId="2" applyNumberFormat="1" applyFont="1" applyFill="1" applyBorder="1" applyAlignment="1">
      <alignment horizontal="center" vertical="center"/>
    </xf>
    <xf numFmtId="3" fontId="3" fillId="6" borderId="4" xfId="2" applyNumberFormat="1" applyFont="1" applyFill="1" applyBorder="1" applyAlignment="1">
      <alignment horizontal="center" vertical="center"/>
    </xf>
    <xf numFmtId="3" fontId="3" fillId="6" borderId="2" xfId="2" applyNumberFormat="1" applyFont="1" applyFill="1" applyBorder="1" applyAlignment="1">
      <alignment horizontal="center" vertical="center"/>
    </xf>
    <xf numFmtId="0" fontId="13" fillId="10" borderId="0" xfId="0" applyFont="1" applyFill="1" applyAlignment="1">
      <alignment horizontal="center" vertical="center"/>
    </xf>
    <xf numFmtId="0" fontId="13" fillId="11" borderId="0" xfId="0" applyFont="1" applyFill="1" applyAlignment="1">
      <alignment horizontal="center" vertical="center"/>
    </xf>
    <xf numFmtId="0" fontId="13" fillId="12" borderId="0" xfId="0" applyFont="1" applyFill="1" applyAlignment="1">
      <alignment horizontal="center" vertical="center"/>
    </xf>
    <xf numFmtId="0" fontId="24" fillId="0" borderId="0" xfId="3" applyFont="1" applyFill="1" applyAlignment="1" applyProtection="1">
      <alignment horizontal="left" vertical="top"/>
      <protection locked="0"/>
    </xf>
  </cellXfs>
  <cellStyles count="5">
    <cellStyle name="Normal" xfId="0" builtinId="0"/>
    <cellStyle name="Normal 2" xfId="2"/>
    <cellStyle name="Normal_SFR04_Table12" xfId="4"/>
    <cellStyle name="Normal_tables02_Dave" xfId="3"/>
    <cellStyle name="Normal_Transition matrices" xfId="1"/>
  </cellStyles>
  <dxfs count="37">
    <dxf>
      <numFmt numFmtId="13" formatCode="0%"/>
    </dxf>
    <dxf>
      <numFmt numFmtId="13" formatCode="0%"/>
    </dxf>
    <dxf>
      <fill>
        <patternFill>
          <bgColor rgb="FFD4CEDE"/>
        </patternFill>
      </fill>
    </dxf>
    <dxf>
      <fill>
        <patternFill>
          <bgColor rgb="FFD4CEDE"/>
        </patternFill>
      </fill>
    </dxf>
    <dxf>
      <fill>
        <patternFill>
          <bgColor rgb="FFD4CEDE"/>
        </patternFill>
      </fill>
    </dxf>
    <dxf>
      <fill>
        <patternFill>
          <bgColor rgb="FFD4CEDE"/>
        </patternFill>
      </fill>
    </dxf>
    <dxf>
      <fill>
        <patternFill>
          <bgColor rgb="FF9FB9C8"/>
        </patternFill>
      </fill>
    </dxf>
    <dxf>
      <border>
        <left style="thin">
          <color auto="1"/>
        </left>
        <right style="thin">
          <color auto="1"/>
        </right>
        <top style="thin">
          <color auto="1"/>
        </top>
        <bottom style="thin">
          <color auto="1"/>
        </bottom>
        <vertical/>
        <horizontal/>
      </border>
    </dxf>
    <dxf>
      <border>
        <right style="thin">
          <color auto="1"/>
        </right>
        <vertical/>
        <horizontal/>
      </border>
    </dxf>
    <dxf>
      <fill>
        <patternFill>
          <bgColor rgb="FF9FB9C8"/>
        </patternFill>
      </fill>
    </dxf>
    <dxf>
      <border>
        <left style="thin">
          <color auto="1"/>
        </left>
        <right style="thin">
          <color auto="1"/>
        </right>
        <top style="thin">
          <color auto="1"/>
        </top>
        <bottom style="thin">
          <color auto="1"/>
        </bottom>
        <vertical/>
        <horizontal/>
      </border>
    </dxf>
    <dxf>
      <border>
        <right style="thin">
          <color auto="1"/>
        </right>
        <vertical/>
        <horizontal/>
      </border>
    </dxf>
    <dxf>
      <fill>
        <patternFill>
          <bgColor rgb="FF9FB9C8"/>
        </patternFill>
      </fill>
    </dxf>
    <dxf>
      <border>
        <left style="thin">
          <color auto="1"/>
        </left>
        <right style="thin">
          <color auto="1"/>
        </right>
        <top style="thin">
          <color auto="1"/>
        </top>
        <bottom style="thin">
          <color auto="1"/>
        </bottom>
        <vertical/>
        <horizontal/>
      </border>
    </dxf>
    <dxf>
      <border>
        <right style="thin">
          <color auto="1"/>
        </right>
        <vertical/>
        <horizontal/>
      </border>
    </dxf>
    <dxf>
      <fill>
        <patternFill>
          <bgColor rgb="FFD4CEDE"/>
        </patternFill>
      </fill>
    </dxf>
    <dxf>
      <fill>
        <patternFill>
          <bgColor rgb="FF9FB9C8"/>
        </patternFill>
      </fill>
    </dxf>
    <dxf>
      <border>
        <left style="thin">
          <color auto="1"/>
        </left>
        <right style="thin">
          <color auto="1"/>
        </right>
        <top style="thin">
          <color auto="1"/>
        </top>
        <bottom style="thin">
          <color auto="1"/>
        </bottom>
        <vertical/>
        <horizontal/>
      </border>
    </dxf>
    <dxf>
      <fill>
        <patternFill>
          <bgColor rgb="FF9FB9C8"/>
        </patternFill>
      </fill>
    </dxf>
    <dxf>
      <border>
        <left style="thin">
          <color auto="1"/>
        </left>
        <right style="thin">
          <color auto="1"/>
        </right>
        <top style="thin">
          <color auto="1"/>
        </top>
        <bottom style="thin">
          <color auto="1"/>
        </bottom>
        <vertical/>
        <horizontal/>
      </border>
    </dxf>
    <dxf>
      <fill>
        <patternFill>
          <bgColor rgb="FFD4CEDE"/>
        </patternFill>
      </fill>
    </dxf>
    <dxf>
      <fill>
        <patternFill>
          <bgColor rgb="FFD4CEDE"/>
        </patternFill>
      </fill>
    </dxf>
    <dxf>
      <border>
        <left style="thin">
          <color auto="1"/>
        </left>
        <right style="thin">
          <color auto="1"/>
        </right>
        <top style="thin">
          <color auto="1"/>
        </top>
        <bottom style="thin">
          <color auto="1"/>
        </bottom>
        <vertical/>
        <horizontal/>
      </border>
    </dxf>
    <dxf>
      <fill>
        <patternFill>
          <bgColor rgb="FFD4CEDE"/>
        </patternFill>
      </fill>
    </dxf>
    <dxf>
      <border>
        <left style="thin">
          <color auto="1"/>
        </left>
        <right style="thin">
          <color auto="1"/>
        </right>
        <top style="thin">
          <color auto="1"/>
        </top>
        <bottom style="thin">
          <color auto="1"/>
        </bottom>
        <vertical/>
        <horizontal/>
      </border>
    </dxf>
    <dxf>
      <fill>
        <patternFill>
          <bgColor rgb="FFD4CEDE"/>
        </patternFill>
      </fill>
    </dxf>
    <dxf>
      <fill>
        <patternFill>
          <bgColor rgb="FF9FB9C8"/>
        </patternFill>
      </fill>
    </dxf>
    <dxf>
      <border>
        <left style="thin">
          <color auto="1"/>
        </left>
        <right style="thin">
          <color auto="1"/>
        </right>
        <top style="thin">
          <color auto="1"/>
        </top>
        <bottom style="thin">
          <color auto="1"/>
        </bottom>
        <vertical/>
        <horizontal/>
      </border>
    </dxf>
    <dxf>
      <fill>
        <patternFill>
          <bgColor rgb="FFD4CEDE"/>
        </patternFill>
      </fill>
    </dxf>
    <dxf>
      <border>
        <left style="thin">
          <color auto="1"/>
        </left>
        <right style="thin">
          <color auto="1"/>
        </right>
        <top style="thin">
          <color auto="1"/>
        </top>
        <bottom style="thin">
          <color auto="1"/>
        </bottom>
      </border>
    </dxf>
    <dxf>
      <fill>
        <patternFill>
          <bgColor rgb="FFD4CEDE"/>
        </patternFill>
      </fill>
    </dxf>
    <dxf>
      <border>
        <right style="thin">
          <color auto="1"/>
        </right>
        <vertical/>
        <horizontal/>
      </border>
    </dxf>
    <dxf>
      <fill>
        <patternFill>
          <bgColor theme="0" tint="-0.14996795556505021"/>
        </patternFill>
      </fill>
      <border>
        <right style="thin">
          <color auto="1"/>
        </right>
        <top style="thin">
          <color auto="1"/>
        </top>
        <bottom style="thin">
          <color auto="1"/>
        </bottom>
        <vertical/>
        <horizontal/>
      </border>
    </dxf>
    <dxf>
      <border>
        <right style="thin">
          <color auto="1"/>
        </right>
        <vertical/>
        <horizontal/>
      </border>
    </dxf>
    <dxf>
      <border>
        <right style="thin">
          <color auto="1"/>
        </right>
      </border>
    </dxf>
    <dxf>
      <fill>
        <patternFill>
          <bgColor theme="0" tint="-0.14996795556505021"/>
        </patternFill>
      </fill>
      <border>
        <right style="thin">
          <color auto="1"/>
        </right>
        <top style="thin">
          <color auto="1"/>
        </top>
        <bottom style="thin">
          <color auto="1"/>
        </bottom>
        <vertical/>
        <horizontal/>
      </border>
    </dxf>
    <dxf>
      <fill>
        <patternFill>
          <bgColor theme="0" tint="-0.14996795556505021"/>
        </patternFill>
      </fill>
      <border>
        <right style="thin">
          <color auto="1"/>
        </right>
        <top style="thin">
          <color auto="1"/>
        </top>
        <bottom style="thin">
          <color auto="1"/>
        </bottom>
        <vertical/>
        <horizontal/>
      </border>
    </dxf>
  </dxfs>
  <tableStyles count="0" defaultTableStyle="TableStyleMedium2" defaultPivotStyle="PivotStyleLight16"/>
  <colors>
    <mruColors>
      <color rgb="FFCCECFF"/>
      <color rgb="FFCCFFCC"/>
      <color rgb="FFFF66FF"/>
      <color rgb="FF104F75"/>
      <color rgb="FFD4CEDE"/>
      <color rgb="FF132A52"/>
      <color rgb="FF316297"/>
      <color rgb="FF7B9BC0"/>
      <color rgb="FF8FC7E9"/>
      <color rgb="FFBFE2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ustomXml" Target="../customXml/item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activeX/activeX10.xml><?xml version="1.0" encoding="utf-8"?>
<ax:ocx xmlns:ax="http://schemas.microsoft.com/office/2006/activeX" xmlns:r="http://schemas.openxmlformats.org/officeDocument/2006/relationships" ax:classid="{8BD21D30-EC42-11CE-9E0D-00AA006002F3}" ax:persistence="persistStreamInit" r:id="rId1"/>
</file>

<file path=xl/activeX/activeX11.xml><?xml version="1.0" encoding="utf-8"?>
<ax:ocx xmlns:ax="http://schemas.microsoft.com/office/2006/activeX" xmlns:r="http://schemas.openxmlformats.org/officeDocument/2006/relationships" ax:classid="{8BD21D30-EC42-11CE-9E0D-00AA006002F3}" ax:persistence="persistStreamInit" r:id="rId1"/>
</file>

<file path=xl/activeX/activeX12.xml><?xml version="1.0" encoding="utf-8"?>
<ax:ocx xmlns:ax="http://schemas.microsoft.com/office/2006/activeX" xmlns:r="http://schemas.openxmlformats.org/officeDocument/2006/relationships" ax:classid="{8BD21D30-EC42-11CE-9E0D-00AA006002F3}" ax:persistence="persistStreamInit" r:id="rId1"/>
</file>

<file path=xl/activeX/activeX13.xml><?xml version="1.0" encoding="utf-8"?>
<ax:ocx xmlns:ax="http://schemas.microsoft.com/office/2006/activeX" xmlns:r="http://schemas.openxmlformats.org/officeDocument/2006/relationships" ax:classid="{8BD21D30-EC42-11CE-9E0D-00AA006002F3}" ax:persistence="persistStreamInit" r:id="rId1"/>
</file>

<file path=xl/activeX/activeX14.xml><?xml version="1.0" encoding="utf-8"?>
<ax:ocx xmlns:ax="http://schemas.microsoft.com/office/2006/activeX" xmlns:r="http://schemas.openxmlformats.org/officeDocument/2006/relationships" ax:classid="{8BD21D30-EC42-11CE-9E0D-00AA006002F3}" ax:persistence="persistStreamInit" r:id="rId1"/>
</file>

<file path=xl/activeX/activeX15.xml><?xml version="1.0" encoding="utf-8"?>
<ax:ocx xmlns:ax="http://schemas.microsoft.com/office/2006/activeX" xmlns:r="http://schemas.openxmlformats.org/officeDocument/2006/relationships" ax:classid="{8BD21D30-EC42-11CE-9E0D-00AA006002F3}" ax:persistence="persistStreamInit" r:id="rId1"/>
</file>

<file path=xl/activeX/activeX16.xml><?xml version="1.0" encoding="utf-8"?>
<ax:ocx xmlns:ax="http://schemas.microsoft.com/office/2006/activeX" xmlns:r="http://schemas.openxmlformats.org/officeDocument/2006/relationships" ax:classid="{8BD21D30-EC42-11CE-9E0D-00AA006002F3}" ax:persistence="persistStreamInit" r:id="rId1"/>
</file>

<file path=xl/activeX/activeX17.xml><?xml version="1.0" encoding="utf-8"?>
<ax:ocx xmlns:ax="http://schemas.microsoft.com/office/2006/activeX" xmlns:r="http://schemas.openxmlformats.org/officeDocument/2006/relationships" ax:classid="{8BD21D30-EC42-11CE-9E0D-00AA006002F3}" ax:persistence="persistStreamInit" r:id="rId1"/>
</file>

<file path=xl/activeX/activeX2.xml><?xml version="1.0" encoding="utf-8"?>
<ax:ocx xmlns:ax="http://schemas.microsoft.com/office/2006/activeX" xmlns:r="http://schemas.openxmlformats.org/officeDocument/2006/relationships" ax:classid="{8BD21D30-EC42-11CE-9E0D-00AA006002F3}" ax:persistence="persistStreamInit" r:id="rId1"/>
</file>

<file path=xl/activeX/activeX3.xml><?xml version="1.0" encoding="utf-8"?>
<ax:ocx xmlns:ax="http://schemas.microsoft.com/office/2006/activeX" xmlns:r="http://schemas.openxmlformats.org/officeDocument/2006/relationships" ax:classid="{8BD21D30-EC42-11CE-9E0D-00AA006002F3}" ax:persistence="persistStreamInit" r:id="rId1"/>
</file>

<file path=xl/activeX/activeX4.xml><?xml version="1.0" encoding="utf-8"?>
<ax:ocx xmlns:ax="http://schemas.microsoft.com/office/2006/activeX" xmlns:r="http://schemas.openxmlformats.org/officeDocument/2006/relationships" ax:classid="{8BD21D30-EC42-11CE-9E0D-00AA006002F3}" ax:persistence="persistStreamInit" r:id="rId1"/>
</file>

<file path=xl/activeX/activeX5.xml><?xml version="1.0" encoding="utf-8"?>
<ax:ocx xmlns:ax="http://schemas.microsoft.com/office/2006/activeX" xmlns:r="http://schemas.openxmlformats.org/officeDocument/2006/relationships" ax:classid="{8BD21D30-EC42-11CE-9E0D-00AA006002F3}" ax:persistence="persistStreamInit" r:id="rId1"/>
</file>

<file path=xl/activeX/activeX6.xml><?xml version="1.0" encoding="utf-8"?>
<ax:ocx xmlns:ax="http://schemas.microsoft.com/office/2006/activeX" xmlns:r="http://schemas.openxmlformats.org/officeDocument/2006/relationships" ax:classid="{8BD21D30-EC42-11CE-9E0D-00AA006002F3}" ax:persistence="persistStreamInit" r:id="rId1"/>
</file>

<file path=xl/activeX/activeX7.xml><?xml version="1.0" encoding="utf-8"?>
<ax:ocx xmlns:ax="http://schemas.microsoft.com/office/2006/activeX" xmlns:r="http://schemas.openxmlformats.org/officeDocument/2006/relationships" ax:classid="{8BD21D30-EC42-11CE-9E0D-00AA006002F3}" ax:persistence="persistStreamInit" r:id="rId1"/>
</file>

<file path=xl/activeX/activeX8.xml><?xml version="1.0" encoding="utf-8"?>
<ax:ocx xmlns:ax="http://schemas.microsoft.com/office/2006/activeX" xmlns:r="http://schemas.openxmlformats.org/officeDocument/2006/relationships" ax:classid="{8BD21D30-EC42-11CE-9E0D-00AA006002F3}" ax:persistence="persistStreamInit" r:id="rId1"/>
</file>

<file path=xl/activeX/activeX9.xml><?xml version="1.0" encoding="utf-8"?>
<ax:ocx xmlns:ax="http://schemas.microsoft.com/office/2006/activeX" xmlns:r="http://schemas.openxmlformats.org/officeDocument/2006/relationships" ax:classid="{8BD21D30-EC42-11CE-9E0D-00AA006002F3}" ax:persistence="persistStreamInit" r:id="rId1"/>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6057105376010369E-2"/>
          <c:y val="3.253354883464999E-2"/>
          <c:w val="0.94796048217394968"/>
          <c:h val="0.92582726581224406"/>
        </c:manualLayout>
      </c:layout>
      <c:bar3DChart>
        <c:barDir val="col"/>
        <c:grouping val="standard"/>
        <c:varyColors val="0"/>
        <c:ser>
          <c:idx val="0"/>
          <c:order val="0"/>
          <c:tx>
            <c:strRef>
              <c:f>Inputs!$F$6</c:f>
              <c:strCache>
                <c:ptCount val="1"/>
              </c:strCache>
            </c:strRef>
          </c:tx>
          <c:spPr>
            <a:solidFill>
              <a:srgbClr val="614876">
                <a:alpha val="80000"/>
              </a:srgbClr>
            </a:solidFill>
            <a:ln>
              <a:noFill/>
            </a:ln>
            <a:effectLst/>
            <a:sp3d/>
          </c:spPr>
          <c:invertIfNegative val="0"/>
          <c:cat>
            <c:strRef>
              <c:f>Inputs!$G$5:$P$5</c:f>
              <c:strCache>
                <c:ptCount val="10"/>
                <c:pt idx="0">
                  <c:v>U</c:v>
                </c:pt>
                <c:pt idx="1">
                  <c:v>1</c:v>
                </c:pt>
                <c:pt idx="2">
                  <c:v>2</c:v>
                </c:pt>
                <c:pt idx="3">
                  <c:v>3</c:v>
                </c:pt>
                <c:pt idx="4">
                  <c:v>4</c:v>
                </c:pt>
                <c:pt idx="5">
                  <c:v>5</c:v>
                </c:pt>
                <c:pt idx="6">
                  <c:v>6</c:v>
                </c:pt>
                <c:pt idx="7">
                  <c:v>7</c:v>
                </c:pt>
                <c:pt idx="8">
                  <c:v>8</c:v>
                </c:pt>
                <c:pt idx="9">
                  <c:v>9</c:v>
                </c:pt>
              </c:strCache>
            </c:strRef>
          </c:cat>
          <c:val>
            <c:numRef>
              <c:f>Inputs!$G$6:$P$6</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C64-4920-9EFF-19C1583903C2}"/>
            </c:ext>
          </c:extLst>
        </c:ser>
        <c:ser>
          <c:idx val="1"/>
          <c:order val="1"/>
          <c:tx>
            <c:strRef>
              <c:f>Inputs!$F$7</c:f>
              <c:strCache>
                <c:ptCount val="1"/>
              </c:strCache>
            </c:strRef>
          </c:tx>
          <c:spPr>
            <a:solidFill>
              <a:srgbClr val="775BA6">
                <a:alpha val="80000"/>
              </a:srgbClr>
            </a:solidFill>
            <a:ln>
              <a:noFill/>
            </a:ln>
            <a:effectLst/>
            <a:sp3d/>
          </c:spPr>
          <c:invertIfNegative val="0"/>
          <c:cat>
            <c:strRef>
              <c:f>Inputs!$G$5:$P$5</c:f>
              <c:strCache>
                <c:ptCount val="10"/>
                <c:pt idx="0">
                  <c:v>U</c:v>
                </c:pt>
                <c:pt idx="1">
                  <c:v>1</c:v>
                </c:pt>
                <c:pt idx="2">
                  <c:v>2</c:v>
                </c:pt>
                <c:pt idx="3">
                  <c:v>3</c:v>
                </c:pt>
                <c:pt idx="4">
                  <c:v>4</c:v>
                </c:pt>
                <c:pt idx="5">
                  <c:v>5</c:v>
                </c:pt>
                <c:pt idx="6">
                  <c:v>6</c:v>
                </c:pt>
                <c:pt idx="7">
                  <c:v>7</c:v>
                </c:pt>
                <c:pt idx="8">
                  <c:v>8</c:v>
                </c:pt>
                <c:pt idx="9">
                  <c:v>9</c:v>
                </c:pt>
              </c:strCache>
            </c:strRef>
          </c:cat>
          <c:val>
            <c:numRef>
              <c:f>Inputs!$G$7:$P$7</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6C64-4920-9EFF-19C1583903C2}"/>
            </c:ext>
          </c:extLst>
        </c:ser>
        <c:ser>
          <c:idx val="2"/>
          <c:order val="2"/>
          <c:tx>
            <c:strRef>
              <c:f>Inputs!$F$8</c:f>
              <c:strCache>
                <c:ptCount val="1"/>
              </c:strCache>
            </c:strRef>
          </c:tx>
          <c:spPr>
            <a:solidFill>
              <a:srgbClr val="C6B4D8">
                <a:alpha val="80000"/>
              </a:srgbClr>
            </a:solidFill>
            <a:ln>
              <a:noFill/>
            </a:ln>
            <a:effectLst/>
            <a:sp3d/>
          </c:spPr>
          <c:invertIfNegative val="0"/>
          <c:cat>
            <c:strRef>
              <c:f>Inputs!$G$5:$P$5</c:f>
              <c:strCache>
                <c:ptCount val="10"/>
                <c:pt idx="0">
                  <c:v>U</c:v>
                </c:pt>
                <c:pt idx="1">
                  <c:v>1</c:v>
                </c:pt>
                <c:pt idx="2">
                  <c:v>2</c:v>
                </c:pt>
                <c:pt idx="3">
                  <c:v>3</c:v>
                </c:pt>
                <c:pt idx="4">
                  <c:v>4</c:v>
                </c:pt>
                <c:pt idx="5">
                  <c:v>5</c:v>
                </c:pt>
                <c:pt idx="6">
                  <c:v>6</c:v>
                </c:pt>
                <c:pt idx="7">
                  <c:v>7</c:v>
                </c:pt>
                <c:pt idx="8">
                  <c:v>8</c:v>
                </c:pt>
                <c:pt idx="9">
                  <c:v>9</c:v>
                </c:pt>
              </c:strCache>
            </c:strRef>
          </c:cat>
          <c:val>
            <c:numRef>
              <c:f>Inputs!$G$8:$P$8</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6C64-4920-9EFF-19C1583903C2}"/>
            </c:ext>
          </c:extLst>
        </c:ser>
        <c:ser>
          <c:idx val="3"/>
          <c:order val="3"/>
          <c:tx>
            <c:strRef>
              <c:f>Inputs!$F$9</c:f>
              <c:strCache>
                <c:ptCount val="1"/>
              </c:strCache>
            </c:strRef>
          </c:tx>
          <c:spPr>
            <a:solidFill>
              <a:srgbClr val="BFE2EF">
                <a:alpha val="80000"/>
              </a:srgbClr>
            </a:solidFill>
            <a:ln>
              <a:noFill/>
            </a:ln>
            <a:effectLst/>
            <a:sp3d/>
          </c:spPr>
          <c:invertIfNegative val="0"/>
          <c:cat>
            <c:strRef>
              <c:f>Inputs!$G$5:$P$5</c:f>
              <c:strCache>
                <c:ptCount val="10"/>
                <c:pt idx="0">
                  <c:v>U</c:v>
                </c:pt>
                <c:pt idx="1">
                  <c:v>1</c:v>
                </c:pt>
                <c:pt idx="2">
                  <c:v>2</c:v>
                </c:pt>
                <c:pt idx="3">
                  <c:v>3</c:v>
                </c:pt>
                <c:pt idx="4">
                  <c:v>4</c:v>
                </c:pt>
                <c:pt idx="5">
                  <c:v>5</c:v>
                </c:pt>
                <c:pt idx="6">
                  <c:v>6</c:v>
                </c:pt>
                <c:pt idx="7">
                  <c:v>7</c:v>
                </c:pt>
                <c:pt idx="8">
                  <c:v>8</c:v>
                </c:pt>
                <c:pt idx="9">
                  <c:v>9</c:v>
                </c:pt>
              </c:strCache>
            </c:strRef>
          </c:cat>
          <c:val>
            <c:numRef>
              <c:f>Inputs!$G$9:$P$9</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6C64-4920-9EFF-19C1583903C2}"/>
            </c:ext>
          </c:extLst>
        </c:ser>
        <c:ser>
          <c:idx val="4"/>
          <c:order val="4"/>
          <c:tx>
            <c:strRef>
              <c:f>Inputs!$F$10</c:f>
              <c:strCache>
                <c:ptCount val="1"/>
              </c:strCache>
            </c:strRef>
          </c:tx>
          <c:spPr>
            <a:solidFill>
              <a:srgbClr val="8FC7E9">
                <a:alpha val="80000"/>
              </a:srgbClr>
            </a:solidFill>
            <a:ln>
              <a:noFill/>
            </a:ln>
            <a:effectLst/>
            <a:sp3d/>
          </c:spPr>
          <c:invertIfNegative val="0"/>
          <c:cat>
            <c:strRef>
              <c:f>Inputs!$G$5:$P$5</c:f>
              <c:strCache>
                <c:ptCount val="10"/>
                <c:pt idx="0">
                  <c:v>U</c:v>
                </c:pt>
                <c:pt idx="1">
                  <c:v>1</c:v>
                </c:pt>
                <c:pt idx="2">
                  <c:v>2</c:v>
                </c:pt>
                <c:pt idx="3">
                  <c:v>3</c:v>
                </c:pt>
                <c:pt idx="4">
                  <c:v>4</c:v>
                </c:pt>
                <c:pt idx="5">
                  <c:v>5</c:v>
                </c:pt>
                <c:pt idx="6">
                  <c:v>6</c:v>
                </c:pt>
                <c:pt idx="7">
                  <c:v>7</c:v>
                </c:pt>
                <c:pt idx="8">
                  <c:v>8</c:v>
                </c:pt>
                <c:pt idx="9">
                  <c:v>9</c:v>
                </c:pt>
              </c:strCache>
            </c:strRef>
          </c:cat>
          <c:val>
            <c:numRef>
              <c:f>Inputs!$G$10:$P$10</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4-6C64-4920-9EFF-19C1583903C2}"/>
            </c:ext>
          </c:extLst>
        </c:ser>
        <c:ser>
          <c:idx val="5"/>
          <c:order val="5"/>
          <c:tx>
            <c:strRef>
              <c:f>Inputs!$F$11</c:f>
              <c:strCache>
                <c:ptCount val="1"/>
              </c:strCache>
            </c:strRef>
          </c:tx>
          <c:spPr>
            <a:solidFill>
              <a:srgbClr val="00A1E1">
                <a:alpha val="80000"/>
              </a:srgbClr>
            </a:solidFill>
            <a:ln>
              <a:noFill/>
            </a:ln>
            <a:effectLst/>
            <a:sp3d/>
          </c:spPr>
          <c:invertIfNegative val="0"/>
          <c:cat>
            <c:strRef>
              <c:f>Inputs!$G$5:$P$5</c:f>
              <c:strCache>
                <c:ptCount val="10"/>
                <c:pt idx="0">
                  <c:v>U</c:v>
                </c:pt>
                <c:pt idx="1">
                  <c:v>1</c:v>
                </c:pt>
                <c:pt idx="2">
                  <c:v>2</c:v>
                </c:pt>
                <c:pt idx="3">
                  <c:v>3</c:v>
                </c:pt>
                <c:pt idx="4">
                  <c:v>4</c:v>
                </c:pt>
                <c:pt idx="5">
                  <c:v>5</c:v>
                </c:pt>
                <c:pt idx="6">
                  <c:v>6</c:v>
                </c:pt>
                <c:pt idx="7">
                  <c:v>7</c:v>
                </c:pt>
                <c:pt idx="8">
                  <c:v>8</c:v>
                </c:pt>
                <c:pt idx="9">
                  <c:v>9</c:v>
                </c:pt>
              </c:strCache>
            </c:strRef>
          </c:cat>
          <c:val>
            <c:numRef>
              <c:f>Inputs!$G$11:$P$11</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5-6C64-4920-9EFF-19C1583903C2}"/>
            </c:ext>
          </c:extLst>
        </c:ser>
        <c:ser>
          <c:idx val="6"/>
          <c:order val="6"/>
          <c:tx>
            <c:strRef>
              <c:f>Inputs!$F$12</c:f>
              <c:strCache>
                <c:ptCount val="1"/>
              </c:strCache>
            </c:strRef>
          </c:tx>
          <c:spPr>
            <a:solidFill>
              <a:srgbClr val="0076BE">
                <a:alpha val="80000"/>
              </a:srgbClr>
            </a:solidFill>
            <a:ln>
              <a:noFill/>
            </a:ln>
            <a:effectLst/>
            <a:sp3d/>
          </c:spPr>
          <c:invertIfNegative val="0"/>
          <c:cat>
            <c:strRef>
              <c:f>Inputs!$G$5:$P$5</c:f>
              <c:strCache>
                <c:ptCount val="10"/>
                <c:pt idx="0">
                  <c:v>U</c:v>
                </c:pt>
                <c:pt idx="1">
                  <c:v>1</c:v>
                </c:pt>
                <c:pt idx="2">
                  <c:v>2</c:v>
                </c:pt>
                <c:pt idx="3">
                  <c:v>3</c:v>
                </c:pt>
                <c:pt idx="4">
                  <c:v>4</c:v>
                </c:pt>
                <c:pt idx="5">
                  <c:v>5</c:v>
                </c:pt>
                <c:pt idx="6">
                  <c:v>6</c:v>
                </c:pt>
                <c:pt idx="7">
                  <c:v>7</c:v>
                </c:pt>
                <c:pt idx="8">
                  <c:v>8</c:v>
                </c:pt>
                <c:pt idx="9">
                  <c:v>9</c:v>
                </c:pt>
              </c:strCache>
            </c:strRef>
          </c:cat>
          <c:val>
            <c:numRef>
              <c:f>Inputs!$G$12:$P$12</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6-6C64-4920-9EFF-19C1583903C2}"/>
            </c:ext>
          </c:extLst>
        </c:ser>
        <c:ser>
          <c:idx val="7"/>
          <c:order val="7"/>
          <c:tx>
            <c:strRef>
              <c:f>Inputs!$F$13</c:f>
              <c:strCache>
                <c:ptCount val="1"/>
              </c:strCache>
            </c:strRef>
          </c:tx>
          <c:spPr>
            <a:solidFill>
              <a:srgbClr val="132A52">
                <a:alpha val="80000"/>
              </a:srgbClr>
            </a:solidFill>
            <a:ln>
              <a:noFill/>
            </a:ln>
            <a:effectLst/>
            <a:sp3d/>
          </c:spPr>
          <c:invertIfNegative val="0"/>
          <c:cat>
            <c:strRef>
              <c:f>Inputs!$G$5:$P$5</c:f>
              <c:strCache>
                <c:ptCount val="10"/>
                <c:pt idx="0">
                  <c:v>U</c:v>
                </c:pt>
                <c:pt idx="1">
                  <c:v>1</c:v>
                </c:pt>
                <c:pt idx="2">
                  <c:v>2</c:v>
                </c:pt>
                <c:pt idx="3">
                  <c:v>3</c:v>
                </c:pt>
                <c:pt idx="4">
                  <c:v>4</c:v>
                </c:pt>
                <c:pt idx="5">
                  <c:v>5</c:v>
                </c:pt>
                <c:pt idx="6">
                  <c:v>6</c:v>
                </c:pt>
                <c:pt idx="7">
                  <c:v>7</c:v>
                </c:pt>
                <c:pt idx="8">
                  <c:v>8</c:v>
                </c:pt>
                <c:pt idx="9">
                  <c:v>9</c:v>
                </c:pt>
              </c:strCache>
            </c:strRef>
          </c:cat>
          <c:val>
            <c:numRef>
              <c:f>Inputs!$G$13:$P$13</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7-6C64-4920-9EFF-19C1583903C2}"/>
            </c:ext>
          </c:extLst>
        </c:ser>
        <c:ser>
          <c:idx val="8"/>
          <c:order val="8"/>
          <c:tx>
            <c:strRef>
              <c:f>Inputs!$F$14</c:f>
              <c:strCache>
                <c:ptCount val="1"/>
              </c:strCache>
            </c:strRef>
          </c:tx>
          <c:spPr>
            <a:solidFill>
              <a:srgbClr val="316297">
                <a:alpha val="80000"/>
              </a:srgbClr>
            </a:solidFill>
            <a:ln>
              <a:noFill/>
            </a:ln>
            <a:effectLst/>
            <a:sp3d/>
          </c:spPr>
          <c:invertIfNegative val="0"/>
          <c:cat>
            <c:strRef>
              <c:f>Inputs!$G$5:$P$5</c:f>
              <c:strCache>
                <c:ptCount val="10"/>
                <c:pt idx="0">
                  <c:v>U</c:v>
                </c:pt>
                <c:pt idx="1">
                  <c:v>1</c:v>
                </c:pt>
                <c:pt idx="2">
                  <c:v>2</c:v>
                </c:pt>
                <c:pt idx="3">
                  <c:v>3</c:v>
                </c:pt>
                <c:pt idx="4">
                  <c:v>4</c:v>
                </c:pt>
                <c:pt idx="5">
                  <c:v>5</c:v>
                </c:pt>
                <c:pt idx="6">
                  <c:v>6</c:v>
                </c:pt>
                <c:pt idx="7">
                  <c:v>7</c:v>
                </c:pt>
                <c:pt idx="8">
                  <c:v>8</c:v>
                </c:pt>
                <c:pt idx="9">
                  <c:v>9</c:v>
                </c:pt>
              </c:strCache>
            </c:strRef>
          </c:cat>
          <c:val>
            <c:numRef>
              <c:f>Inputs!$G$14:$P$14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8-6C64-4920-9EFF-19C1583903C2}"/>
            </c:ext>
          </c:extLst>
        </c:ser>
        <c:ser>
          <c:idx val="9"/>
          <c:order val="9"/>
          <c:tx>
            <c:strRef>
              <c:f>Inputs!$F$15</c:f>
              <c:strCache>
                <c:ptCount val="1"/>
              </c:strCache>
            </c:strRef>
          </c:tx>
          <c:spPr>
            <a:solidFill>
              <a:srgbClr val="7B9BC0">
                <a:alpha val="80000"/>
              </a:srgbClr>
            </a:solidFill>
            <a:ln>
              <a:noFill/>
            </a:ln>
            <a:effectLst/>
            <a:sp3d/>
          </c:spPr>
          <c:invertIfNegative val="0"/>
          <c:cat>
            <c:strRef>
              <c:f>Inputs!$G$5:$P$5</c:f>
              <c:strCache>
                <c:ptCount val="10"/>
                <c:pt idx="0">
                  <c:v>U</c:v>
                </c:pt>
                <c:pt idx="1">
                  <c:v>1</c:v>
                </c:pt>
                <c:pt idx="2">
                  <c:v>2</c:v>
                </c:pt>
                <c:pt idx="3">
                  <c:v>3</c:v>
                </c:pt>
                <c:pt idx="4">
                  <c:v>4</c:v>
                </c:pt>
                <c:pt idx="5">
                  <c:v>5</c:v>
                </c:pt>
                <c:pt idx="6">
                  <c:v>6</c:v>
                </c:pt>
                <c:pt idx="7">
                  <c:v>7</c:v>
                </c:pt>
                <c:pt idx="8">
                  <c:v>8</c:v>
                </c:pt>
                <c:pt idx="9">
                  <c:v>9</c:v>
                </c:pt>
              </c:strCache>
            </c:strRef>
          </c:cat>
          <c:val>
            <c:numRef>
              <c:f>Inputs!$G$15:$P$15</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9-6C64-4920-9EFF-19C1583903C2}"/>
            </c:ext>
          </c:extLst>
        </c:ser>
        <c:ser>
          <c:idx val="10"/>
          <c:order val="10"/>
          <c:tx>
            <c:strRef>
              <c:f>Inputs!$F$16</c:f>
              <c:strCache>
                <c:ptCount val="1"/>
              </c:strCache>
            </c:strRef>
          </c:tx>
          <c:spPr>
            <a:solidFill>
              <a:srgbClr val="68CBDB">
                <a:alpha val="80000"/>
              </a:srgbClr>
            </a:solidFill>
            <a:ln>
              <a:noFill/>
            </a:ln>
            <a:effectLst/>
            <a:sp3d/>
          </c:spPr>
          <c:invertIfNegative val="0"/>
          <c:cat>
            <c:strRef>
              <c:f>Inputs!$G$5:$P$5</c:f>
              <c:strCache>
                <c:ptCount val="10"/>
                <c:pt idx="0">
                  <c:v>U</c:v>
                </c:pt>
                <c:pt idx="1">
                  <c:v>1</c:v>
                </c:pt>
                <c:pt idx="2">
                  <c:v>2</c:v>
                </c:pt>
                <c:pt idx="3">
                  <c:v>3</c:v>
                </c:pt>
                <c:pt idx="4">
                  <c:v>4</c:v>
                </c:pt>
                <c:pt idx="5">
                  <c:v>5</c:v>
                </c:pt>
                <c:pt idx="6">
                  <c:v>6</c:v>
                </c:pt>
                <c:pt idx="7">
                  <c:v>7</c:v>
                </c:pt>
                <c:pt idx="8">
                  <c:v>8</c:v>
                </c:pt>
                <c:pt idx="9">
                  <c:v>9</c:v>
                </c:pt>
              </c:strCache>
            </c:strRef>
          </c:cat>
          <c:val>
            <c:numRef>
              <c:f>Inputs!$G$16:$P$16</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A-6C64-4920-9EFF-19C1583903C2}"/>
            </c:ext>
          </c:extLst>
        </c:ser>
        <c:ser>
          <c:idx val="11"/>
          <c:order val="11"/>
          <c:tx>
            <c:strRef>
              <c:f>Inputs!$F$17</c:f>
              <c:strCache>
                <c:ptCount val="1"/>
              </c:strCache>
            </c:strRef>
          </c:tx>
          <c:spPr>
            <a:solidFill>
              <a:srgbClr val="AF96C7">
                <a:alpha val="80000"/>
              </a:srgbClr>
            </a:solidFill>
            <a:ln>
              <a:noFill/>
            </a:ln>
            <a:effectLst/>
            <a:sp3d/>
          </c:spPr>
          <c:invertIfNegative val="0"/>
          <c:cat>
            <c:strRef>
              <c:f>Inputs!$G$5:$P$5</c:f>
              <c:strCache>
                <c:ptCount val="10"/>
                <c:pt idx="0">
                  <c:v>U</c:v>
                </c:pt>
                <c:pt idx="1">
                  <c:v>1</c:v>
                </c:pt>
                <c:pt idx="2">
                  <c:v>2</c:v>
                </c:pt>
                <c:pt idx="3">
                  <c:v>3</c:v>
                </c:pt>
                <c:pt idx="4">
                  <c:v>4</c:v>
                </c:pt>
                <c:pt idx="5">
                  <c:v>5</c:v>
                </c:pt>
                <c:pt idx="6">
                  <c:v>6</c:v>
                </c:pt>
                <c:pt idx="7">
                  <c:v>7</c:v>
                </c:pt>
                <c:pt idx="8">
                  <c:v>8</c:v>
                </c:pt>
                <c:pt idx="9">
                  <c:v>9</c:v>
                </c:pt>
              </c:strCache>
            </c:strRef>
          </c:cat>
          <c:val>
            <c:numRef>
              <c:f>Inputs!$G$17:$P$17</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B-6C64-4920-9EFF-19C1583903C2}"/>
            </c:ext>
          </c:extLst>
        </c:ser>
        <c:dLbls>
          <c:showLegendKey val="0"/>
          <c:showVal val="0"/>
          <c:showCatName val="0"/>
          <c:showSerName val="0"/>
          <c:showPercent val="0"/>
          <c:showBubbleSize val="0"/>
        </c:dLbls>
        <c:gapWidth val="30"/>
        <c:gapDepth val="100"/>
        <c:shape val="box"/>
        <c:axId val="484810264"/>
        <c:axId val="484810920"/>
        <c:axId val="483170616"/>
      </c:bar3DChart>
      <c:catAx>
        <c:axId val="48481026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84810920"/>
        <c:crosses val="autoZero"/>
        <c:auto val="1"/>
        <c:lblAlgn val="ctr"/>
        <c:lblOffset val="100"/>
        <c:noMultiLvlLbl val="0"/>
      </c:catAx>
      <c:valAx>
        <c:axId val="4848109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84810264"/>
        <c:crosses val="autoZero"/>
        <c:crossBetween val="between"/>
      </c:valAx>
      <c:serAx>
        <c:axId val="483170616"/>
        <c:scaling>
          <c:orientation val="minMax"/>
        </c:scaling>
        <c:delete val="0"/>
        <c:axPos val="b"/>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84810920"/>
        <c:crosses val="autoZero"/>
      </c:ser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Inputs!$F$22</c:f>
              <c:strCache>
                <c:ptCount val="1"/>
                <c:pt idx="0">
                  <c:v>Female</c:v>
                </c:pt>
              </c:strCache>
            </c:strRef>
          </c:tx>
          <c:spPr>
            <a:solidFill>
              <a:srgbClr val="7B9BC0">
                <a:alpha val="80000"/>
              </a:srgbClr>
            </a:solidFill>
            <a:ln>
              <a:noFill/>
            </a:ln>
            <a:effectLst/>
            <a:sp3d/>
          </c:spPr>
          <c:invertIfNegative val="0"/>
          <c:cat>
            <c:strRef>
              <c:f>Inputs!$G$21:$P$21</c:f>
              <c:strCache>
                <c:ptCount val="10"/>
                <c:pt idx="0">
                  <c:v>U</c:v>
                </c:pt>
                <c:pt idx="1">
                  <c:v>1</c:v>
                </c:pt>
                <c:pt idx="2">
                  <c:v>2</c:v>
                </c:pt>
                <c:pt idx="3">
                  <c:v>3</c:v>
                </c:pt>
                <c:pt idx="4">
                  <c:v>4</c:v>
                </c:pt>
                <c:pt idx="5">
                  <c:v>5</c:v>
                </c:pt>
                <c:pt idx="6">
                  <c:v>6</c:v>
                </c:pt>
                <c:pt idx="7">
                  <c:v>7</c:v>
                </c:pt>
                <c:pt idx="8">
                  <c:v>8</c:v>
                </c:pt>
                <c:pt idx="9">
                  <c:v>9</c:v>
                </c:pt>
              </c:strCache>
            </c:strRef>
          </c:cat>
          <c:val>
            <c:numRef>
              <c:f>Inputs!$G$22:$P$22</c:f>
              <c:numCache>
                <c:formatCode>General</c:formatCode>
                <c:ptCount val="10"/>
                <c:pt idx="0">
                  <c:v>#N/A</c:v>
                </c:pt>
                <c:pt idx="1">
                  <c:v>#N/A</c:v>
                </c:pt>
                <c:pt idx="2">
                  <c:v>#N/A</c:v>
                </c:pt>
                <c:pt idx="3">
                  <c:v>#N/A</c:v>
                </c:pt>
                <c:pt idx="4">
                  <c:v>#N/A</c:v>
                </c:pt>
                <c:pt idx="5">
                  <c:v>#N/A</c:v>
                </c:pt>
                <c:pt idx="6">
                  <c:v>#N/A</c:v>
                </c:pt>
                <c:pt idx="7">
                  <c:v>#N/A</c:v>
                </c:pt>
                <c:pt idx="8">
                  <c:v>#N/A</c:v>
                </c:pt>
                <c:pt idx="9">
                  <c:v>#N/A</c:v>
                </c:pt>
              </c:numCache>
            </c:numRef>
          </c:val>
          <c:extLst>
            <c:ext xmlns:c16="http://schemas.microsoft.com/office/drawing/2014/chart" uri="{C3380CC4-5D6E-409C-BE32-E72D297353CC}">
              <c16:uniqueId val="{00000000-2E29-46D8-A485-F19F0D23D60E}"/>
            </c:ext>
          </c:extLst>
        </c:ser>
        <c:ser>
          <c:idx val="1"/>
          <c:order val="1"/>
          <c:tx>
            <c:strRef>
              <c:f>Inputs!$F$23</c:f>
              <c:strCache>
                <c:ptCount val="1"/>
                <c:pt idx="0">
                  <c:v>Male</c:v>
                </c:pt>
              </c:strCache>
            </c:strRef>
          </c:tx>
          <c:spPr>
            <a:solidFill>
              <a:srgbClr val="132A52">
                <a:alpha val="80000"/>
              </a:srgbClr>
            </a:solidFill>
            <a:ln>
              <a:noFill/>
            </a:ln>
            <a:effectLst/>
            <a:sp3d/>
          </c:spPr>
          <c:invertIfNegative val="0"/>
          <c:cat>
            <c:strRef>
              <c:f>Inputs!$G$21:$P$21</c:f>
              <c:strCache>
                <c:ptCount val="10"/>
                <c:pt idx="0">
                  <c:v>U</c:v>
                </c:pt>
                <c:pt idx="1">
                  <c:v>1</c:v>
                </c:pt>
                <c:pt idx="2">
                  <c:v>2</c:v>
                </c:pt>
                <c:pt idx="3">
                  <c:v>3</c:v>
                </c:pt>
                <c:pt idx="4">
                  <c:v>4</c:v>
                </c:pt>
                <c:pt idx="5">
                  <c:v>5</c:v>
                </c:pt>
                <c:pt idx="6">
                  <c:v>6</c:v>
                </c:pt>
                <c:pt idx="7">
                  <c:v>7</c:v>
                </c:pt>
                <c:pt idx="8">
                  <c:v>8</c:v>
                </c:pt>
                <c:pt idx="9">
                  <c:v>9</c:v>
                </c:pt>
              </c:strCache>
            </c:strRef>
          </c:cat>
          <c:val>
            <c:numRef>
              <c:f>Inputs!$G$23:$P$23</c:f>
              <c:numCache>
                <c:formatCode>General</c:formatCode>
                <c:ptCount val="10"/>
                <c:pt idx="0">
                  <c:v>#N/A</c:v>
                </c:pt>
                <c:pt idx="1">
                  <c:v>#N/A</c:v>
                </c:pt>
                <c:pt idx="2">
                  <c:v>#N/A</c:v>
                </c:pt>
                <c:pt idx="3">
                  <c:v>#N/A</c:v>
                </c:pt>
                <c:pt idx="4">
                  <c:v>#N/A</c:v>
                </c:pt>
                <c:pt idx="5">
                  <c:v>#N/A</c:v>
                </c:pt>
                <c:pt idx="6">
                  <c:v>#N/A</c:v>
                </c:pt>
                <c:pt idx="7">
                  <c:v>#N/A</c:v>
                </c:pt>
                <c:pt idx="8">
                  <c:v>#N/A</c:v>
                </c:pt>
                <c:pt idx="9">
                  <c:v>#N/A</c:v>
                </c:pt>
              </c:numCache>
            </c:numRef>
          </c:val>
          <c:extLst>
            <c:ext xmlns:c16="http://schemas.microsoft.com/office/drawing/2014/chart" uri="{C3380CC4-5D6E-409C-BE32-E72D297353CC}">
              <c16:uniqueId val="{00000001-2E29-46D8-A485-F19F0D23D60E}"/>
            </c:ext>
          </c:extLst>
        </c:ser>
        <c:dLbls>
          <c:showLegendKey val="0"/>
          <c:showVal val="0"/>
          <c:showCatName val="0"/>
          <c:showSerName val="0"/>
          <c:showPercent val="0"/>
          <c:showBubbleSize val="0"/>
        </c:dLbls>
        <c:gapWidth val="80"/>
        <c:shape val="box"/>
        <c:axId val="623978168"/>
        <c:axId val="633740664"/>
        <c:axId val="0"/>
      </c:bar3DChart>
      <c:catAx>
        <c:axId val="62397816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33740664"/>
        <c:crosses val="autoZero"/>
        <c:auto val="1"/>
        <c:lblAlgn val="ctr"/>
        <c:lblOffset val="100"/>
        <c:noMultiLvlLbl val="0"/>
      </c:catAx>
      <c:valAx>
        <c:axId val="6337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6239781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6057105376010369E-2"/>
          <c:y val="3.253354883464999E-2"/>
          <c:w val="0.94796048217394968"/>
          <c:h val="0.92582726581224406"/>
        </c:manualLayout>
      </c:layout>
      <c:bar3DChart>
        <c:barDir val="col"/>
        <c:grouping val="standard"/>
        <c:varyColors val="0"/>
        <c:ser>
          <c:idx val="1"/>
          <c:order val="0"/>
          <c:tx>
            <c:strRef>
              <c:f>InputsCS!$F$7</c:f>
              <c:strCache>
                <c:ptCount val="1"/>
              </c:strCache>
            </c:strRef>
          </c:tx>
          <c:spPr>
            <a:solidFill>
              <a:srgbClr val="775BA6">
                <a:alpha val="80000"/>
              </a:srgbClr>
            </a:solidFill>
            <a:ln>
              <a:noFill/>
            </a:ln>
            <a:effectLst/>
            <a:sp3d/>
          </c:spPr>
          <c:invertIfNegative val="0"/>
          <c:cat>
            <c:strRef>
              <c:extLst>
                <c:ext xmlns:c15="http://schemas.microsoft.com/office/drawing/2012/chart" uri="{02D57815-91ED-43cb-92C2-25804820EDAC}">
                  <c15:fullRef>
                    <c15:sqref>InputsCS!$G$5:$Y$5</c15:sqref>
                  </c15:fullRef>
                </c:ext>
              </c:extLst>
              <c:f>InputsCS!$G$5:$X$5</c:f>
              <c:strCache>
                <c:ptCount val="18"/>
                <c:pt idx="0">
                  <c:v>U</c:v>
                </c:pt>
                <c:pt idx="1">
                  <c:v>11</c:v>
                </c:pt>
                <c:pt idx="2">
                  <c:v>21</c:v>
                </c:pt>
                <c:pt idx="3">
                  <c:v>22</c:v>
                </c:pt>
                <c:pt idx="4">
                  <c:v>32</c:v>
                </c:pt>
                <c:pt idx="5">
                  <c:v>33</c:v>
                </c:pt>
                <c:pt idx="6">
                  <c:v>43</c:v>
                </c:pt>
                <c:pt idx="7">
                  <c:v>44</c:v>
                </c:pt>
                <c:pt idx="8">
                  <c:v>54</c:v>
                </c:pt>
                <c:pt idx="9">
                  <c:v>55</c:v>
                </c:pt>
                <c:pt idx="10">
                  <c:v>65</c:v>
                </c:pt>
                <c:pt idx="11">
                  <c:v>66</c:v>
                </c:pt>
                <c:pt idx="12">
                  <c:v>76</c:v>
                </c:pt>
                <c:pt idx="13">
                  <c:v>77</c:v>
                </c:pt>
                <c:pt idx="14">
                  <c:v>87</c:v>
                </c:pt>
                <c:pt idx="15">
                  <c:v>88</c:v>
                </c:pt>
                <c:pt idx="16">
                  <c:v>98</c:v>
                </c:pt>
                <c:pt idx="17">
                  <c:v>99</c:v>
                </c:pt>
              </c:strCache>
            </c:strRef>
          </c:cat>
          <c:val>
            <c:numRef>
              <c:extLst>
                <c:ext xmlns:c15="http://schemas.microsoft.com/office/drawing/2012/chart" uri="{02D57815-91ED-43cb-92C2-25804820EDAC}">
                  <c15:fullRef>
                    <c15:sqref>InputsCS!$G$7:$Y$7</c15:sqref>
                  </c15:fullRef>
                </c:ext>
              </c:extLst>
              <c:f>InputsCS!$G$7:$X$7</c:f>
              <c:numCache>
                <c:formatCode>General</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1-61B7-4206-96ED-84E84F8609BA}"/>
            </c:ext>
          </c:extLst>
        </c:ser>
        <c:ser>
          <c:idx val="2"/>
          <c:order val="1"/>
          <c:tx>
            <c:strRef>
              <c:f>InputsCS!$F$8</c:f>
              <c:strCache>
                <c:ptCount val="1"/>
              </c:strCache>
            </c:strRef>
          </c:tx>
          <c:spPr>
            <a:solidFill>
              <a:srgbClr val="C6B4D8">
                <a:alpha val="80000"/>
              </a:srgbClr>
            </a:solidFill>
            <a:ln>
              <a:noFill/>
            </a:ln>
            <a:effectLst/>
            <a:sp3d/>
          </c:spPr>
          <c:invertIfNegative val="0"/>
          <c:cat>
            <c:strRef>
              <c:extLst>
                <c:ext xmlns:c15="http://schemas.microsoft.com/office/drawing/2012/chart" uri="{02D57815-91ED-43cb-92C2-25804820EDAC}">
                  <c15:fullRef>
                    <c15:sqref>InputsCS!$G$5:$Y$5</c15:sqref>
                  </c15:fullRef>
                </c:ext>
              </c:extLst>
              <c:f>InputsCS!$G$5:$X$5</c:f>
              <c:strCache>
                <c:ptCount val="18"/>
                <c:pt idx="0">
                  <c:v>U</c:v>
                </c:pt>
                <c:pt idx="1">
                  <c:v>11</c:v>
                </c:pt>
                <c:pt idx="2">
                  <c:v>21</c:v>
                </c:pt>
                <c:pt idx="3">
                  <c:v>22</c:v>
                </c:pt>
                <c:pt idx="4">
                  <c:v>32</c:v>
                </c:pt>
                <c:pt idx="5">
                  <c:v>33</c:v>
                </c:pt>
                <c:pt idx="6">
                  <c:v>43</c:v>
                </c:pt>
                <c:pt idx="7">
                  <c:v>44</c:v>
                </c:pt>
                <c:pt idx="8">
                  <c:v>54</c:v>
                </c:pt>
                <c:pt idx="9">
                  <c:v>55</c:v>
                </c:pt>
                <c:pt idx="10">
                  <c:v>65</c:v>
                </c:pt>
                <c:pt idx="11">
                  <c:v>66</c:v>
                </c:pt>
                <c:pt idx="12">
                  <c:v>76</c:v>
                </c:pt>
                <c:pt idx="13">
                  <c:v>77</c:v>
                </c:pt>
                <c:pt idx="14">
                  <c:v>87</c:v>
                </c:pt>
                <c:pt idx="15">
                  <c:v>88</c:v>
                </c:pt>
                <c:pt idx="16">
                  <c:v>98</c:v>
                </c:pt>
                <c:pt idx="17">
                  <c:v>99</c:v>
                </c:pt>
              </c:strCache>
            </c:strRef>
          </c:cat>
          <c:val>
            <c:numRef>
              <c:extLst>
                <c:ext xmlns:c15="http://schemas.microsoft.com/office/drawing/2012/chart" uri="{02D57815-91ED-43cb-92C2-25804820EDAC}">
                  <c15:fullRef>
                    <c15:sqref>InputsCS!$G$8:$Y$8</c15:sqref>
                  </c15:fullRef>
                </c:ext>
              </c:extLst>
              <c:f>InputsCS!$G$8:$X$8</c:f>
              <c:numCache>
                <c:formatCode>General</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2-61B7-4206-96ED-84E84F8609BA}"/>
            </c:ext>
          </c:extLst>
        </c:ser>
        <c:ser>
          <c:idx val="3"/>
          <c:order val="2"/>
          <c:tx>
            <c:strRef>
              <c:f>InputsCS!$F$9</c:f>
              <c:strCache>
                <c:ptCount val="1"/>
              </c:strCache>
            </c:strRef>
          </c:tx>
          <c:spPr>
            <a:solidFill>
              <a:srgbClr val="BFE2EF">
                <a:alpha val="80000"/>
              </a:srgbClr>
            </a:solidFill>
            <a:ln>
              <a:noFill/>
            </a:ln>
            <a:effectLst/>
            <a:sp3d/>
          </c:spPr>
          <c:invertIfNegative val="0"/>
          <c:cat>
            <c:strRef>
              <c:extLst>
                <c:ext xmlns:c15="http://schemas.microsoft.com/office/drawing/2012/chart" uri="{02D57815-91ED-43cb-92C2-25804820EDAC}">
                  <c15:fullRef>
                    <c15:sqref>InputsCS!$G$5:$Y$5</c15:sqref>
                  </c15:fullRef>
                </c:ext>
              </c:extLst>
              <c:f>InputsCS!$G$5:$X$5</c:f>
              <c:strCache>
                <c:ptCount val="18"/>
                <c:pt idx="0">
                  <c:v>U</c:v>
                </c:pt>
                <c:pt idx="1">
                  <c:v>11</c:v>
                </c:pt>
                <c:pt idx="2">
                  <c:v>21</c:v>
                </c:pt>
                <c:pt idx="3">
                  <c:v>22</c:v>
                </c:pt>
                <c:pt idx="4">
                  <c:v>32</c:v>
                </c:pt>
                <c:pt idx="5">
                  <c:v>33</c:v>
                </c:pt>
                <c:pt idx="6">
                  <c:v>43</c:v>
                </c:pt>
                <c:pt idx="7">
                  <c:v>44</c:v>
                </c:pt>
                <c:pt idx="8">
                  <c:v>54</c:v>
                </c:pt>
                <c:pt idx="9">
                  <c:v>55</c:v>
                </c:pt>
                <c:pt idx="10">
                  <c:v>65</c:v>
                </c:pt>
                <c:pt idx="11">
                  <c:v>66</c:v>
                </c:pt>
                <c:pt idx="12">
                  <c:v>76</c:v>
                </c:pt>
                <c:pt idx="13">
                  <c:v>77</c:v>
                </c:pt>
                <c:pt idx="14">
                  <c:v>87</c:v>
                </c:pt>
                <c:pt idx="15">
                  <c:v>88</c:v>
                </c:pt>
                <c:pt idx="16">
                  <c:v>98</c:v>
                </c:pt>
                <c:pt idx="17">
                  <c:v>99</c:v>
                </c:pt>
              </c:strCache>
            </c:strRef>
          </c:cat>
          <c:val>
            <c:numRef>
              <c:extLst>
                <c:ext xmlns:c15="http://schemas.microsoft.com/office/drawing/2012/chart" uri="{02D57815-91ED-43cb-92C2-25804820EDAC}">
                  <c15:fullRef>
                    <c15:sqref>InputsCS!$G$9:$Y$9</c15:sqref>
                  </c15:fullRef>
                </c:ext>
              </c:extLst>
              <c:f>InputsCS!$G$9:$X$9</c:f>
              <c:numCache>
                <c:formatCode>General</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3-61B7-4206-96ED-84E84F8609BA}"/>
            </c:ext>
          </c:extLst>
        </c:ser>
        <c:ser>
          <c:idx val="4"/>
          <c:order val="3"/>
          <c:tx>
            <c:strRef>
              <c:f>InputsCS!$F$10</c:f>
              <c:strCache>
                <c:ptCount val="1"/>
              </c:strCache>
            </c:strRef>
          </c:tx>
          <c:spPr>
            <a:solidFill>
              <a:srgbClr val="8FC7E9">
                <a:alpha val="80000"/>
              </a:srgbClr>
            </a:solidFill>
            <a:ln>
              <a:noFill/>
            </a:ln>
            <a:effectLst/>
            <a:sp3d/>
          </c:spPr>
          <c:invertIfNegative val="0"/>
          <c:cat>
            <c:strRef>
              <c:extLst>
                <c:ext xmlns:c15="http://schemas.microsoft.com/office/drawing/2012/chart" uri="{02D57815-91ED-43cb-92C2-25804820EDAC}">
                  <c15:fullRef>
                    <c15:sqref>InputsCS!$G$5:$Y$5</c15:sqref>
                  </c15:fullRef>
                </c:ext>
              </c:extLst>
              <c:f>InputsCS!$G$5:$X$5</c:f>
              <c:strCache>
                <c:ptCount val="18"/>
                <c:pt idx="0">
                  <c:v>U</c:v>
                </c:pt>
                <c:pt idx="1">
                  <c:v>11</c:v>
                </c:pt>
                <c:pt idx="2">
                  <c:v>21</c:v>
                </c:pt>
                <c:pt idx="3">
                  <c:v>22</c:v>
                </c:pt>
                <c:pt idx="4">
                  <c:v>32</c:v>
                </c:pt>
                <c:pt idx="5">
                  <c:v>33</c:v>
                </c:pt>
                <c:pt idx="6">
                  <c:v>43</c:v>
                </c:pt>
                <c:pt idx="7">
                  <c:v>44</c:v>
                </c:pt>
                <c:pt idx="8">
                  <c:v>54</c:v>
                </c:pt>
                <c:pt idx="9">
                  <c:v>55</c:v>
                </c:pt>
                <c:pt idx="10">
                  <c:v>65</c:v>
                </c:pt>
                <c:pt idx="11">
                  <c:v>66</c:v>
                </c:pt>
                <c:pt idx="12">
                  <c:v>76</c:v>
                </c:pt>
                <c:pt idx="13">
                  <c:v>77</c:v>
                </c:pt>
                <c:pt idx="14">
                  <c:v>87</c:v>
                </c:pt>
                <c:pt idx="15">
                  <c:v>88</c:v>
                </c:pt>
                <c:pt idx="16">
                  <c:v>98</c:v>
                </c:pt>
                <c:pt idx="17">
                  <c:v>99</c:v>
                </c:pt>
              </c:strCache>
            </c:strRef>
          </c:cat>
          <c:val>
            <c:numRef>
              <c:extLst>
                <c:ext xmlns:c15="http://schemas.microsoft.com/office/drawing/2012/chart" uri="{02D57815-91ED-43cb-92C2-25804820EDAC}">
                  <c15:fullRef>
                    <c15:sqref>InputsCS!$G$10:$Y$10</c15:sqref>
                  </c15:fullRef>
                </c:ext>
              </c:extLst>
              <c:f>InputsCS!$G$10:$X$10</c:f>
              <c:numCache>
                <c:formatCode>General</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4-61B7-4206-96ED-84E84F8609BA}"/>
            </c:ext>
          </c:extLst>
        </c:ser>
        <c:ser>
          <c:idx val="5"/>
          <c:order val="4"/>
          <c:tx>
            <c:strRef>
              <c:f>InputsCS!$F$11</c:f>
              <c:strCache>
                <c:ptCount val="1"/>
              </c:strCache>
            </c:strRef>
          </c:tx>
          <c:spPr>
            <a:solidFill>
              <a:srgbClr val="00A1E1">
                <a:alpha val="80000"/>
              </a:srgbClr>
            </a:solidFill>
            <a:ln>
              <a:noFill/>
            </a:ln>
            <a:effectLst/>
            <a:sp3d/>
          </c:spPr>
          <c:invertIfNegative val="0"/>
          <c:cat>
            <c:strRef>
              <c:extLst>
                <c:ext xmlns:c15="http://schemas.microsoft.com/office/drawing/2012/chart" uri="{02D57815-91ED-43cb-92C2-25804820EDAC}">
                  <c15:fullRef>
                    <c15:sqref>InputsCS!$G$5:$Y$5</c15:sqref>
                  </c15:fullRef>
                </c:ext>
              </c:extLst>
              <c:f>InputsCS!$G$5:$X$5</c:f>
              <c:strCache>
                <c:ptCount val="18"/>
                <c:pt idx="0">
                  <c:v>U</c:v>
                </c:pt>
                <c:pt idx="1">
                  <c:v>11</c:v>
                </c:pt>
                <c:pt idx="2">
                  <c:v>21</c:v>
                </c:pt>
                <c:pt idx="3">
                  <c:v>22</c:v>
                </c:pt>
                <c:pt idx="4">
                  <c:v>32</c:v>
                </c:pt>
                <c:pt idx="5">
                  <c:v>33</c:v>
                </c:pt>
                <c:pt idx="6">
                  <c:v>43</c:v>
                </c:pt>
                <c:pt idx="7">
                  <c:v>44</c:v>
                </c:pt>
                <c:pt idx="8">
                  <c:v>54</c:v>
                </c:pt>
                <c:pt idx="9">
                  <c:v>55</c:v>
                </c:pt>
                <c:pt idx="10">
                  <c:v>65</c:v>
                </c:pt>
                <c:pt idx="11">
                  <c:v>66</c:v>
                </c:pt>
                <c:pt idx="12">
                  <c:v>76</c:v>
                </c:pt>
                <c:pt idx="13">
                  <c:v>77</c:v>
                </c:pt>
                <c:pt idx="14">
                  <c:v>87</c:v>
                </c:pt>
                <c:pt idx="15">
                  <c:v>88</c:v>
                </c:pt>
                <c:pt idx="16">
                  <c:v>98</c:v>
                </c:pt>
                <c:pt idx="17">
                  <c:v>99</c:v>
                </c:pt>
              </c:strCache>
            </c:strRef>
          </c:cat>
          <c:val>
            <c:numRef>
              <c:extLst>
                <c:ext xmlns:c15="http://schemas.microsoft.com/office/drawing/2012/chart" uri="{02D57815-91ED-43cb-92C2-25804820EDAC}">
                  <c15:fullRef>
                    <c15:sqref>InputsCS!$G$11:$Y$11</c15:sqref>
                  </c15:fullRef>
                </c:ext>
              </c:extLst>
              <c:f>InputsCS!$G$11:$X$11</c:f>
              <c:numCache>
                <c:formatCode>General</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5-61B7-4206-96ED-84E84F8609BA}"/>
            </c:ext>
          </c:extLst>
        </c:ser>
        <c:ser>
          <c:idx val="6"/>
          <c:order val="5"/>
          <c:tx>
            <c:strRef>
              <c:f>InputsCS!$F$12</c:f>
              <c:strCache>
                <c:ptCount val="1"/>
              </c:strCache>
            </c:strRef>
          </c:tx>
          <c:spPr>
            <a:solidFill>
              <a:srgbClr val="0076BE">
                <a:alpha val="80000"/>
              </a:srgbClr>
            </a:solidFill>
            <a:ln>
              <a:noFill/>
            </a:ln>
            <a:effectLst/>
            <a:sp3d/>
          </c:spPr>
          <c:invertIfNegative val="0"/>
          <c:cat>
            <c:strRef>
              <c:extLst>
                <c:ext xmlns:c15="http://schemas.microsoft.com/office/drawing/2012/chart" uri="{02D57815-91ED-43cb-92C2-25804820EDAC}">
                  <c15:fullRef>
                    <c15:sqref>InputsCS!$G$5:$Y$5</c15:sqref>
                  </c15:fullRef>
                </c:ext>
              </c:extLst>
              <c:f>InputsCS!$G$5:$X$5</c:f>
              <c:strCache>
                <c:ptCount val="18"/>
                <c:pt idx="0">
                  <c:v>U</c:v>
                </c:pt>
                <c:pt idx="1">
                  <c:v>11</c:v>
                </c:pt>
                <c:pt idx="2">
                  <c:v>21</c:v>
                </c:pt>
                <c:pt idx="3">
                  <c:v>22</c:v>
                </c:pt>
                <c:pt idx="4">
                  <c:v>32</c:v>
                </c:pt>
                <c:pt idx="5">
                  <c:v>33</c:v>
                </c:pt>
                <c:pt idx="6">
                  <c:v>43</c:v>
                </c:pt>
                <c:pt idx="7">
                  <c:v>44</c:v>
                </c:pt>
                <c:pt idx="8">
                  <c:v>54</c:v>
                </c:pt>
                <c:pt idx="9">
                  <c:v>55</c:v>
                </c:pt>
                <c:pt idx="10">
                  <c:v>65</c:v>
                </c:pt>
                <c:pt idx="11">
                  <c:v>66</c:v>
                </c:pt>
                <c:pt idx="12">
                  <c:v>76</c:v>
                </c:pt>
                <c:pt idx="13">
                  <c:v>77</c:v>
                </c:pt>
                <c:pt idx="14">
                  <c:v>87</c:v>
                </c:pt>
                <c:pt idx="15">
                  <c:v>88</c:v>
                </c:pt>
                <c:pt idx="16">
                  <c:v>98</c:v>
                </c:pt>
                <c:pt idx="17">
                  <c:v>99</c:v>
                </c:pt>
              </c:strCache>
            </c:strRef>
          </c:cat>
          <c:val>
            <c:numRef>
              <c:extLst>
                <c:ext xmlns:c15="http://schemas.microsoft.com/office/drawing/2012/chart" uri="{02D57815-91ED-43cb-92C2-25804820EDAC}">
                  <c15:fullRef>
                    <c15:sqref>InputsCS!$G$12:$Y$12</c15:sqref>
                  </c15:fullRef>
                </c:ext>
              </c:extLst>
              <c:f>InputsCS!$G$12:$X$12</c:f>
              <c:numCache>
                <c:formatCode>General</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6-61B7-4206-96ED-84E84F8609BA}"/>
            </c:ext>
          </c:extLst>
        </c:ser>
        <c:ser>
          <c:idx val="7"/>
          <c:order val="6"/>
          <c:tx>
            <c:strRef>
              <c:f>InputsCS!$F$13</c:f>
              <c:strCache>
                <c:ptCount val="1"/>
              </c:strCache>
            </c:strRef>
          </c:tx>
          <c:spPr>
            <a:solidFill>
              <a:srgbClr val="132A52">
                <a:alpha val="80000"/>
              </a:srgbClr>
            </a:solidFill>
            <a:ln>
              <a:noFill/>
            </a:ln>
            <a:effectLst/>
            <a:sp3d/>
          </c:spPr>
          <c:invertIfNegative val="0"/>
          <c:cat>
            <c:strRef>
              <c:extLst>
                <c:ext xmlns:c15="http://schemas.microsoft.com/office/drawing/2012/chart" uri="{02D57815-91ED-43cb-92C2-25804820EDAC}">
                  <c15:fullRef>
                    <c15:sqref>InputsCS!$G$5:$Y$5</c15:sqref>
                  </c15:fullRef>
                </c:ext>
              </c:extLst>
              <c:f>InputsCS!$G$5:$X$5</c:f>
              <c:strCache>
                <c:ptCount val="18"/>
                <c:pt idx="0">
                  <c:v>U</c:v>
                </c:pt>
                <c:pt idx="1">
                  <c:v>11</c:v>
                </c:pt>
                <c:pt idx="2">
                  <c:v>21</c:v>
                </c:pt>
                <c:pt idx="3">
                  <c:v>22</c:v>
                </c:pt>
                <c:pt idx="4">
                  <c:v>32</c:v>
                </c:pt>
                <c:pt idx="5">
                  <c:v>33</c:v>
                </c:pt>
                <c:pt idx="6">
                  <c:v>43</c:v>
                </c:pt>
                <c:pt idx="7">
                  <c:v>44</c:v>
                </c:pt>
                <c:pt idx="8">
                  <c:v>54</c:v>
                </c:pt>
                <c:pt idx="9">
                  <c:v>55</c:v>
                </c:pt>
                <c:pt idx="10">
                  <c:v>65</c:v>
                </c:pt>
                <c:pt idx="11">
                  <c:v>66</c:v>
                </c:pt>
                <c:pt idx="12">
                  <c:v>76</c:v>
                </c:pt>
                <c:pt idx="13">
                  <c:v>77</c:v>
                </c:pt>
                <c:pt idx="14">
                  <c:v>87</c:v>
                </c:pt>
                <c:pt idx="15">
                  <c:v>88</c:v>
                </c:pt>
                <c:pt idx="16">
                  <c:v>98</c:v>
                </c:pt>
                <c:pt idx="17">
                  <c:v>99</c:v>
                </c:pt>
              </c:strCache>
            </c:strRef>
          </c:cat>
          <c:val>
            <c:numRef>
              <c:extLst>
                <c:ext xmlns:c15="http://schemas.microsoft.com/office/drawing/2012/chart" uri="{02D57815-91ED-43cb-92C2-25804820EDAC}">
                  <c15:fullRef>
                    <c15:sqref>InputsCS!$G$13:$Y$13</c15:sqref>
                  </c15:fullRef>
                </c:ext>
              </c:extLst>
              <c:f>InputsCS!$G$13:$X$13</c:f>
              <c:numCache>
                <c:formatCode>General</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7-61B7-4206-96ED-84E84F8609BA}"/>
            </c:ext>
          </c:extLst>
        </c:ser>
        <c:ser>
          <c:idx val="8"/>
          <c:order val="7"/>
          <c:tx>
            <c:strRef>
              <c:f>InputsCS!$F$14</c:f>
              <c:strCache>
                <c:ptCount val="1"/>
              </c:strCache>
            </c:strRef>
          </c:tx>
          <c:spPr>
            <a:solidFill>
              <a:srgbClr val="316297">
                <a:alpha val="80000"/>
              </a:srgbClr>
            </a:solidFill>
            <a:ln>
              <a:noFill/>
            </a:ln>
            <a:effectLst/>
            <a:sp3d/>
          </c:spPr>
          <c:invertIfNegative val="0"/>
          <c:cat>
            <c:strRef>
              <c:extLst>
                <c:ext xmlns:c15="http://schemas.microsoft.com/office/drawing/2012/chart" uri="{02D57815-91ED-43cb-92C2-25804820EDAC}">
                  <c15:fullRef>
                    <c15:sqref>InputsCS!$G$5:$Y$5</c15:sqref>
                  </c15:fullRef>
                </c:ext>
              </c:extLst>
              <c:f>InputsCS!$G$5:$X$5</c:f>
              <c:strCache>
                <c:ptCount val="18"/>
                <c:pt idx="0">
                  <c:v>U</c:v>
                </c:pt>
                <c:pt idx="1">
                  <c:v>11</c:v>
                </c:pt>
                <c:pt idx="2">
                  <c:v>21</c:v>
                </c:pt>
                <c:pt idx="3">
                  <c:v>22</c:v>
                </c:pt>
                <c:pt idx="4">
                  <c:v>32</c:v>
                </c:pt>
                <c:pt idx="5">
                  <c:v>33</c:v>
                </c:pt>
                <c:pt idx="6">
                  <c:v>43</c:v>
                </c:pt>
                <c:pt idx="7">
                  <c:v>44</c:v>
                </c:pt>
                <c:pt idx="8">
                  <c:v>54</c:v>
                </c:pt>
                <c:pt idx="9">
                  <c:v>55</c:v>
                </c:pt>
                <c:pt idx="10">
                  <c:v>65</c:v>
                </c:pt>
                <c:pt idx="11">
                  <c:v>66</c:v>
                </c:pt>
                <c:pt idx="12">
                  <c:v>76</c:v>
                </c:pt>
                <c:pt idx="13">
                  <c:v>77</c:v>
                </c:pt>
                <c:pt idx="14">
                  <c:v>87</c:v>
                </c:pt>
                <c:pt idx="15">
                  <c:v>88</c:v>
                </c:pt>
                <c:pt idx="16">
                  <c:v>98</c:v>
                </c:pt>
                <c:pt idx="17">
                  <c:v>99</c:v>
                </c:pt>
              </c:strCache>
            </c:strRef>
          </c:cat>
          <c:val>
            <c:numRef>
              <c:extLst>
                <c:ext xmlns:c15="http://schemas.microsoft.com/office/drawing/2012/chart" uri="{02D57815-91ED-43cb-92C2-25804820EDAC}">
                  <c15:fullRef>
                    <c15:sqref>InputsCS!$G$14:$Y$14</c15:sqref>
                  </c15:fullRef>
                </c:ext>
              </c:extLst>
              <c:f>InputsCS!$G$14:$X$14</c:f>
              <c:numCache>
                <c:formatCode>General</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8-61B7-4206-96ED-84E84F8609BA}"/>
            </c:ext>
          </c:extLst>
        </c:ser>
        <c:ser>
          <c:idx val="9"/>
          <c:order val="8"/>
          <c:tx>
            <c:strRef>
              <c:f>InputsCS!$F$15</c:f>
              <c:strCache>
                <c:ptCount val="1"/>
              </c:strCache>
            </c:strRef>
          </c:tx>
          <c:spPr>
            <a:solidFill>
              <a:srgbClr val="7B9BC0">
                <a:alpha val="80000"/>
              </a:srgbClr>
            </a:solidFill>
            <a:ln>
              <a:noFill/>
            </a:ln>
            <a:effectLst/>
            <a:sp3d/>
          </c:spPr>
          <c:invertIfNegative val="0"/>
          <c:cat>
            <c:strRef>
              <c:extLst>
                <c:ext xmlns:c15="http://schemas.microsoft.com/office/drawing/2012/chart" uri="{02D57815-91ED-43cb-92C2-25804820EDAC}">
                  <c15:fullRef>
                    <c15:sqref>InputsCS!$G$5:$Y$5</c15:sqref>
                  </c15:fullRef>
                </c:ext>
              </c:extLst>
              <c:f>InputsCS!$G$5:$X$5</c:f>
              <c:strCache>
                <c:ptCount val="18"/>
                <c:pt idx="0">
                  <c:v>U</c:v>
                </c:pt>
                <c:pt idx="1">
                  <c:v>11</c:v>
                </c:pt>
                <c:pt idx="2">
                  <c:v>21</c:v>
                </c:pt>
                <c:pt idx="3">
                  <c:v>22</c:v>
                </c:pt>
                <c:pt idx="4">
                  <c:v>32</c:v>
                </c:pt>
                <c:pt idx="5">
                  <c:v>33</c:v>
                </c:pt>
                <c:pt idx="6">
                  <c:v>43</c:v>
                </c:pt>
                <c:pt idx="7">
                  <c:v>44</c:v>
                </c:pt>
                <c:pt idx="8">
                  <c:v>54</c:v>
                </c:pt>
                <c:pt idx="9">
                  <c:v>55</c:v>
                </c:pt>
                <c:pt idx="10">
                  <c:v>65</c:v>
                </c:pt>
                <c:pt idx="11">
                  <c:v>66</c:v>
                </c:pt>
                <c:pt idx="12">
                  <c:v>76</c:v>
                </c:pt>
                <c:pt idx="13">
                  <c:v>77</c:v>
                </c:pt>
                <c:pt idx="14">
                  <c:v>87</c:v>
                </c:pt>
                <c:pt idx="15">
                  <c:v>88</c:v>
                </c:pt>
                <c:pt idx="16">
                  <c:v>98</c:v>
                </c:pt>
                <c:pt idx="17">
                  <c:v>99</c:v>
                </c:pt>
              </c:strCache>
            </c:strRef>
          </c:cat>
          <c:val>
            <c:numRef>
              <c:extLst>
                <c:ext xmlns:c15="http://schemas.microsoft.com/office/drawing/2012/chart" uri="{02D57815-91ED-43cb-92C2-25804820EDAC}">
                  <c15:fullRef>
                    <c15:sqref>InputsCS!$G$15:$Y$15</c15:sqref>
                  </c15:fullRef>
                </c:ext>
              </c:extLst>
              <c:f>InputsCS!$G$15:$X$15</c:f>
              <c:numCache>
                <c:formatCode>General</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9-61B7-4206-96ED-84E84F8609BA}"/>
            </c:ext>
          </c:extLst>
        </c:ser>
        <c:ser>
          <c:idx val="10"/>
          <c:order val="9"/>
          <c:tx>
            <c:strRef>
              <c:f>InputsCS!$F$16</c:f>
              <c:strCache>
                <c:ptCount val="1"/>
              </c:strCache>
            </c:strRef>
          </c:tx>
          <c:spPr>
            <a:solidFill>
              <a:srgbClr val="68CBDB">
                <a:alpha val="80000"/>
              </a:srgbClr>
            </a:solidFill>
            <a:ln>
              <a:noFill/>
            </a:ln>
            <a:effectLst/>
            <a:sp3d/>
          </c:spPr>
          <c:invertIfNegative val="0"/>
          <c:cat>
            <c:strRef>
              <c:extLst>
                <c:ext xmlns:c15="http://schemas.microsoft.com/office/drawing/2012/chart" uri="{02D57815-91ED-43cb-92C2-25804820EDAC}">
                  <c15:fullRef>
                    <c15:sqref>InputsCS!$G$5:$Y$5</c15:sqref>
                  </c15:fullRef>
                </c:ext>
              </c:extLst>
              <c:f>InputsCS!$G$5:$X$5</c:f>
              <c:strCache>
                <c:ptCount val="18"/>
                <c:pt idx="0">
                  <c:v>U</c:v>
                </c:pt>
                <c:pt idx="1">
                  <c:v>11</c:v>
                </c:pt>
                <c:pt idx="2">
                  <c:v>21</c:v>
                </c:pt>
                <c:pt idx="3">
                  <c:v>22</c:v>
                </c:pt>
                <c:pt idx="4">
                  <c:v>32</c:v>
                </c:pt>
                <c:pt idx="5">
                  <c:v>33</c:v>
                </c:pt>
                <c:pt idx="6">
                  <c:v>43</c:v>
                </c:pt>
                <c:pt idx="7">
                  <c:v>44</c:v>
                </c:pt>
                <c:pt idx="8">
                  <c:v>54</c:v>
                </c:pt>
                <c:pt idx="9">
                  <c:v>55</c:v>
                </c:pt>
                <c:pt idx="10">
                  <c:v>65</c:v>
                </c:pt>
                <c:pt idx="11">
                  <c:v>66</c:v>
                </c:pt>
                <c:pt idx="12">
                  <c:v>76</c:v>
                </c:pt>
                <c:pt idx="13">
                  <c:v>77</c:v>
                </c:pt>
                <c:pt idx="14">
                  <c:v>87</c:v>
                </c:pt>
                <c:pt idx="15">
                  <c:v>88</c:v>
                </c:pt>
                <c:pt idx="16">
                  <c:v>98</c:v>
                </c:pt>
                <c:pt idx="17">
                  <c:v>99</c:v>
                </c:pt>
              </c:strCache>
            </c:strRef>
          </c:cat>
          <c:val>
            <c:numRef>
              <c:extLst>
                <c:ext xmlns:c15="http://schemas.microsoft.com/office/drawing/2012/chart" uri="{02D57815-91ED-43cb-92C2-25804820EDAC}">
                  <c15:fullRef>
                    <c15:sqref>InputsCS!$G$16:$Y$16</c15:sqref>
                  </c15:fullRef>
                </c:ext>
              </c:extLst>
              <c:f>InputsCS!$G$16:$X$16</c:f>
              <c:numCache>
                <c:formatCode>General</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A-61B7-4206-96ED-84E84F8609BA}"/>
            </c:ext>
          </c:extLst>
        </c:ser>
        <c:ser>
          <c:idx val="11"/>
          <c:order val="10"/>
          <c:tx>
            <c:strRef>
              <c:f>InputsCS!$F$17</c:f>
              <c:strCache>
                <c:ptCount val="1"/>
              </c:strCache>
            </c:strRef>
          </c:tx>
          <c:spPr>
            <a:solidFill>
              <a:srgbClr val="AF96C7">
                <a:alpha val="80000"/>
              </a:srgbClr>
            </a:solidFill>
            <a:ln>
              <a:noFill/>
            </a:ln>
            <a:effectLst/>
            <a:sp3d/>
          </c:spPr>
          <c:invertIfNegative val="0"/>
          <c:cat>
            <c:strRef>
              <c:extLst>
                <c:ext xmlns:c15="http://schemas.microsoft.com/office/drawing/2012/chart" uri="{02D57815-91ED-43cb-92C2-25804820EDAC}">
                  <c15:fullRef>
                    <c15:sqref>InputsCS!$G$5:$Y$5</c15:sqref>
                  </c15:fullRef>
                </c:ext>
              </c:extLst>
              <c:f>InputsCS!$G$5:$X$5</c:f>
              <c:strCache>
                <c:ptCount val="18"/>
                <c:pt idx="0">
                  <c:v>U</c:v>
                </c:pt>
                <c:pt idx="1">
                  <c:v>11</c:v>
                </c:pt>
                <c:pt idx="2">
                  <c:v>21</c:v>
                </c:pt>
                <c:pt idx="3">
                  <c:v>22</c:v>
                </c:pt>
                <c:pt idx="4">
                  <c:v>32</c:v>
                </c:pt>
                <c:pt idx="5">
                  <c:v>33</c:v>
                </c:pt>
                <c:pt idx="6">
                  <c:v>43</c:v>
                </c:pt>
                <c:pt idx="7">
                  <c:v>44</c:v>
                </c:pt>
                <c:pt idx="8">
                  <c:v>54</c:v>
                </c:pt>
                <c:pt idx="9">
                  <c:v>55</c:v>
                </c:pt>
                <c:pt idx="10">
                  <c:v>65</c:v>
                </c:pt>
                <c:pt idx="11">
                  <c:v>66</c:v>
                </c:pt>
                <c:pt idx="12">
                  <c:v>76</c:v>
                </c:pt>
                <c:pt idx="13">
                  <c:v>77</c:v>
                </c:pt>
                <c:pt idx="14">
                  <c:v>87</c:v>
                </c:pt>
                <c:pt idx="15">
                  <c:v>88</c:v>
                </c:pt>
                <c:pt idx="16">
                  <c:v>98</c:v>
                </c:pt>
                <c:pt idx="17">
                  <c:v>99</c:v>
                </c:pt>
              </c:strCache>
            </c:strRef>
          </c:cat>
          <c:val>
            <c:numRef>
              <c:extLst>
                <c:ext xmlns:c15="http://schemas.microsoft.com/office/drawing/2012/chart" uri="{02D57815-91ED-43cb-92C2-25804820EDAC}">
                  <c15:fullRef>
                    <c15:sqref>InputsCS!$G$17:$Y$17</c15:sqref>
                  </c15:fullRef>
                </c:ext>
              </c:extLst>
              <c:f>InputsCS!$G$17:$X$17</c:f>
              <c:numCache>
                <c:formatCode>General</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B-61B7-4206-96ED-84E84F8609BA}"/>
            </c:ext>
          </c:extLst>
        </c:ser>
        <c:dLbls>
          <c:showLegendKey val="0"/>
          <c:showVal val="0"/>
          <c:showCatName val="0"/>
          <c:showSerName val="0"/>
          <c:showPercent val="0"/>
          <c:showBubbleSize val="0"/>
        </c:dLbls>
        <c:gapWidth val="30"/>
        <c:gapDepth val="100"/>
        <c:shape val="box"/>
        <c:axId val="484810264"/>
        <c:axId val="484810920"/>
        <c:axId val="483170616"/>
      </c:bar3DChart>
      <c:catAx>
        <c:axId val="48481026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84810920"/>
        <c:crosses val="autoZero"/>
        <c:auto val="1"/>
        <c:lblAlgn val="ctr"/>
        <c:lblOffset val="100"/>
        <c:noMultiLvlLbl val="0"/>
      </c:catAx>
      <c:valAx>
        <c:axId val="4848109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84810264"/>
        <c:crosses val="autoZero"/>
        <c:crossBetween val="between"/>
      </c:valAx>
      <c:serAx>
        <c:axId val="483170616"/>
        <c:scaling>
          <c:orientation val="minMax"/>
        </c:scaling>
        <c:delete val="0"/>
        <c:axPos val="b"/>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84810920"/>
        <c:crosses val="autoZero"/>
      </c:ser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1"/>
          <c:order val="0"/>
          <c:tx>
            <c:strRef>
              <c:f>InputsCS!$F$23</c:f>
              <c:strCache>
                <c:ptCount val="1"/>
                <c:pt idx="0">
                  <c:v>Male</c:v>
                </c:pt>
              </c:strCache>
            </c:strRef>
          </c:tx>
          <c:spPr>
            <a:solidFill>
              <a:srgbClr val="132A52">
                <a:alpha val="80000"/>
              </a:srgbClr>
            </a:solidFill>
            <a:ln>
              <a:noFill/>
            </a:ln>
            <a:effectLst/>
            <a:sp3d/>
          </c:spPr>
          <c:invertIfNegative val="0"/>
          <c:cat>
            <c:strRef>
              <c:extLst>
                <c:ext xmlns:c15="http://schemas.microsoft.com/office/drawing/2012/chart" uri="{02D57815-91ED-43cb-92C2-25804820EDAC}">
                  <c15:fullRef>
                    <c15:sqref>InputsCS!$G$21:$Y$21</c15:sqref>
                  </c15:fullRef>
                </c:ext>
              </c:extLst>
              <c:f>InputsCS!$G$21:$X$21</c:f>
              <c:strCache>
                <c:ptCount val="18"/>
                <c:pt idx="0">
                  <c:v>U</c:v>
                </c:pt>
                <c:pt idx="1">
                  <c:v>11</c:v>
                </c:pt>
                <c:pt idx="2">
                  <c:v>21</c:v>
                </c:pt>
                <c:pt idx="3">
                  <c:v>22</c:v>
                </c:pt>
                <c:pt idx="4">
                  <c:v>32</c:v>
                </c:pt>
                <c:pt idx="5">
                  <c:v>33</c:v>
                </c:pt>
                <c:pt idx="6">
                  <c:v>43</c:v>
                </c:pt>
                <c:pt idx="7">
                  <c:v>44</c:v>
                </c:pt>
                <c:pt idx="8">
                  <c:v>54</c:v>
                </c:pt>
                <c:pt idx="9">
                  <c:v>55</c:v>
                </c:pt>
                <c:pt idx="10">
                  <c:v>65</c:v>
                </c:pt>
                <c:pt idx="11">
                  <c:v>66</c:v>
                </c:pt>
                <c:pt idx="12">
                  <c:v>76</c:v>
                </c:pt>
                <c:pt idx="13">
                  <c:v>77</c:v>
                </c:pt>
                <c:pt idx="14">
                  <c:v>87</c:v>
                </c:pt>
                <c:pt idx="15">
                  <c:v>88</c:v>
                </c:pt>
                <c:pt idx="16">
                  <c:v>98</c:v>
                </c:pt>
                <c:pt idx="17">
                  <c:v>99</c:v>
                </c:pt>
              </c:strCache>
            </c:strRef>
          </c:cat>
          <c:val>
            <c:numRef>
              <c:extLst>
                <c:ext xmlns:c15="http://schemas.microsoft.com/office/drawing/2012/chart" uri="{02D57815-91ED-43cb-92C2-25804820EDAC}">
                  <c15:fullRef>
                    <c15:sqref>InputsCS!$G$23:$Y$23</c15:sqref>
                  </c15:fullRef>
                </c:ext>
              </c:extLst>
              <c:f>InputsCS!$G$23:$X$23</c:f>
              <c:numCache>
                <c:formatCode>General</c:formatCode>
                <c:ptCount val="18"/>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numCache>
            </c:numRef>
          </c:val>
          <c:extLst>
            <c:ext xmlns:c16="http://schemas.microsoft.com/office/drawing/2014/chart" uri="{C3380CC4-5D6E-409C-BE32-E72D297353CC}">
              <c16:uniqueId val="{00000001-2D71-40AD-BCA8-4265D30EFFBC}"/>
            </c:ext>
          </c:extLst>
        </c:ser>
        <c:dLbls>
          <c:showLegendKey val="0"/>
          <c:showVal val="0"/>
          <c:showCatName val="0"/>
          <c:showSerName val="0"/>
          <c:showPercent val="0"/>
          <c:showBubbleSize val="0"/>
        </c:dLbls>
        <c:gapWidth val="150"/>
        <c:shape val="box"/>
        <c:axId val="623978168"/>
        <c:axId val="633740664"/>
        <c:axId val="0"/>
      </c:bar3DChart>
      <c:catAx>
        <c:axId val="62397816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33740664"/>
        <c:crosses val="autoZero"/>
        <c:auto val="1"/>
        <c:lblAlgn val="ctr"/>
        <c:lblOffset val="100"/>
        <c:noMultiLvlLbl val="0"/>
      </c:catAx>
      <c:valAx>
        <c:axId val="6337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6239781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1973905054681"/>
          <c:y val="3.9114983321697307E-2"/>
          <c:w val="0.87932795651431361"/>
          <c:h val="0.81472635947560312"/>
        </c:manualLayout>
      </c:layout>
      <c:bar3DChart>
        <c:barDir val="col"/>
        <c:grouping val="clustered"/>
        <c:varyColors val="0"/>
        <c:ser>
          <c:idx val="0"/>
          <c:order val="0"/>
          <c:tx>
            <c:strRef>
              <c:f>Inputs!$G$32</c:f>
              <c:strCache>
                <c:ptCount val="1"/>
                <c:pt idx="0">
                  <c:v>Achieved</c:v>
                </c:pt>
              </c:strCache>
            </c:strRef>
          </c:tx>
          <c:spPr>
            <a:solidFill>
              <a:srgbClr val="132A52">
                <a:alpha val="80000"/>
              </a:srgbClr>
            </a:solidFill>
            <a:ln>
              <a:noFill/>
            </a:ln>
            <a:effectLst/>
            <a:sp3d/>
          </c:spPr>
          <c:invertIfNegative val="0"/>
          <c:cat>
            <c:strRef>
              <c:f>Inputs!$F$33:$F$44</c:f>
              <c:strCache>
                <c:ptCount val="12"/>
                <c:pt idx="0">
                  <c:v>W</c:v>
                </c:pt>
                <c:pt idx="1">
                  <c:v>1</c:v>
                </c:pt>
                <c:pt idx="2">
                  <c:v>2</c:v>
                </c:pt>
                <c:pt idx="3">
                  <c:v>3c</c:v>
                </c:pt>
                <c:pt idx="4">
                  <c:v>3b</c:v>
                </c:pt>
                <c:pt idx="5">
                  <c:v>3a</c:v>
                </c:pt>
                <c:pt idx="6">
                  <c:v>4c</c:v>
                </c:pt>
                <c:pt idx="7">
                  <c:v>4b</c:v>
                </c:pt>
                <c:pt idx="8">
                  <c:v>4a</c:v>
                </c:pt>
                <c:pt idx="9">
                  <c:v>5c</c:v>
                </c:pt>
                <c:pt idx="10">
                  <c:v>5b</c:v>
                </c:pt>
                <c:pt idx="11">
                  <c:v>5a</c:v>
                </c:pt>
              </c:strCache>
            </c:strRef>
          </c:cat>
          <c:val>
            <c:numRef>
              <c:f>Inputs!$G$33:$G$44</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9EF-4059-908A-E0BCC1B3D57C}"/>
            </c:ext>
          </c:extLst>
        </c:ser>
        <c:ser>
          <c:idx val="1"/>
          <c:order val="1"/>
          <c:tx>
            <c:strRef>
              <c:f>Inputs!$H$32</c:f>
              <c:strCache>
                <c:ptCount val="1"/>
                <c:pt idx="0">
                  <c:v>Not Achieved</c:v>
                </c:pt>
              </c:strCache>
            </c:strRef>
          </c:tx>
          <c:spPr>
            <a:solidFill>
              <a:srgbClr val="7B9BC0">
                <a:alpha val="80000"/>
              </a:srgbClr>
            </a:solidFill>
            <a:ln>
              <a:noFill/>
            </a:ln>
            <a:effectLst/>
            <a:sp3d/>
          </c:spPr>
          <c:invertIfNegative val="0"/>
          <c:cat>
            <c:strRef>
              <c:f>Inputs!$F$33:$F$44</c:f>
              <c:strCache>
                <c:ptCount val="12"/>
                <c:pt idx="0">
                  <c:v>W</c:v>
                </c:pt>
                <c:pt idx="1">
                  <c:v>1</c:v>
                </c:pt>
                <c:pt idx="2">
                  <c:v>2</c:v>
                </c:pt>
                <c:pt idx="3">
                  <c:v>3c</c:v>
                </c:pt>
                <c:pt idx="4">
                  <c:v>3b</c:v>
                </c:pt>
                <c:pt idx="5">
                  <c:v>3a</c:v>
                </c:pt>
                <c:pt idx="6">
                  <c:v>4c</c:v>
                </c:pt>
                <c:pt idx="7">
                  <c:v>4b</c:v>
                </c:pt>
                <c:pt idx="8">
                  <c:v>4a</c:v>
                </c:pt>
                <c:pt idx="9">
                  <c:v>5c</c:v>
                </c:pt>
                <c:pt idx="10">
                  <c:v>5b</c:v>
                </c:pt>
                <c:pt idx="11">
                  <c:v>5a</c:v>
                </c:pt>
              </c:strCache>
            </c:strRef>
          </c:cat>
          <c:val>
            <c:numRef>
              <c:f>Inputs!$H$33:$H$44</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29EF-4059-908A-E0BCC1B3D57C}"/>
            </c:ext>
          </c:extLst>
        </c:ser>
        <c:dLbls>
          <c:showLegendKey val="0"/>
          <c:showVal val="0"/>
          <c:showCatName val="0"/>
          <c:showSerName val="0"/>
          <c:showPercent val="0"/>
          <c:showBubbleSize val="0"/>
        </c:dLbls>
        <c:gapWidth val="96"/>
        <c:shape val="box"/>
        <c:axId val="789757216"/>
        <c:axId val="789756888"/>
        <c:axId val="0"/>
      </c:bar3DChart>
      <c:catAx>
        <c:axId val="78975721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89756888"/>
        <c:crosses val="autoZero"/>
        <c:auto val="1"/>
        <c:lblAlgn val="ctr"/>
        <c:lblOffset val="100"/>
        <c:noMultiLvlLbl val="0"/>
      </c:catAx>
      <c:valAx>
        <c:axId val="7897568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8975721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Inputs!$F$29</c:f>
              <c:strCache>
                <c:ptCount val="1"/>
                <c:pt idx="0">
                  <c:v>Female</c:v>
                </c:pt>
              </c:strCache>
            </c:strRef>
          </c:tx>
          <c:spPr>
            <a:solidFill>
              <a:srgbClr val="7B9BC0">
                <a:alpha val="80000"/>
              </a:srgbClr>
            </a:solidFill>
            <a:ln>
              <a:noFill/>
            </a:ln>
            <a:effectLst/>
            <a:sp3d/>
          </c:spPr>
          <c:invertIfNegative val="0"/>
          <c:cat>
            <c:strRef>
              <c:f>Inputs!$G$28:$H$28</c:f>
              <c:strCache>
                <c:ptCount val="2"/>
                <c:pt idx="0">
                  <c:v>Achieved</c:v>
                </c:pt>
                <c:pt idx="1">
                  <c:v>Not Achieved</c:v>
                </c:pt>
              </c:strCache>
            </c:strRef>
          </c:cat>
          <c:val>
            <c:numRef>
              <c:f>Inputs!$G$29:$H$29</c:f>
              <c:numCache>
                <c:formatCode>General</c:formatCode>
                <c:ptCount val="2"/>
                <c:pt idx="0">
                  <c:v>#N/A</c:v>
                </c:pt>
                <c:pt idx="1">
                  <c:v>#N/A</c:v>
                </c:pt>
              </c:numCache>
            </c:numRef>
          </c:val>
          <c:extLst>
            <c:ext xmlns:c16="http://schemas.microsoft.com/office/drawing/2014/chart" uri="{C3380CC4-5D6E-409C-BE32-E72D297353CC}">
              <c16:uniqueId val="{00000000-4A32-4FB9-8884-C92DD45901C3}"/>
            </c:ext>
          </c:extLst>
        </c:ser>
        <c:ser>
          <c:idx val="1"/>
          <c:order val="1"/>
          <c:tx>
            <c:strRef>
              <c:f>Inputs!$F$30</c:f>
              <c:strCache>
                <c:ptCount val="1"/>
                <c:pt idx="0">
                  <c:v>Male</c:v>
                </c:pt>
              </c:strCache>
            </c:strRef>
          </c:tx>
          <c:spPr>
            <a:solidFill>
              <a:srgbClr val="132A52">
                <a:alpha val="80000"/>
              </a:srgbClr>
            </a:solidFill>
            <a:ln>
              <a:noFill/>
            </a:ln>
            <a:effectLst/>
            <a:sp3d/>
          </c:spPr>
          <c:invertIfNegative val="0"/>
          <c:cat>
            <c:strRef>
              <c:f>Inputs!$G$28:$H$28</c:f>
              <c:strCache>
                <c:ptCount val="2"/>
                <c:pt idx="0">
                  <c:v>Achieved</c:v>
                </c:pt>
                <c:pt idx="1">
                  <c:v>Not Achieved</c:v>
                </c:pt>
              </c:strCache>
            </c:strRef>
          </c:cat>
          <c:val>
            <c:numRef>
              <c:f>Inputs!$G$30:$H$30</c:f>
              <c:numCache>
                <c:formatCode>General</c:formatCode>
                <c:ptCount val="2"/>
                <c:pt idx="0">
                  <c:v>#N/A</c:v>
                </c:pt>
                <c:pt idx="1">
                  <c:v>#N/A</c:v>
                </c:pt>
              </c:numCache>
            </c:numRef>
          </c:val>
          <c:extLst>
            <c:ext xmlns:c16="http://schemas.microsoft.com/office/drawing/2014/chart" uri="{C3380CC4-5D6E-409C-BE32-E72D297353CC}">
              <c16:uniqueId val="{00000001-4A32-4FB9-8884-C92DD45901C3}"/>
            </c:ext>
          </c:extLst>
        </c:ser>
        <c:dLbls>
          <c:showLegendKey val="0"/>
          <c:showVal val="0"/>
          <c:showCatName val="0"/>
          <c:showSerName val="0"/>
          <c:showPercent val="0"/>
          <c:showBubbleSize val="0"/>
        </c:dLbls>
        <c:gapWidth val="281"/>
        <c:gapDepth val="20"/>
        <c:shape val="box"/>
        <c:axId val="782162712"/>
        <c:axId val="782164680"/>
        <c:axId val="0"/>
      </c:bar3DChart>
      <c:catAx>
        <c:axId val="78216271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82164680"/>
        <c:crosses val="autoZero"/>
        <c:auto val="1"/>
        <c:lblAlgn val="ctr"/>
        <c:lblOffset val="100"/>
        <c:noMultiLvlLbl val="0"/>
      </c:catAx>
      <c:valAx>
        <c:axId val="7821646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821627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Spin" dx="39" fmlaLink="Inputs!$R$1" max="4" min="1" page="10"/>
</file>

<file path=xl/ctrlProps/ctrlProp2.xml><?xml version="1.0" encoding="utf-8"?>
<formControlPr xmlns="http://schemas.microsoft.com/office/spreadsheetml/2009/9/main" objectType="Spin" dx="39" fmlaLink="InputsCS!$R$1" max="4" min="1" page="10"/>
</file>

<file path=xl/ctrlProps/ctrlProp3.xml><?xml version="1.0" encoding="utf-8"?>
<formControlPr xmlns="http://schemas.microsoft.com/office/spreadsheetml/2009/9/main" objectType="Spin" dx="39" fmlaLink="InputsCS!$R$1" max="4" min="1" page="10"/>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 Id="rId6" Type="http://schemas.openxmlformats.org/officeDocument/2006/relationships/image" Target="../media/image7.emf"/><Relationship Id="rId5" Type="http://schemas.openxmlformats.org/officeDocument/2006/relationships/image" Target="../media/image6.emf"/><Relationship Id="rId4" Type="http://schemas.openxmlformats.org/officeDocument/2006/relationships/image" Target="../media/image5.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10.emf"/><Relationship Id="rId2" Type="http://schemas.openxmlformats.org/officeDocument/2006/relationships/image" Target="../media/image9.emf"/><Relationship Id="rId1" Type="http://schemas.openxmlformats.org/officeDocument/2006/relationships/image" Target="../media/image8.emf"/><Relationship Id="rId6" Type="http://schemas.openxmlformats.org/officeDocument/2006/relationships/image" Target="../media/image13.emf"/><Relationship Id="rId5" Type="http://schemas.openxmlformats.org/officeDocument/2006/relationships/image" Target="../media/image12.emf"/><Relationship Id="rId4" Type="http://schemas.openxmlformats.org/officeDocument/2006/relationships/image" Target="../media/image11.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16.emf"/><Relationship Id="rId2" Type="http://schemas.openxmlformats.org/officeDocument/2006/relationships/image" Target="../media/image18.emf"/><Relationship Id="rId1" Type="http://schemas.openxmlformats.org/officeDocument/2006/relationships/image" Target="../media/image17.emf"/><Relationship Id="rId5" Type="http://schemas.openxmlformats.org/officeDocument/2006/relationships/image" Target="../media/image14.emf"/><Relationship Id="rId4" Type="http://schemas.openxmlformats.org/officeDocument/2006/relationships/image" Target="../media/image15.emf"/></Relationships>
</file>

<file path=xl/drawings/drawing1.xml><?xml version="1.0" encoding="utf-8"?>
<xdr:wsDr xmlns:xdr="http://schemas.openxmlformats.org/drawingml/2006/spreadsheetDrawing" xmlns:a="http://schemas.openxmlformats.org/drawingml/2006/main">
  <xdr:twoCellAnchor editAs="oneCell">
    <xdr:from>
      <xdr:col>0</xdr:col>
      <xdr:colOff>203200</xdr:colOff>
      <xdr:row>0</xdr:row>
      <xdr:rowOff>152400</xdr:rowOff>
    </xdr:from>
    <xdr:to>
      <xdr:col>2</xdr:col>
      <xdr:colOff>358166</xdr:colOff>
      <xdr:row>5</xdr:row>
      <xdr:rowOff>52387</xdr:rowOff>
    </xdr:to>
    <xdr:pic>
      <xdr:nvPicPr>
        <xdr:cNvPr id="2" name="Picture 1" descr="Department for education logo" title="Department for education logo">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3200" y="152400"/>
          <a:ext cx="1450366" cy="820738"/>
        </a:xfrm>
        <a:prstGeom prst="rect">
          <a:avLst/>
        </a:prstGeom>
      </xdr:spPr>
    </xdr:pic>
    <xdr:clientData/>
  </xdr:twoCellAnchor>
  <xdr:twoCellAnchor>
    <xdr:from>
      <xdr:col>0</xdr:col>
      <xdr:colOff>190500</xdr:colOff>
      <xdr:row>6</xdr:row>
      <xdr:rowOff>38101</xdr:rowOff>
    </xdr:from>
    <xdr:to>
      <xdr:col>19</xdr:col>
      <xdr:colOff>361949</xdr:colOff>
      <xdr:row>42</xdr:row>
      <xdr:rowOff>125016</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190500" y="1109664"/>
          <a:ext cx="12345590" cy="651629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b="1" i="0">
              <a:solidFill>
                <a:srgbClr val="104F75"/>
              </a:solidFill>
              <a:effectLst/>
              <a:latin typeface="Arial" panose="020B0604020202020204" pitchFamily="34" charset="0"/>
              <a:ea typeface="+mn-ea"/>
              <a:cs typeface="Arial" panose="020B0604020202020204" pitchFamily="34" charset="0"/>
            </a:rPr>
            <a:t>2019 KS2 - KS4</a:t>
          </a:r>
          <a:r>
            <a:rPr lang="en-GB" sz="2000" b="1" i="0" baseline="0">
              <a:solidFill>
                <a:srgbClr val="104F75"/>
              </a:solidFill>
              <a:effectLst/>
              <a:latin typeface="Arial" panose="020B0604020202020204" pitchFamily="34" charset="0"/>
              <a:ea typeface="+mn-ea"/>
              <a:cs typeface="Arial" panose="020B0604020202020204" pitchFamily="34" charset="0"/>
            </a:rPr>
            <a:t> </a:t>
          </a:r>
          <a:r>
            <a:rPr lang="en-GB" sz="2000" b="1" i="0">
              <a:solidFill>
                <a:srgbClr val="104F75"/>
              </a:solidFill>
              <a:effectLst/>
              <a:latin typeface="Arial" panose="020B0604020202020204" pitchFamily="34" charset="0"/>
              <a:ea typeface="+mn-ea"/>
              <a:cs typeface="Arial" panose="020B0604020202020204" pitchFamily="34" charset="0"/>
            </a:rPr>
            <a:t>Transition Matrices</a:t>
          </a:r>
          <a:r>
            <a:rPr lang="en-GB" sz="2000" b="1">
              <a:solidFill>
                <a:srgbClr val="104F75"/>
              </a:solidFill>
              <a:effectLst/>
              <a:latin typeface="Arial" panose="020B0604020202020204" pitchFamily="34" charset="0"/>
              <a:ea typeface="+mn-ea"/>
              <a:cs typeface="Arial" panose="020B0604020202020204" pitchFamily="34" charset="0"/>
            </a:rPr>
            <a:t> (TMs)</a:t>
          </a:r>
        </a:p>
        <a:p>
          <a:pPr eaLnBrk="1" fontAlgn="auto" latinLnBrk="0" hangingPunct="1"/>
          <a:endParaRPr lang="en-GB" sz="120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400">
              <a:solidFill>
                <a:schemeClr val="dk1"/>
              </a:solidFill>
              <a:effectLst/>
              <a:latin typeface="Arial" panose="020B0604020202020204" pitchFamily="34" charset="0"/>
              <a:ea typeface="+mn-ea"/>
              <a:cs typeface="Arial" panose="020B0604020202020204" pitchFamily="34" charset="0"/>
            </a:rPr>
            <a:t>The following TMs describe and compare national</a:t>
          </a:r>
          <a:r>
            <a:rPr lang="en-GB" sz="1400" baseline="0">
              <a:solidFill>
                <a:schemeClr val="dk1"/>
              </a:solidFill>
              <a:effectLst/>
              <a:latin typeface="Arial" panose="020B0604020202020204" pitchFamily="34" charset="0"/>
              <a:ea typeface="+mn-ea"/>
              <a:cs typeface="Arial" panose="020B0604020202020204" pitchFamily="34" charset="0"/>
            </a:rPr>
            <a:t> pupil progress from key stage 2 (KS2) sub-levels to key stage 4 (KS4) grades in a range of subjects for the 2019 academic year.</a:t>
          </a:r>
        </a:p>
        <a:p>
          <a:pPr eaLnBrk="1" fontAlgn="auto" latinLnBrk="0" hangingPunct="1"/>
          <a:endParaRPr lang="en-GB" sz="1400" baseline="0">
            <a:solidFill>
              <a:schemeClr val="dk1"/>
            </a:solidFill>
            <a:effectLst/>
            <a:latin typeface="Arial" panose="020B0604020202020204" pitchFamily="34" charset="0"/>
            <a:ea typeface="+mn-ea"/>
            <a:cs typeface="Arial" panose="020B0604020202020204" pitchFamily="34" charset="0"/>
          </a:endParaRPr>
        </a:p>
        <a:p>
          <a:pPr eaLnBrk="1" fontAlgn="auto" latinLnBrk="0" hangingPunct="1"/>
          <a:r>
            <a:rPr lang="en-GB" sz="1400" b="1" baseline="0">
              <a:solidFill>
                <a:srgbClr val="104F75"/>
              </a:solidFill>
              <a:effectLst/>
              <a:latin typeface="Arial" panose="020B0604020202020204" pitchFamily="34" charset="0"/>
              <a:ea typeface="+mn-ea"/>
              <a:cs typeface="Arial" panose="020B0604020202020204" pitchFamily="34" charset="0"/>
            </a:rPr>
            <a:t>In 2019, TMs include: </a:t>
          </a:r>
        </a:p>
        <a:p>
          <a:pPr eaLnBrk="1" fontAlgn="auto" latinLnBrk="0" hangingPunct="1"/>
          <a:endParaRPr lang="en-GB" sz="1400" baseline="0">
            <a:solidFill>
              <a:sysClr val="windowText" lastClr="000000"/>
            </a:solidFill>
            <a:effectLst/>
            <a:latin typeface="Arial" panose="020B0604020202020204" pitchFamily="34" charset="0"/>
            <a:ea typeface="+mn-ea"/>
            <a:cs typeface="Arial" panose="020B0604020202020204" pitchFamily="34" charset="0"/>
          </a:endParaRPr>
        </a:p>
        <a:p>
          <a:pPr eaLnBrk="1" fontAlgn="auto" latinLnBrk="0" hangingPunct="1"/>
          <a:r>
            <a:rPr lang="en-GB" sz="1400" baseline="0">
              <a:solidFill>
                <a:sysClr val="windowText" lastClr="000000"/>
              </a:solidFill>
              <a:effectLst/>
              <a:latin typeface="Arial" panose="020B0604020202020204" pitchFamily="34" charset="0"/>
              <a:ea typeface="+mn-ea"/>
              <a:cs typeface="Arial" panose="020B0604020202020204" pitchFamily="34" charset="0"/>
            </a:rPr>
            <a:t> - </a:t>
          </a:r>
          <a:r>
            <a:rPr lang="en-GB" sz="1400" b="0" i="0" baseline="0">
              <a:solidFill>
                <a:schemeClr val="dk1"/>
              </a:solidFill>
              <a:effectLst/>
              <a:latin typeface="Arial" panose="020B0604020202020204" pitchFamily="34" charset="0"/>
              <a:ea typeface="+mn-ea"/>
              <a:cs typeface="Arial" panose="020B0604020202020204" pitchFamily="34" charset="0"/>
            </a:rPr>
            <a:t>Interactive subject TMs (tab 'KS2-4 Subject TMs') and Combined Science TMs (tab 'KS2-4 Combined Science TMs') : covering outcomes in reformed 9-1 GCSEs, GCSEs graded A*-G and a double award GCSE graded 11-99.</a:t>
          </a:r>
          <a:endParaRPr lang="en-GB" sz="1400">
            <a:effectLst/>
            <a:latin typeface="Arial" panose="020B0604020202020204" pitchFamily="34" charset="0"/>
            <a:cs typeface="Arial" panose="020B0604020202020204" pitchFamily="34" charset="0"/>
          </a:endParaRPr>
        </a:p>
        <a:p>
          <a:pPr eaLnBrk="1" fontAlgn="auto" latinLnBrk="0" hangingPunct="1"/>
          <a:r>
            <a:rPr lang="en-GB" sz="1400" baseline="0">
              <a:solidFill>
                <a:sysClr val="windowText" lastClr="000000"/>
              </a:solidFill>
              <a:effectLst/>
              <a:latin typeface="Arial" panose="020B0604020202020204" pitchFamily="34" charset="0"/>
              <a:ea typeface="+mn-ea"/>
              <a:cs typeface="Arial" panose="020B0604020202020204" pitchFamily="34" charset="0"/>
            </a:rPr>
            <a:t> - Interactive attainment TMs (tab 'KS4 Attainment TMs'): covering key performance table headline measures. </a:t>
          </a:r>
        </a:p>
        <a:p>
          <a:pPr eaLnBrk="1" fontAlgn="auto" latinLnBrk="0" hangingPunct="1"/>
          <a:r>
            <a:rPr lang="en-GB" sz="1400" baseline="0">
              <a:solidFill>
                <a:sysClr val="windowText" lastClr="000000"/>
              </a:solidFill>
              <a:effectLst/>
              <a:latin typeface="Arial" panose="020B0604020202020204" pitchFamily="34" charset="0"/>
              <a:ea typeface="+mn-ea"/>
              <a:cs typeface="Arial" panose="020B0604020202020204" pitchFamily="34" charset="0"/>
            </a:rPr>
            <a:t> - Underlying TM data: all subject and attainment TM data in flat format.</a:t>
          </a:r>
        </a:p>
        <a:p>
          <a:pPr eaLnBrk="1" fontAlgn="auto" latinLnBrk="0" hangingPunct="1"/>
          <a:endParaRPr lang="en-GB" sz="1400" baseline="0">
            <a:solidFill>
              <a:sysClr val="windowText" lastClr="000000"/>
            </a:solidFill>
            <a:effectLst/>
            <a:latin typeface="Arial" panose="020B0604020202020204" pitchFamily="34" charset="0"/>
            <a:ea typeface="+mn-ea"/>
            <a:cs typeface="Arial" panose="020B0604020202020204" pitchFamily="34" charset="0"/>
          </a:endParaRPr>
        </a:p>
        <a:p>
          <a:pPr eaLnBrk="1" fontAlgn="auto" latinLnBrk="0" hangingPunct="1"/>
          <a:r>
            <a:rPr lang="en-GB" sz="1400" baseline="0">
              <a:solidFill>
                <a:sysClr val="windowText" lastClr="000000"/>
              </a:solidFill>
              <a:effectLst/>
              <a:latin typeface="Arial" panose="020B0604020202020204" pitchFamily="34" charset="0"/>
              <a:ea typeface="+mn-ea"/>
              <a:cs typeface="Arial" panose="020B0604020202020204" pitchFamily="34" charset="0"/>
            </a:rPr>
            <a:t>All data is provided in either pupil numbers or percentages and is available in gender, disadvantage, SEN and EAL breakdowns.</a:t>
          </a:r>
        </a:p>
        <a:p>
          <a:pPr eaLnBrk="1" fontAlgn="auto" latinLnBrk="0" hangingPunct="1"/>
          <a:endParaRPr lang="en-GB" sz="1400" baseline="0">
            <a:solidFill>
              <a:sysClr val="windowText" lastClr="000000"/>
            </a:solidFill>
            <a:effectLst/>
            <a:latin typeface="Arial" panose="020B0604020202020204" pitchFamily="34" charset="0"/>
            <a:ea typeface="+mn-ea"/>
            <a:cs typeface="Arial" panose="020B0604020202020204" pitchFamily="34" charset="0"/>
          </a:endParaRPr>
        </a:p>
        <a:p>
          <a:pPr eaLnBrk="1" fontAlgn="auto" latinLnBrk="0" hangingPunct="1"/>
          <a:r>
            <a:rPr lang="en-GB" sz="1400" baseline="0">
              <a:solidFill>
                <a:sysClr val="windowText" lastClr="000000"/>
              </a:solidFill>
              <a:effectLst/>
              <a:latin typeface="Arial" panose="020B0604020202020204" pitchFamily="34" charset="0"/>
              <a:ea typeface="+mn-ea"/>
              <a:cs typeface="Arial" panose="020B0604020202020204" pitchFamily="34" charset="0"/>
            </a:rPr>
            <a:t>Note: substantial changes have been made to published subjects from 2016 TMs to align more with subject categories in performance tables and statistical releases (see tab 'TM Subject Groupings' for a complete list).</a:t>
          </a:r>
        </a:p>
        <a:p>
          <a:pPr eaLnBrk="1" fontAlgn="auto" latinLnBrk="0" hangingPunct="1"/>
          <a:r>
            <a:rPr lang="en-GB" sz="1400" baseline="0">
              <a:solidFill>
                <a:sysClr val="windowText" lastClr="000000"/>
              </a:solidFill>
              <a:effectLst/>
              <a:latin typeface="Arial" panose="020B0604020202020204" pitchFamily="34" charset="0"/>
              <a:ea typeface="+mn-ea"/>
              <a:cs typeface="Arial" panose="020B0604020202020204" pitchFamily="34" charset="0"/>
            </a:rPr>
            <a:t> </a:t>
          </a:r>
          <a:endParaRPr lang="en-GB" sz="1400" baseline="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400" b="1" baseline="0">
              <a:solidFill>
                <a:srgbClr val="104F75"/>
              </a:solidFill>
              <a:effectLst/>
              <a:latin typeface="Arial" panose="020B0604020202020204" pitchFamily="34" charset="0"/>
              <a:ea typeface="+mn-ea"/>
              <a:cs typeface="Arial" panose="020B0604020202020204" pitchFamily="34" charset="0"/>
            </a:rPr>
            <a:t>TM Methodology: </a:t>
          </a:r>
        </a:p>
        <a:p>
          <a:pPr marL="0" marR="0" lvl="0" indent="0" defTabSz="914400" eaLnBrk="1" fontAlgn="auto" latinLnBrk="0" hangingPunct="1">
            <a:lnSpc>
              <a:spcPct val="100000"/>
            </a:lnSpc>
            <a:spcBef>
              <a:spcPts val="0"/>
            </a:spcBef>
            <a:spcAft>
              <a:spcPts val="0"/>
            </a:spcAft>
            <a:buClrTx/>
            <a:buSzTx/>
            <a:buFontTx/>
            <a:buNone/>
            <a:tabLst/>
            <a:defRPr/>
          </a:pPr>
          <a:endParaRPr lang="en-GB" sz="1400" b="1" baseline="0">
            <a:solidFill>
              <a:srgbClr val="104F75"/>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400" b="0" baseline="0">
              <a:solidFill>
                <a:schemeClr val="tx1"/>
              </a:solidFill>
              <a:effectLst/>
              <a:latin typeface="Arial" panose="020B0604020202020204" pitchFamily="34" charset="0"/>
              <a:ea typeface="+mn-ea"/>
              <a:cs typeface="Arial" panose="020B0604020202020204" pitchFamily="34" charset="0"/>
            </a:rPr>
            <a:t> - Published TMs are based on provisional data in the 2019 National Pupil Database (NPD).</a:t>
          </a:r>
        </a:p>
        <a:p>
          <a:pPr marL="0" marR="0" lvl="0" indent="0" defTabSz="914400" eaLnBrk="1" fontAlgn="auto" latinLnBrk="0" hangingPunct="1">
            <a:lnSpc>
              <a:spcPct val="100000"/>
            </a:lnSpc>
            <a:spcBef>
              <a:spcPts val="0"/>
            </a:spcBef>
            <a:spcAft>
              <a:spcPts val="0"/>
            </a:spcAft>
            <a:buClrTx/>
            <a:buSzTx/>
            <a:buFontTx/>
            <a:buNone/>
            <a:tabLst/>
            <a:defRPr/>
          </a:pPr>
          <a:r>
            <a:rPr lang="en-GB" sz="1400" b="0" baseline="0">
              <a:solidFill>
                <a:schemeClr val="tx1"/>
              </a:solidFill>
              <a:effectLst/>
              <a:latin typeface="Arial" panose="020B0604020202020204" pitchFamily="34" charset="0"/>
              <a:ea typeface="+mn-ea"/>
              <a:cs typeface="Arial" panose="020B0604020202020204" pitchFamily="34" charset="0"/>
            </a:rPr>
            <a:t> - Pupils eligible for TM inclusion are those at the end of KS4 attending state-funded mainstream schools, state-funded special schools, hospital schools and non-maintained special schools who also have KS2 prior attainment records.</a:t>
          </a:r>
        </a:p>
        <a:p>
          <a:pPr marL="0" marR="0" lvl="0" indent="0" defTabSz="914400" eaLnBrk="1" fontAlgn="auto" latinLnBrk="0" hangingPunct="1">
            <a:lnSpc>
              <a:spcPct val="100000"/>
            </a:lnSpc>
            <a:spcBef>
              <a:spcPts val="0"/>
            </a:spcBef>
            <a:spcAft>
              <a:spcPts val="0"/>
            </a:spcAft>
            <a:buClrTx/>
            <a:buSzTx/>
            <a:buFontTx/>
            <a:buNone/>
            <a:tabLst/>
            <a:defRPr/>
          </a:pPr>
          <a:r>
            <a:rPr lang="en-GB" sz="1400" b="0" baseline="0">
              <a:solidFill>
                <a:schemeClr val="tx1"/>
              </a:solidFill>
              <a:effectLst/>
              <a:latin typeface="Arial" panose="020B0604020202020204" pitchFamily="34" charset="0"/>
              <a:ea typeface="+mn-ea"/>
              <a:cs typeface="Arial" panose="020B0604020202020204" pitchFamily="34" charset="0"/>
            </a:rPr>
            <a:t> - Percentages may not always sum to 100 due to rounding.</a:t>
          </a:r>
        </a:p>
        <a:p>
          <a:pPr marL="0" marR="0" lvl="0" indent="0" defTabSz="914400" eaLnBrk="1" fontAlgn="auto" latinLnBrk="0" hangingPunct="1">
            <a:lnSpc>
              <a:spcPct val="100000"/>
            </a:lnSpc>
            <a:spcBef>
              <a:spcPts val="0"/>
            </a:spcBef>
            <a:spcAft>
              <a:spcPts val="0"/>
            </a:spcAft>
            <a:buClrTx/>
            <a:buSzTx/>
            <a:buFontTx/>
            <a:buNone/>
            <a:tabLst/>
            <a:defRPr/>
          </a:pPr>
          <a:r>
            <a:rPr lang="en-GB" sz="1400" b="0" i="0" baseline="0">
              <a:solidFill>
                <a:schemeClr val="tx1"/>
              </a:solidFill>
              <a:effectLst/>
              <a:latin typeface="Arial" panose="020B0604020202020204" pitchFamily="34" charset="0"/>
              <a:ea typeface="+mn-ea"/>
              <a:cs typeface="Arial" panose="020B0604020202020204" pitchFamily="34" charset="0"/>
            </a:rPr>
            <a:t> - KS2 prior attainment sub-levels in 2019 are based on KS2 Average Point Scores in reading and mathematics (from tests taken in summer 2014).</a:t>
          </a:r>
        </a:p>
        <a:p>
          <a:pPr marL="0" marR="0" lvl="0" indent="0" defTabSz="914400" eaLnBrk="1" fontAlgn="auto" latinLnBrk="0" hangingPunct="1">
            <a:lnSpc>
              <a:spcPct val="100000"/>
            </a:lnSpc>
            <a:spcBef>
              <a:spcPts val="0"/>
            </a:spcBef>
            <a:spcAft>
              <a:spcPts val="0"/>
            </a:spcAft>
            <a:buClrTx/>
            <a:buSzTx/>
            <a:buFontTx/>
            <a:buNone/>
            <a:tabLst/>
            <a:defRPr/>
          </a:pPr>
          <a:endParaRPr lang="en-GB" sz="1400" b="0">
            <a:solidFill>
              <a:schemeClr val="tx1"/>
            </a:solidFill>
            <a:effectLst/>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400" b="1" baseline="0">
              <a:solidFill>
                <a:srgbClr val="104F75"/>
              </a:solidFill>
              <a:effectLst/>
              <a:latin typeface="Arial" panose="020B0604020202020204" pitchFamily="34" charset="0"/>
              <a:ea typeface="+mn-ea"/>
              <a:cs typeface="Arial" panose="020B0604020202020204" pitchFamily="34" charset="0"/>
            </a:rPr>
            <a:t>Example: </a:t>
          </a:r>
          <a:endParaRPr lang="en-GB" sz="1400">
            <a:solidFill>
              <a:srgbClr val="104F75"/>
            </a:solidFill>
            <a:effectLst/>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GB" sz="1400" b="0">
            <a:solidFill>
              <a:schemeClr val="tx1"/>
            </a:solidFill>
            <a:effectLst/>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400" b="0" i="0" baseline="0">
              <a:solidFill>
                <a:schemeClr val="tx1"/>
              </a:solidFill>
              <a:effectLst/>
              <a:latin typeface="Arial" panose="020B0604020202020204" pitchFamily="34" charset="0"/>
              <a:ea typeface="+mn-ea"/>
              <a:cs typeface="Arial" panose="020B0604020202020204" pitchFamily="34" charset="0"/>
            </a:rPr>
            <a:t>The TMs below compare KS2 prior attainment against 2019 KS4 grade results in French for all TM eligible pupils. For example, of all pupils nationally with average KS2 attainment of 4a that entered GCSE French, 1,376 went on to achieve grade 6; or 6%.</a:t>
          </a:r>
          <a:endParaRPr lang="en-GB" sz="1400">
            <a:solidFill>
              <a:schemeClr val="tx1"/>
            </a:solidFill>
            <a:effectLst/>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GB" sz="1400" b="0" baseline="0">
            <a:solidFill>
              <a:schemeClr val="tx1"/>
            </a:solidFill>
            <a:effectLst/>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GB" sz="1400" b="0" baseline="0">
            <a:solidFill>
              <a:schemeClr val="tx1"/>
            </a:solidFill>
            <a:effectLst/>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GB" sz="1200" baseline="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GB" sz="1200" baseline="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GB" sz="1200" baseline="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GB" sz="1200" baseline="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GB" sz="1200" baseline="0">
            <a:solidFill>
              <a:schemeClr val="dk1"/>
            </a:solidFill>
            <a:effectLst/>
            <a:latin typeface="Arial" panose="020B0604020202020204" pitchFamily="34" charset="0"/>
            <a:ea typeface="+mn-ea"/>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15</xdr:col>
      <xdr:colOff>177799</xdr:colOff>
      <xdr:row>6</xdr:row>
      <xdr:rowOff>79942</xdr:rowOff>
    </xdr:from>
    <xdr:to>
      <xdr:col>28</xdr:col>
      <xdr:colOff>380998</xdr:colOff>
      <xdr:row>27</xdr:row>
      <xdr:rowOff>74385</xdr:rowOff>
    </xdr:to>
    <xdr:graphicFrame macro="">
      <xdr:nvGraphicFramePr>
        <xdr:cNvPr id="6" name="Chart 3" descr="Chart illustrating key stage 4 outcome distributions for the key stage 2 attainment level selected b ythe user " title="Chart">
          <a:extLst>
            <a:ext uri="{FF2B5EF4-FFF2-40B4-BE49-F238E27FC236}">
              <a16:creationId xmlns:a16="http://schemas.microsoft.com/office/drawing/2014/main" id="{00000000-0008-0000-01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xdr:row>
      <xdr:rowOff>453</xdr:rowOff>
    </xdr:from>
    <xdr:to>
      <xdr:col>9</xdr:col>
      <xdr:colOff>489859</xdr:colOff>
      <xdr:row>3</xdr:row>
      <xdr:rowOff>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266700" y="184604"/>
          <a:ext cx="6357259" cy="37419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800" b="1">
              <a:solidFill>
                <a:srgbClr val="104F75"/>
              </a:solidFill>
              <a:latin typeface="Arial" panose="020B0604020202020204" pitchFamily="34" charset="0"/>
              <a:cs typeface="Arial" panose="020B0604020202020204" pitchFamily="34" charset="0"/>
            </a:rPr>
            <a:t>2019 KS2</a:t>
          </a:r>
          <a:r>
            <a:rPr lang="en-GB" sz="1800" b="1" baseline="0">
              <a:solidFill>
                <a:srgbClr val="104F75"/>
              </a:solidFill>
              <a:latin typeface="Arial" panose="020B0604020202020204" pitchFamily="34" charset="0"/>
              <a:cs typeface="Arial" panose="020B0604020202020204" pitchFamily="34" charset="0"/>
            </a:rPr>
            <a:t> - KS4 Subject Transitional Matrices (TMs)</a:t>
          </a:r>
          <a:endParaRPr lang="en-GB" sz="1800" b="1">
            <a:solidFill>
              <a:srgbClr val="104F75"/>
            </a:solidFill>
            <a:latin typeface="Arial" panose="020B0604020202020204" pitchFamily="34" charset="0"/>
            <a:cs typeface="Arial" panose="020B0604020202020204" pitchFamily="34" charset="0"/>
          </a:endParaRPr>
        </a:p>
      </xdr:txBody>
    </xdr:sp>
    <xdr:clientData/>
  </xdr:twoCellAnchor>
  <xdr:twoCellAnchor>
    <xdr:from>
      <xdr:col>1</xdr:col>
      <xdr:colOff>30618</xdr:colOff>
      <xdr:row>30</xdr:row>
      <xdr:rowOff>71666</xdr:rowOff>
    </xdr:from>
    <xdr:to>
      <xdr:col>11</xdr:col>
      <xdr:colOff>452438</xdr:colOff>
      <xdr:row>32</xdr:row>
      <xdr:rowOff>115661</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300493" y="7834541"/>
          <a:ext cx="7644945" cy="4091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800" b="1">
              <a:solidFill>
                <a:srgbClr val="104F75"/>
              </a:solidFill>
              <a:latin typeface="Arial" panose="020B0604020202020204" pitchFamily="34" charset="0"/>
              <a:cs typeface="Arial" panose="020B0604020202020204" pitchFamily="34" charset="0"/>
            </a:rPr>
            <a:t>2019 KS2</a:t>
          </a:r>
          <a:r>
            <a:rPr lang="en-GB" sz="1800" b="1" baseline="0">
              <a:solidFill>
                <a:srgbClr val="104F75"/>
              </a:solidFill>
              <a:latin typeface="Arial" panose="020B0604020202020204" pitchFamily="34" charset="0"/>
              <a:cs typeface="Arial" panose="020B0604020202020204" pitchFamily="34" charset="0"/>
            </a:rPr>
            <a:t> - KS4 Subject TMs: Pupil characteristic disaggregation</a:t>
          </a:r>
          <a:endParaRPr lang="en-GB" sz="1800" b="1">
            <a:solidFill>
              <a:srgbClr val="104F75"/>
            </a:solidFill>
            <a:latin typeface="Arial" panose="020B0604020202020204" pitchFamily="34" charset="0"/>
            <a:cs typeface="Arial" panose="020B0604020202020204"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10</xdr:col>
          <xdr:colOff>276225</xdr:colOff>
          <xdr:row>3</xdr:row>
          <xdr:rowOff>161925</xdr:rowOff>
        </xdr:from>
        <xdr:to>
          <xdr:col>15</xdr:col>
          <xdr:colOff>42863</xdr:colOff>
          <xdr:row>4</xdr:row>
          <xdr:rowOff>271463</xdr:rowOff>
        </xdr:to>
        <xdr:sp macro="" textlink="">
          <xdr:nvSpPr>
            <xdr:cNvPr id="1035" name="ComboBox1" descr="Drop-down box to select key stage 4 subject" hidden="1">
              <a:extLst>
                <a:ext uri="{63B3BB69-23CF-44E3-9099-C40C66FF867C}">
                  <a14:compatExt spid="_x0000_s1035"/>
                </a:ext>
                <a:ext uri="{FF2B5EF4-FFF2-40B4-BE49-F238E27FC236}">
                  <a16:creationId xmlns:a16="http://schemas.microsoft.com/office/drawing/2014/main" id="{00000000-0008-0000-0100-00000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276225</xdr:colOff>
          <xdr:row>5</xdr:row>
          <xdr:rowOff>61913</xdr:rowOff>
        </xdr:from>
        <xdr:to>
          <xdr:col>15</xdr:col>
          <xdr:colOff>28575</xdr:colOff>
          <xdr:row>6</xdr:row>
          <xdr:rowOff>223838</xdr:rowOff>
        </xdr:to>
        <xdr:sp macro="" textlink="">
          <xdr:nvSpPr>
            <xdr:cNvPr id="1037" name="ComboBox2" descr="Drop-down box to select either pupil numbers or percentages" hidden="1">
              <a:extLst>
                <a:ext uri="{63B3BB69-23CF-44E3-9099-C40C66FF867C}">
                  <a14:compatExt spid="_x0000_s1037"/>
                </a:ext>
                <a:ext uri="{FF2B5EF4-FFF2-40B4-BE49-F238E27FC236}">
                  <a16:creationId xmlns:a16="http://schemas.microsoft.com/office/drawing/2014/main" id="{00000000-0008-0000-0100-00000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252413</xdr:colOff>
          <xdr:row>7</xdr:row>
          <xdr:rowOff>90488</xdr:rowOff>
        </xdr:from>
        <xdr:to>
          <xdr:col>15</xdr:col>
          <xdr:colOff>19050</xdr:colOff>
          <xdr:row>8</xdr:row>
          <xdr:rowOff>233363</xdr:rowOff>
        </xdr:to>
        <xdr:sp macro="" textlink="">
          <xdr:nvSpPr>
            <xdr:cNvPr id="1038" name="ComboBox3" descr="Drop-down box to select key stage 2 attainment level" hidden="1">
              <a:extLst>
                <a:ext uri="{63B3BB69-23CF-44E3-9099-C40C66FF867C}">
                  <a14:compatExt spid="_x0000_s1038"/>
                </a:ext>
                <a:ext uri="{FF2B5EF4-FFF2-40B4-BE49-F238E27FC236}">
                  <a16:creationId xmlns:a16="http://schemas.microsoft.com/office/drawing/2014/main" id="{00000000-0008-0000-0100-00000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304800</xdr:colOff>
          <xdr:row>33</xdr:row>
          <xdr:rowOff>138113</xdr:rowOff>
        </xdr:from>
        <xdr:to>
          <xdr:col>15</xdr:col>
          <xdr:colOff>142875</xdr:colOff>
          <xdr:row>35</xdr:row>
          <xdr:rowOff>4763</xdr:rowOff>
        </xdr:to>
        <xdr:sp macro="" textlink="">
          <xdr:nvSpPr>
            <xdr:cNvPr id="1040" name="ComboBox4" descr="Drop-down box to select key stage 4 subject" hidden="1">
              <a:extLst>
                <a:ext uri="{63B3BB69-23CF-44E3-9099-C40C66FF867C}">
                  <a14:compatExt spid="_x0000_s1040"/>
                </a:ext>
                <a:ext uri="{FF2B5EF4-FFF2-40B4-BE49-F238E27FC236}">
                  <a16:creationId xmlns:a16="http://schemas.microsoft.com/office/drawing/2014/main" id="{00000000-0008-0000-0100-00001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314325</xdr:colOff>
          <xdr:row>35</xdr:row>
          <xdr:rowOff>114300</xdr:rowOff>
        </xdr:from>
        <xdr:to>
          <xdr:col>15</xdr:col>
          <xdr:colOff>138113</xdr:colOff>
          <xdr:row>36</xdr:row>
          <xdr:rowOff>266700</xdr:rowOff>
        </xdr:to>
        <xdr:sp macro="" textlink="">
          <xdr:nvSpPr>
            <xdr:cNvPr id="1041" name="ComboBox5" descr="Drop-down box to select pupil numbers or percentages" hidden="1">
              <a:extLst>
                <a:ext uri="{63B3BB69-23CF-44E3-9099-C40C66FF867C}">
                  <a14:compatExt spid="_x0000_s1041"/>
                </a:ext>
                <a:ext uri="{FF2B5EF4-FFF2-40B4-BE49-F238E27FC236}">
                  <a16:creationId xmlns:a16="http://schemas.microsoft.com/office/drawing/2014/main" id="{00000000-0008-0000-0100-00001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314325</xdr:colOff>
          <xdr:row>37</xdr:row>
          <xdr:rowOff>123825</xdr:rowOff>
        </xdr:from>
        <xdr:to>
          <xdr:col>15</xdr:col>
          <xdr:colOff>123825</xdr:colOff>
          <xdr:row>39</xdr:row>
          <xdr:rowOff>19050</xdr:rowOff>
        </xdr:to>
        <xdr:sp macro="" textlink="">
          <xdr:nvSpPr>
            <xdr:cNvPr id="1042" name="ComboBox6" descr="Drop-down box to select key stage 2 attainment level" hidden="1">
              <a:extLst>
                <a:ext uri="{63B3BB69-23CF-44E3-9099-C40C66FF867C}">
                  <a14:compatExt spid="_x0000_s1042"/>
                </a:ext>
                <a:ext uri="{FF2B5EF4-FFF2-40B4-BE49-F238E27FC236}">
                  <a16:creationId xmlns:a16="http://schemas.microsoft.com/office/drawing/2014/main" id="{00000000-0008-0000-0100-00001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14</xdr:col>
      <xdr:colOff>391317</xdr:colOff>
      <xdr:row>48</xdr:row>
      <xdr:rowOff>229392</xdr:rowOff>
    </xdr:from>
    <xdr:to>
      <xdr:col>27</xdr:col>
      <xdr:colOff>158749</xdr:colOff>
      <xdr:row>69</xdr:row>
      <xdr:rowOff>88900</xdr:rowOff>
    </xdr:to>
    <xdr:graphicFrame macro="">
      <xdr:nvGraphicFramePr>
        <xdr:cNvPr id="4" name="Chart 1" descr="Chart illustrating key stage 4 outcome distribution for chosen key stage 2 attainment level by chosen characteristic breakdown" title="Chart">
          <a:extLst>
            <a:ext uri="{FF2B5EF4-FFF2-40B4-BE49-F238E27FC236}">
              <a16:creationId xmlns:a16="http://schemas.microsoft.com/office/drawing/2014/main" id="{00000000-0008-0000-0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xdr:from>
          <xdr:col>21</xdr:col>
          <xdr:colOff>547688</xdr:colOff>
          <xdr:row>46</xdr:row>
          <xdr:rowOff>0</xdr:rowOff>
        </xdr:from>
        <xdr:to>
          <xdr:col>23</xdr:col>
          <xdr:colOff>0</xdr:colOff>
          <xdr:row>47</xdr:row>
          <xdr:rowOff>9525</xdr:rowOff>
        </xdr:to>
        <xdr:sp macro="" textlink="">
          <xdr:nvSpPr>
            <xdr:cNvPr id="1047" name="Spinner 23" descr="Arrows to select characteristic breakdown from either gender, disadvantage, SEN or EAL" hidden="1">
              <a:extLst>
                <a:ext uri="{63B3BB69-23CF-44E3-9099-C40C66FF867C}">
                  <a14:compatExt spid="_x0000_s1047"/>
                </a:ext>
                <a:ext uri="{FF2B5EF4-FFF2-40B4-BE49-F238E27FC236}">
                  <a16:creationId xmlns:a16="http://schemas.microsoft.com/office/drawing/2014/main" id="{00000000-0008-0000-0100-000017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15</xdr:col>
      <xdr:colOff>204107</xdr:colOff>
      <xdr:row>70</xdr:row>
      <xdr:rowOff>13607</xdr:rowOff>
    </xdr:from>
    <xdr:to>
      <xdr:col>27</xdr:col>
      <xdr:colOff>54429</xdr:colOff>
      <xdr:row>72</xdr:row>
      <xdr:rowOff>40822</xdr:rowOff>
    </xdr:to>
    <xdr:sp macro="" textlink="">
      <xdr:nvSpPr>
        <xdr:cNvPr id="18" name="TextBox 17">
          <a:extLst>
            <a:ext uri="{FF2B5EF4-FFF2-40B4-BE49-F238E27FC236}">
              <a16:creationId xmlns:a16="http://schemas.microsoft.com/office/drawing/2014/main" id="{00000000-0008-0000-0100-000012000000}"/>
            </a:ext>
          </a:extLst>
        </xdr:cNvPr>
        <xdr:cNvSpPr txBox="1"/>
      </xdr:nvSpPr>
      <xdr:spPr>
        <a:xfrm>
          <a:off x="10123714" y="18451286"/>
          <a:ext cx="7102929" cy="59871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solidFill>
                <a:srgbClr val="104F75"/>
              </a:solidFill>
              <a:latin typeface="Arial" panose="020B0604020202020204" pitchFamily="34" charset="0"/>
              <a:cs typeface="Arial" panose="020B0604020202020204" pitchFamily="34" charset="0"/>
            </a:rPr>
            <a:t>Chart</a:t>
          </a:r>
          <a:r>
            <a:rPr lang="en-GB" sz="1400">
              <a:latin typeface="Arial" panose="020B0604020202020204" pitchFamily="34" charset="0"/>
              <a:cs typeface="Arial" panose="020B0604020202020204" pitchFamily="34" charset="0"/>
            </a:rPr>
            <a:t>: KS4 outcome distributions for a chosen KS2 attainment level </a:t>
          </a:r>
          <a:r>
            <a:rPr lang="en-GB" sz="1400" b="1">
              <a:latin typeface="Arial" panose="020B0604020202020204" pitchFamily="34" charset="0"/>
              <a:cs typeface="Arial" panose="020B0604020202020204" pitchFamily="34" charset="0"/>
            </a:rPr>
            <a:t>split by selected characteristic</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23</xdr:col>
      <xdr:colOff>558799</xdr:colOff>
      <xdr:row>9</xdr:row>
      <xdr:rowOff>83343</xdr:rowOff>
    </xdr:from>
    <xdr:to>
      <xdr:col>38</xdr:col>
      <xdr:colOff>530677</xdr:colOff>
      <xdr:row>33</xdr:row>
      <xdr:rowOff>163285</xdr:rowOff>
    </xdr:to>
    <xdr:graphicFrame macro="">
      <xdr:nvGraphicFramePr>
        <xdr:cNvPr id="2" name="Chart 3" descr="Chart illustrating key stage 4 outcome distributions for the selected key stage 2 attainemt level" title="Chart">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xdr:row>
      <xdr:rowOff>453</xdr:rowOff>
    </xdr:from>
    <xdr:to>
      <xdr:col>10</xdr:col>
      <xdr:colOff>559593</xdr:colOff>
      <xdr:row>3</xdr:row>
      <xdr:rowOff>0</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247650" y="190953"/>
          <a:ext cx="6569868" cy="3805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800" b="1">
              <a:solidFill>
                <a:srgbClr val="104F75"/>
              </a:solidFill>
              <a:latin typeface="Arial" panose="020B0604020202020204" pitchFamily="34" charset="0"/>
              <a:cs typeface="Arial" panose="020B0604020202020204" pitchFamily="34" charset="0"/>
            </a:rPr>
            <a:t>2019 KS2</a:t>
          </a:r>
          <a:r>
            <a:rPr lang="en-GB" sz="1800" b="1" baseline="0">
              <a:solidFill>
                <a:srgbClr val="104F75"/>
              </a:solidFill>
              <a:latin typeface="Arial" panose="020B0604020202020204" pitchFamily="34" charset="0"/>
              <a:cs typeface="Arial" panose="020B0604020202020204" pitchFamily="34" charset="0"/>
            </a:rPr>
            <a:t> - KS4 Combined Science Transitional Matrices (TMs)</a:t>
          </a:r>
          <a:endParaRPr lang="en-GB" sz="1800" b="1">
            <a:solidFill>
              <a:srgbClr val="104F75"/>
            </a:solidFill>
            <a:latin typeface="Arial" panose="020B0604020202020204" pitchFamily="34" charset="0"/>
            <a:cs typeface="Arial" panose="020B0604020202020204" pitchFamily="34" charset="0"/>
          </a:endParaRPr>
        </a:p>
      </xdr:txBody>
    </xdr:sp>
    <xdr:clientData/>
  </xdr:twoCellAnchor>
  <xdr:twoCellAnchor>
    <xdr:from>
      <xdr:col>1</xdr:col>
      <xdr:colOff>30618</xdr:colOff>
      <xdr:row>30</xdr:row>
      <xdr:rowOff>71666</xdr:rowOff>
    </xdr:from>
    <xdr:to>
      <xdr:col>10</xdr:col>
      <xdr:colOff>0</xdr:colOff>
      <xdr:row>33</xdr:row>
      <xdr:rowOff>154781</xdr:rowOff>
    </xdr:to>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278268" y="7691666"/>
          <a:ext cx="5979657" cy="66414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800" b="1">
              <a:solidFill>
                <a:srgbClr val="104F75"/>
              </a:solidFill>
              <a:latin typeface="Arial" panose="020B0604020202020204" pitchFamily="34" charset="0"/>
              <a:cs typeface="Arial" panose="020B0604020202020204" pitchFamily="34" charset="0"/>
            </a:rPr>
            <a:t>2019 KS2</a:t>
          </a:r>
          <a:r>
            <a:rPr lang="en-GB" sz="1800" b="1" baseline="0">
              <a:solidFill>
                <a:srgbClr val="104F75"/>
              </a:solidFill>
              <a:latin typeface="Arial" panose="020B0604020202020204" pitchFamily="34" charset="0"/>
              <a:cs typeface="Arial" panose="020B0604020202020204" pitchFamily="34" charset="0"/>
            </a:rPr>
            <a:t> - KS4 Combined Science TMs: Pupil characteristic disaggregation</a:t>
          </a:r>
          <a:endParaRPr lang="en-GB" sz="1800" b="1">
            <a:solidFill>
              <a:srgbClr val="104F75"/>
            </a:solidFill>
            <a:latin typeface="Arial" panose="020B0604020202020204" pitchFamily="34" charset="0"/>
            <a:cs typeface="Arial" panose="020B0604020202020204"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10</xdr:col>
          <xdr:colOff>314325</xdr:colOff>
          <xdr:row>4</xdr:row>
          <xdr:rowOff>0</xdr:rowOff>
        </xdr:from>
        <xdr:to>
          <xdr:col>14</xdr:col>
          <xdr:colOff>600075</xdr:colOff>
          <xdr:row>5</xdr:row>
          <xdr:rowOff>0</xdr:rowOff>
        </xdr:to>
        <xdr:sp macro="" textlink="">
          <xdr:nvSpPr>
            <xdr:cNvPr id="10241" name="ComboBox1" descr="Drop-down box to select key stage 4 subject" hidden="1">
              <a:extLst>
                <a:ext uri="{63B3BB69-23CF-44E3-9099-C40C66FF867C}">
                  <a14:compatExt spid="_x0000_s10241"/>
                </a:ext>
                <a:ext uri="{FF2B5EF4-FFF2-40B4-BE49-F238E27FC236}">
                  <a16:creationId xmlns:a16="http://schemas.microsoft.com/office/drawing/2014/main" id="{00000000-0008-0000-0200-000001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319088</xdr:colOff>
          <xdr:row>6</xdr:row>
          <xdr:rowOff>0</xdr:rowOff>
        </xdr:from>
        <xdr:to>
          <xdr:col>14</xdr:col>
          <xdr:colOff>604838</xdr:colOff>
          <xdr:row>7</xdr:row>
          <xdr:rowOff>66675</xdr:rowOff>
        </xdr:to>
        <xdr:sp macro="" textlink="">
          <xdr:nvSpPr>
            <xdr:cNvPr id="10242" name="ComboBox2" descr="Drop-down box to select pupil numbers or percentages" hidden="1">
              <a:extLst>
                <a:ext uri="{63B3BB69-23CF-44E3-9099-C40C66FF867C}">
                  <a14:compatExt spid="_x0000_s10242"/>
                </a:ext>
                <a:ext uri="{FF2B5EF4-FFF2-40B4-BE49-F238E27FC236}">
                  <a16:creationId xmlns:a16="http://schemas.microsoft.com/office/drawing/2014/main" id="{00000000-0008-0000-0200-000002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323850</xdr:colOff>
          <xdr:row>8</xdr:row>
          <xdr:rowOff>9525</xdr:rowOff>
        </xdr:from>
        <xdr:to>
          <xdr:col>14</xdr:col>
          <xdr:colOff>647700</xdr:colOff>
          <xdr:row>8</xdr:row>
          <xdr:rowOff>295275</xdr:rowOff>
        </xdr:to>
        <xdr:sp macro="" textlink="">
          <xdr:nvSpPr>
            <xdr:cNvPr id="10243" name="ComboBox3" descr="Drop-down box to select key stage 2 attainment level" hidden="1">
              <a:extLst>
                <a:ext uri="{63B3BB69-23CF-44E3-9099-C40C66FF867C}">
                  <a14:compatExt spid="_x0000_s10243"/>
                </a:ext>
                <a:ext uri="{FF2B5EF4-FFF2-40B4-BE49-F238E27FC236}">
                  <a16:creationId xmlns:a16="http://schemas.microsoft.com/office/drawing/2014/main" id="{00000000-0008-0000-0200-000003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314325</xdr:colOff>
          <xdr:row>33</xdr:row>
          <xdr:rowOff>85725</xdr:rowOff>
        </xdr:from>
        <xdr:to>
          <xdr:col>14</xdr:col>
          <xdr:colOff>638175</xdr:colOff>
          <xdr:row>34</xdr:row>
          <xdr:rowOff>242888</xdr:rowOff>
        </xdr:to>
        <xdr:sp macro="" textlink="">
          <xdr:nvSpPr>
            <xdr:cNvPr id="10244" name="ComboBox4" descr="Drop-down box to select key stage 4 subject" hidden="1">
              <a:extLst>
                <a:ext uri="{63B3BB69-23CF-44E3-9099-C40C66FF867C}">
                  <a14:compatExt spid="_x0000_s10244"/>
                </a:ext>
                <a:ext uri="{FF2B5EF4-FFF2-40B4-BE49-F238E27FC236}">
                  <a16:creationId xmlns:a16="http://schemas.microsoft.com/office/drawing/2014/main" id="{00000000-0008-0000-0200-000004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323850</xdr:colOff>
          <xdr:row>35</xdr:row>
          <xdr:rowOff>147638</xdr:rowOff>
        </xdr:from>
        <xdr:to>
          <xdr:col>14</xdr:col>
          <xdr:colOff>638175</xdr:colOff>
          <xdr:row>37</xdr:row>
          <xdr:rowOff>4763</xdr:rowOff>
        </xdr:to>
        <xdr:sp macro="" textlink="">
          <xdr:nvSpPr>
            <xdr:cNvPr id="10245" name="ComboBox5" descr="Drop-down box to select pupil numbers or percentages" hidden="1">
              <a:extLst>
                <a:ext uri="{63B3BB69-23CF-44E3-9099-C40C66FF867C}">
                  <a14:compatExt spid="_x0000_s10245"/>
                </a:ext>
                <a:ext uri="{FF2B5EF4-FFF2-40B4-BE49-F238E27FC236}">
                  <a16:creationId xmlns:a16="http://schemas.microsoft.com/office/drawing/2014/main" id="{00000000-0008-0000-0200-000005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314325</xdr:colOff>
          <xdr:row>37</xdr:row>
          <xdr:rowOff>157163</xdr:rowOff>
        </xdr:from>
        <xdr:to>
          <xdr:col>14</xdr:col>
          <xdr:colOff>657225</xdr:colOff>
          <xdr:row>38</xdr:row>
          <xdr:rowOff>300038</xdr:rowOff>
        </xdr:to>
        <xdr:sp macro="" textlink="">
          <xdr:nvSpPr>
            <xdr:cNvPr id="10246" name="ComboBox6" descr="Drop-down box to select key stage 2 attainment level" hidden="1">
              <a:extLst>
                <a:ext uri="{63B3BB69-23CF-44E3-9099-C40C66FF867C}">
                  <a14:compatExt spid="_x0000_s10246"/>
                </a:ext>
                <a:ext uri="{FF2B5EF4-FFF2-40B4-BE49-F238E27FC236}">
                  <a16:creationId xmlns:a16="http://schemas.microsoft.com/office/drawing/2014/main" id="{00000000-0008-0000-0200-000006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24</xdr:col>
      <xdr:colOff>10883</xdr:colOff>
      <xdr:row>47</xdr:row>
      <xdr:rowOff>233359</xdr:rowOff>
    </xdr:from>
    <xdr:to>
      <xdr:col>38</xdr:col>
      <xdr:colOff>326571</xdr:colOff>
      <xdr:row>71</xdr:row>
      <xdr:rowOff>108856</xdr:rowOff>
    </xdr:to>
    <xdr:graphicFrame macro="">
      <xdr:nvGraphicFramePr>
        <xdr:cNvPr id="11" name="Chart 1" descr="Chart illustrating ket stage 4 outcome distributions for the chosen key stage 2 attainment level by pupil characteristic breakdown " title="Chart">
          <a:extLst>
            <a:ext uri="{FF2B5EF4-FFF2-40B4-BE49-F238E27FC236}">
              <a16:creationId xmlns:a16="http://schemas.microsoft.com/office/drawing/2014/main" id="{00000000-0008-0000-0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25</xdr:col>
      <xdr:colOff>449035</xdr:colOff>
      <xdr:row>71</xdr:row>
      <xdr:rowOff>272142</xdr:rowOff>
    </xdr:from>
    <xdr:to>
      <xdr:col>37</xdr:col>
      <xdr:colOff>476250</xdr:colOff>
      <xdr:row>74</xdr:row>
      <xdr:rowOff>13607</xdr:rowOff>
    </xdr:to>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17675678" y="18995571"/>
          <a:ext cx="7334251" cy="59871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solidFill>
                <a:srgbClr val="104F75"/>
              </a:solidFill>
              <a:latin typeface="Arial" panose="020B0604020202020204" pitchFamily="34" charset="0"/>
              <a:cs typeface="Arial" panose="020B0604020202020204" pitchFamily="34" charset="0"/>
            </a:rPr>
            <a:t>Chart</a:t>
          </a:r>
          <a:r>
            <a:rPr lang="en-GB" sz="1400">
              <a:latin typeface="Arial" panose="020B0604020202020204" pitchFamily="34" charset="0"/>
              <a:cs typeface="Arial" panose="020B0604020202020204" pitchFamily="34" charset="0"/>
            </a:rPr>
            <a:t>: KS4 outcome distributions for a chosen KS2 attainment level </a:t>
          </a:r>
          <a:r>
            <a:rPr lang="en-GB" sz="1400" b="1">
              <a:latin typeface="Arial" panose="020B0604020202020204" pitchFamily="34" charset="0"/>
              <a:cs typeface="Arial" panose="020B0604020202020204" pitchFamily="34" charset="0"/>
            </a:rPr>
            <a:t>split by selected characteristic</a:t>
          </a:r>
        </a:p>
      </xdr:txBody>
    </xdr:sp>
    <xdr:clientData/>
  </xdr:twoCellAnchor>
  <mc:AlternateContent xmlns:mc="http://schemas.openxmlformats.org/markup-compatibility/2006">
    <mc:Choice xmlns:a14="http://schemas.microsoft.com/office/drawing/2010/main" Requires="a14">
      <xdr:twoCellAnchor>
        <xdr:from>
          <xdr:col>30</xdr:col>
          <xdr:colOff>14288</xdr:colOff>
          <xdr:row>45</xdr:row>
          <xdr:rowOff>133350</xdr:rowOff>
        </xdr:from>
        <xdr:to>
          <xdr:col>30</xdr:col>
          <xdr:colOff>319088</xdr:colOff>
          <xdr:row>47</xdr:row>
          <xdr:rowOff>0</xdr:rowOff>
        </xdr:to>
        <xdr:sp macro="" textlink="">
          <xdr:nvSpPr>
            <xdr:cNvPr id="10249" name="Spinner 9" descr="Arrows to scroll between pupil characteristic breakdowns: gender, disadvantage, SEN or EAL" hidden="1">
              <a:extLst>
                <a:ext uri="{63B3BB69-23CF-44E3-9099-C40C66FF867C}">
                  <a14:compatExt spid="_x0000_s10249"/>
                </a:ext>
                <a:ext uri="{FF2B5EF4-FFF2-40B4-BE49-F238E27FC236}">
                  <a16:creationId xmlns:a16="http://schemas.microsoft.com/office/drawing/2014/main" id="{00000000-0008-0000-0200-0000092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0</xdr:colOff>
      <xdr:row>1</xdr:row>
      <xdr:rowOff>14287</xdr:rowOff>
    </xdr:from>
    <xdr:to>
      <xdr:col>6</xdr:col>
      <xdr:colOff>292101</xdr:colOff>
      <xdr:row>3</xdr:row>
      <xdr:rowOff>32884</xdr:rowOff>
    </xdr:to>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266700" y="198438"/>
          <a:ext cx="5397501" cy="38689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800" b="1">
              <a:solidFill>
                <a:srgbClr val="104F75"/>
              </a:solidFill>
              <a:latin typeface="Arial" panose="020B0604020202020204" pitchFamily="34" charset="0"/>
              <a:cs typeface="Arial" panose="020B0604020202020204" pitchFamily="34" charset="0"/>
            </a:rPr>
            <a:t>2019 KS2</a:t>
          </a:r>
          <a:r>
            <a:rPr lang="en-GB" sz="1800" b="1" baseline="0">
              <a:solidFill>
                <a:srgbClr val="104F75"/>
              </a:solidFill>
              <a:latin typeface="Arial" panose="020B0604020202020204" pitchFamily="34" charset="0"/>
              <a:cs typeface="Arial" panose="020B0604020202020204" pitchFamily="34" charset="0"/>
            </a:rPr>
            <a:t> - KS4 Attainment TMs</a:t>
          </a:r>
        </a:p>
        <a:p>
          <a:endParaRPr lang="en-GB" sz="1800" b="1">
            <a:solidFill>
              <a:srgbClr val="104F75"/>
            </a:solidFill>
            <a:latin typeface="Arial" panose="020B0604020202020204" pitchFamily="34" charset="0"/>
            <a:cs typeface="Arial" panose="020B0604020202020204"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8</xdr:col>
          <xdr:colOff>19050</xdr:colOff>
          <xdr:row>3</xdr:row>
          <xdr:rowOff>100013</xdr:rowOff>
        </xdr:from>
        <xdr:to>
          <xdr:col>10</xdr:col>
          <xdr:colOff>628650</xdr:colOff>
          <xdr:row>5</xdr:row>
          <xdr:rowOff>33338</xdr:rowOff>
        </xdr:to>
        <xdr:sp macro="" textlink="">
          <xdr:nvSpPr>
            <xdr:cNvPr id="5121" name="ComboBox1" descr="Drop-down box to select key stage 4 attainment category" hidden="1">
              <a:extLst>
                <a:ext uri="{63B3BB69-23CF-44E3-9099-C40C66FF867C}">
                  <a14:compatExt spid="_x0000_s5121"/>
                </a:ext>
                <a:ext uri="{FF2B5EF4-FFF2-40B4-BE49-F238E27FC236}">
                  <a16:creationId xmlns:a16="http://schemas.microsoft.com/office/drawing/2014/main" id="{00000000-0008-0000-0300-0000011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14288</xdr:colOff>
          <xdr:row>6</xdr:row>
          <xdr:rowOff>0</xdr:rowOff>
        </xdr:from>
        <xdr:to>
          <xdr:col>10</xdr:col>
          <xdr:colOff>628650</xdr:colOff>
          <xdr:row>7</xdr:row>
          <xdr:rowOff>95250</xdr:rowOff>
        </xdr:to>
        <xdr:sp macro="" textlink="">
          <xdr:nvSpPr>
            <xdr:cNvPr id="5122" name="ComboBox2" descr="Drop-down box to select pupil numbers or percentages" hidden="1">
              <a:extLst>
                <a:ext uri="{63B3BB69-23CF-44E3-9099-C40C66FF867C}">
                  <a14:compatExt spid="_x0000_s5122"/>
                </a:ext>
                <a:ext uri="{FF2B5EF4-FFF2-40B4-BE49-F238E27FC236}">
                  <a16:creationId xmlns:a16="http://schemas.microsoft.com/office/drawing/2014/main" id="{00000000-0008-0000-0300-000002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214313</xdr:colOff>
      <xdr:row>32</xdr:row>
      <xdr:rowOff>14288</xdr:rowOff>
    </xdr:from>
    <xdr:to>
      <xdr:col>9</xdr:col>
      <xdr:colOff>1190625</xdr:colOff>
      <xdr:row>34</xdr:row>
      <xdr:rowOff>32885</xdr:rowOff>
    </xdr:to>
    <xdr:sp macro="" textlink="">
      <xdr:nvSpPr>
        <xdr:cNvPr id="8" name="TextBox 7">
          <a:extLst>
            <a:ext uri="{FF2B5EF4-FFF2-40B4-BE49-F238E27FC236}">
              <a16:creationId xmlns:a16="http://schemas.microsoft.com/office/drawing/2014/main" id="{00000000-0008-0000-0300-000008000000}"/>
            </a:ext>
          </a:extLst>
        </xdr:cNvPr>
        <xdr:cNvSpPr txBox="1"/>
      </xdr:nvSpPr>
      <xdr:spPr>
        <a:xfrm>
          <a:off x="464344" y="7193757"/>
          <a:ext cx="7715250" cy="39959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800" b="1">
              <a:solidFill>
                <a:srgbClr val="104F75"/>
              </a:solidFill>
              <a:latin typeface="Arial" panose="020B0604020202020204" pitchFamily="34" charset="0"/>
              <a:cs typeface="Arial" panose="020B0604020202020204" pitchFamily="34" charset="0"/>
            </a:rPr>
            <a:t>2019 KS2</a:t>
          </a:r>
          <a:r>
            <a:rPr lang="en-GB" sz="1800" b="1" baseline="0">
              <a:solidFill>
                <a:srgbClr val="104F75"/>
              </a:solidFill>
              <a:latin typeface="Arial" panose="020B0604020202020204" pitchFamily="34" charset="0"/>
              <a:cs typeface="Arial" panose="020B0604020202020204" pitchFamily="34" charset="0"/>
            </a:rPr>
            <a:t> - KS4 Attainment TMs: Pupil characteristic disaggregation</a:t>
          </a:r>
        </a:p>
        <a:p>
          <a:endParaRPr lang="en-GB" sz="1800" b="1">
            <a:solidFill>
              <a:srgbClr val="104F75"/>
            </a:solidFill>
            <a:latin typeface="Arial" panose="020B0604020202020204" pitchFamily="34" charset="0"/>
            <a:cs typeface="Arial" panose="020B0604020202020204"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8</xdr:col>
          <xdr:colOff>200025</xdr:colOff>
          <xdr:row>34</xdr:row>
          <xdr:rowOff>100013</xdr:rowOff>
        </xdr:from>
        <xdr:to>
          <xdr:col>10</xdr:col>
          <xdr:colOff>581025</xdr:colOff>
          <xdr:row>35</xdr:row>
          <xdr:rowOff>209550</xdr:rowOff>
        </xdr:to>
        <xdr:sp macro="" textlink="">
          <xdr:nvSpPr>
            <xdr:cNvPr id="5125" name="ComboBox4" descr="Drop-down box to select key stage 4 attainment category" hidden="1">
              <a:extLst>
                <a:ext uri="{63B3BB69-23CF-44E3-9099-C40C66FF867C}">
                  <a14:compatExt spid="_x0000_s5125"/>
                </a:ext>
                <a:ext uri="{FF2B5EF4-FFF2-40B4-BE49-F238E27FC236}">
                  <a16:creationId xmlns:a16="http://schemas.microsoft.com/office/drawing/2014/main" id="{00000000-0008-0000-0300-000005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36</xdr:row>
          <xdr:rowOff>123825</xdr:rowOff>
        </xdr:from>
        <xdr:to>
          <xdr:col>10</xdr:col>
          <xdr:colOff>585788</xdr:colOff>
          <xdr:row>38</xdr:row>
          <xdr:rowOff>0</xdr:rowOff>
        </xdr:to>
        <xdr:sp macro="" textlink="">
          <xdr:nvSpPr>
            <xdr:cNvPr id="5126" name="ComboBox5" descr="Drop-down box to select pupil numbers or percentages" hidden="1">
              <a:extLst>
                <a:ext uri="{63B3BB69-23CF-44E3-9099-C40C66FF867C}">
                  <a14:compatExt spid="_x0000_s5126"/>
                </a:ext>
                <a:ext uri="{FF2B5EF4-FFF2-40B4-BE49-F238E27FC236}">
                  <a16:creationId xmlns:a16="http://schemas.microsoft.com/office/drawing/2014/main" id="{00000000-0008-0000-0300-000006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204788</xdr:colOff>
          <xdr:row>38</xdr:row>
          <xdr:rowOff>138113</xdr:rowOff>
        </xdr:from>
        <xdr:to>
          <xdr:col>10</xdr:col>
          <xdr:colOff>595313</xdr:colOff>
          <xdr:row>40</xdr:row>
          <xdr:rowOff>38100</xdr:rowOff>
        </xdr:to>
        <xdr:sp macro="" textlink="">
          <xdr:nvSpPr>
            <xdr:cNvPr id="5127" name="ComboBox6" descr="Drop-down box to select key stage 2 attainment level" hidden="1">
              <a:extLst>
                <a:ext uri="{63B3BB69-23CF-44E3-9099-C40C66FF867C}">
                  <a14:compatExt spid="_x0000_s5127"/>
                </a:ext>
                <a:ext uri="{FF2B5EF4-FFF2-40B4-BE49-F238E27FC236}">
                  <a16:creationId xmlns:a16="http://schemas.microsoft.com/office/drawing/2014/main" id="{00000000-0008-0000-0300-000007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542924</xdr:colOff>
      <xdr:row>10</xdr:row>
      <xdr:rowOff>57149</xdr:rowOff>
    </xdr:from>
    <xdr:to>
      <xdr:col>19</xdr:col>
      <xdr:colOff>502444</xdr:colOff>
      <xdr:row>27</xdr:row>
      <xdr:rowOff>83344</xdr:rowOff>
    </xdr:to>
    <xdr:graphicFrame macro="">
      <xdr:nvGraphicFramePr>
        <xdr:cNvPr id="3" name="Chart 1" descr="Interactive chart illustrating key stage 4 outcomes for all key stage 2 attainment levels" title="Chart">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69850</xdr:colOff>
      <xdr:row>44</xdr:row>
      <xdr:rowOff>202406</xdr:rowOff>
    </xdr:from>
    <xdr:to>
      <xdr:col>19</xdr:col>
      <xdr:colOff>247650</xdr:colOff>
      <xdr:row>59</xdr:row>
      <xdr:rowOff>11906</xdr:rowOff>
    </xdr:to>
    <xdr:graphicFrame macro="">
      <xdr:nvGraphicFramePr>
        <xdr:cNvPr id="4" name="Chart 2" descr="Interactive chart illustrating key stage 4 outcomes for a chosen key stage 2 attainment level by selected pupil characteristic breakdown" title="Chart">
          <a:extLst>
            <a:ext uri="{FF2B5EF4-FFF2-40B4-BE49-F238E27FC236}">
              <a16:creationId xmlns:a16="http://schemas.microsoft.com/office/drawing/2014/main" id="{00000000-0008-0000-0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xdr:from>
          <xdr:col>16</xdr:col>
          <xdr:colOff>295275</xdr:colOff>
          <xdr:row>42</xdr:row>
          <xdr:rowOff>76200</xdr:rowOff>
        </xdr:from>
        <xdr:to>
          <xdr:col>17</xdr:col>
          <xdr:colOff>295275</xdr:colOff>
          <xdr:row>44</xdr:row>
          <xdr:rowOff>4763</xdr:rowOff>
        </xdr:to>
        <xdr:sp macro="" textlink="">
          <xdr:nvSpPr>
            <xdr:cNvPr id="5128" name="Spinner 8" descr="Arrow to select between pupil chracteristic breakdowns: gender, disadvantage, SEN or EAL" hidden="1">
              <a:extLst>
                <a:ext uri="{63B3BB69-23CF-44E3-9099-C40C66FF867C}">
                  <a14:compatExt spid="_x0000_s5128"/>
                </a:ext>
                <a:ext uri="{FF2B5EF4-FFF2-40B4-BE49-F238E27FC236}">
                  <a16:creationId xmlns:a16="http://schemas.microsoft.com/office/drawing/2014/main" id="{00000000-0008-0000-0300-000008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585332</xdr:colOff>
      <xdr:row>2</xdr:row>
      <xdr:rowOff>68262</xdr:rowOff>
    </xdr:to>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0" y="0"/>
          <a:ext cx="5379582" cy="43338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800" b="1">
              <a:solidFill>
                <a:srgbClr val="104F75"/>
              </a:solidFill>
              <a:latin typeface="Arial" panose="020B0604020202020204" pitchFamily="34" charset="0"/>
              <a:cs typeface="Arial" panose="020B0604020202020204" pitchFamily="34" charset="0"/>
            </a:rPr>
            <a:t>2019 KS2</a:t>
          </a:r>
          <a:r>
            <a:rPr lang="en-GB" sz="1800" b="1" baseline="0">
              <a:solidFill>
                <a:srgbClr val="104F75"/>
              </a:solidFill>
              <a:latin typeface="Arial" panose="020B0604020202020204" pitchFamily="34" charset="0"/>
              <a:cs typeface="Arial" panose="020B0604020202020204" pitchFamily="34" charset="0"/>
            </a:rPr>
            <a:t> - KS4 Underlying TM Data</a:t>
          </a:r>
          <a:endParaRPr lang="en-GB" sz="1800" b="1">
            <a:solidFill>
              <a:srgbClr val="104F75"/>
            </a:solidFill>
            <a:latin typeface="Arial" panose="020B0604020202020204" pitchFamily="34" charset="0"/>
            <a:cs typeface="Arial" panose="020B060402020202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Sdau1\Pre-16%20development\Routine%20products\Transition%20Matrices\2018\KS2-4\Development\Simon\2018%20KS4%20TM%20Working%20File%20SM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6.emf"/><Relationship Id="rId3" Type="http://schemas.openxmlformats.org/officeDocument/2006/relationships/vmlDrawing" Target="../drawings/vmlDrawing1.vml"/><Relationship Id="rId7" Type="http://schemas.openxmlformats.org/officeDocument/2006/relationships/image" Target="../media/image3.emf"/><Relationship Id="rId12" Type="http://schemas.openxmlformats.org/officeDocument/2006/relationships/control" Target="../activeX/activeX5.xml"/><Relationship Id="rId2" Type="http://schemas.openxmlformats.org/officeDocument/2006/relationships/drawing" Target="../drawings/drawing2.xml"/><Relationship Id="rId16" Type="http://schemas.openxmlformats.org/officeDocument/2006/relationships/ctrlProp" Target="../ctrlProps/ctrlProp1.xml"/><Relationship Id="rId1" Type="http://schemas.openxmlformats.org/officeDocument/2006/relationships/printerSettings" Target="../printerSettings/printerSettings1.bin"/><Relationship Id="rId6" Type="http://schemas.openxmlformats.org/officeDocument/2006/relationships/control" Target="../activeX/activeX2.xml"/><Relationship Id="rId11" Type="http://schemas.openxmlformats.org/officeDocument/2006/relationships/image" Target="../media/image5.emf"/><Relationship Id="rId5" Type="http://schemas.openxmlformats.org/officeDocument/2006/relationships/image" Target="../media/image2.emf"/><Relationship Id="rId15" Type="http://schemas.openxmlformats.org/officeDocument/2006/relationships/image" Target="../media/image7.emf"/><Relationship Id="rId10" Type="http://schemas.openxmlformats.org/officeDocument/2006/relationships/control" Target="../activeX/activeX4.xml"/><Relationship Id="rId4" Type="http://schemas.openxmlformats.org/officeDocument/2006/relationships/control" Target="../activeX/activeX1.xml"/><Relationship Id="rId9" Type="http://schemas.openxmlformats.org/officeDocument/2006/relationships/image" Target="../media/image4.emf"/><Relationship Id="rId14" Type="http://schemas.openxmlformats.org/officeDocument/2006/relationships/control" Target="../activeX/activeX6.xml"/></Relationships>
</file>

<file path=xl/worksheets/_rels/sheet3.xml.rels><?xml version="1.0" encoding="UTF-8" standalone="yes"?>
<Relationships xmlns="http://schemas.openxmlformats.org/package/2006/relationships"><Relationship Id="rId8" Type="http://schemas.openxmlformats.org/officeDocument/2006/relationships/control" Target="../activeX/activeX9.xml"/><Relationship Id="rId13" Type="http://schemas.openxmlformats.org/officeDocument/2006/relationships/image" Target="../media/image12.emf"/><Relationship Id="rId3" Type="http://schemas.openxmlformats.org/officeDocument/2006/relationships/vmlDrawing" Target="../drawings/vmlDrawing2.vml"/><Relationship Id="rId7" Type="http://schemas.openxmlformats.org/officeDocument/2006/relationships/image" Target="../media/image9.emf"/><Relationship Id="rId12" Type="http://schemas.openxmlformats.org/officeDocument/2006/relationships/control" Target="../activeX/activeX11.xml"/><Relationship Id="rId2" Type="http://schemas.openxmlformats.org/officeDocument/2006/relationships/drawing" Target="../drawings/drawing3.xml"/><Relationship Id="rId16" Type="http://schemas.openxmlformats.org/officeDocument/2006/relationships/ctrlProp" Target="../ctrlProps/ctrlProp2.xml"/><Relationship Id="rId1" Type="http://schemas.openxmlformats.org/officeDocument/2006/relationships/printerSettings" Target="../printerSettings/printerSettings2.bin"/><Relationship Id="rId6" Type="http://schemas.openxmlformats.org/officeDocument/2006/relationships/control" Target="../activeX/activeX8.xml"/><Relationship Id="rId11" Type="http://schemas.openxmlformats.org/officeDocument/2006/relationships/image" Target="../media/image11.emf"/><Relationship Id="rId5" Type="http://schemas.openxmlformats.org/officeDocument/2006/relationships/image" Target="../media/image8.emf"/><Relationship Id="rId15" Type="http://schemas.openxmlformats.org/officeDocument/2006/relationships/image" Target="../media/image13.emf"/><Relationship Id="rId10" Type="http://schemas.openxmlformats.org/officeDocument/2006/relationships/control" Target="../activeX/activeX10.xml"/><Relationship Id="rId4" Type="http://schemas.openxmlformats.org/officeDocument/2006/relationships/control" Target="../activeX/activeX7.xml"/><Relationship Id="rId9" Type="http://schemas.openxmlformats.org/officeDocument/2006/relationships/image" Target="../media/image10.emf"/><Relationship Id="rId14" Type="http://schemas.openxmlformats.org/officeDocument/2006/relationships/control" Target="../activeX/activeX12.xml"/></Relationships>
</file>

<file path=xl/worksheets/_rels/sheet4.xml.rels><?xml version="1.0" encoding="UTF-8" standalone="yes"?>
<Relationships xmlns="http://schemas.openxmlformats.org/package/2006/relationships"><Relationship Id="rId8" Type="http://schemas.openxmlformats.org/officeDocument/2006/relationships/control" Target="../activeX/activeX15.xml"/><Relationship Id="rId13" Type="http://schemas.openxmlformats.org/officeDocument/2006/relationships/image" Target="../media/image18.emf"/><Relationship Id="rId3" Type="http://schemas.openxmlformats.org/officeDocument/2006/relationships/vmlDrawing" Target="../drawings/vmlDrawing3.vml"/><Relationship Id="rId7" Type="http://schemas.openxmlformats.org/officeDocument/2006/relationships/image" Target="../media/image15.emf"/><Relationship Id="rId12" Type="http://schemas.openxmlformats.org/officeDocument/2006/relationships/control" Target="../activeX/activeX17.xml"/><Relationship Id="rId2" Type="http://schemas.openxmlformats.org/officeDocument/2006/relationships/drawing" Target="../drawings/drawing4.xml"/><Relationship Id="rId1" Type="http://schemas.openxmlformats.org/officeDocument/2006/relationships/printerSettings" Target="../printerSettings/printerSettings3.bin"/><Relationship Id="rId6" Type="http://schemas.openxmlformats.org/officeDocument/2006/relationships/control" Target="../activeX/activeX14.xml"/><Relationship Id="rId11" Type="http://schemas.openxmlformats.org/officeDocument/2006/relationships/image" Target="../media/image17.emf"/><Relationship Id="rId5" Type="http://schemas.openxmlformats.org/officeDocument/2006/relationships/image" Target="../media/image14.emf"/><Relationship Id="rId10" Type="http://schemas.openxmlformats.org/officeDocument/2006/relationships/control" Target="../activeX/activeX16.xml"/><Relationship Id="rId4" Type="http://schemas.openxmlformats.org/officeDocument/2006/relationships/control" Target="../activeX/activeX13.xml"/><Relationship Id="rId9" Type="http://schemas.openxmlformats.org/officeDocument/2006/relationships/image" Target="../media/image16.emf"/><Relationship Id="rId14" Type="http://schemas.openxmlformats.org/officeDocument/2006/relationships/ctrlProp" Target="../ctrlProps/ctrlProp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45:O75"/>
  <sheetViews>
    <sheetView showGridLines="0" showRowColHeaders="0" tabSelected="1" zoomScale="80" zoomScaleNormal="80" workbookViewId="0">
      <selection activeCell="L72" sqref="L72"/>
    </sheetView>
  </sheetViews>
  <sheetFormatPr defaultRowHeight="14.25" x14ac:dyDescent="0.45"/>
  <cols>
    <col min="4" max="4" width="7" customWidth="1"/>
  </cols>
  <sheetData>
    <row r="45" spans="2:15" ht="18.75" customHeight="1" x14ac:dyDescent="0.55000000000000004">
      <c r="C45" s="42"/>
      <c r="D45" s="112" t="s">
        <v>24</v>
      </c>
      <c r="E45" s="112"/>
      <c r="F45" s="45"/>
      <c r="G45" s="45"/>
      <c r="H45" s="45"/>
      <c r="I45" s="45"/>
      <c r="J45" s="45"/>
      <c r="K45" s="45"/>
      <c r="L45" s="45"/>
      <c r="M45" s="45"/>
      <c r="N45" s="45"/>
      <c r="O45" s="45"/>
    </row>
    <row r="46" spans="2:15" ht="28.9" customHeight="1" x14ac:dyDescent="0.45">
      <c r="C46" s="42"/>
      <c r="D46" s="112"/>
      <c r="E46" s="112"/>
      <c r="F46" s="108" t="s">
        <v>12</v>
      </c>
      <c r="G46" s="108"/>
      <c r="H46" s="108"/>
      <c r="I46" s="108"/>
      <c r="J46" s="108"/>
      <c r="K46" s="108"/>
      <c r="L46" s="108"/>
      <c r="M46" s="108"/>
      <c r="N46" s="108"/>
      <c r="O46" s="108"/>
    </row>
    <row r="47" spans="2:15" ht="15" customHeight="1" x14ac:dyDescent="0.45">
      <c r="C47" s="42"/>
      <c r="D47" s="113"/>
      <c r="E47" s="113"/>
      <c r="F47" s="9" t="s">
        <v>0</v>
      </c>
      <c r="G47" s="9">
        <v>1</v>
      </c>
      <c r="H47" s="9">
        <v>2</v>
      </c>
      <c r="I47" s="9">
        <v>3</v>
      </c>
      <c r="J47" s="9">
        <v>4</v>
      </c>
      <c r="K47" s="9">
        <v>5</v>
      </c>
      <c r="L47" s="9">
        <v>6</v>
      </c>
      <c r="M47" s="9">
        <v>7</v>
      </c>
      <c r="N47" s="9">
        <v>8</v>
      </c>
      <c r="O47" s="9">
        <v>9</v>
      </c>
    </row>
    <row r="48" spans="2:15" ht="15.75" customHeight="1" x14ac:dyDescent="0.45">
      <c r="B48" s="114" t="s">
        <v>37</v>
      </c>
      <c r="C48" s="42"/>
      <c r="D48" s="109" t="s">
        <v>13</v>
      </c>
      <c r="E48" s="46" t="s">
        <v>1</v>
      </c>
      <c r="F48" s="103">
        <v>0</v>
      </c>
      <c r="G48" s="103">
        <v>0</v>
      </c>
      <c r="H48" s="103">
        <v>1</v>
      </c>
      <c r="I48" s="103">
        <v>0</v>
      </c>
      <c r="J48" s="103">
        <v>2</v>
      </c>
      <c r="K48" s="103">
        <v>2</v>
      </c>
      <c r="L48" s="103">
        <v>0</v>
      </c>
      <c r="M48" s="103">
        <v>0</v>
      </c>
      <c r="N48" s="103">
        <v>0</v>
      </c>
      <c r="O48" s="17">
        <v>0</v>
      </c>
    </row>
    <row r="49" spans="2:15" ht="15.4" x14ac:dyDescent="0.45">
      <c r="B49" s="114"/>
      <c r="C49" s="42"/>
      <c r="D49" s="110"/>
      <c r="E49" s="46">
        <v>1</v>
      </c>
      <c r="F49" s="103">
        <v>2</v>
      </c>
      <c r="G49" s="103">
        <v>4</v>
      </c>
      <c r="H49" s="103">
        <v>1</v>
      </c>
      <c r="I49" s="103">
        <v>2</v>
      </c>
      <c r="J49" s="103">
        <v>0</v>
      </c>
      <c r="K49" s="103">
        <v>2</v>
      </c>
      <c r="L49" s="103">
        <v>0</v>
      </c>
      <c r="M49" s="103">
        <v>3</v>
      </c>
      <c r="N49" s="103">
        <v>3</v>
      </c>
      <c r="O49" s="103">
        <v>0</v>
      </c>
    </row>
    <row r="50" spans="2:15" ht="15.4" x14ac:dyDescent="0.45">
      <c r="B50" s="114"/>
      <c r="C50" s="42"/>
      <c r="D50" s="110"/>
      <c r="E50" s="46" t="s">
        <v>2</v>
      </c>
      <c r="F50" s="103">
        <v>22</v>
      </c>
      <c r="G50" s="103">
        <v>95</v>
      </c>
      <c r="H50" s="103">
        <v>123</v>
      </c>
      <c r="I50" s="103">
        <v>100</v>
      </c>
      <c r="J50" s="103">
        <v>34</v>
      </c>
      <c r="K50" s="103">
        <v>32</v>
      </c>
      <c r="L50" s="103">
        <v>15</v>
      </c>
      <c r="M50" s="103">
        <v>7</v>
      </c>
      <c r="N50" s="103">
        <v>6</v>
      </c>
      <c r="O50" s="103">
        <v>10</v>
      </c>
    </row>
    <row r="51" spans="2:15" ht="15.4" x14ac:dyDescent="0.45">
      <c r="B51" s="114"/>
      <c r="C51" s="42"/>
      <c r="D51" s="110"/>
      <c r="E51" s="46" t="s">
        <v>3</v>
      </c>
      <c r="F51" s="103">
        <v>9</v>
      </c>
      <c r="G51" s="103">
        <v>100</v>
      </c>
      <c r="H51" s="103">
        <v>135</v>
      </c>
      <c r="I51" s="103">
        <v>113</v>
      </c>
      <c r="J51" s="103">
        <v>35</v>
      </c>
      <c r="K51" s="103">
        <v>21</v>
      </c>
      <c r="L51" s="103">
        <v>6</v>
      </c>
      <c r="M51" s="103">
        <v>8</v>
      </c>
      <c r="N51" s="103">
        <v>2</v>
      </c>
      <c r="O51" s="103">
        <v>0</v>
      </c>
    </row>
    <row r="52" spans="2:15" ht="15.4" x14ac:dyDescent="0.45">
      <c r="B52" s="114"/>
      <c r="C52" s="42"/>
      <c r="D52" s="110"/>
      <c r="E52" s="46" t="s">
        <v>4</v>
      </c>
      <c r="F52" s="103">
        <v>12</v>
      </c>
      <c r="G52" s="103">
        <v>104</v>
      </c>
      <c r="H52" s="103">
        <v>254</v>
      </c>
      <c r="I52" s="103">
        <v>246</v>
      </c>
      <c r="J52" s="103">
        <v>77</v>
      </c>
      <c r="K52" s="103">
        <v>52</v>
      </c>
      <c r="L52" s="103">
        <v>20</v>
      </c>
      <c r="M52" s="103">
        <v>11</v>
      </c>
      <c r="N52" s="103">
        <v>7</v>
      </c>
      <c r="O52" s="103">
        <v>5</v>
      </c>
    </row>
    <row r="53" spans="2:15" ht="15.4" x14ac:dyDescent="0.45">
      <c r="B53" s="114"/>
      <c r="C53" s="42"/>
      <c r="D53" s="110"/>
      <c r="E53" s="46" t="s">
        <v>5</v>
      </c>
      <c r="F53" s="103">
        <v>41</v>
      </c>
      <c r="G53" s="103">
        <v>228</v>
      </c>
      <c r="H53" s="103">
        <v>524</v>
      </c>
      <c r="I53" s="103">
        <v>606</v>
      </c>
      <c r="J53" s="103">
        <v>217</v>
      </c>
      <c r="K53" s="103">
        <v>159</v>
      </c>
      <c r="L53" s="103">
        <v>30</v>
      </c>
      <c r="M53" s="103">
        <v>29</v>
      </c>
      <c r="N53" s="103">
        <v>15</v>
      </c>
      <c r="O53" s="103">
        <v>6</v>
      </c>
    </row>
    <row r="54" spans="2:15" ht="15.4" x14ac:dyDescent="0.45">
      <c r="B54" s="114"/>
      <c r="C54" s="42"/>
      <c r="D54" s="110"/>
      <c r="E54" s="46" t="s">
        <v>6</v>
      </c>
      <c r="F54" s="103">
        <v>67</v>
      </c>
      <c r="G54" s="103">
        <v>433</v>
      </c>
      <c r="H54" s="103">
        <v>1198</v>
      </c>
      <c r="I54" s="103">
        <v>1829</v>
      </c>
      <c r="J54" s="103">
        <v>814</v>
      </c>
      <c r="K54" s="103">
        <v>568</v>
      </c>
      <c r="L54" s="103">
        <v>112</v>
      </c>
      <c r="M54" s="103">
        <v>86</v>
      </c>
      <c r="N54" s="103">
        <v>40</v>
      </c>
      <c r="O54" s="103">
        <v>15</v>
      </c>
    </row>
    <row r="55" spans="2:15" ht="15.4" x14ac:dyDescent="0.45">
      <c r="B55" s="114"/>
      <c r="C55" s="42"/>
      <c r="D55" s="110"/>
      <c r="E55" s="46" t="s">
        <v>7</v>
      </c>
      <c r="F55" s="103">
        <v>176</v>
      </c>
      <c r="G55" s="103">
        <v>595</v>
      </c>
      <c r="H55" s="103">
        <v>2131</v>
      </c>
      <c r="I55" s="103">
        <v>4333</v>
      </c>
      <c r="J55" s="103">
        <v>2343</v>
      </c>
      <c r="K55" s="103">
        <v>1795</v>
      </c>
      <c r="L55" s="103">
        <v>435</v>
      </c>
      <c r="M55" s="103">
        <v>276</v>
      </c>
      <c r="N55" s="103">
        <v>164</v>
      </c>
      <c r="O55" s="103">
        <v>42</v>
      </c>
    </row>
    <row r="56" spans="2:15" ht="15.4" x14ac:dyDescent="0.45">
      <c r="B56" s="114"/>
      <c r="C56" s="42"/>
      <c r="D56" s="110"/>
      <c r="E56" s="46" t="s">
        <v>8</v>
      </c>
      <c r="F56" s="103">
        <v>347</v>
      </c>
      <c r="G56" s="103">
        <v>542</v>
      </c>
      <c r="H56" s="103">
        <v>2291</v>
      </c>
      <c r="I56" s="103">
        <v>6233</v>
      </c>
      <c r="J56" s="103">
        <v>4567</v>
      </c>
      <c r="K56" s="103">
        <v>4341</v>
      </c>
      <c r="L56" s="103">
        <v>1376</v>
      </c>
      <c r="M56" s="103">
        <v>951</v>
      </c>
      <c r="N56" s="103">
        <v>406</v>
      </c>
      <c r="O56" s="103">
        <v>158</v>
      </c>
    </row>
    <row r="57" spans="2:15" ht="15.4" x14ac:dyDescent="0.45">
      <c r="B57" s="114"/>
      <c r="C57" s="42"/>
      <c r="D57" s="110"/>
      <c r="E57" s="46" t="s">
        <v>9</v>
      </c>
      <c r="F57" s="103">
        <v>495</v>
      </c>
      <c r="G57" s="103">
        <v>287</v>
      </c>
      <c r="H57" s="103">
        <v>1518</v>
      </c>
      <c r="I57" s="103">
        <v>5712</v>
      </c>
      <c r="J57" s="103">
        <v>5732</v>
      </c>
      <c r="K57" s="103">
        <v>6921</v>
      </c>
      <c r="L57" s="103">
        <v>3387</v>
      </c>
      <c r="M57" s="103">
        <v>2488</v>
      </c>
      <c r="N57" s="103">
        <v>1171</v>
      </c>
      <c r="O57" s="103">
        <v>496</v>
      </c>
    </row>
    <row r="58" spans="2:15" ht="15.4" x14ac:dyDescent="0.45">
      <c r="B58" s="114"/>
      <c r="C58" s="42"/>
      <c r="D58" s="110"/>
      <c r="E58" s="46" t="s">
        <v>10</v>
      </c>
      <c r="F58" s="103">
        <v>432</v>
      </c>
      <c r="G58" s="103">
        <v>91</v>
      </c>
      <c r="H58" s="103">
        <v>491</v>
      </c>
      <c r="I58" s="103">
        <v>2783</v>
      </c>
      <c r="J58" s="103">
        <v>4021</v>
      </c>
      <c r="K58" s="103">
        <v>6474</v>
      </c>
      <c r="L58" s="103">
        <v>5100</v>
      </c>
      <c r="M58" s="103">
        <v>5381</v>
      </c>
      <c r="N58" s="103">
        <v>3472</v>
      </c>
      <c r="O58" s="103">
        <v>1681</v>
      </c>
    </row>
    <row r="59" spans="2:15" ht="15.4" x14ac:dyDescent="0.45">
      <c r="B59" s="114"/>
      <c r="C59" s="42"/>
      <c r="D59" s="111"/>
      <c r="E59" s="46" t="s">
        <v>11</v>
      </c>
      <c r="F59" s="103">
        <v>30</v>
      </c>
      <c r="G59" s="103">
        <v>5</v>
      </c>
      <c r="H59" s="103">
        <v>28</v>
      </c>
      <c r="I59" s="103">
        <v>209</v>
      </c>
      <c r="J59" s="103">
        <v>472</v>
      </c>
      <c r="K59" s="103">
        <v>1034</v>
      </c>
      <c r="L59" s="103">
        <v>1284</v>
      </c>
      <c r="M59" s="103">
        <v>1959</v>
      </c>
      <c r="N59" s="103">
        <v>2064</v>
      </c>
      <c r="O59" s="103">
        <v>1748</v>
      </c>
    </row>
    <row r="60" spans="2:15" x14ac:dyDescent="0.45">
      <c r="C60" s="42"/>
      <c r="D60" s="42"/>
      <c r="E60" s="42"/>
      <c r="F60" s="42"/>
      <c r="G60" s="42"/>
      <c r="H60" s="42"/>
      <c r="I60" s="42"/>
      <c r="J60" s="42"/>
      <c r="K60" s="42"/>
      <c r="L60" s="42"/>
      <c r="M60" s="42"/>
      <c r="N60" s="42"/>
      <c r="O60" s="42"/>
    </row>
    <row r="61" spans="2:15" ht="18.75" customHeight="1" x14ac:dyDescent="0.55000000000000004">
      <c r="C61" s="42"/>
      <c r="D61" s="112" t="s">
        <v>16</v>
      </c>
      <c r="E61" s="112"/>
      <c r="F61" s="45"/>
      <c r="G61" s="45"/>
      <c r="H61" s="45"/>
      <c r="I61" s="45"/>
      <c r="J61" s="45"/>
      <c r="K61" s="45"/>
      <c r="L61" s="45"/>
      <c r="M61" s="45"/>
      <c r="N61" s="45"/>
      <c r="O61" s="45"/>
    </row>
    <row r="62" spans="2:15" ht="28.9" customHeight="1" x14ac:dyDescent="0.45">
      <c r="C62" s="42"/>
      <c r="D62" s="112"/>
      <c r="E62" s="112"/>
      <c r="F62" s="108" t="s">
        <v>12</v>
      </c>
      <c r="G62" s="108"/>
      <c r="H62" s="108"/>
      <c r="I62" s="108"/>
      <c r="J62" s="108"/>
      <c r="K62" s="108"/>
      <c r="L62" s="108"/>
      <c r="M62" s="108"/>
      <c r="N62" s="108"/>
      <c r="O62" s="108"/>
    </row>
    <row r="63" spans="2:15" ht="15" customHeight="1" x14ac:dyDescent="0.45">
      <c r="C63" s="42"/>
      <c r="D63" s="113"/>
      <c r="E63" s="113"/>
      <c r="F63" s="9" t="s">
        <v>0</v>
      </c>
      <c r="G63" s="9">
        <v>1</v>
      </c>
      <c r="H63" s="9">
        <v>2</v>
      </c>
      <c r="I63" s="9">
        <v>3</v>
      </c>
      <c r="J63" s="9">
        <v>4</v>
      </c>
      <c r="K63" s="9">
        <v>5</v>
      </c>
      <c r="L63" s="9">
        <v>6</v>
      </c>
      <c r="M63" s="9">
        <v>7</v>
      </c>
      <c r="N63" s="9">
        <v>8</v>
      </c>
      <c r="O63" s="9">
        <v>9</v>
      </c>
    </row>
    <row r="64" spans="2:15" ht="15.75" customHeight="1" x14ac:dyDescent="0.45">
      <c r="C64" s="42"/>
      <c r="D64" s="109" t="s">
        <v>13</v>
      </c>
      <c r="E64" s="47" t="s">
        <v>1</v>
      </c>
      <c r="F64" s="103">
        <v>0</v>
      </c>
      <c r="G64" s="103">
        <v>0</v>
      </c>
      <c r="H64" s="103">
        <v>20</v>
      </c>
      <c r="I64" s="103">
        <v>0</v>
      </c>
      <c r="J64" s="103">
        <v>40</v>
      </c>
      <c r="K64" s="103">
        <v>40</v>
      </c>
      <c r="L64" s="103">
        <v>0</v>
      </c>
      <c r="M64" s="103">
        <v>0</v>
      </c>
      <c r="N64" s="103">
        <v>0</v>
      </c>
      <c r="O64" s="17">
        <v>0</v>
      </c>
    </row>
    <row r="65" spans="3:15" ht="15.4" x14ac:dyDescent="0.45">
      <c r="C65" s="42"/>
      <c r="D65" s="110"/>
      <c r="E65" s="47">
        <v>1</v>
      </c>
      <c r="F65" s="103">
        <v>11.76470588235294</v>
      </c>
      <c r="G65" s="103">
        <v>23.52941176470588</v>
      </c>
      <c r="H65" s="103">
        <v>5.8823529411764701</v>
      </c>
      <c r="I65" s="103">
        <v>11.76470588235294</v>
      </c>
      <c r="J65" s="103">
        <v>0</v>
      </c>
      <c r="K65" s="103">
        <v>11.76470588235294</v>
      </c>
      <c r="L65" s="103">
        <v>0</v>
      </c>
      <c r="M65" s="103">
        <v>17.647058823529413</v>
      </c>
      <c r="N65" s="103">
        <v>17.647058823529413</v>
      </c>
      <c r="O65" s="103">
        <v>0</v>
      </c>
    </row>
    <row r="66" spans="3:15" ht="15.4" x14ac:dyDescent="0.45">
      <c r="C66" s="42"/>
      <c r="D66" s="110"/>
      <c r="E66" s="47" t="s">
        <v>2</v>
      </c>
      <c r="F66" s="103">
        <v>4.954954954954955</v>
      </c>
      <c r="G66" s="103">
        <v>21.396396396396398</v>
      </c>
      <c r="H66" s="103">
        <v>27.702702702702702</v>
      </c>
      <c r="I66" s="103">
        <v>22.522522522522522</v>
      </c>
      <c r="J66" s="103">
        <v>7.6576576576576567</v>
      </c>
      <c r="K66" s="103">
        <v>7.2072072072072073</v>
      </c>
      <c r="L66" s="103">
        <v>3.3783783783783785</v>
      </c>
      <c r="M66" s="103">
        <v>1.5765765765765765</v>
      </c>
      <c r="N66" s="103">
        <v>1.3513513513513513</v>
      </c>
      <c r="O66" s="103">
        <v>2.2522522522522523</v>
      </c>
    </row>
    <row r="67" spans="3:15" ht="15.4" x14ac:dyDescent="0.45">
      <c r="C67" s="42"/>
      <c r="D67" s="110"/>
      <c r="E67" s="47" t="s">
        <v>3</v>
      </c>
      <c r="F67" s="103">
        <v>2.0979020979020979</v>
      </c>
      <c r="G67" s="103">
        <v>23.310023310023308</v>
      </c>
      <c r="H67" s="103">
        <v>31.46853146853147</v>
      </c>
      <c r="I67" s="103">
        <v>26.340326340326342</v>
      </c>
      <c r="J67" s="103">
        <v>8.1585081585081589</v>
      </c>
      <c r="K67" s="103">
        <v>4.895104895104895</v>
      </c>
      <c r="L67" s="103">
        <v>1.3986013986013985</v>
      </c>
      <c r="M67" s="103">
        <v>1.8648018648018647</v>
      </c>
      <c r="N67" s="103">
        <v>0.46620046620046618</v>
      </c>
      <c r="O67" s="103">
        <v>0</v>
      </c>
    </row>
    <row r="68" spans="3:15" ht="15.4" x14ac:dyDescent="0.45">
      <c r="C68" s="42"/>
      <c r="D68" s="110"/>
      <c r="E68" s="47" t="s">
        <v>4</v>
      </c>
      <c r="F68" s="103">
        <v>1.5228426395939088</v>
      </c>
      <c r="G68" s="103">
        <v>13.197969543147209</v>
      </c>
      <c r="H68" s="103">
        <v>32.233502538071065</v>
      </c>
      <c r="I68" s="103">
        <v>31.218274111675125</v>
      </c>
      <c r="J68" s="103">
        <v>9.7715736040609134</v>
      </c>
      <c r="K68" s="103">
        <v>6.5989847715736047</v>
      </c>
      <c r="L68" s="103">
        <v>2.5380710659898478</v>
      </c>
      <c r="M68" s="103">
        <v>1.3959390862944163</v>
      </c>
      <c r="N68" s="103">
        <v>0.88832487309644681</v>
      </c>
      <c r="O68" s="103">
        <v>0.63451776649746194</v>
      </c>
    </row>
    <row r="69" spans="3:15" ht="15.4" x14ac:dyDescent="0.45">
      <c r="C69" s="42"/>
      <c r="D69" s="110"/>
      <c r="E69" s="47" t="s">
        <v>5</v>
      </c>
      <c r="F69" s="103">
        <v>2.2102425876010785</v>
      </c>
      <c r="G69" s="103">
        <v>12.291105121293802</v>
      </c>
      <c r="H69" s="103">
        <v>28.247978436657682</v>
      </c>
      <c r="I69" s="103">
        <v>32.668463611859835</v>
      </c>
      <c r="J69" s="103">
        <v>11.69811320754717</v>
      </c>
      <c r="K69" s="103">
        <v>8.5714285714285712</v>
      </c>
      <c r="L69" s="103">
        <v>1.6172506738544474</v>
      </c>
      <c r="M69" s="103">
        <v>1.5633423180592994</v>
      </c>
      <c r="N69" s="103">
        <v>0.80862533692722371</v>
      </c>
      <c r="O69" s="103">
        <v>0.32345013477088952</v>
      </c>
    </row>
    <row r="70" spans="3:15" ht="15.4" x14ac:dyDescent="0.45">
      <c r="C70" s="42"/>
      <c r="D70" s="110"/>
      <c r="E70" s="47" t="s">
        <v>6</v>
      </c>
      <c r="F70" s="103">
        <v>1.2979465323518018</v>
      </c>
      <c r="G70" s="103">
        <v>8.3882216195273163</v>
      </c>
      <c r="H70" s="103">
        <v>23.208058891902365</v>
      </c>
      <c r="I70" s="103">
        <v>35.432003099573812</v>
      </c>
      <c r="J70" s="103">
        <v>15.769081751259201</v>
      </c>
      <c r="K70" s="103">
        <v>11.003487020534676</v>
      </c>
      <c r="L70" s="103">
        <v>2.1697016660209218</v>
      </c>
      <c r="M70" s="103">
        <v>1.6660209221232081</v>
      </c>
      <c r="N70" s="103">
        <v>0.77489345215032934</v>
      </c>
      <c r="O70" s="103">
        <v>0.29058504455637352</v>
      </c>
    </row>
    <row r="71" spans="3:15" ht="15.4" x14ac:dyDescent="0.45">
      <c r="C71" s="42"/>
      <c r="D71" s="110"/>
      <c r="E71" s="47" t="s">
        <v>7</v>
      </c>
      <c r="F71" s="103">
        <v>1.4320585842148088</v>
      </c>
      <c r="G71" s="103">
        <v>4.8413344182262001</v>
      </c>
      <c r="H71" s="103">
        <v>17.339300244100894</v>
      </c>
      <c r="I71" s="103">
        <v>35.256305939788447</v>
      </c>
      <c r="J71" s="103">
        <v>19.064279902359644</v>
      </c>
      <c r="K71" s="103">
        <v>14.605370219690805</v>
      </c>
      <c r="L71" s="103">
        <v>3.5394629780309197</v>
      </c>
      <c r="M71" s="103">
        <v>2.2457282343368594</v>
      </c>
      <c r="N71" s="103">
        <v>1.3344182262001627</v>
      </c>
      <c r="O71" s="103">
        <v>0.34174125305126118</v>
      </c>
    </row>
    <row r="72" spans="3:15" ht="15.4" x14ac:dyDescent="0.45">
      <c r="C72" s="42"/>
      <c r="D72" s="110"/>
      <c r="E72" s="47" t="s">
        <v>8</v>
      </c>
      <c r="F72" s="103">
        <v>1.635866490665661</v>
      </c>
      <c r="G72" s="103">
        <v>2.5551574580426175</v>
      </c>
      <c r="H72" s="103">
        <v>10.800490288515935</v>
      </c>
      <c r="I72" s="103">
        <v>29.384310767490103</v>
      </c>
      <c r="J72" s="103">
        <v>21.530265887233639</v>
      </c>
      <c r="K72" s="103">
        <v>20.464831227607014</v>
      </c>
      <c r="L72" s="103">
        <v>6.4868942108240626</v>
      </c>
      <c r="M72" s="103">
        <v>4.4833113332076184</v>
      </c>
      <c r="N72" s="103">
        <v>1.9140109372053553</v>
      </c>
      <c r="O72" s="103">
        <v>0.74486139920799543</v>
      </c>
    </row>
    <row r="73" spans="3:15" ht="15.4" x14ac:dyDescent="0.45">
      <c r="C73" s="42"/>
      <c r="D73" s="110"/>
      <c r="E73" s="47" t="s">
        <v>9</v>
      </c>
      <c r="F73" s="103">
        <v>1.7548835395469209</v>
      </c>
      <c r="G73" s="103">
        <v>1.017477931010033</v>
      </c>
      <c r="H73" s="103">
        <v>5.3816428546105577</v>
      </c>
      <c r="I73" s="103">
        <v>20.250292480589923</v>
      </c>
      <c r="J73" s="103">
        <v>20.321196866026163</v>
      </c>
      <c r="K73" s="103">
        <v>24.536462580210586</v>
      </c>
      <c r="L73" s="103">
        <v>12.007657673627113</v>
      </c>
      <c r="M73" s="103">
        <v>8.8205055482681605</v>
      </c>
      <c r="N73" s="103">
        <v>4.1514517672918068</v>
      </c>
      <c r="O73" s="103">
        <v>1.7584287588187328</v>
      </c>
    </row>
    <row r="74" spans="3:15" ht="15.4" x14ac:dyDescent="0.45">
      <c r="C74" s="42"/>
      <c r="D74" s="110"/>
      <c r="E74" s="47" t="s">
        <v>10</v>
      </c>
      <c r="F74" s="103">
        <v>1.4435607832653878</v>
      </c>
      <c r="G74" s="103">
        <v>0.30408340573414422</v>
      </c>
      <c r="H74" s="103">
        <v>1.6407137606095035</v>
      </c>
      <c r="I74" s="103">
        <v>9.2996056940453116</v>
      </c>
      <c r="J74" s="103">
        <v>13.436476642384548</v>
      </c>
      <c r="K74" s="103">
        <v>21.63336229365769</v>
      </c>
      <c r="L74" s="103">
        <v>17.042037024660832</v>
      </c>
      <c r="M74" s="103">
        <v>17.98101984896077</v>
      </c>
      <c r="N74" s="103">
        <v>11.601951480318117</v>
      </c>
      <c r="O74" s="103">
        <v>5.6171890663636974</v>
      </c>
    </row>
    <row r="75" spans="3:15" ht="15.4" x14ac:dyDescent="0.45">
      <c r="C75" s="42"/>
      <c r="D75" s="111"/>
      <c r="E75" s="47" t="s">
        <v>11</v>
      </c>
      <c r="F75" s="103">
        <v>0.3396354579418091</v>
      </c>
      <c r="G75" s="103">
        <v>5.6605909656968191E-2</v>
      </c>
      <c r="H75" s="103">
        <v>0.31699309407902182</v>
      </c>
      <c r="I75" s="103">
        <v>2.3661270236612704</v>
      </c>
      <c r="J75" s="103">
        <v>5.3435978716177965</v>
      </c>
      <c r="K75" s="103">
        <v>11.70610211706102</v>
      </c>
      <c r="L75" s="103">
        <v>14.536397599909431</v>
      </c>
      <c r="M75" s="103">
        <v>22.178195403600139</v>
      </c>
      <c r="N75" s="103">
        <v>23.366919506396471</v>
      </c>
      <c r="O75" s="103">
        <v>19.789426016076078</v>
      </c>
    </row>
  </sheetData>
  <sheetProtection algorithmName="SHA-512" hashValue="3Sx1yUKnFGiHUlt2i/sgDhGe5ZXX6TCn/+AIyWwiGmI/DcTVS86adU1lBPt0IRo9nBvrxS9gvtmTFAQWAfxpaw==" saltValue="mfhXE3/NE09owb2+sgmcBA==" spinCount="100000" sheet="1" objects="1" scenarios="1" selectLockedCells="1"/>
  <mergeCells count="7">
    <mergeCell ref="F46:O46"/>
    <mergeCell ref="F62:O62"/>
    <mergeCell ref="D64:D75"/>
    <mergeCell ref="D45:E47"/>
    <mergeCell ref="B48:B59"/>
    <mergeCell ref="D48:D59"/>
    <mergeCell ref="D61:E63"/>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B1:CU86"/>
  <sheetViews>
    <sheetView showGridLines="0" showRowColHeaders="0" zoomScale="70" zoomScaleNormal="70" workbookViewId="0">
      <selection activeCell="BG5" sqref="BG5"/>
    </sheetView>
  </sheetViews>
  <sheetFormatPr defaultRowHeight="14.25" x14ac:dyDescent="0.45"/>
  <cols>
    <col min="1" max="2" width="3.73046875" customWidth="1"/>
    <col min="3" max="3" width="8.3984375" customWidth="1"/>
    <col min="4" max="13" width="11.1328125" customWidth="1"/>
    <col min="14" max="14" width="11.59765625" customWidth="1"/>
    <col min="16" max="16" width="8" customWidth="1"/>
    <col min="17" max="17" width="6.86328125" customWidth="1"/>
    <col min="18" max="18" width="11.1328125" customWidth="1"/>
    <col min="30" max="30" width="9" customWidth="1"/>
    <col min="31" max="31" width="10" customWidth="1"/>
    <col min="32" max="41" width="9" customWidth="1"/>
    <col min="43" max="43" width="19.59765625" customWidth="1"/>
    <col min="44" max="44" width="16.86328125" customWidth="1"/>
  </cols>
  <sheetData>
    <row r="1" spans="2:99" ht="15" x14ac:dyDescent="0.45">
      <c r="BG1" s="16"/>
    </row>
    <row r="2" spans="2:99" ht="15" x14ac:dyDescent="0.45">
      <c r="AF2" s="4"/>
      <c r="AR2" t="s">
        <v>54</v>
      </c>
      <c r="BG2" s="16"/>
    </row>
    <row r="3" spans="2:99" ht="15" customHeight="1" x14ac:dyDescent="0.45">
      <c r="BG3" s="16"/>
    </row>
    <row r="4" spans="2:99" ht="19.149999999999999" customHeight="1" x14ac:dyDescent="0.45">
      <c r="Q4" s="20"/>
      <c r="R4" s="20"/>
      <c r="S4" s="20"/>
      <c r="T4" s="20"/>
      <c r="U4" s="20"/>
      <c r="V4" s="20"/>
      <c r="W4" s="20"/>
      <c r="X4" s="20"/>
      <c r="Y4" s="20"/>
      <c r="Z4" s="20"/>
      <c r="AA4" s="20"/>
      <c r="AB4" s="20"/>
      <c r="AC4" s="20"/>
      <c r="BG4" s="16"/>
    </row>
    <row r="5" spans="2:99" ht="24" customHeight="1" x14ac:dyDescent="0.45">
      <c r="B5" s="8" t="s">
        <v>52</v>
      </c>
      <c r="BG5" s="21"/>
    </row>
    <row r="6" spans="2:99" ht="15" customHeight="1" x14ac:dyDescent="0.45">
      <c r="P6" s="115" t="s">
        <v>18</v>
      </c>
      <c r="Q6" s="115"/>
      <c r="R6" s="115"/>
      <c r="S6" s="115"/>
      <c r="T6" s="115"/>
      <c r="U6" s="115"/>
      <c r="V6" s="115"/>
      <c r="W6" s="115"/>
      <c r="X6" s="115"/>
      <c r="Y6" s="115"/>
      <c r="Z6" s="115"/>
      <c r="AA6" s="115"/>
      <c r="AB6" s="20"/>
      <c r="BG6" s="21"/>
    </row>
    <row r="7" spans="2:99" ht="23.65" customHeight="1" x14ac:dyDescent="0.45">
      <c r="B7" s="8" t="s">
        <v>53</v>
      </c>
      <c r="C7" s="8"/>
      <c r="AJ7" s="13"/>
      <c r="AK7" s="13"/>
      <c r="AL7" s="13"/>
      <c r="AM7" s="13"/>
      <c r="AN7" s="13"/>
      <c r="AO7" s="13"/>
      <c r="AP7" s="13"/>
      <c r="AQ7" s="13"/>
      <c r="AR7" s="13"/>
      <c r="AS7" s="13"/>
      <c r="AT7" s="13"/>
      <c r="AU7" s="13"/>
      <c r="AV7" s="13"/>
      <c r="AW7" s="13"/>
      <c r="AX7" s="13"/>
      <c r="AY7" s="13"/>
      <c r="AZ7" s="13"/>
      <c r="BA7" s="13"/>
      <c r="BB7" s="13"/>
      <c r="BC7" s="13"/>
      <c r="BF7" s="13"/>
      <c r="BG7" s="21"/>
      <c r="BH7" s="13"/>
      <c r="BI7" s="13"/>
      <c r="BJ7" s="13"/>
      <c r="BK7" s="13"/>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13"/>
      <c r="CL7" s="13"/>
      <c r="CM7" s="13"/>
      <c r="CN7" s="13"/>
      <c r="CO7" s="13"/>
      <c r="CP7" s="13"/>
      <c r="CQ7" s="13"/>
      <c r="CR7" s="13"/>
      <c r="CS7" s="13"/>
      <c r="CT7" s="13"/>
      <c r="CU7" s="13"/>
    </row>
    <row r="8" spans="2:99" ht="15" customHeight="1" x14ac:dyDescent="0.45">
      <c r="AJ8" s="13"/>
      <c r="AK8" s="13"/>
      <c r="AL8" s="13"/>
      <c r="AM8" s="13"/>
      <c r="AN8" s="13"/>
      <c r="AO8" s="13"/>
      <c r="AP8" s="13"/>
      <c r="AQ8" s="13"/>
      <c r="AR8" s="13"/>
      <c r="AS8" s="13"/>
      <c r="AT8" s="13"/>
      <c r="AU8" s="13"/>
      <c r="AV8" s="13"/>
      <c r="AW8" s="13"/>
      <c r="AX8" s="13"/>
      <c r="AY8" s="13"/>
      <c r="AZ8" s="13"/>
      <c r="BA8" s="13"/>
      <c r="BB8" s="13"/>
      <c r="BC8" s="13"/>
      <c r="BF8" s="13"/>
      <c r="BG8" s="21"/>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row>
    <row r="9" spans="2:99" ht="23.65" customHeight="1" x14ac:dyDescent="0.45">
      <c r="B9" s="8" t="s">
        <v>57</v>
      </c>
      <c r="C9" s="8"/>
      <c r="AJ9" s="13"/>
      <c r="AK9" s="13"/>
      <c r="AL9" s="13"/>
      <c r="AM9" s="13"/>
      <c r="AN9" s="13"/>
      <c r="AO9" s="13"/>
      <c r="AP9" s="13"/>
      <c r="AQ9" s="13"/>
      <c r="AR9" s="13"/>
      <c r="AS9" s="13"/>
      <c r="AT9" s="13"/>
      <c r="AU9" s="13"/>
      <c r="AV9" s="13"/>
      <c r="AW9" s="13"/>
      <c r="AX9" s="13"/>
      <c r="AY9" s="13"/>
      <c r="AZ9" s="13"/>
      <c r="BA9" s="13"/>
      <c r="BB9" s="13"/>
      <c r="BC9" s="13"/>
      <c r="BF9" s="13"/>
      <c r="BG9" s="21"/>
      <c r="BH9" s="13"/>
      <c r="BI9" s="13"/>
      <c r="BJ9" s="1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c r="CL9" s="13"/>
      <c r="CM9" s="13"/>
      <c r="CN9" s="13"/>
      <c r="CO9" s="13"/>
      <c r="CP9" s="13"/>
      <c r="CQ9" s="13"/>
      <c r="CR9" s="13"/>
      <c r="CS9" s="13"/>
      <c r="CT9" s="13"/>
      <c r="CU9" s="13"/>
    </row>
    <row r="10" spans="2:99" ht="15" customHeight="1" x14ac:dyDescent="0.45">
      <c r="AJ10" s="13"/>
      <c r="AK10" s="13"/>
      <c r="AL10" s="13"/>
      <c r="AM10" s="13"/>
      <c r="AN10" s="13"/>
      <c r="AO10" s="13"/>
      <c r="AP10" s="13"/>
      <c r="AQ10" s="13"/>
      <c r="AR10" s="13"/>
      <c r="AS10" s="13"/>
      <c r="AT10" s="13"/>
      <c r="AU10" s="13"/>
      <c r="AV10" s="13"/>
      <c r="AW10" s="13"/>
      <c r="AX10" s="13"/>
      <c r="AY10" s="13"/>
      <c r="AZ10" s="13"/>
      <c r="BA10" s="13"/>
      <c r="BB10" s="13"/>
      <c r="BC10" s="13"/>
      <c r="BF10" s="13"/>
      <c r="BG10" s="21"/>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c r="CL10" s="13"/>
      <c r="CM10" s="13"/>
      <c r="CN10" s="13"/>
      <c r="CO10" s="13"/>
      <c r="CP10" s="13"/>
      <c r="CQ10" s="13"/>
      <c r="CR10" s="13"/>
      <c r="CS10" s="13"/>
      <c r="CT10" s="13"/>
      <c r="CU10" s="13"/>
    </row>
    <row r="11" spans="2:99" ht="19.149999999999999" customHeight="1" x14ac:dyDescent="0.45">
      <c r="O11" t="s">
        <v>119</v>
      </c>
      <c r="AJ11" s="13"/>
      <c r="AK11" s="13"/>
      <c r="AL11" s="13"/>
      <c r="AM11" s="13"/>
      <c r="AN11" s="13"/>
      <c r="AO11" s="13"/>
      <c r="AP11" s="13"/>
      <c r="AQ11" s="13"/>
      <c r="AR11" s="13"/>
      <c r="AS11" s="13"/>
      <c r="AT11" s="13"/>
      <c r="AU11" s="13"/>
      <c r="AV11" s="13"/>
      <c r="AW11" s="13"/>
      <c r="AX11" s="13"/>
      <c r="AY11" s="13"/>
      <c r="AZ11" s="13"/>
      <c r="BA11" s="13"/>
      <c r="BB11" s="13"/>
      <c r="BC11" s="13"/>
      <c r="BF11" s="13"/>
      <c r="BG11" s="21"/>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row>
    <row r="12" spans="2:99" ht="15.4" customHeight="1" x14ac:dyDescent="0.45">
      <c r="F12" s="26"/>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F12" s="13"/>
      <c r="BG12" s="21"/>
      <c r="BH12" s="13"/>
      <c r="BI12" s="13"/>
      <c r="BJ12" s="13"/>
      <c r="BK12" s="13"/>
      <c r="BL12" s="13"/>
      <c r="BM12" s="13"/>
      <c r="BN12" s="13"/>
      <c r="BO12" s="13"/>
      <c r="BP12" s="13"/>
      <c r="BQ12" s="13"/>
      <c r="BR12" s="13"/>
      <c r="BS12" s="13"/>
      <c r="BT12" s="13"/>
      <c r="BU12" s="13"/>
      <c r="BV12" s="13"/>
      <c r="BW12" s="13"/>
      <c r="BX12" s="13"/>
      <c r="BY12" s="13"/>
      <c r="BZ12" s="13"/>
      <c r="CA12" s="13"/>
      <c r="CB12" s="13"/>
      <c r="CC12" s="13"/>
      <c r="CD12" s="13"/>
      <c r="CE12" s="13"/>
      <c r="CF12" s="13"/>
      <c r="CG12" s="13"/>
      <c r="CH12" s="13"/>
      <c r="CI12" s="13"/>
      <c r="CJ12" s="13"/>
      <c r="CK12" s="13"/>
      <c r="CL12" s="13"/>
      <c r="CM12" s="13"/>
      <c r="CN12" s="13"/>
      <c r="CO12" s="13"/>
      <c r="CP12" s="13"/>
      <c r="CQ12" s="13"/>
      <c r="CR12" s="13"/>
      <c r="CS12" s="13"/>
      <c r="CT12" s="13"/>
      <c r="CU12" s="13"/>
    </row>
    <row r="13" spans="2:99" ht="18" customHeight="1" x14ac:dyDescent="0.55000000000000004">
      <c r="C13" s="122" t="str">
        <f>IF(Inputs!$G$2="Pupil Numbers","Pupil Numbers",IF(Inputs!$G$2="Pupil Percentages","Pupil Percentages",""))</f>
        <v/>
      </c>
      <c r="D13" s="122"/>
      <c r="E13" s="58"/>
      <c r="F13" s="58"/>
      <c r="G13" s="58"/>
      <c r="H13" s="58"/>
      <c r="I13" s="58"/>
      <c r="J13" s="58"/>
      <c r="K13" s="58"/>
      <c r="L13" s="58"/>
      <c r="M13" s="58"/>
      <c r="N13" s="63"/>
      <c r="R13" s="15"/>
      <c r="S13" s="15"/>
      <c r="T13" s="15"/>
      <c r="U13" s="15"/>
      <c r="V13" s="15"/>
      <c r="W13" s="15"/>
      <c r="X13" s="15"/>
      <c r="Y13" s="15"/>
      <c r="Z13" s="15"/>
      <c r="AD13" s="12"/>
      <c r="AE13" s="12"/>
      <c r="AF13" s="12"/>
      <c r="AG13" s="12"/>
      <c r="AH13" s="12"/>
      <c r="AI13" s="12"/>
      <c r="AJ13" s="12"/>
      <c r="AK13" s="12"/>
      <c r="AL13" s="12"/>
      <c r="AM13" s="12"/>
      <c r="AN13" s="12"/>
      <c r="AO13" s="12"/>
      <c r="AP13" s="12"/>
      <c r="AQ13" s="13"/>
      <c r="AR13" s="13"/>
      <c r="AS13" s="13"/>
      <c r="AT13" s="13"/>
      <c r="AU13" s="13"/>
      <c r="AV13" s="13"/>
      <c r="AW13" s="13"/>
      <c r="AX13" s="13"/>
      <c r="AY13" s="13"/>
      <c r="AZ13" s="13"/>
      <c r="BA13" s="13"/>
      <c r="BB13" s="13"/>
      <c r="BC13" s="13"/>
      <c r="BF13" s="13"/>
      <c r="BG13" s="21"/>
      <c r="BH13" s="13"/>
      <c r="BI13" s="13"/>
      <c r="BJ13" s="13"/>
      <c r="BK13" s="13"/>
      <c r="BL13" s="13"/>
      <c r="BM13" s="13"/>
      <c r="BN13" s="13"/>
      <c r="BO13" s="13"/>
      <c r="BP13" s="13"/>
      <c r="BQ13" s="13"/>
      <c r="BR13" s="13"/>
      <c r="BS13" s="13"/>
      <c r="BT13" s="13"/>
      <c r="BU13" s="13"/>
      <c r="BV13" s="13"/>
      <c r="BW13" s="13"/>
      <c r="BX13" s="13"/>
      <c r="BY13" s="13"/>
      <c r="BZ13" s="13"/>
      <c r="CA13" s="13"/>
      <c r="CB13" s="13"/>
      <c r="CC13" s="13"/>
      <c r="CD13" s="13"/>
      <c r="CE13" s="13"/>
      <c r="CF13" s="13"/>
      <c r="CG13" s="13"/>
      <c r="CH13" s="13"/>
      <c r="CI13" s="13"/>
      <c r="CJ13" s="13"/>
      <c r="CK13" s="13"/>
      <c r="CL13" s="13"/>
      <c r="CM13" s="13"/>
      <c r="CN13" s="13"/>
      <c r="CO13" s="13"/>
      <c r="CP13" s="13"/>
      <c r="CQ13" s="13"/>
      <c r="CR13" s="13"/>
      <c r="CS13" s="13"/>
      <c r="CT13" s="13"/>
      <c r="CU13" s="13"/>
    </row>
    <row r="14" spans="2:99" ht="36" customHeight="1" x14ac:dyDescent="0.5">
      <c r="C14" s="122"/>
      <c r="D14" s="122"/>
      <c r="E14" s="64"/>
      <c r="F14" s="65"/>
      <c r="G14" s="65"/>
      <c r="H14" s="65"/>
      <c r="I14" s="66" t="s">
        <v>12</v>
      </c>
      <c r="J14" s="65"/>
      <c r="K14" s="65"/>
      <c r="L14" s="65"/>
      <c r="M14" s="65"/>
      <c r="N14" s="63"/>
      <c r="R14" s="15"/>
      <c r="S14" s="15"/>
      <c r="T14" s="15"/>
      <c r="U14" s="15"/>
      <c r="V14" s="15"/>
      <c r="W14" s="15"/>
      <c r="X14" s="15"/>
      <c r="Y14" s="15"/>
      <c r="Z14" s="15"/>
      <c r="AD14" s="12"/>
      <c r="AE14" s="13"/>
      <c r="AF14" s="18"/>
      <c r="AG14" s="13"/>
      <c r="AH14" s="13"/>
      <c r="AI14" s="13"/>
      <c r="AJ14" s="13"/>
      <c r="AK14" s="13"/>
      <c r="AL14" s="13"/>
      <c r="AM14" s="13"/>
      <c r="AN14" s="13"/>
      <c r="AO14" s="13"/>
      <c r="AP14" s="13"/>
      <c r="BC14" s="13"/>
      <c r="BF14" s="13"/>
      <c r="BG14" s="21"/>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c r="CL14" s="13"/>
      <c r="CM14" s="13"/>
      <c r="CN14" s="13"/>
      <c r="CO14" s="13"/>
      <c r="CP14" s="13"/>
      <c r="CQ14" s="13"/>
      <c r="CR14" s="13"/>
      <c r="CS14" s="13"/>
      <c r="CT14" s="13"/>
      <c r="CU14" s="13"/>
    </row>
    <row r="15" spans="2:99" ht="20.100000000000001" customHeight="1" x14ac:dyDescent="0.45">
      <c r="C15" s="123"/>
      <c r="D15" s="123"/>
      <c r="E15" s="59" t="s">
        <v>0</v>
      </c>
      <c r="F15" s="59">
        <f>IF(OR(Inputs!$G$1="",Inputs!$G$1="Please Select",Inputs!$G$1="Mathematics",Inputs!$G$1="English_Language",Inputs!$G$1="English_Literature",Inputs!$G$1="Art_Design",Inputs!$G$1="Biology",Inputs!$G$1="Business_Studies",Inputs!$G$1="Chemistry",Inputs!$G$1="Citizenship_Studies",Inputs!$G$1="Classical_Studies",Inputs!$G$1="Computer_Science",Inputs!$G$1="Dance",Inputs!$G$1="Economics",Inputs!$G$1="Engineering",Inputs!$G$1="Food_Preparation_and_Nutrition",Inputs!$G$1="French",Inputs!$G$1="Geography",Inputs!$G$1="German",Inputs!$G$1="History",Inputs!$G$1="Media_Studies",Inputs!$G$1="Music",Inputs!$G$1="Design_Technology",Inputs!$G$1="Other_Modern_Languages_9_to_1",Inputs!$G$1="Other_Sciences",Inputs!$G$1="Performing_Arts",Inputs!$G$1="Photography",Inputs!$G$1="Physical_Education",Inputs!$G$1="Physics",Inputs!$G$1="Psychology",Inputs!$G$1="Religious_Studies",Inputs!$G$1="Sociology",Inputs!$G$1="Spanish",Inputs!$G$1="Statistics"),1,"G")</f>
        <v>1</v>
      </c>
      <c r="G15" s="59">
        <f>IF(OR(Inputs!$G$1="",Inputs!$G$1="Please Select",Inputs!$G$1="Mathematics",Inputs!$G$1="English_Language",Inputs!$G$1="English_Literature",Inputs!$G$1="Art_Design",Inputs!$G$1="Biology",Inputs!$G$1="Business_Studies",Inputs!$G$1="Chemistry",Inputs!$G$1="Citizenship_Studies",Inputs!$G$1="Classical_Studies",Inputs!$G$1="Computer_Science",Inputs!$G$1="Dance",Inputs!$G$1="Economics",Inputs!$G$1="Engineering",Inputs!$G$1="Food_Preparation_and_Nutrition",Inputs!$G$1="French",Inputs!$G$1="Geography",Inputs!$G$1="German",Inputs!$G$1="History",Inputs!$G$1="Media_Studies",Inputs!$G$1="Music",Inputs!$G$1="Design_Technology",Inputs!$G$1="Other_Modern_Languages_9_to_1",Inputs!$G$1="Other_Sciences",Inputs!$G$1="Performing_Arts",Inputs!$G$1="Photography",Inputs!$G$1="Physical_Education",Inputs!$G$1="Physics",Inputs!$G$1="Psychology",Inputs!$G$1="Religious_Studies",Inputs!$G$1="Sociology",Inputs!$G$1="Spanish",Inputs!$G$1="Statistics"),2,"F")</f>
        <v>2</v>
      </c>
      <c r="H15" s="67">
        <f>IF(OR(Inputs!$G$1="",Inputs!$G$1="Please Select",Inputs!$G$1="Mathematics",Inputs!$G$1="English_Language",Inputs!$G$1="English_Literature",Inputs!$G$1="Art_Design",Inputs!$G$1="Biology",Inputs!$G$1="Business_Studies",Inputs!$G$1="Chemistry",Inputs!$G$1="Citizenship_Studies",Inputs!$G$1="Classical_Studies",Inputs!$G$1="Computer_Science",Inputs!$G$1="Dance",Inputs!$G$1="Economics",Inputs!$G$1="Engineering",Inputs!$G$1="Food_Preparation_and_Nutrition",Inputs!$G$1="French",Inputs!$G$1="Geography",Inputs!$G$1="German",Inputs!$G$1="History",Inputs!$G$1="Media_Studies",Inputs!$G$1="Music",Inputs!$G$1="Design_Technology",Inputs!$G$1="Other_Modern_Languages_9_to_1",Inputs!$G$1="Other_Sciences",Inputs!$G$1="Performing_Arts",Inputs!$G$1="Photography",Inputs!$G$1="Physical_Education",Inputs!$G$1="Physics",Inputs!$G$1="Psychology",Inputs!$G$1="Religious_Studies",Inputs!$G$1="Sociology",Inputs!$G$1="Spanish",Inputs!$G$1="Statistics"),3,"E")</f>
        <v>3</v>
      </c>
      <c r="I15" s="59">
        <f>IF(OR(Inputs!$G$1="",Inputs!$G$1="Please Select",Inputs!$G$1="Mathematics",Inputs!$G$1="English_Language",Inputs!$G$1="English_Literature",Inputs!$G$1="Art_Design",Inputs!$G$1="Biology",Inputs!$G$1="Business_Studies",Inputs!$G$1="Chemistry",Inputs!$G$1="Citizenship_Studies",Inputs!$G$1="Classical_Studies",Inputs!$G$1="Computer_Science",Inputs!$G$1="Dance",Inputs!$G$1="Economics",Inputs!$G$1="Engineering",Inputs!$G$1="Food_Preparation_and_Nutrition",Inputs!$G$1="French",Inputs!$G$1="Geography",Inputs!$G$1="German",Inputs!$G$1="History",Inputs!$G$1="Media_Studies",Inputs!$G$1="Music",Inputs!$G$1="Design_Technology",Inputs!$G$1="Other_Modern_Languages_9_to_1",Inputs!$G$1="Other_Sciences",Inputs!$G$1="Performing_Arts",Inputs!$G$1="Photography",Inputs!$G$1="Physical_Education",Inputs!$G$1="Physics",Inputs!$G$1="Psychology",Inputs!$G$1="Religious_Studies",Inputs!$G$1="Sociology",Inputs!$G$1="Spanish",Inputs!$G$1="Statistics"),4,"D")</f>
        <v>4</v>
      </c>
      <c r="J15" s="59">
        <f>IF(OR(Inputs!$G$1="",Inputs!$G$1="Please Select",Inputs!$G$1="Mathematics",Inputs!$G$1="English_Language",Inputs!$G$1="English_Literature",Inputs!$G$1="Art_Design",Inputs!$G$1="Biology",Inputs!$G$1="Business_Studies",Inputs!$G$1="Chemistry",Inputs!$G$1="Citizenship_Studies",Inputs!$G$1="Classical_Studies",Inputs!$G$1="Computer_Science",Inputs!$G$1="Dance",Inputs!$G$1="Economics",Inputs!$G$1="Engineering",Inputs!$G$1="Food_Preparation_and_Nutrition",Inputs!$G$1="French",Inputs!$G$1="Geography",Inputs!$G$1="German",Inputs!$G$1="History",Inputs!$G$1="Media_Studies",Inputs!$G$1="Music",Inputs!$G$1="Design_Technology",Inputs!$G$1="Other_Modern_Languages_9_to_1",Inputs!$G$1="Other_Sciences",Inputs!$G$1="Performing_Arts",Inputs!$G$1="Photography",Inputs!$G$1="Physical_Education",Inputs!$G$1="Physics",Inputs!$G$1="Psychology",Inputs!$G$1="Religious_Studies",Inputs!$G$1="Sociology",Inputs!$G$1="Spanish",Inputs!$G$1="Statistics"),5,"C")</f>
        <v>5</v>
      </c>
      <c r="K15" s="59">
        <f>IF(OR(Inputs!$G$1="",Inputs!$G$1="Please Select",Inputs!$G$1="Mathematics",Inputs!$G$1="English_Language",Inputs!$G$1="English_Literature",Inputs!$G$1="Art_Design",Inputs!$G$1="Biology",Inputs!$G$1="Business_Studies",Inputs!$G$1="Chemistry",Inputs!$G$1="Citizenship_Studies",Inputs!$G$1="Classical_Studies",Inputs!$G$1="Computer_Science",Inputs!$G$1="Dance",Inputs!$G$1="Economics",Inputs!$G$1="Engineering",Inputs!$G$1="Food_Preparation_and_Nutrition",Inputs!$G$1="French",Inputs!$G$1="Geography",Inputs!$G$1="German",Inputs!$G$1="History",Inputs!$G$1="Media_Studies",Inputs!$G$1="Music",Inputs!$G$1="Design_Technology",Inputs!$G$1="Other_Modern_Languages_9_to_1",Inputs!$G$1="Other_Sciences",Inputs!$G$1="Performing_Arts",Inputs!$G$1="Photography",Inputs!$G$1="Physical_Education",Inputs!$G$1="Physics",Inputs!$G$1="Psychology",Inputs!$G$1="Religious_Studies",Inputs!$G$1="Sociology",Inputs!$G$1="Spanish",Inputs!$G$1="Statistics"),6,"B")</f>
        <v>6</v>
      </c>
      <c r="L15" s="59">
        <f>IF(OR(Inputs!$G$1="",Inputs!$G$1="Please Select",Inputs!$G$1="Mathematics",Inputs!$G$1="English_Language",Inputs!$G$1="English_Literature",Inputs!$G$1="Art_Design",Inputs!$G$1="Biology",Inputs!$G$1="Business_Studies",Inputs!$G$1="Chemistry",Inputs!$G$1="Citizenship_Studies",Inputs!$G$1="Classical_Studies",Inputs!$G$1="Computer_Science",Inputs!$G$1="Dance",Inputs!$G$1="Economics",Inputs!$G$1="Engineering",Inputs!$G$1="Food_Preparation_and_Nutrition",Inputs!$G$1="French",Inputs!$G$1="Geography",Inputs!$G$1="German",Inputs!$G$1="History",Inputs!$G$1="Media_Studies",Inputs!$G$1="Music",Inputs!$G$1="Design_Technology",Inputs!$G$1="Other_Modern_Languages_9_to_1",Inputs!$G$1="Other_Sciences",Inputs!$G$1="Performing_Arts",Inputs!$G$1="Photography",Inputs!$G$1="Physical_Education",Inputs!$G$1="Physics",Inputs!$G$1="Psychology",Inputs!$G$1="Religious_Studies",Inputs!$G$1="Sociology",Inputs!$G$1="Spanish",Inputs!$G$1="Statistics"),7,"A")</f>
        <v>7</v>
      </c>
      <c r="M15" s="67">
        <f>IF(OR(Inputs!$G$1="",Inputs!$G$1="Please Select",Inputs!$G$1="Mathematics",Inputs!$G$1="English_Language",Inputs!$G$1="English_Literature",Inputs!$G$1="Art_Design",Inputs!$G$1="Biology",Inputs!$G$1="Business_Studies",Inputs!$G$1="Chemistry",Inputs!$G$1="Citizenship_Studies",Inputs!$G$1="Classical_Studies",Inputs!$G$1="Computer_Science",Inputs!$G$1="Dance",Inputs!$G$1="Economics",Inputs!$G$1="Engineering",Inputs!$G$1="Food_Preparation_and_Nutrition",Inputs!$G$1="French",Inputs!$G$1="Geography",Inputs!$G$1="German",Inputs!$G$1="History",Inputs!$G$1="Media_Studies",Inputs!$G$1="Music",Inputs!$G$1="Design_Technology",Inputs!$G$1="Other_Modern_Languages_9_to_1",Inputs!$G$1="Other_Sciences",Inputs!$G$1="Performing_Arts",Inputs!$G$1="Photography",Inputs!$G$1="Physical_Education",Inputs!$G$1="Physics",Inputs!$G$1="Psychology",Inputs!$G$1="Religious_Studies",Inputs!$G$1="Sociology",Inputs!$G$1="Spanish",Inputs!$G$1="Statistics"),8,"A*")</f>
        <v>8</v>
      </c>
      <c r="N15" s="68">
        <f>IF(OR(Inputs!$G$1="",Inputs!$G$1="Please Select",Inputs!$G$1="Mathematics",Inputs!$G$1="English_Language",Inputs!$G$1="English_Literature",Inputs!$G$1="Art_Design",Inputs!$G$1="Biology",Inputs!$G$1="Business_Studies",Inputs!$G$1="Chemistry",Inputs!$G$1="Citizenship_Studies",Inputs!$G$1="Classical_Studies",Inputs!$G$1="Computer_Science",Inputs!$G$1="Dance",Inputs!$G$1="Economics",Inputs!$G$1="Engineering",Inputs!$G$1="Food_Preparation_and_Nutrition",Inputs!$G$1="French",Inputs!$G$1="Geography",Inputs!$G$1="German",Inputs!$G$1="History",Inputs!$G$1="Media_Studies",Inputs!$G$1="Music",Inputs!$G$1="Design_Technology",Inputs!$G$1="Other_Modern_Languages_9_to_1",Inputs!$G$1="Other_Sciences",Inputs!$G$1="Performing_Arts",Inputs!$G$1="Photography",Inputs!$G$1="Physical_Education",Inputs!$G$1="Physics",Inputs!$G$1="Psychology",Inputs!$G$1="Religious_Studies",Inputs!$G$1="Sociology",Inputs!$G$1="Spanish",Inputs!$G$1="Statistics"),9,"")</f>
        <v>9</v>
      </c>
      <c r="AD15" s="12"/>
      <c r="AP15" s="13"/>
      <c r="BC15" s="13"/>
      <c r="BF15" s="13"/>
      <c r="BG15" s="16"/>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row>
    <row r="16" spans="2:99" ht="23.1" customHeight="1" x14ac:dyDescent="0.5">
      <c r="C16" s="119" t="s">
        <v>13</v>
      </c>
      <c r="D16" s="60" t="s">
        <v>1</v>
      </c>
      <c r="E16" s="61" t="str">
        <f ca="1">IFERROR(IF(Inputs!$G$2="Pupil Numbers",INDEX(INDIRECT(Inputs!$G$1),1,1),IF(Inputs!$G$2="Pupil Percentages",INDEX(INDIRECT(Inputs!$G$1),17,1),"")),"")</f>
        <v/>
      </c>
      <c r="F16" s="61" t="str">
        <f ca="1">IFERROR(IF(Inputs!$G$2="Pupil Numbers",INDEX(INDIRECT(Inputs!$G$1),1,2),IF(Inputs!$G$2="Pupil Percentages",INDEX(INDIRECT(Inputs!$G$1),17,2),"")),"")</f>
        <v/>
      </c>
      <c r="G16" s="61" t="str">
        <f ca="1">IFERROR(IF(Inputs!$G$2="Pupil Numbers",INDEX(INDIRECT(Inputs!$G$1),1,3),IF(Inputs!$G$2="Pupil Percentages",INDEX(INDIRECT(Inputs!$G$1),17,3),"")),"")</f>
        <v/>
      </c>
      <c r="H16" s="61" t="str">
        <f ca="1">IFERROR(IF(Inputs!$G$2="Pupil Numbers",INDEX(INDIRECT(Inputs!$G$1),1,4),IF(Inputs!$G$2="Pupil Percentages",INDEX(INDIRECT(Inputs!$G$1),17,4),"")),"")</f>
        <v/>
      </c>
      <c r="I16" s="61" t="str">
        <f ca="1">IFERROR(IF(Inputs!$G$2="Pupil Numbers",INDEX(INDIRECT(Inputs!$G$1),1,5),IF(Inputs!$G$2="Pupil Percentages",INDEX(INDIRECT(Inputs!$G$1),17,5),"")),"")</f>
        <v/>
      </c>
      <c r="J16" s="61" t="str">
        <f ca="1">IFERROR(IF(Inputs!$G$2="Pupil Numbers",INDEX(INDIRECT(Inputs!$G$1),1,6),IF(Inputs!$G$2="Pupil Percentages",INDEX(INDIRECT(Inputs!$G$1),17,6),"")),"")</f>
        <v/>
      </c>
      <c r="K16" s="61" t="str">
        <f ca="1">IFERROR(IF(Inputs!$G$2="Pupil Numbers",INDEX(INDIRECT(Inputs!$G$1),1,7),IF(Inputs!$G$2="Pupil Percentages",INDEX(INDIRECT(Inputs!$G$1),17,7),"")),"")</f>
        <v/>
      </c>
      <c r="L16" s="61" t="str">
        <f ca="1">IFERROR(IF(Inputs!$G$2="Pupil Numbers",INDEX(INDIRECT(Inputs!$G$1),1,8),IF(Inputs!$G$2="Pupil Percentages",INDEX(INDIRECT(Inputs!$G$1),17,8),"")),"")</f>
        <v/>
      </c>
      <c r="M16" s="61" t="str">
        <f ca="1">IFERROR(IF(Inputs!$G$2="Pupil Numbers",INDEX(INDIRECT(Inputs!$G$1),1,9),IF(Inputs!$G$2="Pupil Percentages",INDEX(INDIRECT(Inputs!$G$1),17,9),"")),"")</f>
        <v/>
      </c>
      <c r="N16" s="69" t="str">
        <f ca="1">IFERROR(IF(OR(Inputs!$G$1="Mathematics",Inputs!$G$1="English_Language",Inputs!$G$1="English_Literature",Inputs!$G$1="Art_Design",Inputs!$G$1="Biology",Inputs!$G$1="Business_Studies",Inputs!$G$1="Chemistry",Inputs!$G$1="Citizenship_Studies",Inputs!$G$1="Classical_Studies",Inputs!$G$1="Computer_Science",Inputs!$G$1="Dance",Inputs!$G$1="Economics",Inputs!$G$1="Engineering",Inputs!$G$1="Food_Preparation_and_Nutrition",Inputs!$G$1="French",Inputs!$G$1="Geography",Inputs!$G$1="German",Inputs!$G$1="History",Inputs!$G$1="Media_Studies",Inputs!$G$1="Music",Inputs!$G$1="Design_Technology",Inputs!$G$1="Other_Modern_Languages_9_to_1",Inputs!$G$1="Other_Sciences",Inputs!$G$1="Performing_Arts",Inputs!$G$1="Photography",Inputs!$G$1="Physical_Education",Inputs!$G$1="Physics",Inputs!$G$1="Psychology",Inputs!$G$1="Religious_Studies",Inputs!$G$1="Sociology",Inputs!$G$1="Spanish",Inputs!$G$1="Statistics"),IF(Inputs!$G$2="Pupil Numbers",INDEX(INDIRECT(Inputs!$G$1),1,10),IF(Inputs!$G$2="Pupil Percentages",INDEX(INDIRECT(Inputs!$G$1),17,10),"")),""),"")</f>
        <v/>
      </c>
      <c r="AD16" s="12"/>
      <c r="AP16" s="13"/>
      <c r="BC16" s="13"/>
      <c r="BD16" s="13"/>
      <c r="BE16" s="13"/>
      <c r="BF16" s="13"/>
      <c r="BG16" s="21"/>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c r="CR16" s="13"/>
      <c r="CS16" s="13"/>
      <c r="CT16" s="13"/>
      <c r="CU16" s="13"/>
    </row>
    <row r="17" spans="3:99" ht="23.1" customHeight="1" x14ac:dyDescent="0.5">
      <c r="C17" s="120"/>
      <c r="D17" s="60" t="s">
        <v>56</v>
      </c>
      <c r="E17" s="61" t="str">
        <f ca="1">IFERROR(IF(Inputs!$G$2="Pupil Numbers",INDEX(INDIRECT(Inputs!$G$1),2,1),IF(Inputs!$G$2="Pupil Percentages",INDEX(INDIRECT(Inputs!$G$1),18,1),"")),"")</f>
        <v/>
      </c>
      <c r="F17" s="61" t="str">
        <f ca="1">IFERROR(IF(Inputs!$G$2="Pupil Numbers",INDEX(INDIRECT(Inputs!$G$1),2,2),IF(Inputs!$G$2="Pupil Percentages",INDEX(INDIRECT(Inputs!$G$1),18,2),"")),"")</f>
        <v/>
      </c>
      <c r="G17" s="61" t="str">
        <f ca="1">IFERROR(IF(Inputs!$G$2="Pupil Numbers",INDEX(INDIRECT(Inputs!$G$1),2,3),IF(Inputs!$G$2="Pupil Percentages",INDEX(INDIRECT(Inputs!$G$1),18,3),"")),"")</f>
        <v/>
      </c>
      <c r="H17" s="61" t="str">
        <f ca="1">IFERROR(IF(Inputs!$G$2="Pupil Numbers",INDEX(INDIRECT(Inputs!$G$1),2,4),IF(Inputs!$G$2="Pupil Percentages",INDEX(INDIRECT(Inputs!$G$1),18,4),"")),"")</f>
        <v/>
      </c>
      <c r="I17" s="61" t="str">
        <f ca="1">IFERROR(IF(Inputs!$G$2="Pupil Numbers",INDEX(INDIRECT(Inputs!$G$1),2,5),IF(Inputs!$G$2="Pupil Percentages",INDEX(INDIRECT(Inputs!$G$1),18,5),"")),"")</f>
        <v/>
      </c>
      <c r="J17" s="61" t="str">
        <f ca="1">IFERROR(IF(Inputs!$G$2="Pupil Numbers",INDEX(INDIRECT(Inputs!$G$1),2,6),IF(Inputs!$G$2="Pupil Percentages",INDEX(INDIRECT(Inputs!$G$1),18,6),"")),"")</f>
        <v/>
      </c>
      <c r="K17" s="61" t="str">
        <f ca="1">IFERROR(IF(Inputs!$G$2="Pupil Numbers",INDEX(INDIRECT(Inputs!$G$1),2,7),IF(Inputs!$G$2="Pupil Percentages",INDEX(INDIRECT(Inputs!$G$1),18,7),"")),"")</f>
        <v/>
      </c>
      <c r="L17" s="61" t="str">
        <f ca="1">IFERROR(IF(Inputs!$G$2="Pupil Numbers",INDEX(INDIRECT(Inputs!$G$1),2,8),IF(Inputs!$G$2="Pupil Percentages",INDEX(INDIRECT(Inputs!$G$1),18,8),"")),"")</f>
        <v/>
      </c>
      <c r="M17" s="61" t="str">
        <f ca="1">IFERROR(IF(Inputs!$G$2="Pupil Numbers",INDEX(INDIRECT(Inputs!$G$1),2,9),IF(Inputs!$G$2="Pupil Percentages",INDEX(INDIRECT(Inputs!$G$1),18,9),"")),"")</f>
        <v/>
      </c>
      <c r="N17" s="69" t="str">
        <f ca="1">IFERROR(IF(OR(Inputs!$G$1="Mathematics",Inputs!$G$1="English_Language",Inputs!$G$1="English_Literature",Inputs!$G$1="Art_Design",Inputs!$G$1="Biology",Inputs!$G$1="Business_Studies",Inputs!$G$1="Chemistry",Inputs!$G$1="Citizenship_Studies",Inputs!$G$1="Classical_Studies",Inputs!$G$1="Computer_Science",Inputs!$G$1="Dance",Inputs!$G$1="Economics",Inputs!$G$1="Engineering",Inputs!$G$1="Food_Preparation_and_Nutrition",Inputs!$G$1="French",Inputs!$G$1="Geography",Inputs!$G$1="German",Inputs!$G$1="History",Inputs!$G$1="Media_Studies",Inputs!$G$1="Music",Inputs!$G$1="Design_Technology",Inputs!$G$1="Other_Modern_Languages_9_to_1",Inputs!$G$1="Other_Sciences",Inputs!$G$1="Performing_Arts",Inputs!$G$1="Photography",Inputs!$G$1="Physical_Education",Inputs!$G$1="Physics",Inputs!$G$1="Psychology",Inputs!$G$1="Religious_Studies",Inputs!$G$1="Sociology",Inputs!$G$1="Spanish",Inputs!$G$1="Statistics"),IF(Inputs!$G$2="Pupil Numbers",INDEX(INDIRECT(Inputs!$G$1),2,10),IF(Inputs!$G$2="Pupil Percentages",INDEX(INDIRECT(Inputs!$G$1),18,10),"")),""),"")</f>
        <v/>
      </c>
      <c r="AD17" s="12"/>
      <c r="AP17" s="13"/>
      <c r="BC17" s="13"/>
      <c r="BD17" s="13"/>
      <c r="BE17" s="13"/>
      <c r="BF17" s="13"/>
      <c r="BG17" s="21"/>
      <c r="BH17" s="13"/>
      <c r="BI17" s="13"/>
      <c r="BJ17" s="1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13"/>
      <c r="CL17" s="13"/>
      <c r="CM17" s="13"/>
      <c r="CN17" s="13"/>
      <c r="CO17" s="13"/>
      <c r="CP17" s="13"/>
      <c r="CQ17" s="13"/>
      <c r="CR17" s="13"/>
      <c r="CS17" s="13"/>
      <c r="CT17" s="13"/>
      <c r="CU17" s="13"/>
    </row>
    <row r="18" spans="3:99" ht="23.1" customHeight="1" x14ac:dyDescent="0.5">
      <c r="C18" s="120"/>
      <c r="D18" s="60" t="s">
        <v>2</v>
      </c>
      <c r="E18" s="61" t="str">
        <f ca="1">IFERROR(IF(Inputs!$G$2="Pupil Numbers",INDEX(INDIRECT(Inputs!$G$1),3,1),IF(Inputs!$G$2="Pupil Percentages",INDEX(INDIRECT(Inputs!$G$1),19,1),"")),"")</f>
        <v/>
      </c>
      <c r="F18" s="61" t="str">
        <f ca="1">IFERROR(IF(Inputs!$G$2="Pupil Numbers",INDEX(INDIRECT(Inputs!$G$1),3,2),IF(Inputs!$G$2="Pupil Percentages",INDEX(INDIRECT(Inputs!$G$1),19,2),"")),"")</f>
        <v/>
      </c>
      <c r="G18" s="61" t="str">
        <f ca="1">IFERROR(IF(Inputs!$G$2="Pupil Numbers",INDEX(INDIRECT(Inputs!$G$1),3,3),IF(Inputs!$G$2="Pupil Percentages",INDEX(INDIRECT(Inputs!$G$1),19,3),"")),"")</f>
        <v/>
      </c>
      <c r="H18" s="61" t="str">
        <f ca="1">IFERROR(IF(Inputs!$G$2="Pupil Numbers",INDEX(INDIRECT(Inputs!$G$1),3,4),IF(Inputs!$G$2="Pupil Percentages",INDEX(INDIRECT(Inputs!$G$1),19,4),"")),"")</f>
        <v/>
      </c>
      <c r="I18" s="61" t="str">
        <f ca="1">IFERROR(IF(Inputs!$G$2="Pupil Numbers",INDEX(INDIRECT(Inputs!$G$1),3,5),IF(Inputs!$G$2="Pupil Percentages",INDEX(INDIRECT(Inputs!$G$1),19,5),"")),"")</f>
        <v/>
      </c>
      <c r="J18" s="61" t="str">
        <f ca="1">IFERROR(IF(Inputs!$G$2="Pupil Numbers",INDEX(INDIRECT(Inputs!$G$1),3,6),IF(Inputs!$G$2="Pupil Percentages",INDEX(INDIRECT(Inputs!$G$1),19,6),"")),"")</f>
        <v/>
      </c>
      <c r="K18" s="61" t="str">
        <f ca="1">IFERROR(IF(Inputs!$G$2="Pupil Numbers",INDEX(INDIRECT(Inputs!$G$1),3,7),IF(Inputs!$G$2="Pupil Percentages",INDEX(INDIRECT(Inputs!$G$1),19,7),"")),"")</f>
        <v/>
      </c>
      <c r="L18" s="61" t="str">
        <f ca="1">IFERROR(IF(Inputs!$G$2="Pupil Numbers",INDEX(INDIRECT(Inputs!$G$1),3,8),IF(Inputs!$G$2="Pupil Percentages",INDEX(INDIRECT(Inputs!$G$1),19,8),"")),"")</f>
        <v/>
      </c>
      <c r="M18" s="61" t="str">
        <f ca="1">IFERROR(IF(Inputs!$G$2="Pupil Numbers",INDEX(INDIRECT(Inputs!$G$1),3,9),IF(Inputs!$G$2="Pupil Percentages",INDEX(INDIRECT(Inputs!$G$1),19,9),"")),"")</f>
        <v/>
      </c>
      <c r="N18" s="69" t="str">
        <f ca="1">IFERROR(IF(OR(Inputs!$G$1="Mathematics",Inputs!$G$1="English_Language",Inputs!$G$1="English_Literature",Inputs!$G$1="Art_Design",Inputs!$G$1="Biology",Inputs!$G$1="Business_Studies",Inputs!$G$1="Chemistry",Inputs!$G$1="Citizenship_Studies",Inputs!$G$1="Classical_Studies",Inputs!$G$1="Computer_Science",Inputs!$G$1="Dance",Inputs!$G$1="Economics",Inputs!$G$1="Engineering",Inputs!$G$1="Food_Preparation_and_Nutrition",Inputs!$G$1="French",Inputs!$G$1="Geography",Inputs!$G$1="German",Inputs!$G$1="History",Inputs!$G$1="Media_Studies",Inputs!$G$1="Music",Inputs!$G$1="Design_Technology",Inputs!$G$1="Other_Modern_Languages_9_to_1",Inputs!$G$1="Other_Sciences",Inputs!$G$1="Performing_Arts",Inputs!$G$1="Photography",Inputs!$G$1="Physical_Education",Inputs!$G$1="Physics",Inputs!$G$1="Psychology",Inputs!$G$1="Religious_Studies",Inputs!$G$1="Sociology",Inputs!$G$1="Spanish",Inputs!$G$1="Statistics"),IF(Inputs!$G$2="Pupil Numbers",INDEX(INDIRECT(Inputs!$G$1),3,10),IF(Inputs!$G$2="Pupil Percentages",INDEX(INDIRECT(Inputs!$G$1),19,10),"")),""),"")</f>
        <v/>
      </c>
      <c r="AD18" s="12"/>
      <c r="AP18" s="13"/>
      <c r="BC18" s="13"/>
      <c r="BD18" s="13"/>
      <c r="BE18" s="13"/>
      <c r="BF18" s="13"/>
      <c r="BG18" s="21"/>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c r="CL18" s="13"/>
      <c r="CM18" s="13"/>
      <c r="CN18" s="13"/>
      <c r="CO18" s="13"/>
      <c r="CP18" s="13"/>
      <c r="CQ18" s="13"/>
      <c r="CR18" s="13"/>
      <c r="CS18" s="13"/>
      <c r="CT18" s="13"/>
      <c r="CU18" s="13"/>
    </row>
    <row r="19" spans="3:99" ht="23.1" customHeight="1" x14ac:dyDescent="0.5">
      <c r="C19" s="120"/>
      <c r="D19" s="60" t="s">
        <v>3</v>
      </c>
      <c r="E19" s="61" t="str">
        <f ca="1">IFERROR(IF(Inputs!$G$2="Pupil Numbers",INDEX(INDIRECT(Inputs!$G$1),4,1),IF(Inputs!$G$2="Pupil Percentages",INDEX(INDIRECT(Inputs!$G$1),20,1),"")),"")</f>
        <v/>
      </c>
      <c r="F19" s="61" t="str">
        <f ca="1">IFERROR(IF(Inputs!$G$2="Pupil Numbers",INDEX(INDIRECT(Inputs!$G$1),4,2),IF(Inputs!$G$2="Pupil Percentages",INDEX(INDIRECT(Inputs!$G$1),20,2),"")),"")</f>
        <v/>
      </c>
      <c r="G19" s="61" t="str">
        <f ca="1">IFERROR(IF(Inputs!$G$2="Pupil Numbers",INDEX(INDIRECT(Inputs!$G$1),4,3),IF(Inputs!$G$2="Pupil Percentages",INDEX(INDIRECT(Inputs!$G$1),20,3),"")),"")</f>
        <v/>
      </c>
      <c r="H19" s="61" t="str">
        <f ca="1">IFERROR(IF(Inputs!$G$2="Pupil Numbers",INDEX(INDIRECT(Inputs!$G$1),4,4),IF(Inputs!$G$2="Pupil Percentages",INDEX(INDIRECT(Inputs!$G$1),20,4),"")),"")</f>
        <v/>
      </c>
      <c r="I19" s="61" t="str">
        <f ca="1">IFERROR(IF(Inputs!$G$2="Pupil Numbers",INDEX(INDIRECT(Inputs!$G$1),4,5),IF(Inputs!$G$2="Pupil Percentages",INDEX(INDIRECT(Inputs!$G$1),20,5),"")),"")</f>
        <v/>
      </c>
      <c r="J19" s="61" t="str">
        <f ca="1">IFERROR(IF(Inputs!$G$2="Pupil Numbers",INDEX(INDIRECT(Inputs!$G$1),4,6),IF(Inputs!$G$2="Pupil Percentages",INDEX(INDIRECT(Inputs!$G$1),20,6),"")),"")</f>
        <v/>
      </c>
      <c r="K19" s="61" t="str">
        <f ca="1">IFERROR(IF(Inputs!$G$2="Pupil Numbers",INDEX(INDIRECT(Inputs!$G$1),4,7),IF(Inputs!$G$2="Pupil Percentages",INDEX(INDIRECT(Inputs!$G$1),20,7),"")),"")</f>
        <v/>
      </c>
      <c r="L19" s="61" t="str">
        <f ca="1">IFERROR(IF(Inputs!$G$2="Pupil Numbers",INDEX(INDIRECT(Inputs!$G$1),4,8),IF(Inputs!$G$2="Pupil Percentages",INDEX(INDIRECT(Inputs!$G$1),20,8),"")),"")</f>
        <v/>
      </c>
      <c r="M19" s="61" t="str">
        <f ca="1">IFERROR(IF(Inputs!$G$2="Pupil Numbers",INDEX(INDIRECT(Inputs!$G$1),4,9),IF(Inputs!$G$2="Pupil Percentages",INDEX(INDIRECT(Inputs!$G$1),20,9),"")),"")</f>
        <v/>
      </c>
      <c r="N19" s="69" t="str">
        <f ca="1">IFERROR(IF(OR(Inputs!$G$1="Mathematics",Inputs!$G$1="English_Language",Inputs!$G$1="English_Literature",Inputs!$G$1="Art_Design",Inputs!$G$1="Biology",Inputs!$G$1="Business_Studies",Inputs!$G$1="Chemistry",Inputs!$G$1="Citizenship_Studies",Inputs!$G$1="Classical_Studies",Inputs!$G$1="Computer_Science",Inputs!$G$1="Dance",Inputs!$G$1="Economics",Inputs!$G$1="Engineering",Inputs!$G$1="Food_Preparation_and_Nutrition",Inputs!$G$1="French",Inputs!$G$1="Geography",Inputs!$G$1="German",Inputs!$G$1="History",Inputs!$G$1="Media_Studies",Inputs!$G$1="Music",Inputs!$G$1="Design_Technology",Inputs!$G$1="Other_Modern_Languages_9_to_1",Inputs!$G$1="Other_Sciences",Inputs!$G$1="Performing_Arts",Inputs!$G$1="Photography",Inputs!$G$1="Physical_Education",Inputs!$G$1="Physics",Inputs!$G$1="Psychology",Inputs!$G$1="Religious_Studies",Inputs!$G$1="Sociology",Inputs!$G$1="Spanish",Inputs!$G$1="Statistics"),IF(Inputs!$G$2="Pupil Numbers",INDEX(INDIRECT(Inputs!$G$1),4,10),IF(Inputs!$G$2="Pupil Percentages",INDEX(INDIRECT(Inputs!$G$1),20,10),"")),""),"")</f>
        <v/>
      </c>
      <c r="AD19" s="12"/>
      <c r="AP19" s="13"/>
      <c r="BC19" s="13"/>
      <c r="BD19" s="13"/>
      <c r="BE19" s="13"/>
      <c r="BF19" s="13"/>
      <c r="BG19" s="21"/>
      <c r="BH19" s="13"/>
      <c r="BI19" s="13"/>
      <c r="BJ19" s="1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c r="CL19" s="13"/>
      <c r="CM19" s="13"/>
      <c r="CN19" s="13"/>
      <c r="CO19" s="13"/>
      <c r="CP19" s="13"/>
      <c r="CQ19" s="13"/>
      <c r="CR19" s="13"/>
      <c r="CS19" s="13"/>
      <c r="CT19" s="13"/>
      <c r="CU19" s="13"/>
    </row>
    <row r="20" spans="3:99" ht="23.1" customHeight="1" x14ac:dyDescent="0.5">
      <c r="C20" s="120"/>
      <c r="D20" s="60" t="s">
        <v>4</v>
      </c>
      <c r="E20" s="61" t="str">
        <f ca="1">IFERROR(IF(Inputs!$G$2="Pupil Numbers",INDEX(INDIRECT(Inputs!$G$1),5,1),IF(Inputs!$G$2="Pupil Percentages",INDEX(INDIRECT(Inputs!$G$1),21,1),"")),"")</f>
        <v/>
      </c>
      <c r="F20" s="61" t="str">
        <f ca="1">IFERROR(IF(Inputs!$G$2="Pupil Numbers",INDEX(INDIRECT(Inputs!$G$1),5,2),IF(Inputs!$G$2="Pupil Percentages",INDEX(INDIRECT(Inputs!$G$1),21,2),"")),"")</f>
        <v/>
      </c>
      <c r="G20" s="61" t="str">
        <f ca="1">IFERROR(IF(Inputs!$G$2="Pupil Numbers",INDEX(INDIRECT(Inputs!$G$1),5,3),IF(Inputs!$G$2="Pupil Percentages",INDEX(INDIRECT(Inputs!$G$1),21,3),"")),"")</f>
        <v/>
      </c>
      <c r="H20" s="61" t="str">
        <f ca="1">IFERROR(IF(Inputs!$G$2="Pupil Numbers",INDEX(INDIRECT(Inputs!$G$1),5,4),IF(Inputs!$G$2="Pupil Percentages",INDEX(INDIRECT(Inputs!$G$1),21,4),"")),"")</f>
        <v/>
      </c>
      <c r="I20" s="61" t="str">
        <f ca="1">IFERROR(IF(Inputs!$G$2="Pupil Numbers",INDEX(INDIRECT(Inputs!$G$1),5,5),IF(Inputs!$G$2="Pupil Percentages",INDEX(INDIRECT(Inputs!$G$1),21,5),"")),"")</f>
        <v/>
      </c>
      <c r="J20" s="61" t="str">
        <f ca="1">IFERROR(IF(Inputs!$G$2="Pupil Numbers",INDEX(INDIRECT(Inputs!$G$1),5,6),IF(Inputs!$G$2="Pupil Percentages",INDEX(INDIRECT(Inputs!$G$1),21,6),"")),"")</f>
        <v/>
      </c>
      <c r="K20" s="61" t="str">
        <f ca="1">IFERROR(IF(Inputs!$G$2="Pupil Numbers",INDEX(INDIRECT(Inputs!$G$1),5,7),IF(Inputs!$G$2="Pupil Percentages",INDEX(INDIRECT(Inputs!$G$1),21,7),"")),"")</f>
        <v/>
      </c>
      <c r="L20" s="61" t="str">
        <f ca="1">IFERROR(IF(Inputs!$G$2="Pupil Numbers",INDEX(INDIRECT(Inputs!$G$1),5,8),IF(Inputs!$G$2="Pupil Percentages",INDEX(INDIRECT(Inputs!$G$1),21,8),"")),"")</f>
        <v/>
      </c>
      <c r="M20" s="61" t="str">
        <f ca="1">IFERROR(IF(Inputs!$G$2="Pupil Numbers",INDEX(INDIRECT(Inputs!$G$1),5,9),IF(Inputs!$G$2="Pupil Percentages",INDEX(INDIRECT(Inputs!$G$1),21,9),"")),"")</f>
        <v/>
      </c>
      <c r="N20" s="69" t="str">
        <f ca="1">IFERROR(IF(OR(Inputs!$G$1="Mathematics",Inputs!$G$1="English_Language",Inputs!$G$1="English_Literature",Inputs!$G$1="Art_Design",Inputs!$G$1="Biology",Inputs!$G$1="Business_Studies",Inputs!$G$1="Chemistry",Inputs!$G$1="Citizenship_Studies",Inputs!$G$1="Classical_Studies",Inputs!$G$1="Computer_Science",Inputs!$G$1="Dance",Inputs!$G$1="Economics",Inputs!$G$1="Engineering",Inputs!$G$1="Food_Preparation_and_Nutrition",Inputs!$G$1="French",Inputs!$G$1="Geography",Inputs!$G$1="German",Inputs!$G$1="History",Inputs!$G$1="Media_Studies",Inputs!$G$1="Music",Inputs!$G$1="Design_Technology",Inputs!$G$1="Other_Modern_Languages_9_to_1",Inputs!$G$1="Other_Sciences",Inputs!$G$1="Performing_Arts",Inputs!$G$1="Photography",Inputs!$G$1="Physical_Education",Inputs!$G$1="Physics",Inputs!$G$1="Psychology",Inputs!$G$1="Religious_Studies",Inputs!$G$1="Sociology",Inputs!$G$1="Spanish",Inputs!$G$1="Statistics"),IF(Inputs!$G$2="Pupil Numbers",INDEX(INDIRECT(Inputs!$G$1),5,10),IF(Inputs!$G$2="Pupil Percentages",INDEX(INDIRECT(Inputs!$G$1),21,10),"")),""),"")</f>
        <v/>
      </c>
      <c r="AD20" s="12"/>
      <c r="AP20" s="13"/>
      <c r="BC20" s="13"/>
      <c r="BD20" s="13"/>
      <c r="BE20" s="13"/>
      <c r="BF20" s="13"/>
      <c r="BG20" s="21"/>
      <c r="BH20" s="13"/>
      <c r="BI20" s="13"/>
      <c r="BJ20" s="13"/>
      <c r="BK20" s="13"/>
      <c r="BL20" s="13"/>
      <c r="BM20" s="13"/>
      <c r="BN20" s="13"/>
      <c r="BO20" s="13"/>
      <c r="BP20" s="13"/>
      <c r="BQ20" s="13"/>
      <c r="BR20" s="13"/>
      <c r="BS20" s="13"/>
      <c r="BT20" s="13"/>
      <c r="BU20" s="13"/>
      <c r="BV20" s="13"/>
      <c r="BW20" s="13"/>
      <c r="BX20" s="13"/>
      <c r="BY20" s="13"/>
      <c r="BZ20" s="13"/>
      <c r="CA20" s="13"/>
      <c r="CB20" s="13"/>
      <c r="CC20" s="13"/>
      <c r="CD20" s="13"/>
      <c r="CE20" s="13"/>
      <c r="CF20" s="13"/>
      <c r="CG20" s="13"/>
      <c r="CH20" s="13"/>
      <c r="CI20" s="13"/>
      <c r="CJ20" s="13"/>
      <c r="CK20" s="13"/>
      <c r="CL20" s="13"/>
      <c r="CM20" s="13"/>
      <c r="CN20" s="13"/>
      <c r="CO20" s="13"/>
      <c r="CP20" s="13"/>
      <c r="CQ20" s="13"/>
      <c r="CR20" s="13"/>
      <c r="CS20" s="13"/>
      <c r="CT20" s="13"/>
      <c r="CU20" s="13"/>
    </row>
    <row r="21" spans="3:99" ht="23.1" customHeight="1" x14ac:dyDescent="0.5">
      <c r="C21" s="120"/>
      <c r="D21" s="60" t="s">
        <v>5</v>
      </c>
      <c r="E21" s="61" t="str">
        <f ca="1">IFERROR(IF(Inputs!$G$2="Pupil Numbers",INDEX(INDIRECT(Inputs!$G$1),6,1),IF(Inputs!$G$2="Pupil Percentages",INDEX(INDIRECT(Inputs!$G$1),22,1),"")),"")</f>
        <v/>
      </c>
      <c r="F21" s="61" t="str">
        <f ca="1">IFERROR(IF(Inputs!$G$2="Pupil Numbers",INDEX(INDIRECT(Inputs!$G$1),6,2),IF(Inputs!$G$2="Pupil Percentages",INDEX(INDIRECT(Inputs!$G$1),22,2),"")),"")</f>
        <v/>
      </c>
      <c r="G21" s="61" t="str">
        <f ca="1">IFERROR(IF(Inputs!$G$2="Pupil Numbers",INDEX(INDIRECT(Inputs!$G$1),6,3),IF(Inputs!$G$2="Pupil Percentages",INDEX(INDIRECT(Inputs!$G$1),22,3),"")),"")</f>
        <v/>
      </c>
      <c r="H21" s="61" t="str">
        <f ca="1">IFERROR(IF(Inputs!$G$2="Pupil Numbers",INDEX(INDIRECT(Inputs!$G$1),6,4),IF(Inputs!$G$2="Pupil Percentages",INDEX(INDIRECT(Inputs!$G$1),22,4),"")),"")</f>
        <v/>
      </c>
      <c r="I21" s="61" t="str">
        <f ca="1">IFERROR(IF(Inputs!$G$2="Pupil Numbers",INDEX(INDIRECT(Inputs!$G$1),6,5),IF(Inputs!$G$2="Pupil Percentages",INDEX(INDIRECT(Inputs!$G$1),22,5),"")),"")</f>
        <v/>
      </c>
      <c r="J21" s="61" t="str">
        <f ca="1">IFERROR(IF(Inputs!$G$2="Pupil Numbers",INDEX(INDIRECT(Inputs!$G$1),6,6),IF(Inputs!$G$2="Pupil Percentages",INDEX(INDIRECT(Inputs!$G$1),22,6),"")),"")</f>
        <v/>
      </c>
      <c r="K21" s="61" t="str">
        <f ca="1">IFERROR(IF(Inputs!$G$2="Pupil Numbers",INDEX(INDIRECT(Inputs!$G$1),6,7),IF(Inputs!$G$2="Pupil Percentages",INDEX(INDIRECT(Inputs!$G$1),22,7),"")),"")</f>
        <v/>
      </c>
      <c r="L21" s="61" t="str">
        <f ca="1">IFERROR(IF(Inputs!$G$2="Pupil Numbers",INDEX(INDIRECT(Inputs!$G$1),6,8),IF(Inputs!$G$2="Pupil Percentages",INDEX(INDIRECT(Inputs!$G$1),22,8),"")),"")</f>
        <v/>
      </c>
      <c r="M21" s="61" t="str">
        <f ca="1">IFERROR(IF(Inputs!$G$2="Pupil Numbers",INDEX(INDIRECT(Inputs!$G$1),6,9),IF(Inputs!$G$2="Pupil Percentages",INDEX(INDIRECT(Inputs!$G$1),22,9),"")),"")</f>
        <v/>
      </c>
      <c r="N21" s="69" t="str">
        <f ca="1">IFERROR(IF(OR(Inputs!$G$1="Mathematics",Inputs!$G$1="English_Language",Inputs!$G$1="English_Literature",Inputs!$G$1="Art_Design",Inputs!$G$1="Biology",Inputs!$G$1="Business_Studies",Inputs!$G$1="Chemistry",Inputs!$G$1="Citizenship_Studies",Inputs!$G$1="Classical_Studies",Inputs!$G$1="Computer_Science",Inputs!$G$1="Dance",Inputs!$G$1="Economics",Inputs!$G$1="Engineering",Inputs!$G$1="Food_Preparation_and_Nutrition",Inputs!$G$1="French",Inputs!$G$1="Geography",Inputs!$G$1="German",Inputs!$G$1="History",Inputs!$G$1="Media_Studies",Inputs!$G$1="Music",Inputs!$G$1="Design_Technology",Inputs!$G$1="Other_Modern_Languages_9_to_1",Inputs!$G$1="Other_Sciences",Inputs!$G$1="Performing_Arts",Inputs!$G$1="Photography",Inputs!$G$1="Physical_Education",Inputs!$G$1="Physics",Inputs!$G$1="Psychology",Inputs!$G$1="Religious_Studies",Inputs!$G$1="Sociology",Inputs!$G$1="Spanish",Inputs!$G$1="Statistics"),IF(Inputs!$G$2="Pupil Numbers",INDEX(INDIRECT(Inputs!$G$1),6,10),IF(Inputs!$G$2="Pupil Percentages",INDEX(INDIRECT(Inputs!$G$1),22,10),"")),""),"")</f>
        <v/>
      </c>
      <c r="AD21" s="12"/>
      <c r="AP21" s="13"/>
      <c r="BC21" s="13"/>
      <c r="BD21" s="13"/>
      <c r="BE21" s="13"/>
      <c r="BF21" s="13"/>
      <c r="BG21" s="21"/>
      <c r="BH21" s="13"/>
      <c r="BI21" s="13"/>
      <c r="BJ21" s="13"/>
      <c r="BK21" s="13"/>
      <c r="BL21" s="13"/>
      <c r="BM21" s="13"/>
      <c r="BN21" s="13"/>
      <c r="BO21" s="13"/>
      <c r="BP21" s="13"/>
      <c r="BQ21" s="13"/>
      <c r="BR21" s="13"/>
      <c r="BS21" s="13"/>
      <c r="BT21" s="13"/>
      <c r="BU21" s="13"/>
      <c r="BV21" s="13"/>
      <c r="BW21" s="13"/>
      <c r="BX21" s="13"/>
      <c r="BY21" s="13"/>
      <c r="BZ21" s="13"/>
      <c r="CA21" s="13"/>
      <c r="CB21" s="13"/>
      <c r="CC21" s="13"/>
      <c r="CD21" s="13"/>
      <c r="CE21" s="13"/>
      <c r="CF21" s="13"/>
      <c r="CG21" s="13"/>
      <c r="CH21" s="13"/>
      <c r="CI21" s="13"/>
      <c r="CJ21" s="13"/>
      <c r="CK21" s="13"/>
      <c r="CL21" s="13"/>
      <c r="CM21" s="13"/>
      <c r="CN21" s="13"/>
      <c r="CO21" s="13"/>
      <c r="CP21" s="13"/>
      <c r="CQ21" s="13"/>
      <c r="CR21" s="13"/>
      <c r="CS21" s="13"/>
      <c r="CT21" s="13"/>
      <c r="CU21" s="13"/>
    </row>
    <row r="22" spans="3:99" ht="23.1" customHeight="1" x14ac:dyDescent="0.5">
      <c r="C22" s="120"/>
      <c r="D22" s="60" t="s">
        <v>6</v>
      </c>
      <c r="E22" s="61" t="str">
        <f ca="1">IFERROR(IF(Inputs!$G$2="Pupil Numbers",INDEX(INDIRECT(Inputs!$G$1),7,1),IF(Inputs!$G$2="Pupil Percentages",INDEX(INDIRECT(Inputs!$G$1),23,1),"")),"")</f>
        <v/>
      </c>
      <c r="F22" s="61" t="str">
        <f ca="1">IFERROR(IF(Inputs!$G$2="Pupil Numbers",INDEX(INDIRECT(Inputs!$G$1),7,2),IF(Inputs!$G$2="Pupil Percentages",INDEX(INDIRECT(Inputs!$G$1),23,2),"")),"")</f>
        <v/>
      </c>
      <c r="G22" s="61" t="str">
        <f ca="1">IFERROR(IF(Inputs!$G$2="Pupil Numbers",INDEX(INDIRECT(Inputs!$G$1),7,3),IF(Inputs!$G$2="Pupil Percentages",INDEX(INDIRECT(Inputs!$G$1),23,3),"")),"")</f>
        <v/>
      </c>
      <c r="H22" s="61" t="str">
        <f ca="1">IFERROR(IF(Inputs!$G$2="Pupil Numbers",INDEX(INDIRECT(Inputs!$G$1),7,4),IF(Inputs!$G$2="Pupil Percentages",INDEX(INDIRECT(Inputs!$G$1),23,4),"")),"")</f>
        <v/>
      </c>
      <c r="I22" s="61" t="str">
        <f ca="1">IFERROR(IF(Inputs!$G$2="Pupil Numbers",INDEX(INDIRECT(Inputs!$G$1),7,5),IF(Inputs!$G$2="Pupil Percentages",INDEX(INDIRECT(Inputs!$G$1),23,5),"")),"")</f>
        <v/>
      </c>
      <c r="J22" s="61" t="str">
        <f ca="1">IFERROR(IF(Inputs!$G$2="Pupil Numbers",INDEX(INDIRECT(Inputs!$G$1),7,6),IF(Inputs!$G$2="Pupil Percentages",INDEX(INDIRECT(Inputs!$G$1),23,6),"")),"")</f>
        <v/>
      </c>
      <c r="K22" s="61" t="str">
        <f ca="1">IFERROR(IF(Inputs!$G$2="Pupil Numbers",INDEX(INDIRECT(Inputs!$G$1),7,7),IF(Inputs!$G$2="Pupil Percentages",INDEX(INDIRECT(Inputs!$G$1),23,7),"")),"")</f>
        <v/>
      </c>
      <c r="L22" s="61" t="str">
        <f ca="1">IFERROR(IF(Inputs!$G$2="Pupil Numbers",INDEX(INDIRECT(Inputs!$G$1),7,8),IF(Inputs!$G$2="Pupil Percentages",INDEX(INDIRECT(Inputs!$G$1),23,8),"")),"")</f>
        <v/>
      </c>
      <c r="M22" s="61" t="str">
        <f ca="1">IFERROR(IF(Inputs!$G$2="Pupil Numbers",INDEX(INDIRECT(Inputs!$G$1),7,9),IF(Inputs!$G$2="Pupil Percentages",INDEX(INDIRECT(Inputs!$G$1),23,9),"")),"")</f>
        <v/>
      </c>
      <c r="N22" s="69" t="str">
        <f ca="1">IFERROR(IF(OR(Inputs!$G$1="Mathematics",Inputs!$G$1="English_Language",Inputs!$G$1="English_Literature",Inputs!$G$1="Art_Design",Inputs!$G$1="Biology",Inputs!$G$1="Business_Studies",Inputs!$G$1="Chemistry",Inputs!$G$1="Citizenship_Studies",Inputs!$G$1="Classical_Studies",Inputs!$G$1="Computer_Science",Inputs!$G$1="Dance",Inputs!$G$1="Economics",Inputs!$G$1="Engineering",Inputs!$G$1="Food_Preparation_and_Nutrition",Inputs!$G$1="French",Inputs!$G$1="Geography",Inputs!$G$1="German",Inputs!$G$1="History",Inputs!$G$1="Media_Studies",Inputs!$G$1="Music",Inputs!$G$1="Design_Technology",Inputs!$G$1="Other_Modern_Languages_9_to_1",Inputs!$G$1="Other_Sciences",Inputs!$G$1="Performing_Arts",Inputs!$G$1="Photography",Inputs!$G$1="Physical_Education",Inputs!$G$1="Physics",Inputs!$G$1="Psychology",Inputs!$G$1="Religious_Studies",Inputs!$G$1="Sociology",Inputs!$G$1="Spanish",Inputs!$G$1="Statistics"),IF(Inputs!$G$2="Pupil Numbers",INDEX(INDIRECT(Inputs!$G$1),7,10),IF(Inputs!$G$2="Pupil Percentages",INDEX(INDIRECT(Inputs!$G$1),23,10),"")),""),"")</f>
        <v/>
      </c>
      <c r="AD22" s="12"/>
      <c r="AP22" s="13"/>
      <c r="BC22" s="13"/>
      <c r="BD22" s="13"/>
      <c r="BE22" s="13"/>
      <c r="BF22" s="13"/>
      <c r="BG22" s="21"/>
      <c r="BH22" s="13"/>
      <c r="BI22" s="13"/>
      <c r="BJ22" s="13"/>
      <c r="BK22" s="13"/>
      <c r="BL22" s="13"/>
      <c r="BM22" s="13"/>
      <c r="BN22" s="13"/>
      <c r="BO22" s="13"/>
      <c r="BP22" s="13"/>
      <c r="BQ22" s="13"/>
      <c r="BR22" s="13"/>
      <c r="BS22" s="13"/>
      <c r="BT22" s="13"/>
      <c r="BU22" s="13"/>
      <c r="BV22" s="13"/>
      <c r="BW22" s="13"/>
      <c r="BX22" s="13"/>
      <c r="BY22" s="13"/>
      <c r="BZ22" s="13"/>
      <c r="CA22" s="13"/>
      <c r="CB22" s="13"/>
      <c r="CC22" s="13"/>
      <c r="CD22" s="13"/>
      <c r="CE22" s="13"/>
      <c r="CF22" s="13"/>
      <c r="CG22" s="13"/>
      <c r="CH22" s="13"/>
      <c r="CI22" s="13"/>
      <c r="CJ22" s="13"/>
      <c r="CK22" s="13"/>
      <c r="CL22" s="13"/>
      <c r="CM22" s="13"/>
      <c r="CN22" s="13"/>
      <c r="CO22" s="13"/>
      <c r="CP22" s="13"/>
      <c r="CQ22" s="13"/>
      <c r="CR22" s="13"/>
      <c r="CS22" s="13"/>
      <c r="CT22" s="13"/>
      <c r="CU22" s="13"/>
    </row>
    <row r="23" spans="3:99" ht="23.1" customHeight="1" x14ac:dyDescent="0.5">
      <c r="C23" s="120"/>
      <c r="D23" s="60" t="s">
        <v>7</v>
      </c>
      <c r="E23" s="61" t="str">
        <f ca="1">IFERROR(IF(Inputs!$G$2="Pupil Numbers",INDEX(INDIRECT(Inputs!$G$1),8,1),IF(Inputs!$G$2="Pupil Percentages",INDEX(INDIRECT(Inputs!$G$1),24,1),"")),"")</f>
        <v/>
      </c>
      <c r="F23" s="61" t="str">
        <f ca="1">IFERROR(IF(Inputs!$G$2="Pupil Numbers",INDEX(INDIRECT(Inputs!$G$1),8,2),IF(Inputs!$G$2="Pupil Percentages",INDEX(INDIRECT(Inputs!$G$1),24,2),"")),"")</f>
        <v/>
      </c>
      <c r="G23" s="61" t="str">
        <f ca="1">IFERROR(IF(Inputs!$G$2="Pupil Numbers",INDEX(INDIRECT(Inputs!$G$1),8,3),IF(Inputs!$G$2="Pupil Percentages",INDEX(INDIRECT(Inputs!$G$1),24,3),"")),"")</f>
        <v/>
      </c>
      <c r="H23" s="61" t="str">
        <f ca="1">IFERROR(IF(Inputs!$G$2="Pupil Numbers",INDEX(INDIRECT(Inputs!$G$1),8,4),IF(Inputs!$G$2="Pupil Percentages",INDEX(INDIRECT(Inputs!$G$1),24,4),"")),"")</f>
        <v/>
      </c>
      <c r="I23" s="61" t="str">
        <f ca="1">IFERROR(IF(Inputs!$G$2="Pupil Numbers",INDEX(INDIRECT(Inputs!$G$1),8,5),IF(Inputs!$G$2="Pupil Percentages",INDEX(INDIRECT(Inputs!$G$1),24,5),"")),"")</f>
        <v/>
      </c>
      <c r="J23" s="61" t="str">
        <f ca="1">IFERROR(IF(Inputs!$G$2="Pupil Numbers",INDEX(INDIRECT(Inputs!$G$1),8,6),IF(Inputs!$G$2="Pupil Percentages",INDEX(INDIRECT(Inputs!$G$1),24,6),"")),"")</f>
        <v/>
      </c>
      <c r="K23" s="61" t="str">
        <f ca="1">IFERROR(IF(Inputs!$G$2="Pupil Numbers",INDEX(INDIRECT(Inputs!$G$1),8,7),IF(Inputs!$G$2="Pupil Percentages",INDEX(INDIRECT(Inputs!$G$1),24,7),"")),"")</f>
        <v/>
      </c>
      <c r="L23" s="61" t="str">
        <f ca="1">IFERROR(IF(Inputs!$G$2="Pupil Numbers",INDEX(INDIRECT(Inputs!$G$1),8,8),IF(Inputs!$G$2="Pupil Percentages",INDEX(INDIRECT(Inputs!$G$1),24,8),"")),"")</f>
        <v/>
      </c>
      <c r="M23" s="61" t="str">
        <f ca="1">IFERROR(IF(Inputs!$G$2="Pupil Numbers",INDEX(INDIRECT(Inputs!$G$1),8,9),IF(Inputs!$G$2="Pupil Percentages",INDEX(INDIRECT(Inputs!$G$1),24,9),"")),"")</f>
        <v/>
      </c>
      <c r="N23" s="69" t="str">
        <f ca="1">IFERROR(IF(OR(Inputs!$G$1="Mathematics",Inputs!$G$1="English_Language",Inputs!$G$1="English_Literature",Inputs!$G$1="Art_Design",Inputs!$G$1="Biology",Inputs!$G$1="Business_Studies",Inputs!$G$1="Chemistry",Inputs!$G$1="Citizenship_Studies",Inputs!$G$1="Classical_Studies",Inputs!$G$1="Computer_Science",Inputs!$G$1="Dance",Inputs!$G$1="Economics",Inputs!$G$1="Engineering",Inputs!$G$1="Food_Preparation_and_Nutrition",Inputs!$G$1="French",Inputs!$G$1="Geography",Inputs!$G$1="German",Inputs!$G$1="History",Inputs!$G$1="Media_Studies",Inputs!$G$1="Music",Inputs!$G$1="Design_Technology",Inputs!$G$1="Other_Modern_Languages_9_to_1",Inputs!$G$1="Other_Sciences",Inputs!$G$1="Performing_Arts",Inputs!$G$1="Photography",Inputs!$G$1="Physical_Education",Inputs!$G$1="Physics",Inputs!$G$1="Psychology",Inputs!$G$1="Religious_Studies",Inputs!$G$1="Sociology",Inputs!$G$1="Spanish",Inputs!$G$1="Statistics"),IF(Inputs!$G$2="Pupil Numbers",INDEX(INDIRECT(Inputs!$G$1),8,10),IF(Inputs!$G$2="Pupil Percentages",INDEX(INDIRECT(Inputs!$G$1),24,10),"")),""),"")</f>
        <v/>
      </c>
      <c r="AD23" s="12"/>
      <c r="AP23" s="13"/>
      <c r="BC23" s="13"/>
      <c r="BD23" s="13"/>
      <c r="BE23" s="13"/>
      <c r="BF23" s="13"/>
      <c r="BG23" s="22"/>
      <c r="BH23" s="13"/>
      <c r="BI23" s="13"/>
      <c r="BJ23" s="13"/>
      <c r="BK23" s="13"/>
      <c r="BL23" s="13"/>
      <c r="BM23" s="13"/>
      <c r="BN23" s="13"/>
      <c r="BO23" s="13"/>
      <c r="BP23" s="13"/>
      <c r="BQ23" s="13"/>
      <c r="BR23" s="13"/>
      <c r="BS23" s="13"/>
      <c r="BT23" s="13"/>
      <c r="BU23" s="13"/>
      <c r="BV23" s="13"/>
      <c r="BW23" s="13"/>
      <c r="BX23" s="13"/>
      <c r="BY23" s="13"/>
      <c r="BZ23" s="13"/>
      <c r="CA23" s="13"/>
      <c r="CB23" s="13"/>
      <c r="CC23" s="13"/>
      <c r="CD23" s="13"/>
      <c r="CE23" s="13"/>
      <c r="CF23" s="13"/>
      <c r="CG23" s="13"/>
      <c r="CH23" s="13"/>
      <c r="CI23" s="13"/>
      <c r="CJ23" s="13"/>
      <c r="CK23" s="13"/>
      <c r="CL23" s="13"/>
      <c r="CM23" s="13"/>
      <c r="CN23" s="13"/>
      <c r="CO23" s="13"/>
      <c r="CP23" s="13"/>
      <c r="CQ23" s="13"/>
      <c r="CR23" s="13"/>
      <c r="CS23" s="13"/>
      <c r="CT23" s="13"/>
      <c r="CU23" s="13"/>
    </row>
    <row r="24" spans="3:99" ht="23.1" customHeight="1" x14ac:dyDescent="0.5">
      <c r="C24" s="120"/>
      <c r="D24" s="60" t="s">
        <v>8</v>
      </c>
      <c r="E24" s="61" t="str">
        <f ca="1">IFERROR(IF(Inputs!$G$2="Pupil Numbers",INDEX(INDIRECT(Inputs!$G$1),9,1),IF(Inputs!$G$2="Pupil Percentages",INDEX(INDIRECT(Inputs!$G$1),25,1),"")),"")</f>
        <v/>
      </c>
      <c r="F24" s="61" t="str">
        <f ca="1">IFERROR(IF(Inputs!$G$2="Pupil Numbers",INDEX(INDIRECT(Inputs!$G$1),9,2),IF(Inputs!$G$2="Pupil Percentages",INDEX(INDIRECT(Inputs!$G$1),25,2),"")),"")</f>
        <v/>
      </c>
      <c r="G24" s="61" t="str">
        <f ca="1">IFERROR(IF(Inputs!$G$2="Pupil Numbers",INDEX(INDIRECT(Inputs!$G$1),9,3),IF(Inputs!$G$2="Pupil Percentages",INDEX(INDIRECT(Inputs!$G$1),25,3),"")),"")</f>
        <v/>
      </c>
      <c r="H24" s="61" t="str">
        <f ca="1">IFERROR(IF(Inputs!$G$2="Pupil Numbers",INDEX(INDIRECT(Inputs!$G$1),9,4),IF(Inputs!$G$2="Pupil Percentages",INDEX(INDIRECT(Inputs!$G$1),25,4),"")),"")</f>
        <v/>
      </c>
      <c r="I24" s="61" t="str">
        <f ca="1">IFERROR(IF(Inputs!$G$2="Pupil Numbers",INDEX(INDIRECT(Inputs!$G$1),9,5),IF(Inputs!$G$2="Pupil Percentages",INDEX(INDIRECT(Inputs!$G$1),25,5),"")),"")</f>
        <v/>
      </c>
      <c r="J24" s="61" t="str">
        <f ca="1">IFERROR(IF(Inputs!$G$2="Pupil Numbers",INDEX(INDIRECT(Inputs!$G$1),9,6),IF(Inputs!$G$2="Pupil Percentages",INDEX(INDIRECT(Inputs!$G$1),25,6),"")),"")</f>
        <v/>
      </c>
      <c r="K24" s="61" t="str">
        <f ca="1">IFERROR(IF(Inputs!$G$2="Pupil Numbers",INDEX(INDIRECT(Inputs!$G$1),9,7),IF(Inputs!$G$2="Pupil Percentages",INDEX(INDIRECT(Inputs!$G$1),25,7),"")),"")</f>
        <v/>
      </c>
      <c r="L24" s="61" t="str">
        <f ca="1">IFERROR(IF(Inputs!$G$2="Pupil Numbers",INDEX(INDIRECT(Inputs!$G$1),9,8),IF(Inputs!$G$2="Pupil Percentages",INDEX(INDIRECT(Inputs!$G$1),25,8),"")),"")</f>
        <v/>
      </c>
      <c r="M24" s="61" t="str">
        <f ca="1">IFERROR(IF(Inputs!$G$2="Pupil Numbers",INDEX(INDIRECT(Inputs!$G$1),9,9),IF(Inputs!$G$2="Pupil Percentages",INDEX(INDIRECT(Inputs!$G$1),25,9),"")),"")</f>
        <v/>
      </c>
      <c r="N24" s="69" t="str">
        <f ca="1">IFERROR(IF(OR(Inputs!$G$1="Mathematics",Inputs!$G$1="English_Language",Inputs!$G$1="English_Literature",Inputs!$G$1="Art_Design",Inputs!$G$1="Biology",Inputs!$G$1="Business_Studies",Inputs!$G$1="Chemistry",Inputs!$G$1="Citizenship_Studies",Inputs!$G$1="Classical_Studies",Inputs!$G$1="Computer_Science",Inputs!$G$1="Dance",Inputs!$G$1="Economics",Inputs!$G$1="Engineering",Inputs!$G$1="Food_Preparation_and_Nutrition",Inputs!$G$1="French",Inputs!$G$1="Geography",Inputs!$G$1="German",Inputs!$G$1="History",Inputs!$G$1="Media_Studies",Inputs!$G$1="Music",Inputs!$G$1="Design_Technology",Inputs!$G$1="Other_Modern_Languages_9_to_1",Inputs!$G$1="Other_Sciences",Inputs!$G$1="Performing_Arts",Inputs!$G$1="Photography",Inputs!$G$1="Physical_Education",Inputs!$G$1="Physics",Inputs!$G$1="Psychology",Inputs!$G$1="Religious_Studies",Inputs!$G$1="Sociology",Inputs!$G$1="Spanish",Inputs!$G$1="Statistics"),IF(Inputs!$G$2="Pupil Numbers",INDEX(INDIRECT(Inputs!$G$1),9,10),IF(Inputs!$G$2="Pupil Percentages",INDEX(INDIRECT(Inputs!$G$1),25,10),"")),""),"")</f>
        <v/>
      </c>
      <c r="AD24" s="12"/>
      <c r="AP24" s="13"/>
      <c r="BC24" s="13"/>
      <c r="BD24" s="13"/>
      <c r="BE24" s="13"/>
      <c r="BF24" s="13"/>
      <c r="BG24" s="21"/>
      <c r="BH24" s="13"/>
      <c r="BI24" s="13"/>
      <c r="BJ24" s="13"/>
      <c r="BK24" s="13"/>
      <c r="BL24" s="13"/>
      <c r="BM24" s="13"/>
      <c r="BN24" s="13"/>
      <c r="BO24" s="13"/>
      <c r="BP24" s="13"/>
      <c r="BQ24" s="13"/>
      <c r="BR24" s="13"/>
      <c r="BS24" s="13"/>
      <c r="BT24" s="13"/>
      <c r="BU24" s="13"/>
      <c r="BV24" s="13"/>
      <c r="BW24" s="13"/>
      <c r="BX24" s="13"/>
      <c r="BY24" s="13"/>
      <c r="BZ24" s="13"/>
      <c r="CA24" s="13"/>
      <c r="CB24" s="13"/>
      <c r="CC24" s="13"/>
      <c r="CD24" s="13"/>
      <c r="CE24" s="13"/>
      <c r="CF24" s="13"/>
      <c r="CG24" s="13"/>
      <c r="CH24" s="13"/>
      <c r="CI24" s="13"/>
      <c r="CJ24" s="13"/>
      <c r="CK24" s="13"/>
      <c r="CL24" s="13"/>
      <c r="CM24" s="13"/>
      <c r="CN24" s="13"/>
      <c r="CO24" s="13"/>
      <c r="CP24" s="13"/>
      <c r="CQ24" s="13"/>
      <c r="CR24" s="13"/>
      <c r="CS24" s="13"/>
      <c r="CT24" s="13"/>
      <c r="CU24" s="13"/>
    </row>
    <row r="25" spans="3:99" ht="23.1" customHeight="1" x14ac:dyDescent="0.5">
      <c r="C25" s="120"/>
      <c r="D25" s="60" t="s">
        <v>9</v>
      </c>
      <c r="E25" s="61" t="str">
        <f ca="1">IFERROR(IF(Inputs!$G$2="Pupil Numbers",INDEX(INDIRECT(Inputs!$G$1),10,1),IF(Inputs!$G$2="Pupil Percentages",INDEX(INDIRECT(Inputs!$G$1),26,1),"")),"")</f>
        <v/>
      </c>
      <c r="F25" s="61" t="str">
        <f ca="1">IFERROR(IF(Inputs!$G$2="Pupil Numbers",INDEX(INDIRECT(Inputs!$G$1),10,2),IF(Inputs!$G$2="Pupil Percentages",INDEX(INDIRECT(Inputs!$G$1),26,2),"")),"")</f>
        <v/>
      </c>
      <c r="G25" s="61" t="str">
        <f ca="1">IFERROR(IF(Inputs!$G$2="Pupil Numbers",INDEX(INDIRECT(Inputs!$G$1),10,3),IF(Inputs!$G$2="Pupil Percentages",INDEX(INDIRECT(Inputs!$G$1),26,3),"")),"")</f>
        <v/>
      </c>
      <c r="H25" s="61" t="str">
        <f ca="1">IFERROR(IF(Inputs!$G$2="Pupil Numbers",INDEX(INDIRECT(Inputs!$G$1),10,4),IF(Inputs!$G$2="Pupil Percentages",INDEX(INDIRECT(Inputs!$G$1),26,4),"")),"")</f>
        <v/>
      </c>
      <c r="I25" s="61" t="str">
        <f ca="1">IFERROR(IF(Inputs!$G$2="Pupil Numbers",INDEX(INDIRECT(Inputs!$G$1),10,5),IF(Inputs!$G$2="Pupil Percentages",INDEX(INDIRECT(Inputs!$G$1),26,5),"")),"")</f>
        <v/>
      </c>
      <c r="J25" s="61" t="str">
        <f ca="1">IFERROR(IF(Inputs!$G$2="Pupil Numbers",INDEX(INDIRECT(Inputs!$G$1),10,6),IF(Inputs!$G$2="Pupil Percentages",INDEX(INDIRECT(Inputs!$G$1),26,6),"")),"")</f>
        <v/>
      </c>
      <c r="K25" s="61" t="str">
        <f ca="1">IFERROR(IF(Inputs!$G$2="Pupil Numbers",INDEX(INDIRECT(Inputs!$G$1),10,7),IF(Inputs!$G$2="Pupil Percentages",INDEX(INDIRECT(Inputs!$G$1),26,7),"")),"")</f>
        <v/>
      </c>
      <c r="L25" s="61" t="str">
        <f ca="1">IFERROR(IF(Inputs!$G$2="Pupil Numbers",INDEX(INDIRECT(Inputs!$G$1),10,8),IF(Inputs!$G$2="Pupil Percentages",INDEX(INDIRECT(Inputs!$G$1),26,8),"")),"")</f>
        <v/>
      </c>
      <c r="M25" s="61" t="str">
        <f ca="1">IFERROR(IF(Inputs!$G$2="Pupil Numbers",INDEX(INDIRECT(Inputs!$G$1),10,9),IF(Inputs!$G$2="Pupil Percentages",INDEX(INDIRECT(Inputs!$G$1),26,9),"")),"")</f>
        <v/>
      </c>
      <c r="N25" s="69" t="str">
        <f ca="1">IFERROR(IF(OR(Inputs!$G$1="Mathematics",Inputs!$G$1="English_Language",Inputs!$G$1="English_Literature",Inputs!$G$1="Art_Design",Inputs!$G$1="Biology",Inputs!$G$1="Business_Studies",Inputs!$G$1="Chemistry",Inputs!$G$1="Citizenship_Studies",Inputs!$G$1="Classical_Studies",Inputs!$G$1="Computer_Science",Inputs!$G$1="Dance",Inputs!$G$1="Economics",Inputs!$G$1="Engineering",Inputs!$G$1="Food_Preparation_and_Nutrition",Inputs!$G$1="French",Inputs!$G$1="Geography",Inputs!$G$1="German",Inputs!$G$1="History",Inputs!$G$1="Media_Studies",Inputs!$G$1="Music",Inputs!$G$1="Design_Technology",Inputs!$G$1="Other_Modern_Languages_9_to_1",Inputs!$G$1="Other_Sciences",Inputs!$G$1="Performing_Arts",Inputs!$G$1="Photography",Inputs!$G$1="Physical_Education",Inputs!$G$1="Physics",Inputs!$G$1="Psychology",Inputs!$G$1="Religious_Studies",Inputs!$G$1="Sociology",Inputs!$G$1="Spanish",Inputs!$G$1="Statistics"),IF(Inputs!$G$2="Pupil Numbers",INDEX(INDIRECT(Inputs!$G$1),10,10),IF(Inputs!$G$2="Pupil Percentages",INDEX(INDIRECT(Inputs!$G$1),26,10),"")),""),"")</f>
        <v/>
      </c>
      <c r="AD25" s="12"/>
      <c r="AP25" s="13"/>
      <c r="BC25" s="13"/>
      <c r="BD25" s="13"/>
      <c r="BE25" s="13"/>
      <c r="BF25" s="13"/>
      <c r="BG25" s="21"/>
      <c r="BH25" s="13"/>
      <c r="BI25" s="13"/>
      <c r="BJ25" s="13"/>
      <c r="BK25" s="13"/>
      <c r="BL25" s="13"/>
      <c r="BM25" s="13"/>
      <c r="BN25" s="13"/>
      <c r="BO25" s="13"/>
      <c r="BP25" s="13"/>
      <c r="BQ25" s="13"/>
      <c r="BR25" s="13"/>
      <c r="BS25" s="13"/>
      <c r="BT25" s="13"/>
      <c r="BU25" s="13"/>
      <c r="BV25" s="13"/>
      <c r="BW25" s="13"/>
      <c r="BX25" s="13"/>
      <c r="BY25" s="13"/>
      <c r="BZ25" s="13"/>
      <c r="CA25" s="13"/>
      <c r="CB25" s="13"/>
      <c r="CC25" s="13"/>
      <c r="CD25" s="13"/>
      <c r="CE25" s="13"/>
      <c r="CF25" s="13"/>
      <c r="CG25" s="13"/>
      <c r="CH25" s="13"/>
      <c r="CI25" s="13"/>
      <c r="CJ25" s="13"/>
      <c r="CK25" s="13"/>
      <c r="CL25" s="13"/>
      <c r="CM25" s="13"/>
      <c r="CN25" s="13"/>
      <c r="CO25" s="13"/>
      <c r="CP25" s="13"/>
      <c r="CQ25" s="13"/>
      <c r="CR25" s="13"/>
      <c r="CS25" s="13"/>
      <c r="CT25" s="13"/>
      <c r="CU25" s="13"/>
    </row>
    <row r="26" spans="3:99" ht="23.1" customHeight="1" x14ac:dyDescent="0.5">
      <c r="C26" s="120"/>
      <c r="D26" s="60" t="s">
        <v>10</v>
      </c>
      <c r="E26" s="61" t="str">
        <f ca="1">IFERROR(IF(Inputs!$G$2="Pupil Numbers",INDEX(INDIRECT(Inputs!$G$1),11,1),IF(Inputs!$G$2="Pupil Percentages",INDEX(INDIRECT(Inputs!$G$1),27,1),"")),"")</f>
        <v/>
      </c>
      <c r="F26" s="61" t="str">
        <f ca="1">IFERROR(IF(Inputs!$G$2="Pupil Numbers",INDEX(INDIRECT(Inputs!$G$1),11,2),IF(Inputs!$G$2="Pupil Percentages",INDEX(INDIRECT(Inputs!$G$1),27,2),"")),"")</f>
        <v/>
      </c>
      <c r="G26" s="61" t="str">
        <f ca="1">IFERROR(IF(Inputs!$G$2="Pupil Numbers",INDEX(INDIRECT(Inputs!$G$1),11,3),IF(Inputs!$G$2="Pupil Percentages",INDEX(INDIRECT(Inputs!$G$1),27,3),"")),"")</f>
        <v/>
      </c>
      <c r="H26" s="61" t="str">
        <f ca="1">IFERROR(IF(Inputs!$G$2="Pupil Numbers",INDEX(INDIRECT(Inputs!$G$1),11,4),IF(Inputs!$G$2="Pupil Percentages",INDEX(INDIRECT(Inputs!$G$1),27,4),"")),"")</f>
        <v/>
      </c>
      <c r="I26" s="61" t="str">
        <f ca="1">IFERROR(IF(Inputs!$G$2="Pupil Numbers",INDEX(INDIRECT(Inputs!$G$1),11,5),IF(Inputs!$G$2="Pupil Percentages",INDEX(INDIRECT(Inputs!$G$1),27,5),"")),"")</f>
        <v/>
      </c>
      <c r="J26" s="61" t="str">
        <f ca="1">IFERROR(IF(Inputs!$G$2="Pupil Numbers",INDEX(INDIRECT(Inputs!$G$1),11,6),IF(Inputs!$G$2="Pupil Percentages",INDEX(INDIRECT(Inputs!$G$1),27,6),"")),"")</f>
        <v/>
      </c>
      <c r="K26" s="61" t="str">
        <f ca="1">IFERROR(IF(Inputs!$G$2="Pupil Numbers",INDEX(INDIRECT(Inputs!$G$1),11,7),IF(Inputs!$G$2="Pupil Percentages",INDEX(INDIRECT(Inputs!$G$1),27,7),"")),"")</f>
        <v/>
      </c>
      <c r="L26" s="61" t="str">
        <f ca="1">IFERROR(IF(Inputs!$G$2="Pupil Numbers",INDEX(INDIRECT(Inputs!$G$1),11,8),IF(Inputs!$G$2="Pupil Percentages",INDEX(INDIRECT(Inputs!$G$1),27,8),"")),"")</f>
        <v/>
      </c>
      <c r="M26" s="61" t="str">
        <f ca="1">IFERROR(IF(Inputs!$G$2="Pupil Numbers",INDEX(INDIRECT(Inputs!$G$1),11,9),IF(Inputs!$G$2="Pupil Percentages",INDEX(INDIRECT(Inputs!$G$1),27,9),"")),"")</f>
        <v/>
      </c>
      <c r="N26" s="69" t="str">
        <f ca="1">IFERROR(IF(OR(Inputs!$G$1="Mathematics",Inputs!$G$1="English_Language",Inputs!$G$1="English_Literature",Inputs!$G$1="Art_Design",Inputs!$G$1="Biology",Inputs!$G$1="Business_Studies",Inputs!$G$1="Chemistry",Inputs!$G$1="Citizenship_Studies",Inputs!$G$1="Classical_Studies",Inputs!$G$1="Computer_Science",Inputs!$G$1="Dance",Inputs!$G$1="Economics",Inputs!$G$1="Engineering",Inputs!$G$1="Food_Preparation_and_Nutrition",Inputs!$G$1="French",Inputs!$G$1="Geography",Inputs!$G$1="German",Inputs!$G$1="History",Inputs!$G$1="Media_Studies",Inputs!$G$1="Music",Inputs!$G$1="Design_Technology",Inputs!$G$1="Other_Modern_Languages_9_to_1",Inputs!$G$1="Other_Sciences",Inputs!$G$1="Performing_Arts",Inputs!$G$1="Photography",Inputs!$G$1="Physical_Education",Inputs!$G$1="Physics",Inputs!$G$1="Psychology",Inputs!$G$1="Religious_Studies",Inputs!$G$1="Sociology",Inputs!$G$1="Spanish",Inputs!$G$1="Statistics"),IF(Inputs!$G$2="Pupil Numbers",INDEX(INDIRECT(Inputs!$G$1),11,10),IF(Inputs!$G$2="Pupil Percentages",INDEX(INDIRECT(Inputs!$G$1),27,10),"")),""),"")</f>
        <v/>
      </c>
      <c r="AD26" s="12"/>
      <c r="AP26" s="13"/>
      <c r="BC26" s="13"/>
      <c r="BD26" s="13"/>
      <c r="BE26" s="13"/>
      <c r="BF26" s="13"/>
      <c r="BG26" s="21"/>
      <c r="BH26" s="13"/>
      <c r="BI26" s="13"/>
      <c r="BJ26" s="13"/>
      <c r="BK26" s="13"/>
      <c r="BL26" s="13"/>
      <c r="BM26" s="13"/>
      <c r="BN26" s="13"/>
      <c r="BO26" s="13"/>
      <c r="BP26" s="13"/>
      <c r="BQ26" s="13"/>
      <c r="BR26" s="13"/>
      <c r="BS26" s="13"/>
      <c r="BT26" s="13"/>
      <c r="BU26" s="13"/>
      <c r="BV26" s="13"/>
      <c r="BW26" s="13"/>
      <c r="BX26" s="13"/>
      <c r="BY26" s="13"/>
      <c r="BZ26" s="13"/>
      <c r="CA26" s="13"/>
      <c r="CB26" s="13"/>
      <c r="CC26" s="13"/>
      <c r="CD26" s="13"/>
      <c r="CE26" s="13"/>
      <c r="CF26" s="13"/>
      <c r="CG26" s="13"/>
      <c r="CH26" s="13"/>
      <c r="CI26" s="13"/>
      <c r="CJ26" s="13"/>
      <c r="CK26" s="13"/>
      <c r="CL26" s="13"/>
      <c r="CM26" s="13"/>
      <c r="CN26" s="13"/>
      <c r="CO26" s="13"/>
      <c r="CP26" s="13"/>
      <c r="CQ26" s="13"/>
      <c r="CR26" s="13"/>
      <c r="CS26" s="13"/>
      <c r="CT26" s="13"/>
      <c r="CU26" s="13"/>
    </row>
    <row r="27" spans="3:99" ht="23.1" customHeight="1" x14ac:dyDescent="0.5">
      <c r="C27" s="121"/>
      <c r="D27" s="60" t="s">
        <v>11</v>
      </c>
      <c r="E27" s="61" t="str">
        <f ca="1">IFERROR(IF(Inputs!$G$2="Pupil Numbers",INDEX(INDIRECT(Inputs!$G$1),12,1),IF(Inputs!$G$2="Pupil Percentages",INDEX(INDIRECT(Inputs!$G$1),28,1),"")),"")</f>
        <v/>
      </c>
      <c r="F27" s="61" t="str">
        <f ca="1">IFERROR(IF(Inputs!$G$2="Pupil Numbers",INDEX(INDIRECT(Inputs!$G$1),12,2),IF(Inputs!$G$2="Pupil Percentages",INDEX(INDIRECT(Inputs!$G$1),28,2),"")),"")</f>
        <v/>
      </c>
      <c r="G27" s="61" t="str">
        <f ca="1">IFERROR(IF(Inputs!$G$2="Pupil Numbers",INDEX(INDIRECT(Inputs!$G$1),12,3),IF(Inputs!$G$2="Pupil Percentages",INDEX(INDIRECT(Inputs!$G$1),28,3),"")),"")</f>
        <v/>
      </c>
      <c r="H27" s="61" t="str">
        <f ca="1">IFERROR(IF(Inputs!$G$2="Pupil Numbers",INDEX(INDIRECT(Inputs!$G$1),12,4),IF(Inputs!$G$2="Pupil Percentages",INDEX(INDIRECT(Inputs!$G$1),28,4),"")),"")</f>
        <v/>
      </c>
      <c r="I27" s="61" t="str">
        <f ca="1">IFERROR(IF(Inputs!$G$2="Pupil Numbers",INDEX(INDIRECT(Inputs!$G$1),12,5),IF(Inputs!$G$2="Pupil Percentages",INDEX(INDIRECT(Inputs!$G$1),28,5),"")),"")</f>
        <v/>
      </c>
      <c r="J27" s="61" t="str">
        <f ca="1">IFERROR(IF(Inputs!$G$2="Pupil Numbers",INDEX(INDIRECT(Inputs!$G$1),12,6),IF(Inputs!$G$2="Pupil Percentages",INDEX(INDIRECT(Inputs!$G$1),28,6),"")),"")</f>
        <v/>
      </c>
      <c r="K27" s="61" t="str">
        <f ca="1">IFERROR(IF(Inputs!$G$2="Pupil Numbers",INDEX(INDIRECT(Inputs!$G$1),12,7),IF(Inputs!$G$2="Pupil Percentages",INDEX(INDIRECT(Inputs!$G$1),28,7),"")),"")</f>
        <v/>
      </c>
      <c r="L27" s="61" t="str">
        <f ca="1">IFERROR(IF(Inputs!$G$2="Pupil Numbers",INDEX(INDIRECT(Inputs!$G$1),12,8),IF(Inputs!$G$2="Pupil Percentages",INDEX(INDIRECT(Inputs!$G$1),28,8),"")),"")</f>
        <v/>
      </c>
      <c r="M27" s="61" t="str">
        <f ca="1">IFERROR(IF(Inputs!$G$2="Pupil Numbers",INDEX(INDIRECT(Inputs!$G$1),12,9),IF(Inputs!$G$2="Pupil Percentages",INDEX(INDIRECT(Inputs!$G$1),28,9),"")),"")</f>
        <v/>
      </c>
      <c r="N27" s="69" t="str">
        <f ca="1">IFERROR(IF(OR(Inputs!$G$1="Mathematics",Inputs!$G$1="English_Language",Inputs!$G$1="English_Literature",Inputs!$G$1="Art_Design",Inputs!$G$1="Biology",Inputs!$G$1="Business_Studies",Inputs!$G$1="Chemistry",Inputs!$G$1="Citizenship_Studies",Inputs!$G$1="Classical_Studies",Inputs!$G$1="Computer_Science",Inputs!$G$1="Dance",Inputs!$G$1="Economics",Inputs!$G$1="Engineering",Inputs!$G$1="Food_Preparation_and_Nutrition",Inputs!$G$1="French",Inputs!$G$1="Geography",Inputs!$G$1="German",Inputs!$G$1="History",Inputs!$G$1="Media_Studies",Inputs!$G$1="Music",Inputs!$G$1="Design_Technology",Inputs!$G$1="Other_Modern_Languages_9_to_1",Inputs!$G$1="Other_Sciences",Inputs!$G$1="Performing_Arts",Inputs!$G$1="Photography",Inputs!$G$1="Physical_Education",Inputs!$G$1="Physics",Inputs!$G$1="Psychology",Inputs!$G$1="Religious_Studies",Inputs!$G$1="Sociology",Inputs!$G$1="Spanish",Inputs!$G$1="Statistics"),IF(Inputs!$G$2="Pupil Numbers",INDEX(INDIRECT(Inputs!$G$1),12,10),IF(Inputs!$G$2="Pupil Percentages",INDEX(INDIRECT(Inputs!$G$1),28,10),"")),""),"")</f>
        <v/>
      </c>
      <c r="AD27" s="12"/>
      <c r="AP27" s="13"/>
      <c r="BC27" s="13"/>
      <c r="BD27" s="13"/>
      <c r="BE27" s="13"/>
      <c r="BF27" s="13"/>
      <c r="BG27" s="21"/>
      <c r="BH27" s="13"/>
      <c r="BI27" s="13"/>
      <c r="BJ27" s="13"/>
      <c r="BK27" s="13"/>
      <c r="BL27" s="13"/>
      <c r="BM27" s="13"/>
      <c r="BN27" s="13"/>
      <c r="BO27" s="13"/>
      <c r="BP27" s="13"/>
      <c r="BQ27" s="13"/>
      <c r="BR27" s="13"/>
      <c r="BS27" s="13"/>
      <c r="BT27" s="13"/>
      <c r="BU27" s="13"/>
      <c r="BV27" s="13"/>
      <c r="BW27" s="13"/>
      <c r="BX27" s="13"/>
      <c r="BY27" s="13"/>
      <c r="BZ27" s="13"/>
      <c r="CA27" s="13"/>
      <c r="CB27" s="13"/>
      <c r="CC27" s="13"/>
      <c r="CD27" s="13"/>
      <c r="CE27" s="13"/>
      <c r="CF27" s="13"/>
      <c r="CG27" s="13"/>
      <c r="CH27" s="13"/>
      <c r="CI27" s="13"/>
      <c r="CJ27" s="13"/>
      <c r="CK27" s="13"/>
      <c r="CL27" s="13"/>
      <c r="CM27" s="13"/>
      <c r="CN27" s="13"/>
      <c r="CO27" s="13"/>
      <c r="CP27" s="13"/>
      <c r="CQ27" s="13"/>
      <c r="CR27" s="13"/>
      <c r="CS27" s="13"/>
      <c r="CT27" s="13"/>
      <c r="CU27" s="13"/>
    </row>
    <row r="28" spans="3:99" ht="15" x14ac:dyDescent="0.45">
      <c r="C28" s="10"/>
      <c r="D28" s="11"/>
      <c r="AD28" s="12"/>
      <c r="AP28" s="13"/>
      <c r="AQ28" s="13"/>
      <c r="AR28" s="13"/>
      <c r="AS28" s="13"/>
      <c r="AT28" s="13"/>
      <c r="AU28" s="13"/>
      <c r="AV28" s="13"/>
      <c r="AW28" s="13"/>
      <c r="AX28" s="13"/>
      <c r="AY28" s="13"/>
      <c r="AZ28" s="13"/>
      <c r="BA28" s="13"/>
      <c r="BB28" s="13"/>
      <c r="BC28" s="13"/>
      <c r="BD28" s="13"/>
      <c r="BE28" s="13"/>
      <c r="BF28" s="13"/>
      <c r="BG28" s="16"/>
      <c r="BH28" s="13"/>
      <c r="BI28" s="13"/>
      <c r="BJ28" s="13"/>
      <c r="BK28" s="13"/>
      <c r="BL28" s="13"/>
      <c r="BM28" s="13"/>
      <c r="BN28" s="13"/>
      <c r="BO28" s="13"/>
      <c r="BP28" s="13"/>
      <c r="BQ28" s="13"/>
      <c r="BR28" s="13"/>
      <c r="BS28" s="13"/>
      <c r="BT28" s="13"/>
      <c r="BU28" s="13"/>
      <c r="BV28" s="13"/>
      <c r="BW28" s="13"/>
      <c r="BX28" s="13"/>
      <c r="BY28" s="13"/>
      <c r="BZ28" s="13"/>
      <c r="CA28" s="13"/>
      <c r="CB28" s="13"/>
      <c r="CC28" s="13"/>
      <c r="CD28" s="13"/>
      <c r="CE28" s="13"/>
      <c r="CF28" s="13"/>
      <c r="CG28" s="13"/>
      <c r="CH28" s="13"/>
      <c r="CI28" s="13"/>
      <c r="CJ28" s="13"/>
      <c r="CK28" s="13"/>
      <c r="CL28" s="13"/>
      <c r="CM28" s="13"/>
      <c r="CN28" s="13"/>
      <c r="CO28" s="13"/>
      <c r="CP28" s="13"/>
      <c r="CQ28" s="13"/>
      <c r="CR28" s="13"/>
      <c r="CS28" s="13"/>
      <c r="CT28" s="13"/>
      <c r="CU28" s="13"/>
    </row>
    <row r="29" spans="3:99" ht="14.25" customHeight="1" x14ac:dyDescent="0.45">
      <c r="AD29" s="12"/>
      <c r="AP29" s="13"/>
      <c r="AQ29" s="13"/>
      <c r="AR29" s="13"/>
      <c r="AS29" s="13"/>
      <c r="AT29" s="13"/>
      <c r="AU29" s="13"/>
      <c r="AV29" s="13"/>
      <c r="AW29" s="13"/>
      <c r="AX29" s="13"/>
      <c r="AY29" s="13"/>
      <c r="AZ29" s="13"/>
      <c r="BA29" s="13"/>
      <c r="BB29" s="13"/>
      <c r="BC29" s="13"/>
      <c r="BD29" s="13"/>
      <c r="BE29" s="13"/>
      <c r="BF29" s="13"/>
      <c r="BG29" s="21"/>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3"/>
      <c r="CN29" s="13"/>
      <c r="CO29" s="13"/>
      <c r="CP29" s="13"/>
      <c r="CQ29" s="13"/>
      <c r="CR29" s="13"/>
      <c r="CS29" s="13"/>
      <c r="CT29" s="13"/>
      <c r="CU29" s="13"/>
    </row>
    <row r="30" spans="3:99" ht="14.25" customHeight="1" x14ac:dyDescent="0.45">
      <c r="AD30" s="12"/>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21"/>
      <c r="BH30" s="13"/>
      <c r="BI30" s="13"/>
      <c r="BJ30" s="13"/>
      <c r="BK30" s="13"/>
      <c r="BL30" s="13"/>
      <c r="BM30" s="13"/>
      <c r="BN30" s="13"/>
      <c r="BO30" s="13"/>
      <c r="BP30" s="13"/>
      <c r="BQ30" s="13"/>
      <c r="BR30" s="13"/>
      <c r="BS30" s="13"/>
      <c r="BT30" s="13"/>
      <c r="BU30" s="13"/>
      <c r="BV30" s="13"/>
      <c r="BW30" s="13"/>
      <c r="BX30" s="13"/>
      <c r="BY30" s="13"/>
      <c r="BZ30" s="13"/>
      <c r="CA30" s="13"/>
      <c r="CB30" s="13"/>
      <c r="CC30" s="13"/>
      <c r="CD30" s="13"/>
      <c r="CE30" s="13"/>
      <c r="CF30" s="13"/>
      <c r="CG30" s="13"/>
      <c r="CH30" s="13"/>
      <c r="CI30" s="13"/>
      <c r="CJ30" s="13"/>
      <c r="CK30" s="13"/>
      <c r="CL30" s="13"/>
      <c r="CM30" s="13"/>
      <c r="CN30" s="13"/>
      <c r="CO30" s="13"/>
      <c r="CP30" s="13"/>
      <c r="CQ30" s="13"/>
      <c r="CR30" s="13"/>
      <c r="CS30" s="13"/>
      <c r="CT30" s="13"/>
      <c r="CU30" s="13"/>
    </row>
    <row r="31" spans="3:99" ht="14.25" customHeight="1" x14ac:dyDescent="0.45">
      <c r="AD31" s="12"/>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21"/>
      <c r="BH31" s="13"/>
      <c r="BI31" s="13"/>
      <c r="BJ31" s="13"/>
      <c r="BK31" s="13"/>
      <c r="BL31" s="13"/>
      <c r="BM31" s="13"/>
      <c r="BN31" s="13"/>
      <c r="BO31" s="13"/>
      <c r="BP31" s="13"/>
      <c r="BQ31" s="13"/>
      <c r="BR31" s="13"/>
      <c r="BS31" s="13"/>
      <c r="BT31" s="13"/>
      <c r="BU31" s="13"/>
      <c r="BV31" s="13"/>
      <c r="BW31" s="13"/>
      <c r="BX31" s="13"/>
      <c r="BY31" s="13"/>
      <c r="BZ31" s="13"/>
      <c r="CA31" s="13"/>
      <c r="CB31" s="13"/>
      <c r="CC31" s="13"/>
      <c r="CD31" s="13"/>
      <c r="CE31" s="13"/>
      <c r="CF31" s="13"/>
      <c r="CG31" s="13"/>
      <c r="CH31" s="13"/>
      <c r="CI31" s="13"/>
      <c r="CJ31" s="13"/>
      <c r="CK31" s="13"/>
      <c r="CL31" s="13"/>
      <c r="CM31" s="13"/>
      <c r="CN31" s="13"/>
      <c r="CO31" s="13"/>
      <c r="CP31" s="13"/>
      <c r="CQ31" s="13"/>
      <c r="CR31" s="13"/>
      <c r="CS31" s="13"/>
      <c r="CT31" s="13"/>
      <c r="CU31" s="13"/>
    </row>
    <row r="32" spans="3:99" ht="14.25" customHeight="1" x14ac:dyDescent="0.5">
      <c r="C32" s="15"/>
      <c r="D32" s="15"/>
      <c r="E32" s="15"/>
      <c r="F32" s="15"/>
      <c r="G32" s="15"/>
      <c r="H32" s="15"/>
      <c r="I32" s="15"/>
      <c r="J32" s="15"/>
      <c r="K32" s="15"/>
      <c r="L32" s="15"/>
      <c r="M32" s="15"/>
      <c r="N32" s="15"/>
      <c r="O32" s="15"/>
      <c r="AD32" s="12"/>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21"/>
      <c r="BH32" s="13"/>
      <c r="BI32" s="13"/>
      <c r="BJ32" s="13"/>
      <c r="BK32" s="13"/>
      <c r="BL32" s="13"/>
      <c r="BM32" s="13"/>
      <c r="BN32" s="13"/>
      <c r="BO32" s="13"/>
      <c r="BP32" s="13"/>
      <c r="BQ32" s="13"/>
      <c r="BR32" s="13"/>
      <c r="BS32" s="13"/>
      <c r="BT32" s="13"/>
      <c r="BU32" s="13"/>
      <c r="BV32" s="13"/>
      <c r="BW32" s="13"/>
      <c r="BX32" s="13"/>
      <c r="BY32" s="13"/>
      <c r="BZ32" s="13"/>
      <c r="CA32" s="13"/>
      <c r="CB32" s="13"/>
      <c r="CC32" s="13"/>
      <c r="CD32" s="13"/>
      <c r="CE32" s="13"/>
      <c r="CF32" s="13"/>
      <c r="CG32" s="13"/>
      <c r="CH32" s="13"/>
      <c r="CI32" s="13"/>
      <c r="CJ32" s="13"/>
      <c r="CK32" s="13"/>
      <c r="CL32" s="13"/>
      <c r="CM32" s="13"/>
      <c r="CN32" s="13"/>
      <c r="CO32" s="13"/>
      <c r="CP32" s="13"/>
      <c r="CQ32" s="13"/>
      <c r="CR32" s="13"/>
      <c r="CS32" s="13"/>
      <c r="CT32" s="13"/>
      <c r="CU32" s="13"/>
    </row>
    <row r="33" spans="2:99" ht="17.25" customHeight="1" x14ac:dyDescent="0.5">
      <c r="C33" s="15"/>
      <c r="D33" s="15"/>
      <c r="E33" s="15"/>
      <c r="F33" s="15"/>
      <c r="G33" s="15"/>
      <c r="H33" s="15"/>
      <c r="I33" s="15"/>
      <c r="J33" s="15"/>
      <c r="K33" s="15"/>
      <c r="O33" s="15"/>
      <c r="AD33" s="12"/>
      <c r="AE33" s="13"/>
      <c r="AF33" s="13"/>
      <c r="AG33" s="13"/>
      <c r="AH33" s="13"/>
      <c r="AI33" s="13"/>
      <c r="AJ33" s="13"/>
      <c r="AK33" s="13"/>
      <c r="AL33" s="13"/>
      <c r="AM33" s="13"/>
      <c r="AN33" s="13"/>
      <c r="AO33" s="13"/>
      <c r="AP33" s="25"/>
      <c r="AQ33" s="25"/>
      <c r="AR33" s="25"/>
      <c r="AS33" s="25"/>
      <c r="AT33" s="13"/>
      <c r="AU33" s="13"/>
      <c r="AV33" s="13"/>
      <c r="AW33" s="13"/>
      <c r="AX33" s="13"/>
      <c r="AY33" s="13"/>
      <c r="AZ33" s="13"/>
      <c r="BA33" s="13"/>
      <c r="BB33" s="13"/>
      <c r="BC33" s="13"/>
      <c r="BD33" s="13"/>
      <c r="BE33" s="13"/>
      <c r="BF33" s="13"/>
      <c r="BG33" s="21"/>
      <c r="BH33" s="13"/>
      <c r="BI33" s="13"/>
      <c r="BJ33" s="13"/>
      <c r="BK33" s="13"/>
      <c r="BL33" s="13"/>
      <c r="BM33" s="13"/>
      <c r="BN33" s="13"/>
      <c r="BO33" s="13"/>
      <c r="BP33" s="13"/>
      <c r="BQ33" s="13"/>
      <c r="BR33" s="13"/>
      <c r="BS33" s="13"/>
      <c r="BT33" s="13"/>
      <c r="BU33" s="13"/>
      <c r="BV33" s="13"/>
      <c r="BW33" s="13"/>
      <c r="BX33" s="13"/>
      <c r="BY33" s="13"/>
      <c r="BZ33" s="13"/>
      <c r="CA33" s="13"/>
      <c r="CB33" s="13"/>
      <c r="CC33" s="13"/>
      <c r="CD33" s="13"/>
      <c r="CE33" s="13"/>
      <c r="CF33" s="13"/>
      <c r="CG33" s="13"/>
      <c r="CH33" s="13"/>
      <c r="CI33" s="13"/>
      <c r="CJ33" s="13"/>
      <c r="CK33" s="13"/>
      <c r="CL33" s="13"/>
      <c r="CM33" s="13"/>
      <c r="CN33" s="13"/>
      <c r="CO33" s="13"/>
      <c r="CP33" s="13"/>
      <c r="CQ33" s="13"/>
      <c r="CR33" s="13"/>
      <c r="CS33" s="13"/>
      <c r="CT33" s="13"/>
      <c r="CU33" s="13"/>
    </row>
    <row r="34" spans="2:99" ht="14.25" customHeight="1" x14ac:dyDescent="0.45">
      <c r="S34" s="41"/>
      <c r="T34" s="41"/>
      <c r="U34" s="41"/>
      <c r="AE34" s="13"/>
      <c r="AF34" s="13"/>
      <c r="AG34" s="13"/>
      <c r="AH34" s="13"/>
      <c r="AI34" s="13"/>
      <c r="AJ34" s="13"/>
      <c r="AK34" s="13"/>
      <c r="AL34" s="13"/>
      <c r="AM34" s="13"/>
      <c r="AN34" s="13"/>
      <c r="AO34" s="13"/>
      <c r="AP34" s="25"/>
      <c r="AQ34" s="25"/>
      <c r="AR34" s="25"/>
      <c r="AS34" s="25"/>
      <c r="AT34" s="13"/>
      <c r="AU34" s="13"/>
      <c r="AV34" s="13"/>
      <c r="AW34" s="13"/>
      <c r="AX34" s="13"/>
      <c r="AY34" s="13"/>
      <c r="AZ34" s="13"/>
      <c r="BA34" s="13"/>
      <c r="BB34" s="13"/>
      <c r="BC34" s="13"/>
      <c r="BD34" s="13"/>
      <c r="BE34" s="13"/>
      <c r="BF34" s="13"/>
      <c r="BG34" s="21"/>
      <c r="BH34" s="13"/>
      <c r="BI34" s="13"/>
      <c r="BJ34" s="13"/>
      <c r="BK34" s="13"/>
      <c r="BL34" s="13"/>
      <c r="BM34" s="13"/>
      <c r="BN34" s="13"/>
      <c r="BO34" s="13"/>
      <c r="BP34" s="13"/>
      <c r="BQ34" s="13"/>
      <c r="BR34" s="13"/>
      <c r="BS34" s="13"/>
      <c r="BT34" s="13"/>
      <c r="BU34" s="13"/>
      <c r="BV34" s="13"/>
      <c r="BW34" s="13"/>
      <c r="BX34" s="13"/>
      <c r="BY34" s="13"/>
      <c r="BZ34" s="13"/>
      <c r="CA34" s="13"/>
      <c r="CB34" s="13"/>
      <c r="CC34" s="13"/>
      <c r="CD34" s="13"/>
      <c r="CE34" s="13"/>
      <c r="CF34" s="13"/>
      <c r="CG34" s="13"/>
      <c r="CH34" s="13"/>
      <c r="CI34" s="13"/>
      <c r="CJ34" s="13"/>
      <c r="CK34" s="13"/>
      <c r="CL34" s="13"/>
      <c r="CM34" s="13"/>
      <c r="CN34" s="13"/>
      <c r="CO34" s="13"/>
      <c r="CP34" s="13"/>
      <c r="CQ34" s="13"/>
      <c r="CR34" s="13"/>
      <c r="CS34" s="13"/>
      <c r="CT34" s="13"/>
      <c r="CU34" s="13"/>
    </row>
    <row r="35" spans="2:99" ht="23.85" customHeight="1" x14ac:dyDescent="0.5">
      <c r="B35" s="8" t="s">
        <v>52</v>
      </c>
      <c r="P35" s="15"/>
      <c r="Q35" s="15"/>
      <c r="R35" s="15"/>
      <c r="S35" s="41"/>
      <c r="T35" s="41"/>
      <c r="U35" s="41"/>
      <c r="V35" s="15"/>
      <c r="W35" s="15"/>
      <c r="X35" s="15"/>
      <c r="Y35" s="15"/>
      <c r="Z35" s="15"/>
      <c r="AA35" s="15"/>
      <c r="AE35" s="13"/>
      <c r="AF35" s="13"/>
      <c r="AG35" s="13"/>
      <c r="AH35" s="13"/>
      <c r="AI35" s="13"/>
      <c r="AJ35" s="13"/>
      <c r="AK35" s="13"/>
      <c r="AL35" s="13"/>
      <c r="AM35" s="13"/>
      <c r="AN35" s="13"/>
      <c r="AO35" s="13"/>
      <c r="AP35" s="25"/>
      <c r="AQ35" s="25"/>
      <c r="AS35" s="25"/>
      <c r="AT35" s="13"/>
      <c r="AU35" s="13"/>
      <c r="AV35" s="13"/>
      <c r="AW35" s="13"/>
      <c r="AX35" s="13"/>
      <c r="AY35" s="13"/>
      <c r="AZ35" s="13"/>
      <c r="BA35" s="13"/>
      <c r="BB35" s="13"/>
      <c r="BC35" s="13"/>
      <c r="BD35" s="13"/>
      <c r="BE35" s="13"/>
      <c r="BF35" s="13"/>
      <c r="BG35" s="21"/>
      <c r="BH35" s="13"/>
      <c r="BI35" s="13"/>
      <c r="BJ35" s="13"/>
      <c r="BK35" s="13"/>
      <c r="BL35" s="13"/>
      <c r="BM35" s="13"/>
      <c r="BN35" s="13"/>
      <c r="BO35" s="13"/>
      <c r="BP35" s="13"/>
      <c r="BQ35" s="13"/>
      <c r="BR35" s="13"/>
      <c r="BS35" s="13"/>
      <c r="BT35" s="13"/>
      <c r="BU35" s="13"/>
      <c r="BV35" s="13"/>
      <c r="BW35" s="13"/>
      <c r="BX35" s="13"/>
      <c r="BY35" s="13"/>
      <c r="BZ35" s="13"/>
      <c r="CA35" s="13"/>
      <c r="CB35" s="13"/>
      <c r="CC35" s="13"/>
      <c r="CD35" s="13"/>
      <c r="CE35" s="13"/>
      <c r="CF35" s="13"/>
      <c r="CG35" s="13"/>
      <c r="CH35" s="13"/>
      <c r="CI35" s="13"/>
      <c r="CJ35" s="13"/>
      <c r="CK35" s="13"/>
      <c r="CL35" s="13"/>
      <c r="CM35" s="13"/>
      <c r="CN35" s="13"/>
      <c r="CO35" s="13"/>
      <c r="CP35" s="13"/>
      <c r="CQ35" s="13"/>
      <c r="CR35" s="13"/>
      <c r="CS35" s="13"/>
      <c r="CT35" s="13"/>
      <c r="CU35" s="13"/>
    </row>
    <row r="36" spans="2:99" ht="14.25" customHeight="1" x14ac:dyDescent="0.45">
      <c r="S36" s="41"/>
      <c r="T36" s="41"/>
      <c r="U36" s="41"/>
      <c r="AE36" s="13"/>
      <c r="AF36" s="13"/>
      <c r="AG36" s="13"/>
      <c r="AH36" s="13"/>
      <c r="AI36" s="13"/>
      <c r="AJ36" s="13"/>
      <c r="AK36" s="13"/>
      <c r="AL36" s="13"/>
      <c r="AM36" s="13"/>
      <c r="AN36" s="13"/>
      <c r="AO36" s="13"/>
      <c r="AP36" s="25"/>
      <c r="AQ36" s="25"/>
      <c r="AS36" s="25"/>
      <c r="AT36" s="13"/>
      <c r="AU36" s="13"/>
      <c r="AV36" s="13"/>
      <c r="AW36" s="13"/>
      <c r="AX36" s="13"/>
      <c r="AY36" s="13"/>
      <c r="AZ36" s="13"/>
      <c r="BA36" s="13"/>
      <c r="BB36" s="13"/>
      <c r="BC36" s="13"/>
      <c r="BD36" s="13"/>
      <c r="BE36" s="13"/>
      <c r="BF36" s="13"/>
      <c r="BG36" s="21"/>
      <c r="BH36" s="13"/>
      <c r="BI36" s="13"/>
      <c r="BJ36" s="13"/>
      <c r="BK36" s="13"/>
      <c r="BL36" s="13"/>
      <c r="BM36" s="13"/>
      <c r="BN36" s="13"/>
      <c r="BO36" s="13"/>
      <c r="BP36" s="13"/>
      <c r="BQ36" s="13"/>
      <c r="BR36" s="13"/>
      <c r="BS36" s="13"/>
      <c r="BT36" s="13"/>
      <c r="BU36" s="13"/>
      <c r="BV36" s="13"/>
      <c r="BW36" s="13"/>
      <c r="BX36" s="13"/>
      <c r="BY36" s="13"/>
      <c r="BZ36" s="13"/>
      <c r="CA36" s="13"/>
      <c r="CB36" s="13"/>
      <c r="CC36" s="13"/>
      <c r="CD36" s="13"/>
      <c r="CE36" s="13"/>
      <c r="CF36" s="13"/>
      <c r="CG36" s="13"/>
      <c r="CH36" s="13"/>
      <c r="CI36" s="13"/>
      <c r="CJ36" s="13"/>
      <c r="CK36" s="13"/>
      <c r="CL36" s="13"/>
      <c r="CM36" s="13"/>
      <c r="CN36" s="13"/>
      <c r="CO36" s="13"/>
      <c r="CP36" s="13"/>
      <c r="CQ36" s="13"/>
      <c r="CR36" s="13"/>
      <c r="CS36" s="13"/>
      <c r="CT36" s="13"/>
      <c r="CU36" s="13"/>
    </row>
    <row r="37" spans="2:99" ht="23.85" customHeight="1" x14ac:dyDescent="0.5">
      <c r="B37" s="8" t="s">
        <v>53</v>
      </c>
      <c r="G37" s="15"/>
      <c r="Q37" s="8"/>
      <c r="R37" s="8"/>
      <c r="S37" s="41"/>
      <c r="T37" s="41"/>
      <c r="U37" s="41"/>
      <c r="AE37" s="13"/>
      <c r="AF37" s="13"/>
      <c r="AG37" s="13"/>
      <c r="AH37" s="13"/>
      <c r="AI37" s="13"/>
      <c r="AJ37" s="13"/>
      <c r="AK37" s="13"/>
      <c r="AL37" s="13"/>
      <c r="AM37" s="13"/>
      <c r="AN37" s="13"/>
      <c r="AO37" s="13"/>
      <c r="AP37" s="13"/>
      <c r="AQ37" s="13"/>
      <c r="AS37" s="13"/>
      <c r="AT37" s="13"/>
      <c r="AU37" s="13"/>
      <c r="AV37" s="13"/>
      <c r="AW37" s="13"/>
      <c r="AX37" s="13"/>
      <c r="AY37" s="13"/>
      <c r="AZ37" s="13"/>
      <c r="BA37" s="13"/>
      <c r="BB37" s="13"/>
      <c r="BC37" s="13"/>
      <c r="BD37" s="13"/>
      <c r="BE37" s="13"/>
      <c r="BF37" s="13"/>
      <c r="BG37" s="21"/>
      <c r="BH37" s="13"/>
      <c r="BI37" s="13"/>
      <c r="BJ37" s="13"/>
      <c r="BK37" s="13"/>
      <c r="BL37" s="13"/>
      <c r="BM37" s="13"/>
      <c r="BN37" s="13"/>
      <c r="BO37" s="13"/>
      <c r="BP37" s="13"/>
      <c r="BQ37" s="13"/>
      <c r="BR37" s="13"/>
      <c r="BS37" s="13"/>
      <c r="BT37" s="13"/>
      <c r="BU37" s="13"/>
      <c r="BV37" s="13"/>
      <c r="BW37" s="13"/>
      <c r="BX37" s="13"/>
      <c r="BY37" s="13"/>
      <c r="BZ37" s="13"/>
      <c r="CA37" s="13"/>
      <c r="CB37" s="13"/>
      <c r="CC37" s="13"/>
      <c r="CD37" s="13"/>
      <c r="CE37" s="13"/>
      <c r="CF37" s="13"/>
      <c r="CG37" s="13"/>
      <c r="CH37" s="13"/>
      <c r="CI37" s="13"/>
      <c r="CJ37" s="13"/>
      <c r="CK37" s="13"/>
      <c r="CL37" s="13"/>
      <c r="CM37" s="13"/>
      <c r="CN37" s="13"/>
      <c r="CO37" s="13"/>
      <c r="CP37" s="13"/>
      <c r="CQ37" s="13"/>
      <c r="CR37" s="13"/>
      <c r="CS37" s="13"/>
      <c r="CT37" s="13"/>
      <c r="CU37" s="13"/>
    </row>
    <row r="38" spans="2:99" ht="14.25" customHeight="1" x14ac:dyDescent="0.45">
      <c r="Q38" s="1"/>
      <c r="AE38" s="14"/>
      <c r="AF38" s="14"/>
      <c r="AG38" s="13"/>
      <c r="AH38" s="13"/>
      <c r="AI38" s="13"/>
      <c r="AJ38" s="13"/>
      <c r="AK38" s="13"/>
      <c r="AL38" s="13"/>
      <c r="AM38" s="13"/>
      <c r="AN38" s="13"/>
      <c r="AO38" s="13"/>
      <c r="AP38" s="13"/>
      <c r="AQ38" s="13"/>
      <c r="AS38" s="13"/>
      <c r="AT38" s="13"/>
      <c r="AU38" s="13"/>
      <c r="AV38" s="13"/>
      <c r="AW38" s="13"/>
      <c r="AX38" s="13"/>
      <c r="AY38" s="13"/>
      <c r="AZ38" s="13"/>
      <c r="BA38" s="13"/>
      <c r="BB38" s="13"/>
      <c r="BC38" s="13"/>
      <c r="BD38" s="13"/>
      <c r="BE38" s="13"/>
      <c r="BF38" s="13"/>
      <c r="BG38" s="21"/>
      <c r="BH38" s="13"/>
      <c r="BI38" s="13"/>
      <c r="BJ38" s="13"/>
      <c r="BK38" s="13"/>
      <c r="BL38" s="13"/>
      <c r="BM38" s="13"/>
      <c r="BN38" s="13"/>
      <c r="BO38" s="13"/>
      <c r="BP38" s="13"/>
      <c r="BQ38" s="13"/>
      <c r="BR38" s="13"/>
      <c r="BS38" s="13"/>
      <c r="BT38" s="13"/>
      <c r="BU38" s="13"/>
      <c r="BV38" s="13"/>
      <c r="BW38" s="13"/>
      <c r="BX38" s="13"/>
      <c r="BY38" s="13"/>
      <c r="BZ38" s="13"/>
      <c r="CA38" s="13"/>
      <c r="CB38" s="13"/>
      <c r="CC38" s="13"/>
      <c r="CD38" s="13"/>
      <c r="CE38" s="13"/>
      <c r="CF38" s="13"/>
      <c r="CG38" s="13"/>
      <c r="CH38" s="13"/>
      <c r="CI38" s="13"/>
      <c r="CJ38" s="13"/>
      <c r="CK38" s="13"/>
      <c r="CL38" s="13"/>
      <c r="CM38" s="13"/>
      <c r="CN38" s="13"/>
      <c r="CO38" s="13"/>
      <c r="CP38" s="13"/>
      <c r="CQ38" s="13"/>
      <c r="CR38" s="13"/>
      <c r="CS38" s="13"/>
      <c r="CT38" s="13"/>
      <c r="CU38" s="13"/>
    </row>
    <row r="39" spans="2:99" ht="23.85" customHeight="1" x14ac:dyDescent="0.45">
      <c r="B39" s="8" t="s">
        <v>57</v>
      </c>
      <c r="AE39" s="14"/>
      <c r="AF39" s="14"/>
      <c r="AG39" s="13"/>
      <c r="AH39" s="13"/>
      <c r="AI39" s="13"/>
      <c r="AJ39" s="13"/>
      <c r="AK39" s="13"/>
      <c r="AL39" s="13"/>
      <c r="AM39" s="13"/>
      <c r="AN39" s="13"/>
      <c r="AO39" s="13"/>
      <c r="AP39" s="13"/>
      <c r="AQ39" s="13"/>
      <c r="AS39" s="13"/>
      <c r="AT39" s="13"/>
      <c r="AU39" s="13"/>
      <c r="AV39" s="13"/>
      <c r="AW39" s="13"/>
      <c r="AX39" s="13"/>
      <c r="AY39" s="13"/>
      <c r="AZ39" s="13"/>
      <c r="BA39" s="13"/>
      <c r="BB39" s="13"/>
      <c r="BC39" s="13"/>
      <c r="BD39" s="13"/>
      <c r="BE39" s="13"/>
      <c r="BF39" s="13"/>
      <c r="BG39" s="21"/>
      <c r="BH39" s="13"/>
      <c r="BI39" s="13"/>
      <c r="BJ39" s="13"/>
      <c r="BK39" s="13"/>
      <c r="BL39" s="13"/>
      <c r="BM39" s="13"/>
      <c r="BN39" s="13"/>
      <c r="BO39" s="13"/>
      <c r="BP39" s="13"/>
      <c r="BQ39" s="13"/>
      <c r="BR39" s="13"/>
      <c r="BS39" s="13"/>
      <c r="BT39" s="13"/>
      <c r="BU39" s="13"/>
      <c r="BV39" s="13"/>
      <c r="BW39" s="13"/>
      <c r="BX39" s="13"/>
      <c r="BY39" s="13"/>
      <c r="BZ39" s="13"/>
      <c r="CA39" s="13"/>
      <c r="CB39" s="13"/>
      <c r="CC39" s="13"/>
      <c r="CD39" s="13"/>
      <c r="CE39" s="13"/>
      <c r="CF39" s="13"/>
      <c r="CG39" s="13"/>
      <c r="CH39" s="13"/>
      <c r="CI39" s="13"/>
      <c r="CJ39" s="13"/>
      <c r="CK39" s="13"/>
      <c r="CL39" s="13"/>
      <c r="CM39" s="13"/>
      <c r="CN39" s="13"/>
      <c r="CO39" s="13"/>
      <c r="CP39" s="13"/>
      <c r="CQ39" s="13"/>
      <c r="CR39" s="13"/>
      <c r="CS39" s="13"/>
      <c r="CT39" s="13"/>
      <c r="CU39" s="13"/>
    </row>
    <row r="40" spans="2:99" ht="24" customHeight="1" x14ac:dyDescent="0.45">
      <c r="D40" s="5"/>
      <c r="E40" s="5"/>
      <c r="AE40" s="14"/>
      <c r="AF40" s="14"/>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c r="BG40" s="21"/>
      <c r="BH40" s="13"/>
      <c r="BI40" s="13"/>
      <c r="BJ40" s="13"/>
      <c r="BK40" s="13"/>
      <c r="BL40" s="13"/>
      <c r="BM40" s="13"/>
      <c r="BN40" s="13"/>
      <c r="BO40" s="13"/>
      <c r="BP40" s="13"/>
      <c r="BQ40" s="13"/>
      <c r="BR40" s="13"/>
      <c r="BS40" s="13"/>
      <c r="BT40" s="13"/>
      <c r="BU40" s="13"/>
      <c r="BV40" s="13"/>
      <c r="BW40" s="13"/>
      <c r="BX40" s="13"/>
      <c r="BY40" s="13"/>
      <c r="BZ40" s="13"/>
      <c r="CA40" s="13"/>
      <c r="CB40" s="13"/>
      <c r="CC40" s="13"/>
      <c r="CD40" s="13"/>
      <c r="CE40" s="13"/>
      <c r="CF40" s="13"/>
      <c r="CG40" s="13"/>
      <c r="CH40" s="13"/>
      <c r="CI40" s="13"/>
      <c r="CJ40" s="13"/>
      <c r="CK40" s="13"/>
      <c r="CL40" s="13"/>
      <c r="CM40" s="13"/>
      <c r="CN40" s="13"/>
      <c r="CO40" s="13"/>
      <c r="CP40" s="13"/>
      <c r="CQ40" s="13"/>
      <c r="CR40" s="13"/>
      <c r="CS40" s="13"/>
      <c r="CT40" s="13"/>
      <c r="CU40" s="13"/>
    </row>
    <row r="41" spans="2:99" ht="20.65" customHeight="1" x14ac:dyDescent="0.5">
      <c r="E41" s="5" t="str">
        <f>IF($S$47="Gender","Female",IF($S$47="Disadvantage","Disadvantaged",IF($S$47="SEN","SEN",IF($S$47="EAL","EAL",""))))&amp;" Pupils"</f>
        <v>Female Pupils</v>
      </c>
      <c r="F41" s="5"/>
      <c r="G41" s="19"/>
      <c r="H41" s="19"/>
      <c r="I41" s="19"/>
      <c r="J41" s="19"/>
      <c r="K41" s="19"/>
      <c r="L41" s="19"/>
      <c r="AE41" s="14"/>
      <c r="AF41" s="14"/>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21"/>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row>
    <row r="42" spans="2:99" ht="18" customHeight="1" x14ac:dyDescent="0.55000000000000004">
      <c r="C42" s="122" t="str">
        <f>IF(Inputs!$I$2="Pupil Numbers","Pupil Numbers",IF(Inputs!$I$2="Pupil Percentages","Pupil Percentages",""))</f>
        <v/>
      </c>
      <c r="D42" s="122"/>
      <c r="E42" s="58"/>
      <c r="F42" s="58"/>
      <c r="G42" s="58"/>
      <c r="H42" s="58"/>
      <c r="I42" s="58"/>
      <c r="J42" s="58"/>
      <c r="K42" s="58"/>
      <c r="L42" s="58"/>
      <c r="M42" s="58"/>
      <c r="N42" s="63"/>
      <c r="P42" s="20"/>
      <c r="Q42" s="20"/>
      <c r="R42" s="20"/>
      <c r="S42" s="20"/>
      <c r="T42" s="20"/>
      <c r="U42" s="20"/>
      <c r="V42" s="20"/>
      <c r="W42" s="20"/>
      <c r="X42" s="20"/>
      <c r="Y42" s="20"/>
      <c r="Z42" s="20"/>
      <c r="AA42" s="20"/>
      <c r="AB42" s="20"/>
      <c r="AC42" s="20"/>
      <c r="AE42" s="14"/>
      <c r="AF42" s="14"/>
      <c r="AG42" s="14"/>
      <c r="AH42" s="14"/>
      <c r="AI42" s="14"/>
      <c r="AJ42" s="14"/>
      <c r="AK42" s="14"/>
      <c r="AL42" s="14"/>
      <c r="AM42" s="14"/>
      <c r="AN42" s="14"/>
      <c r="AO42" s="14"/>
      <c r="AP42" s="14"/>
      <c r="AQ42" s="13"/>
      <c r="AR42" s="13"/>
      <c r="AS42" s="13"/>
      <c r="AT42" s="13"/>
      <c r="AU42" s="13"/>
      <c r="AV42" s="13"/>
      <c r="AW42" s="13"/>
      <c r="AX42" s="13"/>
      <c r="AY42" s="13"/>
      <c r="AZ42" s="13"/>
      <c r="BA42" s="13"/>
      <c r="BB42" s="13"/>
      <c r="BC42" s="13"/>
      <c r="BD42" s="13"/>
      <c r="BE42" s="13"/>
      <c r="BF42" s="13"/>
      <c r="BG42" s="23"/>
      <c r="BH42" s="13"/>
      <c r="BI42" s="13"/>
      <c r="BJ42" s="13"/>
      <c r="BK42" s="13"/>
      <c r="BL42" s="13"/>
      <c r="BM42" s="13"/>
      <c r="BN42" s="13"/>
      <c r="BO42" s="13"/>
      <c r="BP42" s="13"/>
      <c r="BQ42" s="13"/>
      <c r="BR42" s="13"/>
      <c r="BS42" s="13"/>
      <c r="BT42" s="13"/>
      <c r="BU42" s="13"/>
      <c r="BV42" s="13"/>
      <c r="BW42" s="13"/>
      <c r="BX42" s="13"/>
      <c r="BY42" s="13"/>
      <c r="BZ42" s="13"/>
      <c r="CA42" s="13"/>
      <c r="CB42" s="13"/>
      <c r="CC42" s="13"/>
      <c r="CD42" s="13"/>
      <c r="CE42" s="13"/>
      <c r="CF42" s="13"/>
      <c r="CG42" s="13"/>
      <c r="CH42" s="13"/>
      <c r="CI42" s="13"/>
      <c r="CJ42" s="13"/>
      <c r="CK42" s="13"/>
      <c r="CL42" s="13"/>
      <c r="CM42" s="13"/>
      <c r="CN42" s="13"/>
      <c r="CO42" s="13"/>
      <c r="CP42" s="13"/>
      <c r="CQ42" s="13"/>
      <c r="CR42" s="13"/>
      <c r="CS42" s="13"/>
      <c r="CT42" s="13"/>
      <c r="CU42" s="13"/>
    </row>
    <row r="43" spans="2:99" ht="36" customHeight="1" x14ac:dyDescent="0.45">
      <c r="C43" s="122"/>
      <c r="D43" s="122"/>
      <c r="E43" s="70"/>
      <c r="F43" s="65"/>
      <c r="G43" s="65"/>
      <c r="H43" s="65"/>
      <c r="I43" s="66" t="s">
        <v>12</v>
      </c>
      <c r="J43" s="65"/>
      <c r="K43" s="65"/>
      <c r="L43" s="65"/>
      <c r="M43" s="65"/>
      <c r="N43" s="63"/>
      <c r="AE43" s="13"/>
    </row>
    <row r="44" spans="2:99" ht="20.100000000000001" customHeight="1" x14ac:dyDescent="0.45">
      <c r="C44" s="123"/>
      <c r="D44" s="123"/>
      <c r="E44" s="59" t="s">
        <v>0</v>
      </c>
      <c r="F44" s="59">
        <f>IF(OR(Inputs!$I$1="",Inputs!$I$1="Please Select",Inputs!$I$1="Mathematics",Inputs!$I$1="English_Language",Inputs!$I$1="English_Literature",Inputs!$I$1="Art_Design",Inputs!$I$1="Biology",Inputs!$I$1="Business_Studies",Inputs!$I$1="Chemistry",Inputs!$I$1="Citizenship_Studies",Inputs!$I$1="Classical_Studies",Inputs!$I$1="Computer_Science",Inputs!$I$1="Dance",Inputs!$I$1="Economics",Inputs!$I$1="Engineering",Inputs!$I$1="Food_Preparation_and_Nutrition",Inputs!$I$1="French",Inputs!$I$1="Geography",Inputs!$I$1="German",Inputs!$I$1="History",Inputs!$I$1="Media_Studies",Inputs!$I$1="Music",Inputs!$I$1="Design_Technology",Inputs!$I$1="Other_Modern_Languages_9_to_1",Inputs!$I$1="Other_Sciences",Inputs!$I$1="Performing_Arts",Inputs!$I$1="Photography",Inputs!$I$1="Physical_Education",Inputs!$I$1="Physics",Inputs!$I$1="Psychology",Inputs!$I$1="Religious_Studies",Inputs!$I$1="Sociology",Inputs!$I$1="Spanish",Inputs!$I$1="Statistics"),1,"G")</f>
        <v>1</v>
      </c>
      <c r="G44" s="59">
        <f>IF(OR(Inputs!$I$1="",Inputs!$I$1="Please Select",Inputs!$I$1="Mathematics",Inputs!$I$1="English_Language",Inputs!$I$1="English_Literature",Inputs!$I$1="Art_Design",Inputs!$I$1="Biology",Inputs!$I$1="Business_Studies",Inputs!$I$1="Chemistry",Inputs!$I$1="Citizenship_Studies",Inputs!$I$1="Classical_Studies",Inputs!$I$1="Computer_Science",Inputs!$I$1="Dance",Inputs!$I$1="Economics",Inputs!$I$1="Engineering",Inputs!$I$1="Food_Preparation_and_Nutrition",Inputs!$I$1="French",Inputs!$I$1="Geography",Inputs!$I$1="German",Inputs!$I$1="History",Inputs!$I$1="Media_Studies",Inputs!$I$1="Music",Inputs!$I$1="Design_Technology",Inputs!$I$1="Other_Modern_Languages_9_to_1",Inputs!$I$1="Other_Sciences",Inputs!$I$1="Performing_Arts",Inputs!$I$1="Photography",Inputs!$I$1="Physical_Education",Inputs!$I$1="Physics",Inputs!$I$1="Psychology",Inputs!$I$1="Religious_Studies",Inputs!$I$1="Sociology",Inputs!$I$1="Spanish",Inputs!$I$1="Statistics"),2,"F")</f>
        <v>2</v>
      </c>
      <c r="H44" s="67">
        <f>IF(OR(Inputs!$I$1="",Inputs!$I$1="Please Select",Inputs!$I$1="Mathematics",Inputs!$I$1="English_Language",Inputs!$I$1="English_Literature",Inputs!$I$1="Art_Design",Inputs!$I$1="Biology",Inputs!$I$1="Business_Studies",Inputs!$I$1="Chemistry",Inputs!$I$1="Citizenship_Studies",Inputs!$I$1="Classical_Studies",Inputs!$I$1="Computer_Science",Inputs!$I$1="Dance",Inputs!$I$1="Economics",Inputs!$I$1="Engineering",Inputs!$I$1="Food_Preparation_and_Nutrition",Inputs!$I$1="French",Inputs!$I$1="Geography",Inputs!$I$1="German",Inputs!$I$1="History",Inputs!$I$1="Media_Studies",Inputs!$I$1="Music",Inputs!$I$1="Design_Technology",Inputs!$I$1="Other_Modern_Languages_9_to_1",Inputs!$I$1="Other_Sciences",Inputs!$I$1="Performing_Arts",Inputs!$I$1="Photography",Inputs!$I$1="Physical_Education",Inputs!$I$1="Physics",Inputs!$I$1="Psychology",Inputs!$I$1="Religious_Studies",Inputs!$I$1="Sociology",Inputs!$I$1="Spanish",Inputs!$I$1="Statistics"),3,"E")</f>
        <v>3</v>
      </c>
      <c r="I44" s="59">
        <f>IF(OR(Inputs!$I$1="",Inputs!$I$1="Please Select",Inputs!$I$1="Mathematics",Inputs!$I$1="English_Language",Inputs!$I$1="English_Literature",Inputs!$I$1="Art_Design",Inputs!$I$1="Biology",Inputs!$I$1="Business_Studies",Inputs!$I$1="Chemistry",Inputs!$I$1="Citizenship_Studies",Inputs!$I$1="Classical_Studies",Inputs!$I$1="Computer_Science",Inputs!$I$1="Dance",Inputs!$I$1="Economics",Inputs!$I$1="Engineering",Inputs!$I$1="Food_Preparation_and_Nutrition",Inputs!$I$1="French",Inputs!$I$1="Geography",Inputs!$I$1="German",Inputs!$I$1="History",Inputs!$I$1="Media_Studies",Inputs!$I$1="Music",Inputs!$I$1="Design_Technology",Inputs!$I$1="Other_Modern_Languages_9_to_1",Inputs!$I$1="Other_Sciences",Inputs!$I$1="Performing_Arts",Inputs!$I$1="Photography",Inputs!$I$1="Physical_Education",Inputs!$I$1="Physics",Inputs!$I$1="Psychology",Inputs!$I$1="Religious_Studies",Inputs!$I$1="Sociology",Inputs!$I$1="Spanish",Inputs!$I$1="Statistics"),4,"D")</f>
        <v>4</v>
      </c>
      <c r="J44" s="59">
        <f>IF(OR(Inputs!$I$1="",Inputs!$I$1="Please Select",Inputs!$I$1="Mathematics",Inputs!$I$1="English_Language",Inputs!$I$1="English_Literature",Inputs!$I$1="Art_Design",Inputs!$I$1="Biology",Inputs!$I$1="Business_Studies",Inputs!$I$1="Chemistry",Inputs!$I$1="Citizenship_Studies",Inputs!$I$1="Classical_Studies",Inputs!$I$1="Computer_Science",Inputs!$I$1="Dance",Inputs!$I$1="Economics",Inputs!$I$1="Engineering",Inputs!$I$1="Food_Preparation_and_Nutrition",Inputs!$I$1="French",Inputs!$I$1="Geography",Inputs!$I$1="German",Inputs!$I$1="History",Inputs!$I$1="Media_Studies",Inputs!$I$1="Music",Inputs!$I$1="Design_Technology",Inputs!$I$1="Other_Modern_Languages_9_to_1",Inputs!$I$1="Other_Sciences",Inputs!$I$1="Performing_Arts",Inputs!$I$1="Photography",Inputs!$I$1="Physical_Education",Inputs!$I$1="Physics",Inputs!$I$1="Psychology",Inputs!$I$1="Religious_Studies",Inputs!$I$1="Sociology",Inputs!$I$1="Spanish",Inputs!$I$1="Statistics"),5,"C")</f>
        <v>5</v>
      </c>
      <c r="K44" s="59">
        <f>IF(OR(Inputs!$I$1="",Inputs!$I$1="Please Select",Inputs!$I$1="Mathematics",Inputs!$I$1="English_Language",Inputs!$I$1="English_Literature",Inputs!$I$1="Art_Design",Inputs!$I$1="Biology",Inputs!$I$1="Business_Studies",Inputs!$I$1="Chemistry",Inputs!$I$1="Citizenship_Studies",Inputs!$I$1="Classical_Studies",Inputs!$I$1="Computer_Science",Inputs!$I$1="Dance",Inputs!$I$1="Economics",Inputs!$I$1="Engineering",Inputs!$I$1="Food_Preparation_and_Nutrition",Inputs!$I$1="French",Inputs!$I$1="Geography",Inputs!$I$1="German",Inputs!$I$1="History",Inputs!$I$1="Media_Studies",Inputs!$I$1="Music",Inputs!$I$1="Design_Technology",Inputs!$I$1="Other_Modern_Languages_9_to_1",Inputs!$I$1="Other_Sciences",Inputs!$I$1="Performing_Arts",Inputs!$I$1="Photography",Inputs!$I$1="Physical_Education",Inputs!$I$1="Physics",Inputs!$I$1="Psychology",Inputs!$I$1="Religious_Studies",Inputs!$I$1="Sociology",Inputs!$I$1="Spanish",Inputs!$I$1="Statistics"),6,"B")</f>
        <v>6</v>
      </c>
      <c r="L44" s="59">
        <f>IF(OR(Inputs!$I$1="",Inputs!$I$1="Please Select",Inputs!$I$1="Mathematics",Inputs!$I$1="English_Language",Inputs!$I$1="English_Literature",Inputs!$I$1="Art_Design",Inputs!$I$1="Biology",Inputs!$I$1="Business_Studies",Inputs!$I$1="Chemistry",Inputs!$I$1="Citizenship_Studies",Inputs!$I$1="Classical_Studies",Inputs!$I$1="Computer_Science",Inputs!$I$1="Dance",Inputs!$I$1="Economics",Inputs!$I$1="Engineering",Inputs!$I$1="Food_Preparation_and_Nutrition",Inputs!$I$1="French",Inputs!$I$1="Geography",Inputs!$I$1="German",Inputs!$I$1="History",Inputs!$I$1="Media_Studies",Inputs!$I$1="Music",Inputs!$I$1="Design_Technology",Inputs!$I$1="Other_Modern_Languages_9_to_1",Inputs!$I$1="Other_Sciences",Inputs!$I$1="Performing_Arts",Inputs!$I$1="Photography",Inputs!$I$1="Physical_Education",Inputs!$I$1="Physics",Inputs!$I$1="Psychology",Inputs!$I$1="Religious_Studies",Inputs!$I$1="Sociology",Inputs!$I$1="Spanish",Inputs!$I$1="Statistics"),7,"A")</f>
        <v>7</v>
      </c>
      <c r="M44" s="67">
        <f>IF(OR(Inputs!$I$1="",Inputs!$I$1="Please Select",Inputs!$I$1="Mathematics",Inputs!$I$1="English_Language",Inputs!$I$1="English_Literature",Inputs!$I$1="Art_Design",Inputs!$I$1="Biology",Inputs!$I$1="Business_Studies",Inputs!$I$1="Chemistry",Inputs!$I$1="Citizenship_Studies",Inputs!$I$1="Classical_Studies",Inputs!$I$1="Computer_Science",Inputs!$I$1="Dance",Inputs!$I$1="Economics",Inputs!$I$1="Engineering",Inputs!$I$1="Food_Preparation_and_Nutrition",Inputs!$I$1="French",Inputs!$I$1="Geography",Inputs!$I$1="German",Inputs!$I$1="History",Inputs!$I$1="Media_Studies",Inputs!$I$1="Music",Inputs!$I$1="Design_Technology",Inputs!$I$1="Other_Modern_Languages_9_to_1",Inputs!$I$1="Other_Sciences",Inputs!$I$1="Performing_Arts",Inputs!$I$1="Photography",Inputs!$I$1="Physical_Education",Inputs!$I$1="Physics",Inputs!$I$1="Psychology",Inputs!$I$1="Religious_Studies",Inputs!$I$1="Sociology",Inputs!$I$1="Spanish",Inputs!$I$1="Statistics"),8,"A*")</f>
        <v>8</v>
      </c>
      <c r="N44" s="68">
        <f>IF(OR(Inputs!$I$1="",Inputs!$I$1="Please Select",Inputs!$I$1="Mathematics",Inputs!$I$1="English_Language",Inputs!$I$1="English_Literature",Inputs!$I$1="Art_Design",Inputs!$I$1="Biology",Inputs!$I$1="Business_Studies",Inputs!$I$1="Chemistry",Inputs!$I$1="Citizenship_Studies",Inputs!$I$1="Classical_Studies",Inputs!$I$1="Computer_Science",Inputs!$I$1="Dance",Inputs!$I$1="Economics",Inputs!$I$1="Engineering",Inputs!$I$1="Food_Preparation_and_Nutrition",Inputs!$I$1="French",Inputs!$I$1="Geography",Inputs!$I$1="German",Inputs!$I$1="History",Inputs!$I$1="Media_Studies",Inputs!$I$1="Music",Inputs!$I$1="Design_Technology",Inputs!$I$1="Other_Modern_Languages_9_to_1",Inputs!$I$1="Other_Sciences",Inputs!$I$1="Performing_Arts",Inputs!$I$1="Photography",Inputs!$I$1="Physical_Education",Inputs!$I$1="Physics",Inputs!$I$1="Psychology",Inputs!$I$1="Religious_Studies",Inputs!$I$1="Sociology",Inputs!$I$1="Spanish",Inputs!$I$1="Statistics"),9,"")</f>
        <v>9</v>
      </c>
      <c r="T44" s="20"/>
      <c r="U44" s="20"/>
      <c r="V44" s="20"/>
      <c r="W44" s="20"/>
      <c r="X44" s="20"/>
      <c r="Y44" s="20"/>
      <c r="Z44" s="20"/>
      <c r="AA44" s="20"/>
      <c r="AB44" s="20"/>
      <c r="AC44" s="20"/>
      <c r="AE44" s="13"/>
    </row>
    <row r="45" spans="2:99" ht="23.1" customHeight="1" x14ac:dyDescent="0.5">
      <c r="C45" s="119" t="s">
        <v>13</v>
      </c>
      <c r="D45" s="60" t="s">
        <v>1</v>
      </c>
      <c r="E45" s="61" t="str">
        <f ca="1">IFERROR(IF(Inputs!$I$1="Please Select","",IF(Inputs!I$2="Please Select","",IF(Inputs!$I$2="Pupil Numbers",IF('KS2-4 Subject TMs'!$S$47="Gender",INDEX(INDIRECT(Inputs!$I$1),1,14),IF('KS2-4 Subject TMs'!$S$47="disadvantage",INDEX(INDIRECT(Inputs!$I$1),1,40),IF('KS2-4 Subject TMs'!$S$47="sen",INDEX(INDIRECT(Inputs!$I$1),1,66),IF('KS2-4 Subject TMs'!$S$47="eal",INDEX(INDIRECT(Inputs!$I$1),1,92),"")))),IF(Inputs!$I$2="Pupil Percentages",IF('KS2-4 Subject TMs'!$S$47="Gender",INDEX(INDIRECT(Inputs!$I$1),17,14),IF('KS2-4 Subject TMs'!$S$47="disadvantage",INDEX(INDIRECT(Inputs!$I$1),17,40),IF('KS2-4 Subject TMs'!$S$47="sen",INDEX(INDIRECT(Inputs!$I$1),17,66),IF('KS2-4 Subject TMs'!$S$47="eal",INDEX(INDIRECT(Inputs!$I$1),17,92),"")))))))),"")</f>
        <v/>
      </c>
      <c r="F45" s="61" t="str">
        <f ca="1">IFERROR(IF(Inputs!$I$1="Please Select","",IF(Inputs!I$2="Please Select","",IF(Inputs!$I$2="Pupil Numbers",IF('KS2-4 Subject TMs'!$S$47="Gender",INDEX(INDIRECT(Inputs!$I$1),1,15),IF('KS2-4 Subject TMs'!$S$47="disadvantage",INDEX(INDIRECT(Inputs!$I$1),1,41),IF('KS2-4 Subject TMs'!$S$47="sen",INDEX(INDIRECT(Inputs!$I$1),1,67),IF('KS2-4 Subject TMs'!$S$47="eal",INDEX(INDIRECT(Inputs!$I$1),1,93),"")))),IF(Inputs!$I$2="Pupil Percentages",IF('KS2-4 Subject TMs'!$S$47="Gender",INDEX(INDIRECT(Inputs!$I$1),17,15),IF('KS2-4 Subject TMs'!$S$47="disadvantage",INDEX(INDIRECT(Inputs!$I$1),17,41),IF('KS2-4 Subject TMs'!$S$47="sen",INDEX(INDIRECT(Inputs!$I$1),17,67),IF('KS2-4 Subject TMs'!$S$47="eal",INDEX(INDIRECT(Inputs!$I$1),17,93),"")))))))),"")</f>
        <v/>
      </c>
      <c r="G45" s="61" t="str">
        <f ca="1">IFERROR(IF(Inputs!$I$1="Please Select","",IF(Inputs!I$2="Please Select","",IF(Inputs!$I$2="Pupil Numbers",IF('KS2-4 Subject TMs'!$S$47="Gender",INDEX(INDIRECT(Inputs!$I$1),1,16),IF('KS2-4 Subject TMs'!$S$47="disadvantage",INDEX(INDIRECT(Inputs!$I$1),1,42),IF('KS2-4 Subject TMs'!$S$47="sen",INDEX(INDIRECT(Inputs!$I$1),1,68),IF('KS2-4 Subject TMs'!$S$47="eal",INDEX(INDIRECT(Inputs!$I$1),1,94),"")))),IF(Inputs!$I$2="Pupil Percentages",IF('KS2-4 Subject TMs'!$S$47="Gender",INDEX(INDIRECT(Inputs!$I$1),17,16),IF('KS2-4 Subject TMs'!$S$47="disadvantage",INDEX(INDIRECT(Inputs!$I$1),17,42),IF('KS2-4 Subject TMs'!$S$47="sen",INDEX(INDIRECT(Inputs!$I$1),17,68),IF('KS2-4 Subject TMs'!$S$47="eal",INDEX(INDIRECT(Inputs!$I$1),17,94),"")))))))),"")</f>
        <v/>
      </c>
      <c r="H45" s="61" t="str">
        <f ca="1">IFERROR(IF(Inputs!$I$1="Please Select","",IF(Inputs!I$2="Please Select","",IF(Inputs!$I$2="Pupil Numbers",IF('KS2-4 Subject TMs'!$S$47="Gender",INDEX(INDIRECT(Inputs!$I$1),1,17),IF('KS2-4 Subject TMs'!$S$47="disadvantage",INDEX(INDIRECT(Inputs!$I$1),1,43),IF('KS2-4 Subject TMs'!$S$47="sen",INDEX(INDIRECT(Inputs!$I$1),1,69),IF('KS2-4 Subject TMs'!$S$47="eal",INDEX(INDIRECT(Inputs!$I$1),1,95),"")))),IF(Inputs!$I$2="Pupil Percentages",IF('KS2-4 Subject TMs'!$S$47="Gender",INDEX(INDIRECT(Inputs!$I$1),17,17),IF('KS2-4 Subject TMs'!$S$47="disadvantage",INDEX(INDIRECT(Inputs!$I$1),17,43),IF('KS2-4 Subject TMs'!$S$47="sen",INDEX(INDIRECT(Inputs!$I$1),17,69),IF('KS2-4 Subject TMs'!$S$47="eal",INDEX(INDIRECT(Inputs!$I$1),17,95),"")))))))),"")</f>
        <v/>
      </c>
      <c r="I45" s="61" t="str">
        <f ca="1">IFERROR(IF(Inputs!$I$1="Please Select","",IF(Inputs!I$2="Please Select","",IF(Inputs!$I$2="Pupil Numbers",IF('KS2-4 Subject TMs'!$S$47="Gender",INDEX(INDIRECT(Inputs!$I$1),1,18),IF('KS2-4 Subject TMs'!$S$47="disadvantage",INDEX(INDIRECT(Inputs!$I$1),1,44),IF('KS2-4 Subject TMs'!$S$47="sen",INDEX(INDIRECT(Inputs!$I$1),1,70),IF('KS2-4 Subject TMs'!$S$47="eal",INDEX(INDIRECT(Inputs!$I$1),1,96),"")))),IF(Inputs!$I$2="Pupil Percentages",IF('KS2-4 Subject TMs'!$S$47="Gender",INDEX(INDIRECT(Inputs!$I$1),17,18),IF('KS2-4 Subject TMs'!$S$47="disadvantage",INDEX(INDIRECT(Inputs!$I$1),17,44),IF('KS2-4 Subject TMs'!$S$47="sen",INDEX(INDIRECT(Inputs!$I$1),17,70),IF('KS2-4 Subject TMs'!$S$47="eal",INDEX(INDIRECT(Inputs!$I$1),17,96),"")))))))),"")</f>
        <v/>
      </c>
      <c r="J45" s="61" t="str">
        <f ca="1">IFERROR(IF(Inputs!$I$1="Please Select","",IF(Inputs!I$2="Please Select","",IF(Inputs!$I$2="Pupil Numbers",IF('KS2-4 Subject TMs'!$S$47="Gender",INDEX(INDIRECT(Inputs!$I$1),1,19),IF('KS2-4 Subject TMs'!$S$47="disadvantage",INDEX(INDIRECT(Inputs!$I$1),1,45),IF('KS2-4 Subject TMs'!$S$47="sen",INDEX(INDIRECT(Inputs!$I$1),1,71),IF('KS2-4 Subject TMs'!$S$47="eal",INDEX(INDIRECT(Inputs!$I$1),1,97),"")))),IF(Inputs!$I$2="Pupil Percentages",IF('KS2-4 Subject TMs'!$S$47="Gender",INDEX(INDIRECT(Inputs!$I$1),17,19),IF('KS2-4 Subject TMs'!$S$47="disadvantage",INDEX(INDIRECT(Inputs!$I$1),17,45),IF('KS2-4 Subject TMs'!$S$47="sen",INDEX(INDIRECT(Inputs!$I$1),17,71),IF('KS2-4 Subject TMs'!$S$47="eal",INDEX(INDIRECT(Inputs!$I$1),17,97),"")))))))),"")</f>
        <v/>
      </c>
      <c r="K45" s="61" t="str">
        <f ca="1">IFERROR(IF(Inputs!$I$1="Please Select","",IF(Inputs!I$2="Please Select","",IF(Inputs!$I$2="Pupil Numbers",IF('KS2-4 Subject TMs'!$S$47="Gender",INDEX(INDIRECT(Inputs!$I$1),1,20),IF('KS2-4 Subject TMs'!$S$47="disadvantage",INDEX(INDIRECT(Inputs!$I$1),1,46),IF('KS2-4 Subject TMs'!$S$47="sen",INDEX(INDIRECT(Inputs!$I$1),1,72),IF('KS2-4 Subject TMs'!$S$47="eal",INDEX(INDIRECT(Inputs!$I$1),1,98),"")))),IF(Inputs!$I$2="Pupil Percentages",IF('KS2-4 Subject TMs'!$S$47="Gender",INDEX(INDIRECT(Inputs!$I$1),17,20),IF('KS2-4 Subject TMs'!$S$47="disadvantage",INDEX(INDIRECT(Inputs!$I$1),17,46),IF('KS2-4 Subject TMs'!$S$47="sen",INDEX(INDIRECT(Inputs!$I$1),17,72),IF('KS2-4 Subject TMs'!$S$47="eal",INDEX(INDIRECT(Inputs!$I$1),17,98),"")))))))),"")</f>
        <v/>
      </c>
      <c r="L45" s="61" t="str">
        <f ca="1">IFERROR(IF(Inputs!$I$1="Please Select","",IF(Inputs!I$2="Please Select","",IF(Inputs!$I$2="Pupil Numbers",IF('KS2-4 Subject TMs'!$S$47="Gender",INDEX(INDIRECT(Inputs!$I$1),1,21),IF('KS2-4 Subject TMs'!$S$47="disadvantage",INDEX(INDIRECT(Inputs!$I$1),1,47),IF('KS2-4 Subject TMs'!$S$47="sen",INDEX(INDIRECT(Inputs!$I$1),1,73),IF('KS2-4 Subject TMs'!$S$47="eal",INDEX(INDIRECT(Inputs!$I$1),1,99),"")))),IF(Inputs!$I$2="Pupil Percentages",IF('KS2-4 Subject TMs'!$S$47="Gender",INDEX(INDIRECT(Inputs!$I$1),17,21),IF('KS2-4 Subject TMs'!$S$47="disadvantage",INDEX(INDIRECT(Inputs!$I$1),17,47),IF('KS2-4 Subject TMs'!$S$47="sen",INDEX(INDIRECT(Inputs!$I$1),17,73),IF('KS2-4 Subject TMs'!$S$47="eal",INDEX(INDIRECT(Inputs!$I$1),17,99),"")))))))),"")</f>
        <v/>
      </c>
      <c r="M45" s="61" t="str">
        <f ca="1">IFERROR(IF(Inputs!$I$1="Please Select","",IF(Inputs!I$2="Please Select","",IF(Inputs!$I$2="Pupil Numbers",IF('KS2-4 Subject TMs'!$S$47="Gender",INDEX(INDIRECT(Inputs!$I$1),1,22),IF('KS2-4 Subject TMs'!$S$47="disadvantage",INDEX(INDIRECT(Inputs!$I$1),1,48),IF('KS2-4 Subject TMs'!$S$47="sen",INDEX(INDIRECT(Inputs!$I$1),1,74),IF('KS2-4 Subject TMs'!$S$47="eal",INDEX(INDIRECT(Inputs!$I$1),1,100),"")))),IF(Inputs!$I$2="Pupil Percentages",IF('KS2-4 Subject TMs'!$S$47="Gender",INDEX(INDIRECT(Inputs!$I$1),17,22),IF('KS2-4 Subject TMs'!$S$47="disadvantage",INDEX(INDIRECT(Inputs!$I$1),17,48),IF('KS2-4 Subject TMs'!$S$47="sen",INDEX(INDIRECT(Inputs!$I$1),17,74),IF('KS2-4 Subject TMs'!$S$47="eal",INDEX(INDIRECT(Inputs!$I$1),17,100),"")))))))),"")</f>
        <v/>
      </c>
      <c r="N45" s="69" t="str">
        <f ca="1">IF(Inputs!$I$1="Please Select","",IF(Inputs!I$2="Please Select","",IF(OR(Inputs!$I$1="Mathematics",Inputs!$I$1="English_Language",Inputs!$I$1="English_Literature",Inputs!$I$1="Art_Design",Inputs!$I$1="Biology",Inputs!$I$1="Business_Studies",Inputs!$I$1="Chemistry",Inputs!$I$1="Citizenship_Studies",Inputs!$I$1="Classical_Studies",Inputs!$I$1="Computer_Science",Inputs!$I$1="Dance",Inputs!$I$1="Economics",Inputs!$I$1="Engineering",Inputs!$I$1="Food_Preparation_and_Nutrition",Inputs!$I$1="French",Inputs!$I$1="Geography",Inputs!$I$1="German",Inputs!$I$1="History",Inputs!$I$1="Media_Studies",Inputs!$I$1="Music",Inputs!$I$1="Design_Technology",Inputs!$I$1="Other_Modern_Languages_9_to_1",Inputs!$I$1="Other_Sciences",Inputs!$I$1="Performing_Arts",Inputs!$I$1="Photography",Inputs!$I$1="Physical_Education",Inputs!$I$1="Physics",Inputs!$I$1="Psychology",Inputs!$I$1="Religious_Studies",Inputs!$I$1="Sociology",Inputs!$I$1="Spanish",Inputs!$I$1="Statistics"),IF(Inputs!$I$2="Pupil Numbers",IF('KS2-4 Subject TMs'!$S$47="Gender",INDEX(INDIRECT(Inputs!$I$1),1,23),IF('KS2-4 Subject TMs'!$S$47="disadvantage",INDEX(INDIRECT(Inputs!$I$1),1,49),IF('KS2-4 Subject TMs'!$S$47="sen",INDEX(INDIRECT(Inputs!$I$1),1,75),IF('KS2-4 Subject TMs'!$S$47="eal",INDEX(INDIRECT(Inputs!$I$1),1,101),"")))),IF(Inputs!$I$2="Pupil Percentages",IF('KS2-4 Subject TMs'!$S$47="Gender",INDEX(INDIRECT(Inputs!$I$1),17,23),IF('KS2-4 Subject TMs'!$S$47="disadvantage",INDEX(INDIRECT(Inputs!$I$1),17,49),IF('KS2-4 Subject TMs'!$S$47="sen",INDEX(INDIRECT(Inputs!$I$1),17,75),IF('KS2-4 Subject TMs'!$S$47="eal",INDEX(INDIRECT(Inputs!$I$1),17,101),"")))))),"")))</f>
        <v/>
      </c>
      <c r="Q45" s="8" t="s">
        <v>118</v>
      </c>
    </row>
    <row r="46" spans="2:99" ht="23.1" customHeight="1" x14ac:dyDescent="0.5">
      <c r="C46" s="120"/>
      <c r="D46" s="60" t="s">
        <v>56</v>
      </c>
      <c r="E46" s="61" t="str">
        <f ca="1">IFERROR(IF(Inputs!$I$1="Please Select","",IF(Inputs!I$2="Please Select","",IF(Inputs!$I$2="Pupil Numbers",IF('KS2-4 Subject TMs'!$S$47="Gender",INDEX(INDIRECT(Inputs!$I$1),2,14),IF('KS2-4 Subject TMs'!$S$47="disadvantage",INDEX(INDIRECT(Inputs!$I$1),2,40),IF('KS2-4 Subject TMs'!$S$47="sen",INDEX(INDIRECT(Inputs!$I$1),2,66),IF('KS2-4 Subject TMs'!$S$47="eal",INDEX(INDIRECT(Inputs!$I$1),2,92),"")))),IF(Inputs!$I$2="Pupil Percentages",IF('KS2-4 Subject TMs'!$S$47="Gender",INDEX(INDIRECT(Inputs!$I$1),18,14),IF('KS2-4 Subject TMs'!$S$47="disadvantage",INDEX(INDIRECT(Inputs!$I$1),18,40),IF('KS2-4 Subject TMs'!$S$47="sen",INDEX(INDIRECT(Inputs!$I$1),18,66),IF('KS2-4 Subject TMs'!$S$47="eal",INDEX(INDIRECT(Inputs!$I$1),18,92),"")))))))),"")</f>
        <v/>
      </c>
      <c r="F46" s="61" t="str">
        <f ca="1">IFERROR(IF(Inputs!$I$1="Please Select","",IF(Inputs!I$2="Please Select","",IF(Inputs!$I$2="Pupil Numbers",IF('KS2-4 Subject TMs'!$S$47="Gender",INDEX(INDIRECT(Inputs!$I$1),2,15),IF('KS2-4 Subject TMs'!$S$47="disadvantage",INDEX(INDIRECT(Inputs!$I$1),2,41),IF('KS2-4 Subject TMs'!$S$47="sen",INDEX(INDIRECT(Inputs!$I$1),2,67),IF('KS2-4 Subject TMs'!$S$47="eal",INDEX(INDIRECT(Inputs!$I$1),2,93),"")))),IF(Inputs!$I$2="Pupil Percentages",IF('KS2-4 Subject TMs'!$S$47="Gender",INDEX(INDIRECT(Inputs!$I$1),18,15),IF('KS2-4 Subject TMs'!$S$47="disadvantage",INDEX(INDIRECT(Inputs!$I$1),18,41),IF('KS2-4 Subject TMs'!$S$47="sen",INDEX(INDIRECT(Inputs!$I$1),18,67),IF('KS2-4 Subject TMs'!$S$47="eal",INDEX(INDIRECT(Inputs!$I$1),18,93),"")))))))),"")</f>
        <v/>
      </c>
      <c r="G46" s="61" t="str">
        <f ca="1">IFERROR(IF(Inputs!$I$1="Please Select","",IF(Inputs!I$2="Please Select","",IF(Inputs!$I$2="Pupil Numbers",IF('KS2-4 Subject TMs'!$S$47="Gender",INDEX(INDIRECT(Inputs!$I$1),2,16),IF('KS2-4 Subject TMs'!$S$47="disadvantage",INDEX(INDIRECT(Inputs!$I$1),2,42),IF('KS2-4 Subject TMs'!$S$47="sen",INDEX(INDIRECT(Inputs!$I$1),2,68),IF('KS2-4 Subject TMs'!$S$47="eal",INDEX(INDIRECT(Inputs!$I$1),2,94),"")))),IF(Inputs!$I$2="Pupil Percentages",IF('KS2-4 Subject TMs'!$S$47="Gender",INDEX(INDIRECT(Inputs!$I$1),18,16),IF('KS2-4 Subject TMs'!$S$47="disadvantage",INDEX(INDIRECT(Inputs!$I$1),18,42),IF('KS2-4 Subject TMs'!$S$47="sen",INDEX(INDIRECT(Inputs!$I$1),18,68),IF('KS2-4 Subject TMs'!$S$47="eal",INDEX(INDIRECT(Inputs!$I$1),18,94),"")))))))),"")</f>
        <v/>
      </c>
      <c r="H46" s="61" t="str">
        <f ca="1">IFERROR(IF(Inputs!$I$1="Please Select","",IF(Inputs!I$2="Please Select","",IF(Inputs!$I$2="Pupil Numbers",IF('KS2-4 Subject TMs'!$S$47="Gender",INDEX(INDIRECT(Inputs!$I$1),2,17),IF('KS2-4 Subject TMs'!$S$47="disadvantage",INDEX(INDIRECT(Inputs!$I$1),2,43),IF('KS2-4 Subject TMs'!$S$47="sen",INDEX(INDIRECT(Inputs!$I$1),2,69),IF('KS2-4 Subject TMs'!$S$47="eal",INDEX(INDIRECT(Inputs!$I$1),2,95),"")))),IF(Inputs!$I$2="Pupil Percentages",IF('KS2-4 Subject TMs'!$S$47="Gender",INDEX(INDIRECT(Inputs!$I$1),18,17),IF('KS2-4 Subject TMs'!$S$47="disadvantage",INDEX(INDIRECT(Inputs!$I$1),18,43),IF('KS2-4 Subject TMs'!$S$47="sen",INDEX(INDIRECT(Inputs!$I$1),18,69),IF('KS2-4 Subject TMs'!$S$47="eal",INDEX(INDIRECT(Inputs!$I$1),18,95),"")))))))),"")</f>
        <v/>
      </c>
      <c r="I46" s="61" t="str">
        <f ca="1">IFERROR(IF(Inputs!$I$1="Please Select","",IF(Inputs!I$2="Please Select","",IF(Inputs!$I$2="Pupil Numbers",IF('KS2-4 Subject TMs'!$S$47="Gender",INDEX(INDIRECT(Inputs!$I$1),2,18),IF('KS2-4 Subject TMs'!$S$47="disadvantage",INDEX(INDIRECT(Inputs!$I$1),2,44),IF('KS2-4 Subject TMs'!$S$47="sen",INDEX(INDIRECT(Inputs!$I$1),2,70),IF('KS2-4 Subject TMs'!$S$47="eal",INDEX(INDIRECT(Inputs!$I$1),2,96),"")))),IF(Inputs!$I$2="Pupil Percentages",IF('KS2-4 Subject TMs'!$S$47="Gender",INDEX(INDIRECT(Inputs!$I$1),18,18),IF('KS2-4 Subject TMs'!$S$47="disadvantage",INDEX(INDIRECT(Inputs!$I$1),18,44),IF('KS2-4 Subject TMs'!$S$47="sen",INDEX(INDIRECT(Inputs!$I$1),18,70),IF('KS2-4 Subject TMs'!$S$47="eal",INDEX(INDIRECT(Inputs!$I$1),18,96),"")))))))),"")</f>
        <v/>
      </c>
      <c r="J46" s="61" t="str">
        <f ca="1">IFERROR(IF(Inputs!$I$1="Please Select","",IF(Inputs!I$2="Please Select","",IF(Inputs!$I$2="Pupil Numbers",IF('KS2-4 Subject TMs'!$S$47="Gender",INDEX(INDIRECT(Inputs!$I$1),2,19),IF('KS2-4 Subject TMs'!$S$47="disadvantage",INDEX(INDIRECT(Inputs!$I$1),2,45),IF('KS2-4 Subject TMs'!$S$47="sen",INDEX(INDIRECT(Inputs!$I$1),2,71),IF('KS2-4 Subject TMs'!$S$47="eal",INDEX(INDIRECT(Inputs!$I$1),2,97),"")))),IF(Inputs!$I$2="Pupil Percentages",IF('KS2-4 Subject TMs'!$S$47="Gender",INDEX(INDIRECT(Inputs!$I$1),18,19),IF('KS2-4 Subject TMs'!$S$47="disadvantage",INDEX(INDIRECT(Inputs!$I$1),18,45),IF('KS2-4 Subject TMs'!$S$47="sen",INDEX(INDIRECT(Inputs!$I$1),18,71),IF('KS2-4 Subject TMs'!$S$47="eal",INDEX(INDIRECT(Inputs!$I$1),18,97),"")))))))),"")</f>
        <v/>
      </c>
      <c r="K46" s="61" t="str">
        <f ca="1">IFERROR(IF(Inputs!$I$1="Please Select","",IF(Inputs!I$2="Please Select","",IF(Inputs!$I$2="Pupil Numbers",IF('KS2-4 Subject TMs'!$S$47="Gender",INDEX(INDIRECT(Inputs!$I$1),2,20),IF('KS2-4 Subject TMs'!$S$47="disadvantage",INDEX(INDIRECT(Inputs!$I$1),2,46),IF('KS2-4 Subject TMs'!$S$47="sen",INDEX(INDIRECT(Inputs!$I$1),2,72),IF('KS2-4 Subject TMs'!$S$47="eal",INDEX(INDIRECT(Inputs!$I$1),2,98),"")))),IF(Inputs!$I$2="Pupil Percentages",IF('KS2-4 Subject TMs'!$S$47="Gender",INDEX(INDIRECT(Inputs!$I$1),18,20),IF('KS2-4 Subject TMs'!$S$47="disadvantage",INDEX(INDIRECT(Inputs!$I$1),18,46),IF('KS2-4 Subject TMs'!$S$47="sen",INDEX(INDIRECT(Inputs!$I$1),18,72),IF('KS2-4 Subject TMs'!$S$47="eal",INDEX(INDIRECT(Inputs!$I$1),18,98),"")))))))),"")</f>
        <v/>
      </c>
      <c r="L46" s="61" t="str">
        <f ca="1">IFERROR(IF(Inputs!$I$1="Please Select","",IF(Inputs!I$2="Please Select","",IF(Inputs!$I$2="Pupil Numbers",IF('KS2-4 Subject TMs'!$S$47="Gender",INDEX(INDIRECT(Inputs!$I$1),2,21),IF('KS2-4 Subject TMs'!$S$47="disadvantage",INDEX(INDIRECT(Inputs!$I$1),2,47),IF('KS2-4 Subject TMs'!$S$47="sen",INDEX(INDIRECT(Inputs!$I$1),2,73),IF('KS2-4 Subject TMs'!$S$47="eal",INDEX(INDIRECT(Inputs!$I$1),2,99),"")))),IF(Inputs!$I$2="Pupil Percentages",IF('KS2-4 Subject TMs'!$S$47="Gender",INDEX(INDIRECT(Inputs!$I$1),18,21),IF('KS2-4 Subject TMs'!$S$47="disadvantage",INDEX(INDIRECT(Inputs!$I$1),18,47),IF('KS2-4 Subject TMs'!$S$47="sen",INDEX(INDIRECT(Inputs!$I$1),18,73),IF('KS2-4 Subject TMs'!$S$47="eal",INDEX(INDIRECT(Inputs!$I$1),18,99),"")))))))),"")</f>
        <v/>
      </c>
      <c r="M46" s="61" t="str">
        <f ca="1">IFERROR(IF(Inputs!$I$1="Please Select","",IF(Inputs!I$2="Please Select","",IF(Inputs!$I$2="Pupil Numbers",IF('KS2-4 Subject TMs'!$S$47="Gender",INDEX(INDIRECT(Inputs!$I$1),2,22),IF('KS2-4 Subject TMs'!$S$47="disadvantage",INDEX(INDIRECT(Inputs!$I$1),2,48),IF('KS2-4 Subject TMs'!$S$47="sen",INDEX(INDIRECT(Inputs!$I$1),2,74),IF('KS2-4 Subject TMs'!$S$47="eal",INDEX(INDIRECT(Inputs!$I$1),2,100),"")))),IF(Inputs!$I$2="Pupil Percentages",IF('KS2-4 Subject TMs'!$S$47="Gender",INDEX(INDIRECT(Inputs!$I$1),18,22),IF('KS2-4 Subject TMs'!$S$47="disadvantage",INDEX(INDIRECT(Inputs!$I$1),18,48),IF('KS2-4 Subject TMs'!$S$47="sen",INDEX(INDIRECT(Inputs!$I$1),18,74),IF('KS2-4 Subject TMs'!$S$47="eal",INDEX(INDIRECT(Inputs!$I$1),18,100),"")))))))),"")</f>
        <v/>
      </c>
      <c r="N46" s="69" t="str">
        <f ca="1">IF(Inputs!$I$1="Please Select","",IF(Inputs!I$2="Please Select","",IF(OR(Inputs!$I$1="Mathematics",Inputs!$I$1="English_Language",Inputs!$I$1="English_Literature",Inputs!$I$1="Art_Design",Inputs!$I$1="Biology",Inputs!$I$1="Business_Studies",Inputs!$I$1="Chemistry",Inputs!$I$1="Citizenship_Studies",Inputs!$I$1="Classical_Studies",Inputs!$I$1="Computer_Science",Inputs!$I$1="Dance",Inputs!$I$1="Economics",Inputs!$I$1="Engineering",Inputs!$I$1="Food_Preparation_and_Nutrition",Inputs!$I$1="French",Inputs!$I$1="Geography",Inputs!$I$1="German",Inputs!$I$1="History",Inputs!$I$1="Media_Studies",Inputs!$I$1="Music",Inputs!$I$1="Design_Technology",Inputs!$I$1="Other_Modern_Languages_9_to_1",Inputs!$I$1="Other_Sciences",Inputs!$I$1="Performing_Arts",Inputs!$I$1="Photography",Inputs!$I$1="Physical_Education",Inputs!$I$1="Physics",Inputs!$I$1="Psychology",Inputs!$I$1="Religious_Studies",Inputs!$I$1="Sociology",Inputs!$I$1="Spanish",Inputs!$I$1="Statistics"),IF(Inputs!$I$2="Pupil Numbers",IF('KS2-4 Subject TMs'!$S$47="Gender",INDEX(INDIRECT(Inputs!$I$1),2,23),IF('KS2-4 Subject TMs'!$S$47="disadvantage",INDEX(INDIRECT(Inputs!$I$1),2,49),IF('KS2-4 Subject TMs'!$S$47="sen",INDEX(INDIRECT(Inputs!$I$1),2,75),IF('KS2-4 Subject TMs'!$S$47="eal",INDEX(INDIRECT(Inputs!$I$1),2,101),"")))),IF(Inputs!$I$2="Pupil Percentages",IF('KS2-4 Subject TMs'!$S$47="Gender",INDEX(INDIRECT(Inputs!$I$1),18,23),IF('KS2-4 Subject TMs'!$S$47="disadvantage",INDEX(INDIRECT(Inputs!$I$1),18,49),IF('KS2-4 Subject TMs'!$S$47="sen",INDEX(INDIRECT(Inputs!$I$1),18,75),IF('KS2-4 Subject TMs'!$S$47="eal",INDEX(INDIRECT(Inputs!$I$1),18,101),"")))))),"")))</f>
        <v/>
      </c>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row>
    <row r="47" spans="2:99" ht="23.1" customHeight="1" x14ac:dyDescent="0.5">
      <c r="C47" s="120"/>
      <c r="D47" s="60" t="s">
        <v>2</v>
      </c>
      <c r="E47" s="61" t="str">
        <f ca="1">IFERROR(IF(Inputs!$I$1="Please Select","",IF(Inputs!I$2="Please Select","",IF(Inputs!$I$2="Pupil Numbers",IF('KS2-4 Subject TMs'!$S$47="Gender",INDEX(INDIRECT(Inputs!$I$1),3,14),IF('KS2-4 Subject TMs'!$S$47="disadvantage",INDEX(INDIRECT(Inputs!$I$1),3,40),IF('KS2-4 Subject TMs'!$S$47="sen",INDEX(INDIRECT(Inputs!$I$1),3,66),IF('KS2-4 Subject TMs'!$S$47="eal",INDEX(INDIRECT(Inputs!$I$1),3,92),"")))),IF(Inputs!$I$2="Pupil Percentages",IF('KS2-4 Subject TMs'!$S$47="Gender",INDEX(INDIRECT(Inputs!$I$1),19,14),IF('KS2-4 Subject TMs'!$S$47="disadvantage",INDEX(INDIRECT(Inputs!$I$1),19,40),IF('KS2-4 Subject TMs'!$S$47="sen",INDEX(INDIRECT(Inputs!$I$1),19,66),IF('KS2-4 Subject TMs'!$S$47="eal",INDEX(INDIRECT(Inputs!$I$1),19,92),"")))))))),"")</f>
        <v/>
      </c>
      <c r="F47" s="61" t="str">
        <f ca="1">IFERROR(IF(Inputs!$I$1="Please Select","",IF(Inputs!I$2="Please Select","",IF(Inputs!$I$2="Pupil Numbers",IF('KS2-4 Subject TMs'!$S$47="Gender",INDEX(INDIRECT(Inputs!$I$1),3,15),IF('KS2-4 Subject TMs'!$S$47="disadvantage",INDEX(INDIRECT(Inputs!$I$1),3,41),IF('KS2-4 Subject TMs'!$S$47="sen",INDEX(INDIRECT(Inputs!$I$1),3,67),IF('KS2-4 Subject TMs'!$S$47="eal",INDEX(INDIRECT(Inputs!$I$1),3,93),"")))),IF(Inputs!$I$2="Pupil Percentages",IF('KS2-4 Subject TMs'!$S$47="Gender",INDEX(INDIRECT(Inputs!$I$1),19,15),IF('KS2-4 Subject TMs'!$S$47="disadvantage",INDEX(INDIRECT(Inputs!$I$1),19,41),IF('KS2-4 Subject TMs'!$S$47="sen",INDEX(INDIRECT(Inputs!$I$1),19,67),IF('KS2-4 Subject TMs'!$S$47="eal",INDEX(INDIRECT(Inputs!$I$1),19,93),"")))))))),"")</f>
        <v/>
      </c>
      <c r="G47" s="61" t="str">
        <f ca="1">IFERROR(IF(Inputs!$I$1="Please Select","",IF(Inputs!I$2="Please Select","",IF(Inputs!$I$2="Pupil Numbers",IF('KS2-4 Subject TMs'!$S$47="Gender",INDEX(INDIRECT(Inputs!$I$1),3,16),IF('KS2-4 Subject TMs'!$S$47="disadvantage",INDEX(INDIRECT(Inputs!$I$1),3,42),IF('KS2-4 Subject TMs'!$S$47="sen",INDEX(INDIRECT(Inputs!$I$1),3,68),IF('KS2-4 Subject TMs'!$S$47="eal",INDEX(INDIRECT(Inputs!$I$1),3,94),"")))),IF(Inputs!$I$2="Pupil Percentages",IF('KS2-4 Subject TMs'!$S$47="Gender",INDEX(INDIRECT(Inputs!$I$1),19,16),IF('KS2-4 Subject TMs'!$S$47="disadvantage",INDEX(INDIRECT(Inputs!$I$1),19,42),IF('KS2-4 Subject TMs'!$S$47="sen",INDEX(INDIRECT(Inputs!$I$1),19,68),IF('KS2-4 Subject TMs'!$S$47="eal",INDEX(INDIRECT(Inputs!$I$1),19,94),"")))))))),"")</f>
        <v/>
      </c>
      <c r="H47" s="61" t="str">
        <f ca="1">IFERROR(IF(Inputs!$I$1="Please Select","",IF(Inputs!I$2="Please Select","",IF(Inputs!$I$2="Pupil Numbers",IF('KS2-4 Subject TMs'!$S$47="Gender",INDEX(INDIRECT(Inputs!$I$1),3,17),IF('KS2-4 Subject TMs'!$S$47="disadvantage",INDEX(INDIRECT(Inputs!$I$1),3,43),IF('KS2-4 Subject TMs'!$S$47="sen",INDEX(INDIRECT(Inputs!$I$1),3,69),IF('KS2-4 Subject TMs'!$S$47="eal",INDEX(INDIRECT(Inputs!$I$1),3,95),"")))),IF(Inputs!$I$2="Pupil Percentages",IF('KS2-4 Subject TMs'!$S$47="Gender",INDEX(INDIRECT(Inputs!$I$1),19,17),IF('KS2-4 Subject TMs'!$S$47="disadvantage",INDEX(INDIRECT(Inputs!$I$1),19,43),IF('KS2-4 Subject TMs'!$S$47="sen",INDEX(INDIRECT(Inputs!$I$1),19,69),IF('KS2-4 Subject TMs'!$S$47="eal",INDEX(INDIRECT(Inputs!$I$1),19,95),"")))))))),"")</f>
        <v/>
      </c>
      <c r="I47" s="61" t="str">
        <f ca="1">IFERROR(IF(Inputs!$I$1="Please Select","",IF(Inputs!I$2="Please Select","",IF(Inputs!$I$2="Pupil Numbers",IF('KS2-4 Subject TMs'!$S$47="Gender",INDEX(INDIRECT(Inputs!$I$1),3,18),IF('KS2-4 Subject TMs'!$S$47="disadvantage",INDEX(INDIRECT(Inputs!$I$1),3,44),IF('KS2-4 Subject TMs'!$S$47="sen",INDEX(INDIRECT(Inputs!$I$1),3,70),IF('KS2-4 Subject TMs'!$S$47="eal",INDEX(INDIRECT(Inputs!$I$1),3,96),"")))),IF(Inputs!$I$2="Pupil Percentages",IF('KS2-4 Subject TMs'!$S$47="Gender",INDEX(INDIRECT(Inputs!$I$1),19,18),IF('KS2-4 Subject TMs'!$S$47="disadvantage",INDEX(INDIRECT(Inputs!$I$1),19,44),IF('KS2-4 Subject TMs'!$S$47="sen",INDEX(INDIRECT(Inputs!$I$1),19,70),IF('KS2-4 Subject TMs'!$S$47="eal",INDEX(INDIRECT(Inputs!$I$1),19,96),"")))))))),"")</f>
        <v/>
      </c>
      <c r="J47" s="61" t="str">
        <f ca="1">IFERROR(IF(Inputs!$I$1="Please Select","",IF(Inputs!I$2="Please Select","",IF(Inputs!$I$2="Pupil Numbers",IF('KS2-4 Subject TMs'!$S$47="Gender",INDEX(INDIRECT(Inputs!$I$1),3,19),IF('KS2-4 Subject TMs'!$S$47="disadvantage",INDEX(INDIRECT(Inputs!$I$1),3,45),IF('KS2-4 Subject TMs'!$S$47="sen",INDEX(INDIRECT(Inputs!$I$1),3,71),IF('KS2-4 Subject TMs'!$S$47="eal",INDEX(INDIRECT(Inputs!$I$1),3,97),"")))),IF(Inputs!$I$2="Pupil Percentages",IF('KS2-4 Subject TMs'!$S$47="Gender",INDEX(INDIRECT(Inputs!$I$1),19,19),IF('KS2-4 Subject TMs'!$S$47="disadvantage",INDEX(INDIRECT(Inputs!$I$1),19,45),IF('KS2-4 Subject TMs'!$S$47="sen",INDEX(INDIRECT(Inputs!$I$1),19,71),IF('KS2-4 Subject TMs'!$S$47="eal",INDEX(INDIRECT(Inputs!$I$1),19,97),"")))))))),"")</f>
        <v/>
      </c>
      <c r="K47" s="61" t="str">
        <f ca="1">IFERROR(IF(Inputs!$I$1="Please Select","",IF(Inputs!I$2="Please Select","",IF(Inputs!$I$2="Pupil Numbers",IF('KS2-4 Subject TMs'!$S$47="Gender",INDEX(INDIRECT(Inputs!$I$1),3,20),IF('KS2-4 Subject TMs'!$S$47="disadvantage",INDEX(INDIRECT(Inputs!$I$1),3,46),IF('KS2-4 Subject TMs'!$S$47="sen",INDEX(INDIRECT(Inputs!$I$1),3,72),IF('KS2-4 Subject TMs'!$S$47="eal",INDEX(INDIRECT(Inputs!$I$1),3,98),"")))),IF(Inputs!$I$2="Pupil Percentages",IF('KS2-4 Subject TMs'!$S$47="Gender",INDEX(INDIRECT(Inputs!$I$1),19,20),IF('KS2-4 Subject TMs'!$S$47="disadvantage",INDEX(INDIRECT(Inputs!$I$1),19,46),IF('KS2-4 Subject TMs'!$S$47="sen",INDEX(INDIRECT(Inputs!$I$1),19,72),IF('KS2-4 Subject TMs'!$S$47="eal",INDEX(INDIRECT(Inputs!$I$1),19,98),"")))))))),"")</f>
        <v/>
      </c>
      <c r="L47" s="61" t="str">
        <f ca="1">IFERROR(IF(Inputs!$I$1="Please Select","",IF(Inputs!I$2="Please Select","",IF(Inputs!$I$2="Pupil Numbers",IF('KS2-4 Subject TMs'!$S$47="Gender",INDEX(INDIRECT(Inputs!$I$1),3,21),IF('KS2-4 Subject TMs'!$S$47="disadvantage",INDEX(INDIRECT(Inputs!$I$1),3,47),IF('KS2-4 Subject TMs'!$S$47="sen",INDEX(INDIRECT(Inputs!$I$1),3,73),IF('KS2-4 Subject TMs'!$S$47="eal",INDEX(INDIRECT(Inputs!$I$1),3,99),"")))),IF(Inputs!$I$2="Pupil Percentages",IF('KS2-4 Subject TMs'!$S$47="Gender",INDEX(INDIRECT(Inputs!$I$1),19,21),IF('KS2-4 Subject TMs'!$S$47="disadvantage",INDEX(INDIRECT(Inputs!$I$1),19,47),IF('KS2-4 Subject TMs'!$S$47="sen",INDEX(INDIRECT(Inputs!$I$1),19,73),IF('KS2-4 Subject TMs'!$S$47="eal",INDEX(INDIRECT(Inputs!$I$1),19,99),"")))))))),"")</f>
        <v/>
      </c>
      <c r="M47" s="61" t="str">
        <f ca="1">IFERROR(IF(Inputs!$I$1="Please Select","",IF(Inputs!I$2="Please Select","",IF(Inputs!$I$2="Pupil Numbers",IF('KS2-4 Subject TMs'!$S$47="Gender",INDEX(INDIRECT(Inputs!$I$1),3,22),IF('KS2-4 Subject TMs'!$S$47="disadvantage",INDEX(INDIRECT(Inputs!$I$1),3,48),IF('KS2-4 Subject TMs'!$S$47="sen",INDEX(INDIRECT(Inputs!$I$1),3,74),IF('KS2-4 Subject TMs'!$S$47="eal",INDEX(INDIRECT(Inputs!$I$1),3,100),"")))),IF(Inputs!$I$2="Pupil Percentages",IF('KS2-4 Subject TMs'!$S$47="Gender",INDEX(INDIRECT(Inputs!$I$1),19,22),IF('KS2-4 Subject TMs'!$S$47="disadvantage",INDEX(INDIRECT(Inputs!$I$1),19,48),IF('KS2-4 Subject TMs'!$S$47="sen",INDEX(INDIRECT(Inputs!$I$1),19,74),IF('KS2-4 Subject TMs'!$S$47="eal",INDEX(INDIRECT(Inputs!$I$1),19,100),"")))))))),"")</f>
        <v/>
      </c>
      <c r="N47" s="69" t="str">
        <f ca="1">IF(Inputs!$I$1="Please Select","",IF(Inputs!I$2="Please Select","",IF(OR(Inputs!$I$1="Mathematics",Inputs!$I$1="English_Language",Inputs!$I$1="English_Literature",Inputs!$I$1="Art_Design",Inputs!$I$1="Biology",Inputs!$I$1="Business_Studies",Inputs!$I$1="Chemistry",Inputs!$I$1="Citizenship_Studies",Inputs!$I$1="Classical_Studies",Inputs!$I$1="Computer_Science",Inputs!$I$1="Dance",Inputs!$I$1="Economics",Inputs!$I$1="Engineering",Inputs!$I$1="Food_Preparation_and_Nutrition",Inputs!$I$1="French",Inputs!$I$1="Geography",Inputs!$I$1="German",Inputs!$I$1="History",Inputs!$I$1="Media_Studies",Inputs!$I$1="Music",Inputs!$I$1="Design_Technology",Inputs!$I$1="Other_Modern_Languages_9_to_1",Inputs!$I$1="Other_Sciences",Inputs!$I$1="Performing_Arts",Inputs!$I$1="Photography",Inputs!$I$1="Physical_Education",Inputs!$I$1="Physics",Inputs!$I$1="Psychology",Inputs!$I$1="Religious_Studies",Inputs!$I$1="Sociology",Inputs!$I$1="Spanish",Inputs!$I$1="Statistics"),IF(Inputs!$I$2="Pupil Numbers",IF('KS2-4 Subject TMs'!$S$47="Gender",INDEX(INDIRECT(Inputs!$I$1),3,23),IF('KS2-4 Subject TMs'!$S$47="disadvantage",INDEX(INDIRECT(Inputs!$I$1),3,49),IF('KS2-4 Subject TMs'!$S$47="sen",INDEX(INDIRECT(Inputs!$I$1),3,75),IF('KS2-4 Subject TMs'!$S$47="eal",INDEX(INDIRECT(Inputs!$I$1),3,101),"")))),IF(Inputs!$I$2="Pupil Percentages",IF('KS2-4 Subject TMs'!$S$47="Gender",INDEX(INDIRECT(Inputs!$I$1),19,23),IF('KS2-4 Subject TMs'!$S$47="disadvantage",INDEX(INDIRECT(Inputs!$I$1),19,49),IF('KS2-4 Subject TMs'!$S$47="sen",INDEX(INDIRECT(Inputs!$I$1),19,75),IF('KS2-4 Subject TMs'!$S$47="eal",INDEX(INDIRECT(Inputs!$I$1),19,101),"")))))),"")))</f>
        <v/>
      </c>
      <c r="S47" s="116" t="str">
        <f>VLOOKUP(Inputs!$R$1,Inputs!$S$1:$T$4,2)</f>
        <v>Gender</v>
      </c>
      <c r="T47" s="117"/>
      <c r="U47" s="118"/>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row>
    <row r="48" spans="2:99" ht="23.1" customHeight="1" x14ac:dyDescent="0.5">
      <c r="C48" s="120"/>
      <c r="D48" s="60" t="s">
        <v>3</v>
      </c>
      <c r="E48" s="61" t="str">
        <f ca="1">IFERROR(IF(Inputs!$I$1="Please Select","",IF(Inputs!I$2="Please Select","",IF(Inputs!$I$2="Pupil Numbers",IF('KS2-4 Subject TMs'!$S$47="Gender",INDEX(INDIRECT(Inputs!$I$1),4,14),IF('KS2-4 Subject TMs'!$S$47="disadvantage",INDEX(INDIRECT(Inputs!$I$1),4,40),IF('KS2-4 Subject TMs'!$S$47="sen",INDEX(INDIRECT(Inputs!$I$1),4,66),IF('KS2-4 Subject TMs'!$S$47="eal",INDEX(INDIRECT(Inputs!$I$1),4,92),"")))),IF(Inputs!$I$2="Pupil Percentages",IF('KS2-4 Subject TMs'!$S$47="Gender",INDEX(INDIRECT(Inputs!$I$1),20,14),IF('KS2-4 Subject TMs'!$S$47="disadvantage",INDEX(INDIRECT(Inputs!$I$1),20,40),IF('KS2-4 Subject TMs'!$S$47="sen",INDEX(INDIRECT(Inputs!$I$1),20,66),IF('KS2-4 Subject TMs'!$S$47="eal",INDEX(INDIRECT(Inputs!$I$1),20,92),"")))))))),"")</f>
        <v/>
      </c>
      <c r="F48" s="61" t="str">
        <f ca="1">IFERROR(IF(Inputs!$I$1="Please Select","",IF(Inputs!I$2="Please Select","",IF(Inputs!$I$2="Pupil Numbers",IF('KS2-4 Subject TMs'!$S$47="Gender",INDEX(INDIRECT(Inputs!$I$1),4,15),IF('KS2-4 Subject TMs'!$S$47="disadvantage",INDEX(INDIRECT(Inputs!$I$1),4,41),IF('KS2-4 Subject TMs'!$S$47="sen",INDEX(INDIRECT(Inputs!$I$1),4,67),IF('KS2-4 Subject TMs'!$S$47="eal",INDEX(INDIRECT(Inputs!$I$1),4,93),"")))),IF(Inputs!$I$2="Pupil Percentages",IF('KS2-4 Subject TMs'!$S$47="Gender",INDEX(INDIRECT(Inputs!$I$1),20,15),IF('KS2-4 Subject TMs'!$S$47="disadvantage",INDEX(INDIRECT(Inputs!$I$1),20,41),IF('KS2-4 Subject TMs'!$S$47="sen",INDEX(INDIRECT(Inputs!$I$1),20,67),IF('KS2-4 Subject TMs'!$S$47="eal",INDEX(INDIRECT(Inputs!$I$1),20,93),"")))))))),"")</f>
        <v/>
      </c>
      <c r="G48" s="61" t="str">
        <f ca="1">IFERROR(IF(Inputs!$I$1="Please Select","",IF(Inputs!I$2="Please Select","",IF(Inputs!$I$2="Pupil Numbers",IF('KS2-4 Subject TMs'!$S$47="Gender",INDEX(INDIRECT(Inputs!$I$1),4,16),IF('KS2-4 Subject TMs'!$S$47="disadvantage",INDEX(INDIRECT(Inputs!$I$1),4,42),IF('KS2-4 Subject TMs'!$S$47="sen",INDEX(INDIRECT(Inputs!$I$1),4,68),IF('KS2-4 Subject TMs'!$S$47="eal",INDEX(INDIRECT(Inputs!$I$1),4,94),"")))),IF(Inputs!$I$2="Pupil Percentages",IF('KS2-4 Subject TMs'!$S$47="Gender",INDEX(INDIRECT(Inputs!$I$1),20,16),IF('KS2-4 Subject TMs'!$S$47="disadvantage",INDEX(INDIRECT(Inputs!$I$1),20,42),IF('KS2-4 Subject TMs'!$S$47="sen",INDEX(INDIRECT(Inputs!$I$1),20,68),IF('KS2-4 Subject TMs'!$S$47="eal",INDEX(INDIRECT(Inputs!$I$1),20,94),"")))))))),"")</f>
        <v/>
      </c>
      <c r="H48" s="61" t="str">
        <f ca="1">IFERROR(IF(Inputs!$I$1="Please Select","",IF(Inputs!I$2="Please Select","",IF(Inputs!$I$2="Pupil Numbers",IF('KS2-4 Subject TMs'!$S$47="Gender",INDEX(INDIRECT(Inputs!$I$1),4,17),IF('KS2-4 Subject TMs'!$S$47="disadvantage",INDEX(INDIRECT(Inputs!$I$1),4,43),IF('KS2-4 Subject TMs'!$S$47="sen",INDEX(INDIRECT(Inputs!$I$1),4,69),IF('KS2-4 Subject TMs'!$S$47="eal",INDEX(INDIRECT(Inputs!$I$1),4,95),"")))),IF(Inputs!$I$2="Pupil Percentages",IF('KS2-4 Subject TMs'!$S$47="Gender",INDEX(INDIRECT(Inputs!$I$1),20,17),IF('KS2-4 Subject TMs'!$S$47="disadvantage",INDEX(INDIRECT(Inputs!$I$1),20,43),IF('KS2-4 Subject TMs'!$S$47="sen",INDEX(INDIRECT(Inputs!$I$1),20,69),IF('KS2-4 Subject TMs'!$S$47="eal",INDEX(INDIRECT(Inputs!$I$1),20,95),"")))))))),"")</f>
        <v/>
      </c>
      <c r="I48" s="61" t="str">
        <f ca="1">IFERROR(IF(Inputs!$I$1="Please Select","",IF(Inputs!I$2="Please Select","",IF(Inputs!$I$2="Pupil Numbers",IF('KS2-4 Subject TMs'!$S$47="Gender",INDEX(INDIRECT(Inputs!$I$1),4,18),IF('KS2-4 Subject TMs'!$S$47="disadvantage",INDEX(INDIRECT(Inputs!$I$1),4,44),IF('KS2-4 Subject TMs'!$S$47="sen",INDEX(INDIRECT(Inputs!$I$1),4,70),IF('KS2-4 Subject TMs'!$S$47="eal",INDEX(INDIRECT(Inputs!$I$1),4,96),"")))),IF(Inputs!$I$2="Pupil Percentages",IF('KS2-4 Subject TMs'!$S$47="Gender",INDEX(INDIRECT(Inputs!$I$1),20,18),IF('KS2-4 Subject TMs'!$S$47="disadvantage",INDEX(INDIRECT(Inputs!$I$1),20,44),IF('KS2-4 Subject TMs'!$S$47="sen",INDEX(INDIRECT(Inputs!$I$1),20,70),IF('KS2-4 Subject TMs'!$S$47="eal",INDEX(INDIRECT(Inputs!$I$1),20,96),"")))))))),"")</f>
        <v/>
      </c>
      <c r="J48" s="61" t="str">
        <f ca="1">IFERROR(IF(Inputs!$I$1="Please Select","",IF(Inputs!I$2="Please Select","",IF(Inputs!$I$2="Pupil Numbers",IF('KS2-4 Subject TMs'!$S$47="Gender",INDEX(INDIRECT(Inputs!$I$1),4,19),IF('KS2-4 Subject TMs'!$S$47="disadvantage",INDEX(INDIRECT(Inputs!$I$1),4,45),IF('KS2-4 Subject TMs'!$S$47="sen",INDEX(INDIRECT(Inputs!$I$1),4,71),IF('KS2-4 Subject TMs'!$S$47="eal",INDEX(INDIRECT(Inputs!$I$1),4,97),"")))),IF(Inputs!$I$2="Pupil Percentages",IF('KS2-4 Subject TMs'!$S$47="Gender",INDEX(INDIRECT(Inputs!$I$1),20,19),IF('KS2-4 Subject TMs'!$S$47="disadvantage",INDEX(INDIRECT(Inputs!$I$1),20,45),IF('KS2-4 Subject TMs'!$S$47="sen",INDEX(INDIRECT(Inputs!$I$1),20,71),IF('KS2-4 Subject TMs'!$S$47="eal",INDEX(INDIRECT(Inputs!$I$1),20,97),"")))))))),"")</f>
        <v/>
      </c>
      <c r="K48" s="61" t="str">
        <f ca="1">IFERROR(IF(Inputs!$I$1="Please Select","",IF(Inputs!I$2="Please Select","",IF(Inputs!$I$2="Pupil Numbers",IF('KS2-4 Subject TMs'!$S$47="Gender",INDEX(INDIRECT(Inputs!$I$1),4,20),IF('KS2-4 Subject TMs'!$S$47="disadvantage",INDEX(INDIRECT(Inputs!$I$1),4,46),IF('KS2-4 Subject TMs'!$S$47="sen",INDEX(INDIRECT(Inputs!$I$1),4,72),IF('KS2-4 Subject TMs'!$S$47="eal",INDEX(INDIRECT(Inputs!$I$1),4,98),"")))),IF(Inputs!$I$2="Pupil Percentages",IF('KS2-4 Subject TMs'!$S$47="Gender",INDEX(INDIRECT(Inputs!$I$1),20,20),IF('KS2-4 Subject TMs'!$S$47="disadvantage",INDEX(INDIRECT(Inputs!$I$1),20,46),IF('KS2-4 Subject TMs'!$S$47="sen",INDEX(INDIRECT(Inputs!$I$1),20,72),IF('KS2-4 Subject TMs'!$S$47="eal",INDEX(INDIRECT(Inputs!$I$1),20,98),"")))))))),"")</f>
        <v/>
      </c>
      <c r="L48" s="61" t="str">
        <f ca="1">IFERROR(IF(Inputs!$I$1="Please Select","",IF(Inputs!I$2="Please Select","",IF(Inputs!$I$2="Pupil Numbers",IF('KS2-4 Subject TMs'!$S$47="Gender",INDEX(INDIRECT(Inputs!$I$1),4,21),IF('KS2-4 Subject TMs'!$S$47="disadvantage",INDEX(INDIRECT(Inputs!$I$1),4,47),IF('KS2-4 Subject TMs'!$S$47="sen",INDEX(INDIRECT(Inputs!$I$1),4,73),IF('KS2-4 Subject TMs'!$S$47="eal",INDEX(INDIRECT(Inputs!$I$1),4,99),"")))),IF(Inputs!$I$2="Pupil Percentages",IF('KS2-4 Subject TMs'!$S$47="Gender",INDEX(INDIRECT(Inputs!$I$1),20,21),IF('KS2-4 Subject TMs'!$S$47="disadvantage",INDEX(INDIRECT(Inputs!$I$1),20,47),IF('KS2-4 Subject TMs'!$S$47="sen",INDEX(INDIRECT(Inputs!$I$1),20,73),IF('KS2-4 Subject TMs'!$S$47="eal",INDEX(INDIRECT(Inputs!$I$1),20,99),"")))))))),"")</f>
        <v/>
      </c>
      <c r="M48" s="61" t="str">
        <f ca="1">IFERROR(IF(Inputs!$I$1="Please Select","",IF(Inputs!I$2="Please Select","",IF(Inputs!$I$2="Pupil Numbers",IF('KS2-4 Subject TMs'!$S$47="Gender",INDEX(INDIRECT(Inputs!$I$1),4,22),IF('KS2-4 Subject TMs'!$S$47="disadvantage",INDEX(INDIRECT(Inputs!$I$1),4,48),IF('KS2-4 Subject TMs'!$S$47="sen",INDEX(INDIRECT(Inputs!$I$1),4,74),IF('KS2-4 Subject TMs'!$S$47="eal",INDEX(INDIRECT(Inputs!$I$1),4,100),"")))),IF(Inputs!$I$2="Pupil Percentages",IF('KS2-4 Subject TMs'!$S$47="Gender",INDEX(INDIRECT(Inputs!$I$1),20,22),IF('KS2-4 Subject TMs'!$S$47="disadvantage",INDEX(INDIRECT(Inputs!$I$1),20,48),IF('KS2-4 Subject TMs'!$S$47="sen",INDEX(INDIRECT(Inputs!$I$1),20,74),IF('KS2-4 Subject TMs'!$S$47="eal",INDEX(INDIRECT(Inputs!$I$1),20,100),"")))))))),"")</f>
        <v/>
      </c>
      <c r="N48" s="69" t="str">
        <f ca="1">IF(Inputs!$I$1="Please Select","",IF(Inputs!I$2="Please Select","",IF(OR(Inputs!$I$1="Mathematics",Inputs!$I$1="English_Language",Inputs!$I$1="English_Literature",Inputs!$I$1="Art_Design",Inputs!$I$1="Biology",Inputs!$I$1="Business_Studies",Inputs!$I$1="Chemistry",Inputs!$I$1="Citizenship_Studies",Inputs!$I$1="Classical_Studies",Inputs!$I$1="Computer_Science",Inputs!$I$1="Dance",Inputs!$I$1="Economics",Inputs!$I$1="Engineering",Inputs!$I$1="Food_Preparation_and_Nutrition",Inputs!$I$1="French",Inputs!$I$1="Geography",Inputs!$I$1="German",Inputs!$I$1="History",Inputs!$I$1="Media_Studies",Inputs!$I$1="Music",Inputs!$I$1="Design_Technology",Inputs!$I$1="Other_Modern_Languages_9_to_1",Inputs!$I$1="Other_Sciences",Inputs!$I$1="Performing_Arts",Inputs!$I$1="Photography",Inputs!$I$1="Physical_Education",Inputs!$I$1="Physics",Inputs!$I$1="Psychology",Inputs!$I$1="Religious_Studies",Inputs!$I$1="Sociology",Inputs!$I$1="Spanish",Inputs!$I$1="Statistics"),IF(Inputs!$I$2="Pupil Numbers",IF('KS2-4 Subject TMs'!$S$47="Gender",INDEX(INDIRECT(Inputs!$I$1),4,23),IF('KS2-4 Subject TMs'!$S$47="disadvantage",INDEX(INDIRECT(Inputs!$I$1),4,49),IF('KS2-4 Subject TMs'!$S$47="sen",INDEX(INDIRECT(Inputs!$I$1),4,75),IF('KS2-4 Subject TMs'!$S$47="eal",INDEX(INDIRECT(Inputs!$I$1),4,101),"")))),IF(Inputs!$I$2="Pupil Percentages",IF('KS2-4 Subject TMs'!$S$47="Gender",INDEX(INDIRECT(Inputs!$I$1),20,23),IF('KS2-4 Subject TMs'!$S$47="disadvantage",INDEX(INDIRECT(Inputs!$I$1),20,49),IF('KS2-4 Subject TMs'!$S$47="sen",INDEX(INDIRECT(Inputs!$I$1),20,75),IF('KS2-4 Subject TMs'!$S$47="eal",INDEX(INDIRECT(Inputs!$I$1),20,101),"")))))),"")))</f>
        <v/>
      </c>
      <c r="P48" s="20"/>
      <c r="Q48" s="20"/>
      <c r="R48" s="20"/>
      <c r="S48" s="20"/>
      <c r="T48" s="20"/>
      <c r="U48" s="20"/>
      <c r="V48" s="20"/>
      <c r="W48" s="20"/>
      <c r="X48" s="20"/>
      <c r="Y48" s="20"/>
      <c r="Z48" s="20"/>
      <c r="AA48" s="20"/>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row>
    <row r="49" spans="3:56" ht="23.1" customHeight="1" x14ac:dyDescent="0.5">
      <c r="C49" s="120"/>
      <c r="D49" s="60" t="s">
        <v>4</v>
      </c>
      <c r="E49" s="61" t="str">
        <f ca="1">IFERROR(IF(Inputs!$I$1="Please Select","",IF(Inputs!I$2="Please Select","",IF(Inputs!$I$2="Pupil Numbers",IF('KS2-4 Subject TMs'!$S$47="Gender",INDEX(INDIRECT(Inputs!$I$1),5,14),IF('KS2-4 Subject TMs'!$S$47="disadvantage",INDEX(INDIRECT(Inputs!$I$1),5,40),IF('KS2-4 Subject TMs'!$S$47="sen",INDEX(INDIRECT(Inputs!$I$1),5,66),IF('KS2-4 Subject TMs'!$S$47="eal",INDEX(INDIRECT(Inputs!$I$1),5,92),"")))),IF(Inputs!$I$2="Pupil Percentages",IF('KS2-4 Subject TMs'!$S$47="Gender",INDEX(INDIRECT(Inputs!$I$1),21,14),IF('KS2-4 Subject TMs'!$S$47="disadvantage",INDEX(INDIRECT(Inputs!$I$1),21,40),IF('KS2-4 Subject TMs'!$S$47="sen",INDEX(INDIRECT(Inputs!$I$1),21,66),IF('KS2-4 Subject TMs'!$S$47="eal",INDEX(INDIRECT(Inputs!$I$1),21,92),"")))))))),"")</f>
        <v/>
      </c>
      <c r="F49" s="61" t="str">
        <f ca="1">IFERROR(IF(Inputs!$I$1="Please Select","",IF(Inputs!I$2="Please Select","",IF(Inputs!$I$2="Pupil Numbers",IF('KS2-4 Subject TMs'!$S$47="Gender",INDEX(INDIRECT(Inputs!$I$1),5,15),IF('KS2-4 Subject TMs'!$S$47="disadvantage",INDEX(INDIRECT(Inputs!$I$1),5,41),IF('KS2-4 Subject TMs'!$S$47="sen",INDEX(INDIRECT(Inputs!$I$1),5,67),IF('KS2-4 Subject TMs'!$S$47="eal",INDEX(INDIRECT(Inputs!$I$1),5,93),"")))),IF(Inputs!$I$2="Pupil Percentages",IF('KS2-4 Subject TMs'!$S$47="Gender",INDEX(INDIRECT(Inputs!$I$1),21,15),IF('KS2-4 Subject TMs'!$S$47="disadvantage",INDEX(INDIRECT(Inputs!$I$1),21,41),IF('KS2-4 Subject TMs'!$S$47="sen",INDEX(INDIRECT(Inputs!$I$1),21,67),IF('KS2-4 Subject TMs'!$S$47="eal",INDEX(INDIRECT(Inputs!$I$1),21,93),"")))))))),"")</f>
        <v/>
      </c>
      <c r="G49" s="61" t="str">
        <f ca="1">IFERROR(IF(Inputs!$I$1="Please Select","",IF(Inputs!I$2="Please Select","",IF(Inputs!$I$2="Pupil Numbers",IF('KS2-4 Subject TMs'!$S$47="Gender",INDEX(INDIRECT(Inputs!$I$1),5,16),IF('KS2-4 Subject TMs'!$S$47="disadvantage",INDEX(INDIRECT(Inputs!$I$1),5,42),IF('KS2-4 Subject TMs'!$S$47="sen",INDEX(INDIRECT(Inputs!$I$1),5,68),IF('KS2-4 Subject TMs'!$S$47="eal",INDEX(INDIRECT(Inputs!$I$1),5,94),"")))),IF(Inputs!$I$2="Pupil Percentages",IF('KS2-4 Subject TMs'!$S$47="Gender",INDEX(INDIRECT(Inputs!$I$1),21,16),IF('KS2-4 Subject TMs'!$S$47="disadvantage",INDEX(INDIRECT(Inputs!$I$1),21,42),IF('KS2-4 Subject TMs'!$S$47="sen",INDEX(INDIRECT(Inputs!$I$1),21,68),IF('KS2-4 Subject TMs'!$S$47="eal",INDEX(INDIRECT(Inputs!$I$1),21,94),"")))))))),"")</f>
        <v/>
      </c>
      <c r="H49" s="61" t="str">
        <f ca="1">IFERROR(IF(Inputs!$I$1="Please Select","",IF(Inputs!I$2="Please Select","",IF(Inputs!$I$2="Pupil Numbers",IF('KS2-4 Subject TMs'!$S$47="Gender",INDEX(INDIRECT(Inputs!$I$1),5,17),IF('KS2-4 Subject TMs'!$S$47="disadvantage",INDEX(INDIRECT(Inputs!$I$1),5,43),IF('KS2-4 Subject TMs'!$S$47="sen",INDEX(INDIRECT(Inputs!$I$1),5,69),IF('KS2-4 Subject TMs'!$S$47="eal",INDEX(INDIRECT(Inputs!$I$1),5,95),"")))),IF(Inputs!$I$2="Pupil Percentages",IF('KS2-4 Subject TMs'!$S$47="Gender",INDEX(INDIRECT(Inputs!$I$1),21,17),IF('KS2-4 Subject TMs'!$S$47="disadvantage",INDEX(INDIRECT(Inputs!$I$1),21,43),IF('KS2-4 Subject TMs'!$S$47="sen",INDEX(INDIRECT(Inputs!$I$1),21,69),IF('KS2-4 Subject TMs'!$S$47="eal",INDEX(INDIRECT(Inputs!$I$1),21,95),"")))))))),"")</f>
        <v/>
      </c>
      <c r="I49" s="61" t="str">
        <f ca="1">IFERROR(IF(Inputs!$I$1="Please Select","",IF(Inputs!I$2="Please Select","",IF(Inputs!$I$2="Pupil Numbers",IF('KS2-4 Subject TMs'!$S$47="Gender",INDEX(INDIRECT(Inputs!$I$1),5,18),IF('KS2-4 Subject TMs'!$S$47="disadvantage",INDEX(INDIRECT(Inputs!$I$1),5,44),IF('KS2-4 Subject TMs'!$S$47="sen",INDEX(INDIRECT(Inputs!$I$1),5,70),IF('KS2-4 Subject TMs'!$S$47="eal",INDEX(INDIRECT(Inputs!$I$1),5,96),"")))),IF(Inputs!$I$2="Pupil Percentages",IF('KS2-4 Subject TMs'!$S$47="Gender",INDEX(INDIRECT(Inputs!$I$1),21,18),IF('KS2-4 Subject TMs'!$S$47="disadvantage",INDEX(INDIRECT(Inputs!$I$1),21,44),IF('KS2-4 Subject TMs'!$S$47="sen",INDEX(INDIRECT(Inputs!$I$1),21,70),IF('KS2-4 Subject TMs'!$S$47="eal",INDEX(INDIRECT(Inputs!$I$1),21,96),"")))))))),"")</f>
        <v/>
      </c>
      <c r="J49" s="61" t="str">
        <f ca="1">IFERROR(IF(Inputs!$I$1="Please Select","",IF(Inputs!I$2="Please Select","",IF(Inputs!$I$2="Pupil Numbers",IF('KS2-4 Subject TMs'!$S$47="Gender",INDEX(INDIRECT(Inputs!$I$1),5,19),IF('KS2-4 Subject TMs'!$S$47="disadvantage",INDEX(INDIRECT(Inputs!$I$1),5,45),IF('KS2-4 Subject TMs'!$S$47="sen",INDEX(INDIRECT(Inputs!$I$1),5,71),IF('KS2-4 Subject TMs'!$S$47="eal",INDEX(INDIRECT(Inputs!$I$1),5,97),"")))),IF(Inputs!$I$2="Pupil Percentages",IF('KS2-4 Subject TMs'!$S$47="Gender",INDEX(INDIRECT(Inputs!$I$1),21,19),IF('KS2-4 Subject TMs'!$S$47="disadvantage",INDEX(INDIRECT(Inputs!$I$1),21,45),IF('KS2-4 Subject TMs'!$S$47="sen",INDEX(INDIRECT(Inputs!$I$1),21,71),IF('KS2-4 Subject TMs'!$S$47="eal",INDEX(INDIRECT(Inputs!$I$1),21,97),"")))))))),"")</f>
        <v/>
      </c>
      <c r="K49" s="61" t="str">
        <f ca="1">IFERROR(IF(Inputs!$I$1="Please Select","",IF(Inputs!I$2="Please Select","",IF(Inputs!$I$2="Pupil Numbers",IF('KS2-4 Subject TMs'!$S$47="Gender",INDEX(INDIRECT(Inputs!$I$1),5,20),IF('KS2-4 Subject TMs'!$S$47="disadvantage",INDEX(INDIRECT(Inputs!$I$1),5,46),IF('KS2-4 Subject TMs'!$S$47="sen",INDEX(INDIRECT(Inputs!$I$1),5,72),IF('KS2-4 Subject TMs'!$S$47="eal",INDEX(INDIRECT(Inputs!$I$1),5,98),"")))),IF(Inputs!$I$2="Pupil Percentages",IF('KS2-4 Subject TMs'!$S$47="Gender",INDEX(INDIRECT(Inputs!$I$1),21,20),IF('KS2-4 Subject TMs'!$S$47="disadvantage",INDEX(INDIRECT(Inputs!$I$1),21,46),IF('KS2-4 Subject TMs'!$S$47="sen",INDEX(INDIRECT(Inputs!$I$1),21,72),IF('KS2-4 Subject TMs'!$S$47="eal",INDEX(INDIRECT(Inputs!$I$1),21,98),"")))))))),"")</f>
        <v/>
      </c>
      <c r="L49" s="61" t="str">
        <f ca="1">IFERROR(IF(Inputs!$I$1="Please Select","",IF(Inputs!I$2="Please Select","",IF(Inputs!$I$2="Pupil Numbers",IF('KS2-4 Subject TMs'!$S$47="Gender",INDEX(INDIRECT(Inputs!$I$1),5,21),IF('KS2-4 Subject TMs'!$S$47="disadvantage",INDEX(INDIRECT(Inputs!$I$1),5,47),IF('KS2-4 Subject TMs'!$S$47="sen",INDEX(INDIRECT(Inputs!$I$1),5,73),IF('KS2-4 Subject TMs'!$S$47="eal",INDEX(INDIRECT(Inputs!$I$1),5,99),"")))),IF(Inputs!$I$2="Pupil Percentages",IF('KS2-4 Subject TMs'!$S$47="Gender",INDEX(INDIRECT(Inputs!$I$1),21,21),IF('KS2-4 Subject TMs'!$S$47="disadvantage",INDEX(INDIRECT(Inputs!$I$1),21,47),IF('KS2-4 Subject TMs'!$S$47="sen",INDEX(INDIRECT(Inputs!$I$1),21,73),IF('KS2-4 Subject TMs'!$S$47="eal",INDEX(INDIRECT(Inputs!$I$1),21,99),"")))))))),"")</f>
        <v/>
      </c>
      <c r="M49" s="61" t="str">
        <f ca="1">IFERROR(IF(Inputs!$I$1="Please Select","",IF(Inputs!I$2="Please Select","",IF(Inputs!$I$2="Pupil Numbers",IF('KS2-4 Subject TMs'!$S$47="Gender",INDEX(INDIRECT(Inputs!$I$1),5,22),IF('KS2-4 Subject TMs'!$S$47="disadvantage",INDEX(INDIRECT(Inputs!$I$1),5,48),IF('KS2-4 Subject TMs'!$S$47="sen",INDEX(INDIRECT(Inputs!$I$1),5,74),IF('KS2-4 Subject TMs'!$S$47="eal",INDEX(INDIRECT(Inputs!$I$1),5,100),"")))),IF(Inputs!$I$2="Pupil Percentages",IF('KS2-4 Subject TMs'!$S$47="Gender",INDEX(INDIRECT(Inputs!$I$1),21,22),IF('KS2-4 Subject TMs'!$S$47="disadvantage",INDEX(INDIRECT(Inputs!$I$1),21,48),IF('KS2-4 Subject TMs'!$S$47="sen",INDEX(INDIRECT(Inputs!$I$1),21,74),IF('KS2-4 Subject TMs'!$S$47="eal",INDEX(INDIRECT(Inputs!$I$1),21,100),"")))))))),"")</f>
        <v/>
      </c>
      <c r="N49" s="69" t="str">
        <f ca="1">IF(Inputs!$I$1="Please Select","",IF(Inputs!I$2="Please Select","",IF(OR(Inputs!$I$1="Mathematics",Inputs!$I$1="English_Language",Inputs!$I$1="English_Literature",Inputs!$I$1="Art_Design",Inputs!$I$1="Biology",Inputs!$I$1="Business_Studies",Inputs!$I$1="Chemistry",Inputs!$I$1="Citizenship_Studies",Inputs!$I$1="Classical_Studies",Inputs!$I$1="Computer_Science",Inputs!$I$1="Dance",Inputs!$I$1="Economics",Inputs!$I$1="Engineering",Inputs!$I$1="Food_Preparation_and_Nutrition",Inputs!$I$1="French",Inputs!$I$1="Geography",Inputs!$I$1="German",Inputs!$I$1="History",Inputs!$I$1="Media_Studies",Inputs!$I$1="Music",Inputs!$I$1="Design_Technology",Inputs!$I$1="Other_Modern_Languages_9_to_1",Inputs!$I$1="Other_Sciences",Inputs!$I$1="Performing_Arts",Inputs!$I$1="Photography",Inputs!$I$1="Physical_Education",Inputs!$I$1="Physics",Inputs!$I$1="Psychology",Inputs!$I$1="Religious_Studies",Inputs!$I$1="Sociology",Inputs!$I$1="Spanish",Inputs!$I$1="Statistics"),IF(Inputs!$I$2="Pupil Numbers",IF('KS2-4 Subject TMs'!$S$47="Gender",INDEX(INDIRECT(Inputs!$I$1),5,23),IF('KS2-4 Subject TMs'!$S$47="disadvantage",INDEX(INDIRECT(Inputs!$I$1),5,49),IF('KS2-4 Subject TMs'!$S$47="sen",INDEX(INDIRECT(Inputs!$I$1),5,75),IF('KS2-4 Subject TMs'!$S$47="eal",INDEX(INDIRECT(Inputs!$I$1),5,101),"")))),IF(Inputs!$I$2="Pupil Percentages",IF('KS2-4 Subject TMs'!$S$47="Gender",INDEX(INDIRECT(Inputs!$I$1),21,23),IF('KS2-4 Subject TMs'!$S$47="disadvantage",INDEX(INDIRECT(Inputs!$I$1),21,49),IF('KS2-4 Subject TMs'!$S$47="sen",INDEX(INDIRECT(Inputs!$I$1),21,75),IF('KS2-4 Subject TMs'!$S$47="eal",INDEX(INDIRECT(Inputs!$I$1),21,101),"")))))),"")))</f>
        <v/>
      </c>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row>
    <row r="50" spans="3:56" ht="23.1" customHeight="1" x14ac:dyDescent="0.5">
      <c r="C50" s="120"/>
      <c r="D50" s="60" t="s">
        <v>5</v>
      </c>
      <c r="E50" s="61" t="str">
        <f ca="1">IFERROR(IF(Inputs!$I$1="Please Select","",IF(Inputs!I$2="Please Select","",IF(Inputs!$I$2="Pupil Numbers",IF('KS2-4 Subject TMs'!$S$47="Gender",INDEX(INDIRECT(Inputs!$I$1),6,14),IF('KS2-4 Subject TMs'!$S$47="disadvantage",INDEX(INDIRECT(Inputs!$I$1),6,40),IF('KS2-4 Subject TMs'!$S$47="sen",INDEX(INDIRECT(Inputs!$I$1),6,66),IF('KS2-4 Subject TMs'!$S$47="eal",INDEX(INDIRECT(Inputs!$I$1),6,92),"")))),IF(Inputs!$I$2="Pupil Percentages",IF('KS2-4 Subject TMs'!$S$47="Gender",INDEX(INDIRECT(Inputs!$I$1),22,14),IF('KS2-4 Subject TMs'!$S$47="disadvantage",INDEX(INDIRECT(Inputs!$I$1),22,40),IF('KS2-4 Subject TMs'!$S$47="sen",INDEX(INDIRECT(Inputs!$I$1),22,66),IF('KS2-4 Subject TMs'!$S$47="eal",INDEX(INDIRECT(Inputs!$I$1),22,92),"")))))))),"")</f>
        <v/>
      </c>
      <c r="F50" s="61" t="str">
        <f ca="1">IFERROR(IF(Inputs!$I$1="Please Select","",IF(Inputs!I$2="Please Select","",IF(Inputs!$I$2="Pupil Numbers",IF('KS2-4 Subject TMs'!$S$47="Gender",INDEX(INDIRECT(Inputs!$I$1),6,15),IF('KS2-4 Subject TMs'!$S$47="disadvantage",INDEX(INDIRECT(Inputs!$I$1),6,41),IF('KS2-4 Subject TMs'!$S$47="sen",INDEX(INDIRECT(Inputs!$I$1),6,67),IF('KS2-4 Subject TMs'!$S$47="eal",INDEX(INDIRECT(Inputs!$I$1),6,93),"")))),IF(Inputs!$I$2="Pupil Percentages",IF('KS2-4 Subject TMs'!$S$47="Gender",INDEX(INDIRECT(Inputs!$I$1),22,15),IF('KS2-4 Subject TMs'!$S$47="disadvantage",INDEX(INDIRECT(Inputs!$I$1),22,41),IF('KS2-4 Subject TMs'!$S$47="sen",INDEX(INDIRECT(Inputs!$I$1),22,67),IF('KS2-4 Subject TMs'!$S$47="eal",INDEX(INDIRECT(Inputs!$I$1),22,93),"")))))))),"")</f>
        <v/>
      </c>
      <c r="G50" s="61" t="str">
        <f ca="1">IFERROR(IF(Inputs!$I$1="Please Select","",IF(Inputs!I$2="Please Select","",IF(Inputs!$I$2="Pupil Numbers",IF('KS2-4 Subject TMs'!$S$47="Gender",INDEX(INDIRECT(Inputs!$I$1),6,16),IF('KS2-4 Subject TMs'!$S$47="disadvantage",INDEX(INDIRECT(Inputs!$I$1),6,42),IF('KS2-4 Subject TMs'!$S$47="sen",INDEX(INDIRECT(Inputs!$I$1),6,68),IF('KS2-4 Subject TMs'!$S$47="eal",INDEX(INDIRECT(Inputs!$I$1),6,94),"")))),IF(Inputs!$I$2="Pupil Percentages",IF('KS2-4 Subject TMs'!$S$47="Gender",INDEX(INDIRECT(Inputs!$I$1),22,16),IF('KS2-4 Subject TMs'!$S$47="disadvantage",INDEX(INDIRECT(Inputs!$I$1),22,42),IF('KS2-4 Subject TMs'!$S$47="sen",INDEX(INDIRECT(Inputs!$I$1),22,68),IF('KS2-4 Subject TMs'!$S$47="eal",INDEX(INDIRECT(Inputs!$I$1),22,94),"")))))))),"")</f>
        <v/>
      </c>
      <c r="H50" s="61" t="str">
        <f ca="1">IFERROR(IF(Inputs!$I$1="Please Select","",IF(Inputs!I$2="Please Select","",IF(Inputs!$I$2="Pupil Numbers",IF('KS2-4 Subject TMs'!$S$47="Gender",INDEX(INDIRECT(Inputs!$I$1),6,17),IF('KS2-4 Subject TMs'!$S$47="disadvantage",INDEX(INDIRECT(Inputs!$I$1),6,43),IF('KS2-4 Subject TMs'!$S$47="sen",INDEX(INDIRECT(Inputs!$I$1),6,69),IF('KS2-4 Subject TMs'!$S$47="eal",INDEX(INDIRECT(Inputs!$I$1),6,95),"")))),IF(Inputs!$I$2="Pupil Percentages",IF('KS2-4 Subject TMs'!$S$47="Gender",INDEX(INDIRECT(Inputs!$I$1),22,17),IF('KS2-4 Subject TMs'!$S$47="disadvantage",INDEX(INDIRECT(Inputs!$I$1),22,43),IF('KS2-4 Subject TMs'!$S$47="sen",INDEX(INDIRECT(Inputs!$I$1),22,69),IF('KS2-4 Subject TMs'!$S$47="eal",INDEX(INDIRECT(Inputs!$I$1),22,95),"")))))))),"")</f>
        <v/>
      </c>
      <c r="I50" s="61" t="str">
        <f ca="1">IFERROR(IF(Inputs!$I$1="Please Select","",IF(Inputs!I$2="Please Select","",IF(Inputs!$I$2="Pupil Numbers",IF('KS2-4 Subject TMs'!$S$47="Gender",INDEX(INDIRECT(Inputs!$I$1),6,18),IF('KS2-4 Subject TMs'!$S$47="disadvantage",INDEX(INDIRECT(Inputs!$I$1),6,44),IF('KS2-4 Subject TMs'!$S$47="sen",INDEX(INDIRECT(Inputs!$I$1),6,70),IF('KS2-4 Subject TMs'!$S$47="eal",INDEX(INDIRECT(Inputs!$I$1),6,96),"")))),IF(Inputs!$I$2="Pupil Percentages",IF('KS2-4 Subject TMs'!$S$47="Gender",INDEX(INDIRECT(Inputs!$I$1),22,18),IF('KS2-4 Subject TMs'!$S$47="disadvantage",INDEX(INDIRECT(Inputs!$I$1),22,44),IF('KS2-4 Subject TMs'!$S$47="sen",INDEX(INDIRECT(Inputs!$I$1),22,70),IF('KS2-4 Subject TMs'!$S$47="eal",INDEX(INDIRECT(Inputs!$I$1),22,96),"")))))))),"")</f>
        <v/>
      </c>
      <c r="J50" s="61" t="str">
        <f ca="1">IFERROR(IF(Inputs!$I$1="Please Select","",IF(Inputs!I$2="Please Select","",IF(Inputs!$I$2="Pupil Numbers",IF('KS2-4 Subject TMs'!$S$47="Gender",INDEX(INDIRECT(Inputs!$I$1),6,19),IF('KS2-4 Subject TMs'!$S$47="disadvantage",INDEX(INDIRECT(Inputs!$I$1),6,45),IF('KS2-4 Subject TMs'!$S$47="sen",INDEX(INDIRECT(Inputs!$I$1),6,71),IF('KS2-4 Subject TMs'!$S$47="eal",INDEX(INDIRECT(Inputs!$I$1),6,97),"")))),IF(Inputs!$I$2="Pupil Percentages",IF('KS2-4 Subject TMs'!$S$47="Gender",INDEX(INDIRECT(Inputs!$I$1),22,19),IF('KS2-4 Subject TMs'!$S$47="disadvantage",INDEX(INDIRECT(Inputs!$I$1),22,45),IF('KS2-4 Subject TMs'!$S$47="sen",INDEX(INDIRECT(Inputs!$I$1),22,71),IF('KS2-4 Subject TMs'!$S$47="eal",INDEX(INDIRECT(Inputs!$I$1),22,97),"")))))))),"")</f>
        <v/>
      </c>
      <c r="K50" s="61" t="str">
        <f ca="1">IFERROR(IF(Inputs!$I$1="Please Select","",IF(Inputs!I$2="Please Select","",IF(Inputs!$I$2="Pupil Numbers",IF('KS2-4 Subject TMs'!$S$47="Gender",INDEX(INDIRECT(Inputs!$I$1),6,20),IF('KS2-4 Subject TMs'!$S$47="disadvantage",INDEX(INDIRECT(Inputs!$I$1),6,46),IF('KS2-4 Subject TMs'!$S$47="sen",INDEX(INDIRECT(Inputs!$I$1),6,72),IF('KS2-4 Subject TMs'!$S$47="eal",INDEX(INDIRECT(Inputs!$I$1),6,98),"")))),IF(Inputs!$I$2="Pupil Percentages",IF('KS2-4 Subject TMs'!$S$47="Gender",INDEX(INDIRECT(Inputs!$I$1),22,20),IF('KS2-4 Subject TMs'!$S$47="disadvantage",INDEX(INDIRECT(Inputs!$I$1),22,46),IF('KS2-4 Subject TMs'!$S$47="sen",INDEX(INDIRECT(Inputs!$I$1),22,72),IF('KS2-4 Subject TMs'!$S$47="eal",INDEX(INDIRECT(Inputs!$I$1),22,98),"")))))))),"")</f>
        <v/>
      </c>
      <c r="L50" s="61" t="str">
        <f ca="1">IFERROR(IF(Inputs!$I$1="Please Select","",IF(Inputs!I$2="Please Select","",IF(Inputs!$I$2="Pupil Numbers",IF('KS2-4 Subject TMs'!$S$47="Gender",INDEX(INDIRECT(Inputs!$I$1),6,21),IF('KS2-4 Subject TMs'!$S$47="disadvantage",INDEX(INDIRECT(Inputs!$I$1),6,47),IF('KS2-4 Subject TMs'!$S$47="sen",INDEX(INDIRECT(Inputs!$I$1),6,73),IF('KS2-4 Subject TMs'!$S$47="eal",INDEX(INDIRECT(Inputs!$I$1),6,99),"")))),IF(Inputs!$I$2="Pupil Percentages",IF('KS2-4 Subject TMs'!$S$47="Gender",INDEX(INDIRECT(Inputs!$I$1),22,21),IF('KS2-4 Subject TMs'!$S$47="disadvantage",INDEX(INDIRECT(Inputs!$I$1),22,47),IF('KS2-4 Subject TMs'!$S$47="sen",INDEX(INDIRECT(Inputs!$I$1),22,73),IF('KS2-4 Subject TMs'!$S$47="eal",INDEX(INDIRECT(Inputs!$I$1),22,99),"")))))))),"")</f>
        <v/>
      </c>
      <c r="M50" s="61" t="str">
        <f ca="1">IFERROR(IF(Inputs!$I$1="Please Select","",IF(Inputs!I$2="Please Select","",IF(Inputs!$I$2="Pupil Numbers",IF('KS2-4 Subject TMs'!$S$47="Gender",INDEX(INDIRECT(Inputs!$I$1),6,22),IF('KS2-4 Subject TMs'!$S$47="disadvantage",INDEX(INDIRECT(Inputs!$I$1),6,48),IF('KS2-4 Subject TMs'!$S$47="sen",INDEX(INDIRECT(Inputs!$I$1),6,74),IF('KS2-4 Subject TMs'!$S$47="eal",INDEX(INDIRECT(Inputs!$I$1),6,100),"")))),IF(Inputs!$I$2="Pupil Percentages",IF('KS2-4 Subject TMs'!$S$47="Gender",INDEX(INDIRECT(Inputs!$I$1),22,22),IF('KS2-4 Subject TMs'!$S$47="disadvantage",INDEX(INDIRECT(Inputs!$I$1),22,48),IF('KS2-4 Subject TMs'!$S$47="sen",INDEX(INDIRECT(Inputs!$I$1),22,74),IF('KS2-4 Subject TMs'!$S$47="eal",INDEX(INDIRECT(Inputs!$I$1),22,100),"")))))))),"")</f>
        <v/>
      </c>
      <c r="N50" s="69" t="str">
        <f ca="1">IF(Inputs!$I$1="Please Select","",IF(Inputs!I$2="Please Select","",IF(OR(Inputs!$I$1="Mathematics",Inputs!$I$1="English_Language",Inputs!$I$1="English_Literature",Inputs!$I$1="Art_Design",Inputs!$I$1="Biology",Inputs!$I$1="Business_Studies",Inputs!$I$1="Chemistry",Inputs!$I$1="Citizenship_Studies",Inputs!$I$1="Classical_Studies",Inputs!$I$1="Computer_Science",Inputs!$I$1="Dance",Inputs!$I$1="Economics",Inputs!$I$1="Engineering",Inputs!$I$1="Food_Preparation_and_Nutrition",Inputs!$I$1="French",Inputs!$I$1="Geography",Inputs!$I$1="German",Inputs!$I$1="History",Inputs!$I$1="Media_Studies",Inputs!$I$1="Music",Inputs!$I$1="Design_Technology",Inputs!$I$1="Other_Modern_Languages_9_to_1",Inputs!$I$1="Other_Sciences",Inputs!$I$1="Performing_Arts",Inputs!$I$1="Photography",Inputs!$I$1="Physical_Education",Inputs!$I$1="Physics",Inputs!$I$1="Psychology",Inputs!$I$1="Religious_Studies",Inputs!$I$1="Sociology",Inputs!$I$1="Spanish",Inputs!$I$1="Statistics"),IF(Inputs!$I$2="Pupil Numbers",IF('KS2-4 Subject TMs'!$S$47="Gender",INDEX(INDIRECT(Inputs!$I$1),6,23),IF('KS2-4 Subject TMs'!$S$47="disadvantage",INDEX(INDIRECT(Inputs!$I$1),6,49),IF('KS2-4 Subject TMs'!$S$47="sen",INDEX(INDIRECT(Inputs!$I$1),6,75),IF('KS2-4 Subject TMs'!$S$47="eal",INDEX(INDIRECT(Inputs!$I$1),6,101),"")))),IF(Inputs!$I$2="Pupil Percentages",IF('KS2-4 Subject TMs'!$S$47="Gender",INDEX(INDIRECT(Inputs!$I$1),22,23),IF('KS2-4 Subject TMs'!$S$47="disadvantage",INDEX(INDIRECT(Inputs!$I$1),22,49),IF('KS2-4 Subject TMs'!$S$47="sen",INDEX(INDIRECT(Inputs!$I$1),22,75),IF('KS2-4 Subject TMs'!$S$47="eal",INDEX(INDIRECT(Inputs!$I$1),22,101),"")))))),"")))</f>
        <v/>
      </c>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row>
    <row r="51" spans="3:56" ht="23.1" customHeight="1" x14ac:dyDescent="0.5">
      <c r="C51" s="120"/>
      <c r="D51" s="60" t="s">
        <v>6</v>
      </c>
      <c r="E51" s="61" t="str">
        <f ca="1">IFERROR(IF(Inputs!$I$1="Please Select","",IF(Inputs!I$2="Please Select","",IF(Inputs!$I$2="Pupil Numbers",IF('KS2-4 Subject TMs'!$S$47="Gender",INDEX(INDIRECT(Inputs!$I$1),7,14),IF('KS2-4 Subject TMs'!$S$47="disadvantage",INDEX(INDIRECT(Inputs!$I$1),7,40),IF('KS2-4 Subject TMs'!$S$47="sen",INDEX(INDIRECT(Inputs!$I$1),7,66),IF('KS2-4 Subject TMs'!$S$47="eal",INDEX(INDIRECT(Inputs!$I$1),7,92),"")))),IF(Inputs!$I$2="Pupil Percentages",IF('KS2-4 Subject TMs'!$S$47="Gender",INDEX(INDIRECT(Inputs!$I$1),23,14),IF('KS2-4 Subject TMs'!$S$47="disadvantage",INDEX(INDIRECT(Inputs!$I$1),23,40),IF('KS2-4 Subject TMs'!$S$47="sen",INDEX(INDIRECT(Inputs!$I$1),23,66),IF('KS2-4 Subject TMs'!$S$47="eal",INDEX(INDIRECT(Inputs!$I$1),23,92),"")))))))),"")</f>
        <v/>
      </c>
      <c r="F51" s="61" t="str">
        <f ca="1">IFERROR(IF(Inputs!$I$1="Please Select","",IF(Inputs!I$2="Please Select","",IF(Inputs!$I$2="Pupil Numbers",IF('KS2-4 Subject TMs'!$S$47="Gender",INDEX(INDIRECT(Inputs!$I$1),7,15),IF('KS2-4 Subject TMs'!$S$47="disadvantage",INDEX(INDIRECT(Inputs!$I$1),7,41),IF('KS2-4 Subject TMs'!$S$47="sen",INDEX(INDIRECT(Inputs!$I$1),7,67),IF('KS2-4 Subject TMs'!$S$47="eal",INDEX(INDIRECT(Inputs!$I$1),7,93),"")))),IF(Inputs!$I$2="Pupil Percentages",IF('KS2-4 Subject TMs'!$S$47="Gender",INDEX(INDIRECT(Inputs!$I$1),23,15),IF('KS2-4 Subject TMs'!$S$47="disadvantage",INDEX(INDIRECT(Inputs!$I$1),23,41),IF('KS2-4 Subject TMs'!$S$47="sen",INDEX(INDIRECT(Inputs!$I$1),23,67),IF('KS2-4 Subject TMs'!$S$47="eal",INDEX(INDIRECT(Inputs!$I$1),23,93),"")))))))),"")</f>
        <v/>
      </c>
      <c r="G51" s="61" t="str">
        <f ca="1">IFERROR(IF(Inputs!$I$1="Please Select","",IF(Inputs!I$2="Please Select","",IF(Inputs!$I$2="Pupil Numbers",IF('KS2-4 Subject TMs'!$S$47="Gender",INDEX(INDIRECT(Inputs!$I$1),7,16),IF('KS2-4 Subject TMs'!$S$47="disadvantage",INDEX(INDIRECT(Inputs!$I$1),7,42),IF('KS2-4 Subject TMs'!$S$47="sen",INDEX(INDIRECT(Inputs!$I$1),7,68),IF('KS2-4 Subject TMs'!$S$47="eal",INDEX(INDIRECT(Inputs!$I$1),7,94),"")))),IF(Inputs!$I$2="Pupil Percentages",IF('KS2-4 Subject TMs'!$S$47="Gender",INDEX(INDIRECT(Inputs!$I$1),23,16),IF('KS2-4 Subject TMs'!$S$47="disadvantage",INDEX(INDIRECT(Inputs!$I$1),23,42),IF('KS2-4 Subject TMs'!$S$47="sen",INDEX(INDIRECT(Inputs!$I$1),23,68),IF('KS2-4 Subject TMs'!$S$47="eal",INDEX(INDIRECT(Inputs!$I$1),23,94),"")))))))),"")</f>
        <v/>
      </c>
      <c r="H51" s="61" t="str">
        <f ca="1">IFERROR(IF(Inputs!$I$1="Please Select","",IF(Inputs!I$2="Please Select","",IF(Inputs!$I$2="Pupil Numbers",IF('KS2-4 Subject TMs'!$S$47="Gender",INDEX(INDIRECT(Inputs!$I$1),7,17),IF('KS2-4 Subject TMs'!$S$47="disadvantage",INDEX(INDIRECT(Inputs!$I$1),7,43),IF('KS2-4 Subject TMs'!$S$47="sen",INDEX(INDIRECT(Inputs!$I$1),7,69),IF('KS2-4 Subject TMs'!$S$47="eal",INDEX(INDIRECT(Inputs!$I$1),7,95),"")))),IF(Inputs!$I$2="Pupil Percentages",IF('KS2-4 Subject TMs'!$S$47="Gender",INDEX(INDIRECT(Inputs!$I$1),23,17),IF('KS2-4 Subject TMs'!$S$47="disadvantage",INDEX(INDIRECT(Inputs!$I$1),23,43),IF('KS2-4 Subject TMs'!$S$47="sen",INDEX(INDIRECT(Inputs!$I$1),23,69),IF('KS2-4 Subject TMs'!$S$47="eal",INDEX(INDIRECT(Inputs!$I$1),23,95),"")))))))),"")</f>
        <v/>
      </c>
      <c r="I51" s="61" t="str">
        <f ca="1">IFERROR(IF(Inputs!$I$1="Please Select","",IF(Inputs!I$2="Please Select","",IF(Inputs!$I$2="Pupil Numbers",IF('KS2-4 Subject TMs'!$S$47="Gender",INDEX(INDIRECT(Inputs!$I$1),7,18),IF('KS2-4 Subject TMs'!$S$47="disadvantage",INDEX(INDIRECT(Inputs!$I$1),7,44),IF('KS2-4 Subject TMs'!$S$47="sen",INDEX(INDIRECT(Inputs!$I$1),7,70),IF('KS2-4 Subject TMs'!$S$47="eal",INDEX(INDIRECT(Inputs!$I$1),7,96),"")))),IF(Inputs!$I$2="Pupil Percentages",IF('KS2-4 Subject TMs'!$S$47="Gender",INDEX(INDIRECT(Inputs!$I$1),23,18),IF('KS2-4 Subject TMs'!$S$47="disadvantage",INDEX(INDIRECT(Inputs!$I$1),23,44),IF('KS2-4 Subject TMs'!$S$47="sen",INDEX(INDIRECT(Inputs!$I$1),23,70),IF('KS2-4 Subject TMs'!$S$47="eal",INDEX(INDIRECT(Inputs!$I$1),23,96),"")))))))),"")</f>
        <v/>
      </c>
      <c r="J51" s="61" t="str">
        <f ca="1">IFERROR(IF(Inputs!$I$1="Please Select","",IF(Inputs!I$2="Please Select","",IF(Inputs!$I$2="Pupil Numbers",IF('KS2-4 Subject TMs'!$S$47="Gender",INDEX(INDIRECT(Inputs!$I$1),7,19),IF('KS2-4 Subject TMs'!$S$47="disadvantage",INDEX(INDIRECT(Inputs!$I$1),7,45),IF('KS2-4 Subject TMs'!$S$47="sen",INDEX(INDIRECT(Inputs!$I$1),7,71),IF('KS2-4 Subject TMs'!$S$47="eal",INDEX(INDIRECT(Inputs!$I$1),7,97),"")))),IF(Inputs!$I$2="Pupil Percentages",IF('KS2-4 Subject TMs'!$S$47="Gender",INDEX(INDIRECT(Inputs!$I$1),23,19),IF('KS2-4 Subject TMs'!$S$47="disadvantage",INDEX(INDIRECT(Inputs!$I$1),23,45),IF('KS2-4 Subject TMs'!$S$47="sen",INDEX(INDIRECT(Inputs!$I$1),23,71),IF('KS2-4 Subject TMs'!$S$47="eal",INDEX(INDIRECT(Inputs!$I$1),23,97),"")))))))),"")</f>
        <v/>
      </c>
      <c r="K51" s="61" t="str">
        <f ca="1">IFERROR(IF(Inputs!$I$1="Please Select","",IF(Inputs!I$2="Please Select","",IF(Inputs!$I$2="Pupil Numbers",IF('KS2-4 Subject TMs'!$S$47="Gender",INDEX(INDIRECT(Inputs!$I$1),7,20),IF('KS2-4 Subject TMs'!$S$47="disadvantage",INDEX(INDIRECT(Inputs!$I$1),7,46),IF('KS2-4 Subject TMs'!$S$47="sen",INDEX(INDIRECT(Inputs!$I$1),7,72),IF('KS2-4 Subject TMs'!$S$47="eal",INDEX(INDIRECT(Inputs!$I$1),7,98),"")))),IF(Inputs!$I$2="Pupil Percentages",IF('KS2-4 Subject TMs'!$S$47="Gender",INDEX(INDIRECT(Inputs!$I$1),23,20),IF('KS2-4 Subject TMs'!$S$47="disadvantage",INDEX(INDIRECT(Inputs!$I$1),23,46),IF('KS2-4 Subject TMs'!$S$47="sen",INDEX(INDIRECT(Inputs!$I$1),23,72),IF('KS2-4 Subject TMs'!$S$47="eal",INDEX(INDIRECT(Inputs!$I$1),23,98),"")))))))),"")</f>
        <v/>
      </c>
      <c r="L51" s="61" t="str">
        <f ca="1">IFERROR(IF(Inputs!$I$1="Please Select","",IF(Inputs!I$2="Please Select","",IF(Inputs!$I$2="Pupil Numbers",IF('KS2-4 Subject TMs'!$S$47="Gender",INDEX(INDIRECT(Inputs!$I$1),7,21),IF('KS2-4 Subject TMs'!$S$47="disadvantage",INDEX(INDIRECT(Inputs!$I$1),7,47),IF('KS2-4 Subject TMs'!$S$47="sen",INDEX(INDIRECT(Inputs!$I$1),7,73),IF('KS2-4 Subject TMs'!$S$47="eal",INDEX(INDIRECT(Inputs!$I$1),7,99),"")))),IF(Inputs!$I$2="Pupil Percentages",IF('KS2-4 Subject TMs'!$S$47="Gender",INDEX(INDIRECT(Inputs!$I$1),23,21),IF('KS2-4 Subject TMs'!$S$47="disadvantage",INDEX(INDIRECT(Inputs!$I$1),23,47),IF('KS2-4 Subject TMs'!$S$47="sen",INDEX(INDIRECT(Inputs!$I$1),23,73),IF('KS2-4 Subject TMs'!$S$47="eal",INDEX(INDIRECT(Inputs!$I$1),23,99),"")))))))),"")</f>
        <v/>
      </c>
      <c r="M51" s="61" t="str">
        <f ca="1">IFERROR(IF(Inputs!$I$1="Please Select","",IF(Inputs!I$2="Please Select","",IF(Inputs!$I$2="Pupil Numbers",IF('KS2-4 Subject TMs'!$S$47="Gender",INDEX(INDIRECT(Inputs!$I$1),7,22),IF('KS2-4 Subject TMs'!$S$47="disadvantage",INDEX(INDIRECT(Inputs!$I$1),7,48),IF('KS2-4 Subject TMs'!$S$47="sen",INDEX(INDIRECT(Inputs!$I$1),7,74),IF('KS2-4 Subject TMs'!$S$47="eal",INDEX(INDIRECT(Inputs!$I$1),7,100),"")))),IF(Inputs!$I$2="Pupil Percentages",IF('KS2-4 Subject TMs'!$S$47="Gender",INDEX(INDIRECT(Inputs!$I$1),23,22),IF('KS2-4 Subject TMs'!$S$47="disadvantage",INDEX(INDIRECT(Inputs!$I$1),23,48),IF('KS2-4 Subject TMs'!$S$47="sen",INDEX(INDIRECT(Inputs!$I$1),23,74),IF('KS2-4 Subject TMs'!$S$47="eal",INDEX(INDIRECT(Inputs!$I$1),23,100),"")))))))),"")</f>
        <v/>
      </c>
      <c r="N51" s="69" t="str">
        <f ca="1">IF(Inputs!$I$1="Please Select","",IF(Inputs!I$2="Please Select","",IF(OR(Inputs!$I$1="Mathematics",Inputs!$I$1="English_Language",Inputs!$I$1="English_Literature",Inputs!$I$1="Art_Design",Inputs!$I$1="Biology",Inputs!$I$1="Business_Studies",Inputs!$I$1="Chemistry",Inputs!$I$1="Citizenship_Studies",Inputs!$I$1="Classical_Studies",Inputs!$I$1="Computer_Science",Inputs!$I$1="Dance",Inputs!$I$1="Economics",Inputs!$I$1="Engineering",Inputs!$I$1="Food_Preparation_and_Nutrition",Inputs!$I$1="French",Inputs!$I$1="Geography",Inputs!$I$1="German",Inputs!$I$1="History",Inputs!$I$1="Media_Studies",Inputs!$I$1="Music",Inputs!$I$1="Design_Technology",Inputs!$I$1="Other_Modern_Languages_9_to_1",Inputs!$I$1="Other_Sciences",Inputs!$I$1="Performing_Arts",Inputs!$I$1="Photography",Inputs!$I$1="Physical_Education",Inputs!$I$1="Physics",Inputs!$I$1="Psychology",Inputs!$I$1="Religious_Studies",Inputs!$I$1="Sociology",Inputs!$I$1="Spanish",Inputs!$I$1="Statistics"),IF(Inputs!$I$2="Pupil Numbers",IF('KS2-4 Subject TMs'!$S$47="Gender",INDEX(INDIRECT(Inputs!$I$1),7,23),IF('KS2-4 Subject TMs'!$S$47="disadvantage",INDEX(INDIRECT(Inputs!$I$1),7,49),IF('KS2-4 Subject TMs'!$S$47="sen",INDEX(INDIRECT(Inputs!$I$1),7,75),IF('KS2-4 Subject TMs'!$S$47="eal",INDEX(INDIRECT(Inputs!$I$1),7,101),"")))),IF(Inputs!$I$2="Pupil Percentages",IF('KS2-4 Subject TMs'!$S$47="Gender",INDEX(INDIRECT(Inputs!$I$1),23,23),IF('KS2-4 Subject TMs'!$S$47="disadvantage",INDEX(INDIRECT(Inputs!$I$1),23,49),IF('KS2-4 Subject TMs'!$S$47="sen",INDEX(INDIRECT(Inputs!$I$1),23,75),IF('KS2-4 Subject TMs'!$S$47="eal",INDEX(INDIRECT(Inputs!$I$1),23,101),"")))))),"")))</f>
        <v/>
      </c>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row>
    <row r="52" spans="3:56" ht="23.1" customHeight="1" x14ac:dyDescent="0.5">
      <c r="C52" s="120"/>
      <c r="D52" s="60" t="s">
        <v>7</v>
      </c>
      <c r="E52" s="61" t="str">
        <f ca="1">IFERROR(IF(Inputs!$I$1="Please Select","",IF(Inputs!I$2="Please Select","",IF(Inputs!$I$2="Pupil Numbers",IF('KS2-4 Subject TMs'!$S$47="Gender",INDEX(INDIRECT(Inputs!$I$1),8,14),IF('KS2-4 Subject TMs'!$S$47="disadvantage",INDEX(INDIRECT(Inputs!$I$1),8,40),IF('KS2-4 Subject TMs'!$S$47="sen",INDEX(INDIRECT(Inputs!$I$1),8,66),IF('KS2-4 Subject TMs'!$S$47="eal",INDEX(INDIRECT(Inputs!$I$1),8,92),"")))),IF(Inputs!$I$2="Pupil Percentages",IF('KS2-4 Subject TMs'!$S$47="Gender",INDEX(INDIRECT(Inputs!$I$1),24,14),IF('KS2-4 Subject TMs'!$S$47="disadvantage",INDEX(INDIRECT(Inputs!$I$1),24,40),IF('KS2-4 Subject TMs'!$S$47="sen",INDEX(INDIRECT(Inputs!$I$1),24,66),IF('KS2-4 Subject TMs'!$S$47="eal",INDEX(INDIRECT(Inputs!$I$1),24,92),"")))))))),"")</f>
        <v/>
      </c>
      <c r="F52" s="61" t="str">
        <f ca="1">IFERROR(IF(Inputs!$I$1="Please Select","",IF(Inputs!I$2="Please Select","",IF(Inputs!$I$2="Pupil Numbers",IF('KS2-4 Subject TMs'!$S$47="Gender",INDEX(INDIRECT(Inputs!$I$1),8,15),IF('KS2-4 Subject TMs'!$S$47="disadvantage",INDEX(INDIRECT(Inputs!$I$1),8,41),IF('KS2-4 Subject TMs'!$S$47="sen",INDEX(INDIRECT(Inputs!$I$1),8,67),IF('KS2-4 Subject TMs'!$S$47="eal",INDEX(INDIRECT(Inputs!$I$1),8,93),"")))),IF(Inputs!$I$2="Pupil Percentages",IF('KS2-4 Subject TMs'!$S$47="Gender",INDEX(INDIRECT(Inputs!$I$1),24,15),IF('KS2-4 Subject TMs'!$S$47="disadvantage",INDEX(INDIRECT(Inputs!$I$1),24,41),IF('KS2-4 Subject TMs'!$S$47="sen",INDEX(INDIRECT(Inputs!$I$1),24,67),IF('KS2-4 Subject TMs'!$S$47="eal",INDEX(INDIRECT(Inputs!$I$1),24,93),"")))))))),"")</f>
        <v/>
      </c>
      <c r="G52" s="61" t="str">
        <f ca="1">IFERROR(IF(Inputs!$I$1="Please Select","",IF(Inputs!I$2="Please Select","",IF(Inputs!$I$2="Pupil Numbers",IF('KS2-4 Subject TMs'!$S$47="Gender",INDEX(INDIRECT(Inputs!$I$1),8,16),IF('KS2-4 Subject TMs'!$S$47="disadvantage",INDEX(INDIRECT(Inputs!$I$1),8,42),IF('KS2-4 Subject TMs'!$S$47="sen",INDEX(INDIRECT(Inputs!$I$1),8,68),IF('KS2-4 Subject TMs'!$S$47="eal",INDEX(INDIRECT(Inputs!$I$1),8,94),"")))),IF(Inputs!$I$2="Pupil Percentages",IF('KS2-4 Subject TMs'!$S$47="Gender",INDEX(INDIRECT(Inputs!$I$1),24,16),IF('KS2-4 Subject TMs'!$S$47="disadvantage",INDEX(INDIRECT(Inputs!$I$1),24,42),IF('KS2-4 Subject TMs'!$S$47="sen",INDEX(INDIRECT(Inputs!$I$1),24,68),IF('KS2-4 Subject TMs'!$S$47="eal",INDEX(INDIRECT(Inputs!$I$1),24,94),"")))))))),"")</f>
        <v/>
      </c>
      <c r="H52" s="61" t="str">
        <f ca="1">IFERROR(IF(Inputs!$I$1="Please Select","",IF(Inputs!I$2="Please Select","",IF(Inputs!$I$2="Pupil Numbers",IF('KS2-4 Subject TMs'!$S$47="Gender",INDEX(INDIRECT(Inputs!$I$1),8,17),IF('KS2-4 Subject TMs'!$S$47="disadvantage",INDEX(INDIRECT(Inputs!$I$1),8,43),IF('KS2-4 Subject TMs'!$S$47="sen",INDEX(INDIRECT(Inputs!$I$1),8,69),IF('KS2-4 Subject TMs'!$S$47="eal",INDEX(INDIRECT(Inputs!$I$1),8,95),"")))),IF(Inputs!$I$2="Pupil Percentages",IF('KS2-4 Subject TMs'!$S$47="Gender",INDEX(INDIRECT(Inputs!$I$1),24,17),IF('KS2-4 Subject TMs'!$S$47="disadvantage",INDEX(INDIRECT(Inputs!$I$1),24,43),IF('KS2-4 Subject TMs'!$S$47="sen",INDEX(INDIRECT(Inputs!$I$1),24,69),IF('KS2-4 Subject TMs'!$S$47="eal",INDEX(INDIRECT(Inputs!$I$1),24,95),"")))))))),"")</f>
        <v/>
      </c>
      <c r="I52" s="61" t="str">
        <f ca="1">IFERROR(IF(Inputs!$I$1="Please Select","",IF(Inputs!I$2="Please Select","",IF(Inputs!$I$2="Pupil Numbers",IF('KS2-4 Subject TMs'!$S$47="Gender",INDEX(INDIRECT(Inputs!$I$1),8,18),IF('KS2-4 Subject TMs'!$S$47="disadvantage",INDEX(INDIRECT(Inputs!$I$1),8,44),IF('KS2-4 Subject TMs'!$S$47="sen",INDEX(INDIRECT(Inputs!$I$1),8,70),IF('KS2-4 Subject TMs'!$S$47="eal",INDEX(INDIRECT(Inputs!$I$1),8,96),"")))),IF(Inputs!$I$2="Pupil Percentages",IF('KS2-4 Subject TMs'!$S$47="Gender",INDEX(INDIRECT(Inputs!$I$1),24,18),IF('KS2-4 Subject TMs'!$S$47="disadvantage",INDEX(INDIRECT(Inputs!$I$1),24,44),IF('KS2-4 Subject TMs'!$S$47="sen",INDEX(INDIRECT(Inputs!$I$1),24,70),IF('KS2-4 Subject TMs'!$S$47="eal",INDEX(INDIRECT(Inputs!$I$1),24,96),"")))))))),"")</f>
        <v/>
      </c>
      <c r="J52" s="61" t="str">
        <f ca="1">IFERROR(IF(Inputs!$I$1="Please Select","",IF(Inputs!I$2="Please Select","",IF(Inputs!$I$2="Pupil Numbers",IF('KS2-4 Subject TMs'!$S$47="Gender",INDEX(INDIRECT(Inputs!$I$1),8,19),IF('KS2-4 Subject TMs'!$S$47="disadvantage",INDEX(INDIRECT(Inputs!$I$1),8,45),IF('KS2-4 Subject TMs'!$S$47="sen",INDEX(INDIRECT(Inputs!$I$1),8,71),IF('KS2-4 Subject TMs'!$S$47="eal",INDEX(INDIRECT(Inputs!$I$1),8,97),"")))),IF(Inputs!$I$2="Pupil Percentages",IF('KS2-4 Subject TMs'!$S$47="Gender",INDEX(INDIRECT(Inputs!$I$1),24,19),IF('KS2-4 Subject TMs'!$S$47="disadvantage",INDEX(INDIRECT(Inputs!$I$1),24,45),IF('KS2-4 Subject TMs'!$S$47="sen",INDEX(INDIRECT(Inputs!$I$1),24,71),IF('KS2-4 Subject TMs'!$S$47="eal",INDEX(INDIRECT(Inputs!$I$1),24,97),"")))))))),"")</f>
        <v/>
      </c>
      <c r="K52" s="61" t="str">
        <f ca="1">IFERROR(IF(Inputs!$I$1="Please Select","",IF(Inputs!I$2="Please Select","",IF(Inputs!$I$2="Pupil Numbers",IF('KS2-4 Subject TMs'!$S$47="Gender",INDEX(INDIRECT(Inputs!$I$1),8,20),IF('KS2-4 Subject TMs'!$S$47="disadvantage",INDEX(INDIRECT(Inputs!$I$1),8,46),IF('KS2-4 Subject TMs'!$S$47="sen",INDEX(INDIRECT(Inputs!$I$1),8,72),IF('KS2-4 Subject TMs'!$S$47="eal",INDEX(INDIRECT(Inputs!$I$1),8,98),"")))),IF(Inputs!$I$2="Pupil Percentages",IF('KS2-4 Subject TMs'!$S$47="Gender",INDEX(INDIRECT(Inputs!$I$1),24,20),IF('KS2-4 Subject TMs'!$S$47="disadvantage",INDEX(INDIRECT(Inputs!$I$1),24,46),IF('KS2-4 Subject TMs'!$S$47="sen",INDEX(INDIRECT(Inputs!$I$1),24,72),IF('KS2-4 Subject TMs'!$S$47="eal",INDEX(INDIRECT(Inputs!$I$1),24,98),"")))))))),"")</f>
        <v/>
      </c>
      <c r="L52" s="61" t="str">
        <f ca="1">IFERROR(IF(Inputs!$I$1="Please Select","",IF(Inputs!I$2="Please Select","",IF(Inputs!$I$2="Pupil Numbers",IF('KS2-4 Subject TMs'!$S$47="Gender",INDEX(INDIRECT(Inputs!$I$1),8,21),IF('KS2-4 Subject TMs'!$S$47="disadvantage",INDEX(INDIRECT(Inputs!$I$1),8,47),IF('KS2-4 Subject TMs'!$S$47="sen",INDEX(INDIRECT(Inputs!$I$1),8,73),IF('KS2-4 Subject TMs'!$S$47="eal",INDEX(INDIRECT(Inputs!$I$1),8,99),"")))),IF(Inputs!$I$2="Pupil Percentages",IF('KS2-4 Subject TMs'!$S$47="Gender",INDEX(INDIRECT(Inputs!$I$1),24,21),IF('KS2-4 Subject TMs'!$S$47="disadvantage",INDEX(INDIRECT(Inputs!$I$1),24,47),IF('KS2-4 Subject TMs'!$S$47="sen",INDEX(INDIRECT(Inputs!$I$1),24,73),IF('KS2-4 Subject TMs'!$S$47="eal",INDEX(INDIRECT(Inputs!$I$1),24,99),"")))))))),"")</f>
        <v/>
      </c>
      <c r="M52" s="61" t="str">
        <f ca="1">IFERROR(IF(Inputs!$I$1="Please Select","",IF(Inputs!I$2="Please Select","",IF(Inputs!$I$2="Pupil Numbers",IF('KS2-4 Subject TMs'!$S$47="Gender",INDEX(INDIRECT(Inputs!$I$1),8,22),IF('KS2-4 Subject TMs'!$S$47="disadvantage",INDEX(INDIRECT(Inputs!$I$1),8,48),IF('KS2-4 Subject TMs'!$S$47="sen",INDEX(INDIRECT(Inputs!$I$1),8,74),IF('KS2-4 Subject TMs'!$S$47="eal",INDEX(INDIRECT(Inputs!$I$1),8,100),"")))),IF(Inputs!$I$2="Pupil Percentages",IF('KS2-4 Subject TMs'!$S$47="Gender",INDEX(INDIRECT(Inputs!$I$1),24,22),IF('KS2-4 Subject TMs'!$S$47="disadvantage",INDEX(INDIRECT(Inputs!$I$1),24,48),IF('KS2-4 Subject TMs'!$S$47="sen",INDEX(INDIRECT(Inputs!$I$1),24,74),IF('KS2-4 Subject TMs'!$S$47="eal",INDEX(INDIRECT(Inputs!$I$1),24,100),"")))))))),"")</f>
        <v/>
      </c>
      <c r="N52" s="69" t="str">
        <f ca="1">IF(Inputs!$I$1="Please Select","",IF(Inputs!I$2="Please Select","",IF(OR(Inputs!$I$1="Mathematics",Inputs!$I$1="English_Language",Inputs!$I$1="English_Literature",Inputs!$I$1="Art_Design",Inputs!$I$1="Biology",Inputs!$I$1="Business_Studies",Inputs!$I$1="Chemistry",Inputs!$I$1="Citizenship_Studies",Inputs!$I$1="Classical_Studies",Inputs!$I$1="Computer_Science",Inputs!$I$1="Dance",Inputs!$I$1="Economics",Inputs!$I$1="Engineering",Inputs!$I$1="Food_Preparation_and_Nutrition",Inputs!$I$1="French",Inputs!$I$1="Geography",Inputs!$I$1="German",Inputs!$I$1="History",Inputs!$I$1="Media_Studies",Inputs!$I$1="Music",Inputs!$I$1="Design_Technology",Inputs!$I$1="Other_Modern_Languages_9_to_1",Inputs!$I$1="Other_Sciences",Inputs!$I$1="Performing_Arts",Inputs!$I$1="Photography",Inputs!$I$1="Physical_Education",Inputs!$I$1="Physics",Inputs!$I$1="Psychology",Inputs!$I$1="Religious_Studies",Inputs!$I$1="Sociology",Inputs!$I$1="Spanish",Inputs!$I$1="Statistics"),IF(Inputs!$I$2="Pupil Numbers",IF('KS2-4 Subject TMs'!$S$47="Gender",INDEX(INDIRECT(Inputs!$I$1),8,23),IF('KS2-4 Subject TMs'!$S$47="disadvantage",INDEX(INDIRECT(Inputs!$I$1),8,49),IF('KS2-4 Subject TMs'!$S$47="sen",INDEX(INDIRECT(Inputs!$I$1),8,75),IF('KS2-4 Subject TMs'!$S$47="eal",INDEX(INDIRECT(Inputs!$I$1),8,101),"")))),IF(Inputs!$I$2="Pupil Percentages",IF('KS2-4 Subject TMs'!$S$47="Gender",INDEX(INDIRECT(Inputs!$I$1),24,23),IF('KS2-4 Subject TMs'!$S$47="disadvantage",INDEX(INDIRECT(Inputs!$I$1),24,49),IF('KS2-4 Subject TMs'!$S$47="sen",INDEX(INDIRECT(Inputs!$I$1),24,75),IF('KS2-4 Subject TMs'!$S$47="eal",INDEX(INDIRECT(Inputs!$I$1),24,101),"")))))),"")))</f>
        <v/>
      </c>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row>
    <row r="53" spans="3:56" ht="23.1" customHeight="1" x14ac:dyDescent="0.5">
      <c r="C53" s="120"/>
      <c r="D53" s="60" t="s">
        <v>8</v>
      </c>
      <c r="E53" s="61" t="str">
        <f ca="1">IFERROR(IF(Inputs!$I$1="Please Select","",IF(Inputs!I$2="Please Select","",IF(Inputs!$I$2="Pupil Numbers",IF('KS2-4 Subject TMs'!$S$47="Gender",INDEX(INDIRECT(Inputs!$I$1),9,14),IF('KS2-4 Subject TMs'!$S$47="disadvantage",INDEX(INDIRECT(Inputs!$I$1),9,40),IF('KS2-4 Subject TMs'!$S$47="sen",INDEX(INDIRECT(Inputs!$I$1),9,66),IF('KS2-4 Subject TMs'!$S$47="eal",INDEX(INDIRECT(Inputs!$I$1),9,92),"")))),IF(Inputs!$I$2="Pupil Percentages",IF('KS2-4 Subject TMs'!$S$47="Gender",INDEX(INDIRECT(Inputs!$I$1),25,14),IF('KS2-4 Subject TMs'!$S$47="disadvantage",INDEX(INDIRECT(Inputs!$I$1),25,40),IF('KS2-4 Subject TMs'!$S$47="sen",INDEX(INDIRECT(Inputs!$I$1),25,66),IF('KS2-4 Subject TMs'!$S$47="eal",INDEX(INDIRECT(Inputs!$I$1),25,92),"")))))))),"")</f>
        <v/>
      </c>
      <c r="F53" s="61" t="str">
        <f ca="1">IFERROR(IF(Inputs!$I$1="Please Select","",IF(Inputs!I$2="Please Select","",IF(Inputs!$I$2="Pupil Numbers",IF('KS2-4 Subject TMs'!$S$47="Gender",INDEX(INDIRECT(Inputs!$I$1),9,15),IF('KS2-4 Subject TMs'!$S$47="disadvantage",INDEX(INDIRECT(Inputs!$I$1),9,41),IF('KS2-4 Subject TMs'!$S$47="sen",INDEX(INDIRECT(Inputs!$I$1),9,67),IF('KS2-4 Subject TMs'!$S$47="eal",INDEX(INDIRECT(Inputs!$I$1),9,93),"")))),IF(Inputs!$I$2="Pupil Percentages",IF('KS2-4 Subject TMs'!$S$47="Gender",INDEX(INDIRECT(Inputs!$I$1),25,15),IF('KS2-4 Subject TMs'!$S$47="disadvantage",INDEX(INDIRECT(Inputs!$I$1),25,41),IF('KS2-4 Subject TMs'!$S$47="sen",INDEX(INDIRECT(Inputs!$I$1),25,67),IF('KS2-4 Subject TMs'!$S$47="eal",INDEX(INDIRECT(Inputs!$I$1),25,93),"")))))))),"")</f>
        <v/>
      </c>
      <c r="G53" s="61" t="str">
        <f ca="1">IFERROR(IF(Inputs!$I$1="Please Select","",IF(Inputs!I$2="Please Select","",IF(Inputs!$I$2="Pupil Numbers",IF('KS2-4 Subject TMs'!$S$47="Gender",INDEX(INDIRECT(Inputs!$I$1),9,16),IF('KS2-4 Subject TMs'!$S$47="disadvantage",INDEX(INDIRECT(Inputs!$I$1),9,42),IF('KS2-4 Subject TMs'!$S$47="sen",INDEX(INDIRECT(Inputs!$I$1),9,68),IF('KS2-4 Subject TMs'!$S$47="eal",INDEX(INDIRECT(Inputs!$I$1),9,94),"")))),IF(Inputs!$I$2="Pupil Percentages",IF('KS2-4 Subject TMs'!$S$47="Gender",INDEX(INDIRECT(Inputs!$I$1),25,16),IF('KS2-4 Subject TMs'!$S$47="disadvantage",INDEX(INDIRECT(Inputs!$I$1),25,42),IF('KS2-4 Subject TMs'!$S$47="sen",INDEX(INDIRECT(Inputs!$I$1),25,68),IF('KS2-4 Subject TMs'!$S$47="eal",INDEX(INDIRECT(Inputs!$I$1),25,94),"")))))))),"")</f>
        <v/>
      </c>
      <c r="H53" s="61" t="str">
        <f ca="1">IFERROR(IF(Inputs!$I$1="Please Select","",IF(Inputs!I$2="Please Select","",IF(Inputs!$I$2="Pupil Numbers",IF('KS2-4 Subject TMs'!$S$47="Gender",INDEX(INDIRECT(Inputs!$I$1),9,17),IF('KS2-4 Subject TMs'!$S$47="disadvantage",INDEX(INDIRECT(Inputs!$I$1),9,43),IF('KS2-4 Subject TMs'!$S$47="sen",INDEX(INDIRECT(Inputs!$I$1),9,69),IF('KS2-4 Subject TMs'!$S$47="eal",INDEX(INDIRECT(Inputs!$I$1),9,95),"")))),IF(Inputs!$I$2="Pupil Percentages",IF('KS2-4 Subject TMs'!$S$47="Gender",INDEX(INDIRECT(Inputs!$I$1),25,17),IF('KS2-4 Subject TMs'!$S$47="disadvantage",INDEX(INDIRECT(Inputs!$I$1),25,43),IF('KS2-4 Subject TMs'!$S$47="sen",INDEX(INDIRECT(Inputs!$I$1),25,69),IF('KS2-4 Subject TMs'!$S$47="eal",INDEX(INDIRECT(Inputs!$I$1),25,95),"")))))))),"")</f>
        <v/>
      </c>
      <c r="I53" s="61" t="str">
        <f ca="1">IFERROR(IF(Inputs!$I$1="Please Select","",IF(Inputs!I$2="Please Select","",IF(Inputs!$I$2="Pupil Numbers",IF('KS2-4 Subject TMs'!$S$47="Gender",INDEX(INDIRECT(Inputs!$I$1),9,18),IF('KS2-4 Subject TMs'!$S$47="disadvantage",INDEX(INDIRECT(Inputs!$I$1),9,44),IF('KS2-4 Subject TMs'!$S$47="sen",INDEX(INDIRECT(Inputs!$I$1),9,70),IF('KS2-4 Subject TMs'!$S$47="eal",INDEX(INDIRECT(Inputs!$I$1),9,96),"")))),IF(Inputs!$I$2="Pupil Percentages",IF('KS2-4 Subject TMs'!$S$47="Gender",INDEX(INDIRECT(Inputs!$I$1),25,18),IF('KS2-4 Subject TMs'!$S$47="disadvantage",INDEX(INDIRECT(Inputs!$I$1),25,44),IF('KS2-4 Subject TMs'!$S$47="sen",INDEX(INDIRECT(Inputs!$I$1),25,70),IF('KS2-4 Subject TMs'!$S$47="eal",INDEX(INDIRECT(Inputs!$I$1),25,96),"")))))))),"")</f>
        <v/>
      </c>
      <c r="J53" s="61" t="str">
        <f ca="1">IFERROR(IF(Inputs!$I$1="Please Select","",IF(Inputs!I$2="Please Select","",IF(Inputs!$I$2="Pupil Numbers",IF('KS2-4 Subject TMs'!$S$47="Gender",INDEX(INDIRECT(Inputs!$I$1),9,19),IF('KS2-4 Subject TMs'!$S$47="disadvantage",INDEX(INDIRECT(Inputs!$I$1),9,45),IF('KS2-4 Subject TMs'!$S$47="sen",INDEX(INDIRECT(Inputs!$I$1),9,71),IF('KS2-4 Subject TMs'!$S$47="eal",INDEX(INDIRECT(Inputs!$I$1),9,97),"")))),IF(Inputs!$I$2="Pupil Percentages",IF('KS2-4 Subject TMs'!$S$47="Gender",INDEX(INDIRECT(Inputs!$I$1),25,19),IF('KS2-4 Subject TMs'!$S$47="disadvantage",INDEX(INDIRECT(Inputs!$I$1),25,45),IF('KS2-4 Subject TMs'!$S$47="sen",INDEX(INDIRECT(Inputs!$I$1),25,71),IF('KS2-4 Subject TMs'!$S$47="eal",INDEX(INDIRECT(Inputs!$I$1),25,97),"")))))))),"")</f>
        <v/>
      </c>
      <c r="K53" s="61" t="str">
        <f ca="1">IFERROR(IF(Inputs!$I$1="Please Select","",IF(Inputs!I$2="Please Select","",IF(Inputs!$I$2="Pupil Numbers",IF('KS2-4 Subject TMs'!$S$47="Gender",INDEX(INDIRECT(Inputs!$I$1),9,20),IF('KS2-4 Subject TMs'!$S$47="disadvantage",INDEX(INDIRECT(Inputs!$I$1),9,46),IF('KS2-4 Subject TMs'!$S$47="sen",INDEX(INDIRECT(Inputs!$I$1),9,72),IF('KS2-4 Subject TMs'!$S$47="eal",INDEX(INDIRECT(Inputs!$I$1),9,98),"")))),IF(Inputs!$I$2="Pupil Percentages",IF('KS2-4 Subject TMs'!$S$47="Gender",INDEX(INDIRECT(Inputs!$I$1),25,20),IF('KS2-4 Subject TMs'!$S$47="disadvantage",INDEX(INDIRECT(Inputs!$I$1),25,46),IF('KS2-4 Subject TMs'!$S$47="sen",INDEX(INDIRECT(Inputs!$I$1),25,72),IF('KS2-4 Subject TMs'!$S$47="eal",INDEX(INDIRECT(Inputs!$I$1),25,98),"")))))))),"")</f>
        <v/>
      </c>
      <c r="L53" s="61" t="str">
        <f ca="1">IFERROR(IF(Inputs!$I$1="Please Select","",IF(Inputs!I$2="Please Select","",IF(Inputs!$I$2="Pupil Numbers",IF('KS2-4 Subject TMs'!$S$47="Gender",INDEX(INDIRECT(Inputs!$I$1),9,21),IF('KS2-4 Subject TMs'!$S$47="disadvantage",INDEX(INDIRECT(Inputs!$I$1),9,47),IF('KS2-4 Subject TMs'!$S$47="sen",INDEX(INDIRECT(Inputs!$I$1),9,73),IF('KS2-4 Subject TMs'!$S$47="eal",INDEX(INDIRECT(Inputs!$I$1),9,99),"")))),IF(Inputs!$I$2="Pupil Percentages",IF('KS2-4 Subject TMs'!$S$47="Gender",INDEX(INDIRECT(Inputs!$I$1),25,21),IF('KS2-4 Subject TMs'!$S$47="disadvantage",INDEX(INDIRECT(Inputs!$I$1),25,47),IF('KS2-4 Subject TMs'!$S$47="sen",INDEX(INDIRECT(Inputs!$I$1),25,73),IF('KS2-4 Subject TMs'!$S$47="eal",INDEX(INDIRECT(Inputs!$I$1),25,99),"")))))))),"")</f>
        <v/>
      </c>
      <c r="M53" s="61" t="str">
        <f ca="1">IFERROR(IF(Inputs!$I$1="Please Select","",IF(Inputs!I$2="Please Select","",IF(Inputs!$I$2="Pupil Numbers",IF('KS2-4 Subject TMs'!$S$47="Gender",INDEX(INDIRECT(Inputs!$I$1),9,22),IF('KS2-4 Subject TMs'!$S$47="disadvantage",INDEX(INDIRECT(Inputs!$I$1),9,48),IF('KS2-4 Subject TMs'!$S$47="sen",INDEX(INDIRECT(Inputs!$I$1),9,74),IF('KS2-4 Subject TMs'!$S$47="eal",INDEX(INDIRECT(Inputs!$I$1),9,100),"")))),IF(Inputs!$I$2="Pupil Percentages",IF('KS2-4 Subject TMs'!$S$47="Gender",INDEX(INDIRECT(Inputs!$I$1),25,22),IF('KS2-4 Subject TMs'!$S$47="disadvantage",INDEX(INDIRECT(Inputs!$I$1),25,48),IF('KS2-4 Subject TMs'!$S$47="sen",INDEX(INDIRECT(Inputs!$I$1),25,74),IF('KS2-4 Subject TMs'!$S$47="eal",INDEX(INDIRECT(Inputs!$I$1),25,100),"")))))))),"")</f>
        <v/>
      </c>
      <c r="N53" s="69" t="str">
        <f ca="1">IF(Inputs!$I$1="Please Select","",IF(Inputs!I$2="Please Select","",IF(OR(Inputs!$I$1="Mathematics",Inputs!$I$1="English_Language",Inputs!$I$1="English_Literature",Inputs!$I$1="Art_Design",Inputs!$I$1="Biology",Inputs!$I$1="Business_Studies",Inputs!$I$1="Chemistry",Inputs!$I$1="Citizenship_Studies",Inputs!$I$1="Classical_Studies",Inputs!$I$1="Computer_Science",Inputs!$I$1="Dance",Inputs!$I$1="Economics",Inputs!$I$1="Engineering",Inputs!$I$1="Food_Preparation_and_Nutrition",Inputs!$I$1="French",Inputs!$I$1="Geography",Inputs!$I$1="German",Inputs!$I$1="History",Inputs!$I$1="Media_Studies",Inputs!$I$1="Music",Inputs!$I$1="Design_Technology",Inputs!$I$1="Other_Modern_Languages_9_to_1",Inputs!$I$1="Other_Sciences",Inputs!$I$1="Performing_Arts",Inputs!$I$1="Photography",Inputs!$I$1="Physical_Education",Inputs!$I$1="Physics",Inputs!$I$1="Psychology",Inputs!$I$1="Religious_Studies",Inputs!$I$1="Sociology",Inputs!$I$1="Spanish",Inputs!$I$1="Statistics"),IF(Inputs!$I$2="Pupil Numbers",IF('KS2-4 Subject TMs'!$S$47="Gender",INDEX(INDIRECT(Inputs!$I$1),9,23),IF('KS2-4 Subject TMs'!$S$47="disadvantage",INDEX(INDIRECT(Inputs!$I$1),9,49),IF('KS2-4 Subject TMs'!$S$47="sen",INDEX(INDIRECT(Inputs!$I$1),9,75),IF('KS2-4 Subject TMs'!$S$47="eal",INDEX(INDIRECT(Inputs!$I$1),9,101),"")))),IF(Inputs!$I$2="Pupil Percentages",IF('KS2-4 Subject TMs'!$S$47="Gender",INDEX(INDIRECT(Inputs!$I$1),25,23),IF('KS2-4 Subject TMs'!$S$47="disadvantage",INDEX(INDIRECT(Inputs!$I$1),25,49),IF('KS2-4 Subject TMs'!$S$47="sen",INDEX(INDIRECT(Inputs!$I$1),25,75),IF('KS2-4 Subject TMs'!$S$47="eal",INDEX(INDIRECT(Inputs!$I$1),25,101),"")))))),"")))</f>
        <v/>
      </c>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row>
    <row r="54" spans="3:56" ht="23.1" customHeight="1" x14ac:dyDescent="0.5">
      <c r="C54" s="120"/>
      <c r="D54" s="60" t="s">
        <v>9</v>
      </c>
      <c r="E54" s="61" t="str">
        <f ca="1">IFERROR(IF(Inputs!$I$1="Please Select","",IF(Inputs!I$2="Please Select","",IF(Inputs!$I$2="Pupil Numbers",IF('KS2-4 Subject TMs'!$S$47="Gender",INDEX(INDIRECT(Inputs!$I$1),10,14),IF('KS2-4 Subject TMs'!$S$47="disadvantage",INDEX(INDIRECT(Inputs!$I$1),10,40),IF('KS2-4 Subject TMs'!$S$47="sen",INDEX(INDIRECT(Inputs!$I$1),10,66),IF('KS2-4 Subject TMs'!$S$47="eal",INDEX(INDIRECT(Inputs!$I$1),10,92),"")))),IF(Inputs!$I$2="Pupil Percentages",IF('KS2-4 Subject TMs'!$S$47="Gender",INDEX(INDIRECT(Inputs!$I$1),26,14),IF('KS2-4 Subject TMs'!$S$47="disadvantage",INDEX(INDIRECT(Inputs!$I$1),26,40),IF('KS2-4 Subject TMs'!$S$47="sen",INDEX(INDIRECT(Inputs!$I$1),26,66),IF('KS2-4 Subject TMs'!$S$47="eal",INDEX(INDIRECT(Inputs!$I$1),26,92),"")))))))),"")</f>
        <v/>
      </c>
      <c r="F54" s="61" t="str">
        <f ca="1">IFERROR(IF(Inputs!$I$1="Please Select","",IF(Inputs!I$2="Please Select","",IF(Inputs!$I$2="Pupil Numbers",IF('KS2-4 Subject TMs'!$S$47="Gender",INDEX(INDIRECT(Inputs!$I$1),10,15),IF('KS2-4 Subject TMs'!$S$47="disadvantage",INDEX(INDIRECT(Inputs!$I$1),10,41),IF('KS2-4 Subject TMs'!$S$47="sen",INDEX(INDIRECT(Inputs!$I$1),10,67),IF('KS2-4 Subject TMs'!$S$47="eal",INDEX(INDIRECT(Inputs!$I$1),10,93),"")))),IF(Inputs!$I$2="Pupil Percentages",IF('KS2-4 Subject TMs'!$S$47="Gender",INDEX(INDIRECT(Inputs!$I$1),26,15),IF('KS2-4 Subject TMs'!$S$47="disadvantage",INDEX(INDIRECT(Inputs!$I$1),26,41),IF('KS2-4 Subject TMs'!$S$47="sen",INDEX(INDIRECT(Inputs!$I$1),26,67),IF('KS2-4 Subject TMs'!$S$47="eal",INDEX(INDIRECT(Inputs!$I$1),26,93),"")))))))),"")</f>
        <v/>
      </c>
      <c r="G54" s="61" t="str">
        <f ca="1">IFERROR(IF(Inputs!$I$1="Please Select","",IF(Inputs!I$2="Please Select","",IF(Inputs!$I$2="Pupil Numbers",IF('KS2-4 Subject TMs'!$S$47="Gender",INDEX(INDIRECT(Inputs!$I$1),10,16),IF('KS2-4 Subject TMs'!$S$47="disadvantage",INDEX(INDIRECT(Inputs!$I$1),10,42),IF('KS2-4 Subject TMs'!$S$47="sen",INDEX(INDIRECT(Inputs!$I$1),10,68),IF('KS2-4 Subject TMs'!$S$47="eal",INDEX(INDIRECT(Inputs!$I$1),10,94),"")))),IF(Inputs!$I$2="Pupil Percentages",IF('KS2-4 Subject TMs'!$S$47="Gender",INDEX(INDIRECT(Inputs!$I$1),26,16),IF('KS2-4 Subject TMs'!$S$47="disadvantage",INDEX(INDIRECT(Inputs!$I$1),26,42),IF('KS2-4 Subject TMs'!$S$47="sen",INDEX(INDIRECT(Inputs!$I$1),26,68),IF('KS2-4 Subject TMs'!$S$47="eal",INDEX(INDIRECT(Inputs!$I$1),26,94),"")))))))),"")</f>
        <v/>
      </c>
      <c r="H54" s="61" t="str">
        <f ca="1">IFERROR(IF(Inputs!$I$1="Please Select","",IF(Inputs!I$2="Please Select","",IF(Inputs!$I$2="Pupil Numbers",IF('KS2-4 Subject TMs'!$S$47="Gender",INDEX(INDIRECT(Inputs!$I$1),10,17),IF('KS2-4 Subject TMs'!$S$47="disadvantage",INDEX(INDIRECT(Inputs!$I$1),10,43),IF('KS2-4 Subject TMs'!$S$47="sen",INDEX(INDIRECT(Inputs!$I$1),10,69),IF('KS2-4 Subject TMs'!$S$47="eal",INDEX(INDIRECT(Inputs!$I$1),10,95),"")))),IF(Inputs!$I$2="Pupil Percentages",IF('KS2-4 Subject TMs'!$S$47="Gender",INDEX(INDIRECT(Inputs!$I$1),26,17),IF('KS2-4 Subject TMs'!$S$47="disadvantage",INDEX(INDIRECT(Inputs!$I$1),26,43),IF('KS2-4 Subject TMs'!$S$47="sen",INDEX(INDIRECT(Inputs!$I$1),26,69),IF('KS2-4 Subject TMs'!$S$47="eal",INDEX(INDIRECT(Inputs!$I$1),26,95),"")))))))),"")</f>
        <v/>
      </c>
      <c r="I54" s="61" t="str">
        <f ca="1">IFERROR(IF(Inputs!$I$1="Please Select","",IF(Inputs!I$2="Please Select","",IF(Inputs!$I$2="Pupil Numbers",IF('KS2-4 Subject TMs'!$S$47="Gender",INDEX(INDIRECT(Inputs!$I$1),10,18),IF('KS2-4 Subject TMs'!$S$47="disadvantage",INDEX(INDIRECT(Inputs!$I$1),10,44),IF('KS2-4 Subject TMs'!$S$47="sen",INDEX(INDIRECT(Inputs!$I$1),10,70),IF('KS2-4 Subject TMs'!$S$47="eal",INDEX(INDIRECT(Inputs!$I$1),10,96),"")))),IF(Inputs!$I$2="Pupil Percentages",IF('KS2-4 Subject TMs'!$S$47="Gender",INDEX(INDIRECT(Inputs!$I$1),26,18),IF('KS2-4 Subject TMs'!$S$47="disadvantage",INDEX(INDIRECT(Inputs!$I$1),26,44),IF('KS2-4 Subject TMs'!$S$47="sen",INDEX(INDIRECT(Inputs!$I$1),26,70),IF('KS2-4 Subject TMs'!$S$47="eal",INDEX(INDIRECT(Inputs!$I$1),26,96),"")))))))),"")</f>
        <v/>
      </c>
      <c r="J54" s="61" t="str">
        <f ca="1">IFERROR(IF(Inputs!$I$1="Please Select","",IF(Inputs!I$2="Please Select","",IF(Inputs!$I$2="Pupil Numbers",IF('KS2-4 Subject TMs'!$S$47="Gender",INDEX(INDIRECT(Inputs!$I$1),10,19),IF('KS2-4 Subject TMs'!$S$47="disadvantage",INDEX(INDIRECT(Inputs!$I$1),10,45),IF('KS2-4 Subject TMs'!$S$47="sen",INDEX(INDIRECT(Inputs!$I$1),10,71),IF('KS2-4 Subject TMs'!$S$47="eal",INDEX(INDIRECT(Inputs!$I$1),10,97),"")))),IF(Inputs!$I$2="Pupil Percentages",IF('KS2-4 Subject TMs'!$S$47="Gender",INDEX(INDIRECT(Inputs!$I$1),26,19),IF('KS2-4 Subject TMs'!$S$47="disadvantage",INDEX(INDIRECT(Inputs!$I$1),26,45),IF('KS2-4 Subject TMs'!$S$47="sen",INDEX(INDIRECT(Inputs!$I$1),26,71),IF('KS2-4 Subject TMs'!$S$47="eal",INDEX(INDIRECT(Inputs!$I$1),26,97),"")))))))),"")</f>
        <v/>
      </c>
      <c r="K54" s="61" t="str">
        <f ca="1">IFERROR(IF(Inputs!$I$1="Please Select","",IF(Inputs!I$2="Please Select","",IF(Inputs!$I$2="Pupil Numbers",IF('KS2-4 Subject TMs'!$S$47="Gender",INDEX(INDIRECT(Inputs!$I$1),10,20),IF('KS2-4 Subject TMs'!$S$47="disadvantage",INDEX(INDIRECT(Inputs!$I$1),10,46),IF('KS2-4 Subject TMs'!$S$47="sen",INDEX(INDIRECT(Inputs!$I$1),10,72),IF('KS2-4 Subject TMs'!$S$47="eal",INDEX(INDIRECT(Inputs!$I$1),10,98),"")))),IF(Inputs!$I$2="Pupil Percentages",IF('KS2-4 Subject TMs'!$S$47="Gender",INDEX(INDIRECT(Inputs!$I$1),26,20),IF('KS2-4 Subject TMs'!$S$47="disadvantage",INDEX(INDIRECT(Inputs!$I$1),26,46),IF('KS2-4 Subject TMs'!$S$47="sen",INDEX(INDIRECT(Inputs!$I$1),26,72),IF('KS2-4 Subject TMs'!$S$47="eal",INDEX(INDIRECT(Inputs!$I$1),26,98),"")))))))),"")</f>
        <v/>
      </c>
      <c r="L54" s="61" t="str">
        <f ca="1">IFERROR(IF(Inputs!$I$1="Please Select","",IF(Inputs!I$2="Please Select","",IF(Inputs!$I$2="Pupil Numbers",IF('KS2-4 Subject TMs'!$S$47="Gender",INDEX(INDIRECT(Inputs!$I$1),10,21),IF('KS2-4 Subject TMs'!$S$47="disadvantage",INDEX(INDIRECT(Inputs!$I$1),10,47),IF('KS2-4 Subject TMs'!$S$47="sen",INDEX(INDIRECT(Inputs!$I$1),10,73),IF('KS2-4 Subject TMs'!$S$47="eal",INDEX(INDIRECT(Inputs!$I$1),10,99),"")))),IF(Inputs!$I$2="Pupil Percentages",IF('KS2-4 Subject TMs'!$S$47="Gender",INDEX(INDIRECT(Inputs!$I$1),26,21),IF('KS2-4 Subject TMs'!$S$47="disadvantage",INDEX(INDIRECT(Inputs!$I$1),26,47),IF('KS2-4 Subject TMs'!$S$47="sen",INDEX(INDIRECT(Inputs!$I$1),26,73),IF('KS2-4 Subject TMs'!$S$47="eal",INDEX(INDIRECT(Inputs!$I$1),26,99),"")))))))),"")</f>
        <v/>
      </c>
      <c r="M54" s="61" t="str">
        <f ca="1">IFERROR(IF(Inputs!$I$1="Please Select","",IF(Inputs!I$2="Please Select","",IF(Inputs!$I$2="Pupil Numbers",IF('KS2-4 Subject TMs'!$S$47="Gender",INDEX(INDIRECT(Inputs!$I$1),10,22),IF('KS2-4 Subject TMs'!$S$47="disadvantage",INDEX(INDIRECT(Inputs!$I$1),10,48),IF('KS2-4 Subject TMs'!$S$47="sen",INDEX(INDIRECT(Inputs!$I$1),10,74),IF('KS2-4 Subject TMs'!$S$47="eal",INDEX(INDIRECT(Inputs!$I$1),10,100),"")))),IF(Inputs!$I$2="Pupil Percentages",IF('KS2-4 Subject TMs'!$S$47="Gender",INDEX(INDIRECT(Inputs!$I$1),26,22),IF('KS2-4 Subject TMs'!$S$47="disadvantage",INDEX(INDIRECT(Inputs!$I$1),26,48),IF('KS2-4 Subject TMs'!$S$47="sen",INDEX(INDIRECT(Inputs!$I$1),26,74),IF('KS2-4 Subject TMs'!$S$47="eal",INDEX(INDIRECT(Inputs!$I$1),26,100),"")))))))),"")</f>
        <v/>
      </c>
      <c r="N54" s="69" t="str">
        <f ca="1">IF(Inputs!$I$1="Please Select","",IF(Inputs!I$2="Please Select","",IF(OR(Inputs!$I$1="Mathematics",Inputs!$I$1="English_Language",Inputs!$I$1="English_Literature",Inputs!$I$1="Art_Design",Inputs!$I$1="Biology",Inputs!$I$1="Business_Studies",Inputs!$I$1="Chemistry",Inputs!$I$1="Citizenship_Studies",Inputs!$I$1="Classical_Studies",Inputs!$I$1="Computer_Science",Inputs!$I$1="Dance",Inputs!$I$1="Economics",Inputs!$I$1="Engineering",Inputs!$I$1="Food_Preparation_and_Nutrition",Inputs!$I$1="French",Inputs!$I$1="Geography",Inputs!$I$1="German",Inputs!$I$1="History",Inputs!$I$1="Media_Studies",Inputs!$I$1="Music",Inputs!$I$1="Design_Technology",Inputs!$I$1="Other_Modern_Languages_9_to_1",Inputs!$I$1="Other_Sciences",Inputs!$I$1="Performing_Arts",Inputs!$I$1="Photography",Inputs!$I$1="Physical_Education",Inputs!$I$1="Physics",Inputs!$I$1="Psychology",Inputs!$I$1="Religious_Studies",Inputs!$I$1="Sociology",Inputs!$I$1="Spanish",Inputs!$I$1="Statistics"),IF(Inputs!$I$2="Pupil Numbers",IF('KS2-4 Subject TMs'!$S$47="Gender",INDEX(INDIRECT(Inputs!$I$1),10,23),IF('KS2-4 Subject TMs'!$S$47="disadvantage",INDEX(INDIRECT(Inputs!$I$1),10,49),IF('KS2-4 Subject TMs'!$S$47="sen",INDEX(INDIRECT(Inputs!$I$1),10,75),IF('KS2-4 Subject TMs'!$S$47="eal",INDEX(INDIRECT(Inputs!$I$1),10,101),"")))),IF(Inputs!$I$2="Pupil Percentages",IF('KS2-4 Subject TMs'!$S$47="Gender",INDEX(INDIRECT(Inputs!$I$1),26,23),IF('KS2-4 Subject TMs'!$S$47="disadvantage",INDEX(INDIRECT(Inputs!$I$1),26,49),IF('KS2-4 Subject TMs'!$S$47="sen",INDEX(INDIRECT(Inputs!$I$1),26,75),IF('KS2-4 Subject TMs'!$S$47="eal",INDEX(INDIRECT(Inputs!$I$1),26,101),"")))))),"")))</f>
        <v/>
      </c>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row>
    <row r="55" spans="3:56" ht="23.1" customHeight="1" x14ac:dyDescent="0.5">
      <c r="C55" s="120"/>
      <c r="D55" s="60" t="s">
        <v>10</v>
      </c>
      <c r="E55" s="61" t="str">
        <f ca="1">IFERROR(IF(Inputs!$I$1="Please Select","",IF(Inputs!I$2="Please Select","",IF(Inputs!$I$2="Pupil Numbers",IF('KS2-4 Subject TMs'!$S$47="Gender",INDEX(INDIRECT(Inputs!$I$1),11,14),IF('KS2-4 Subject TMs'!$S$47="disadvantage",INDEX(INDIRECT(Inputs!$I$1),11,40),IF('KS2-4 Subject TMs'!$S$47="sen",INDEX(INDIRECT(Inputs!$I$1),11,66),IF('KS2-4 Subject TMs'!$S$47="eal",INDEX(INDIRECT(Inputs!$I$1),11,92),"")))),IF(Inputs!$I$2="Pupil Percentages",IF('KS2-4 Subject TMs'!$S$47="Gender",INDEX(INDIRECT(Inputs!$I$1),27,14),IF('KS2-4 Subject TMs'!$S$47="disadvantage",INDEX(INDIRECT(Inputs!$I$1),27,40),IF('KS2-4 Subject TMs'!$S$47="sen",INDEX(INDIRECT(Inputs!$I$1),27,66),IF('KS2-4 Subject TMs'!$S$47="eal",INDEX(INDIRECT(Inputs!$I$1),27,92),"")))))))),"")</f>
        <v/>
      </c>
      <c r="F55" s="61" t="str">
        <f ca="1">IFERROR(IF(Inputs!$I$1="Please Select","",IF(Inputs!I$2="Please Select","",IF(Inputs!$I$2="Pupil Numbers",IF('KS2-4 Subject TMs'!$S$47="Gender",INDEX(INDIRECT(Inputs!$I$1),11,15),IF('KS2-4 Subject TMs'!$S$47="disadvantage",INDEX(INDIRECT(Inputs!$I$1),11,41),IF('KS2-4 Subject TMs'!$S$47="sen",INDEX(INDIRECT(Inputs!$I$1),11,67),IF('KS2-4 Subject TMs'!$S$47="eal",INDEX(INDIRECT(Inputs!$I$1),11,93),"")))),IF(Inputs!$I$2="Pupil Percentages",IF('KS2-4 Subject TMs'!$S$47="Gender",INDEX(INDIRECT(Inputs!$I$1),27,15),IF('KS2-4 Subject TMs'!$S$47="disadvantage",INDEX(INDIRECT(Inputs!$I$1),27,41),IF('KS2-4 Subject TMs'!$S$47="sen",INDEX(INDIRECT(Inputs!$I$1),27,67),IF('KS2-4 Subject TMs'!$S$47="eal",INDEX(INDIRECT(Inputs!$I$1),27,93),"")))))))),"")</f>
        <v/>
      </c>
      <c r="G55" s="61" t="str">
        <f ca="1">IFERROR(IF(Inputs!$I$1="Please Select","",IF(Inputs!I$2="Please Select","",IF(Inputs!$I$2="Pupil Numbers",IF('KS2-4 Subject TMs'!$S$47="Gender",INDEX(INDIRECT(Inputs!$I$1),11,16),IF('KS2-4 Subject TMs'!$S$47="disadvantage",INDEX(INDIRECT(Inputs!$I$1),11,42),IF('KS2-4 Subject TMs'!$S$47="sen",INDEX(INDIRECT(Inputs!$I$1),11,68),IF('KS2-4 Subject TMs'!$S$47="eal",INDEX(INDIRECT(Inputs!$I$1),11,94),"")))),IF(Inputs!$I$2="Pupil Percentages",IF('KS2-4 Subject TMs'!$S$47="Gender",INDEX(INDIRECT(Inputs!$I$1),27,16),IF('KS2-4 Subject TMs'!$S$47="disadvantage",INDEX(INDIRECT(Inputs!$I$1),27,42),IF('KS2-4 Subject TMs'!$S$47="sen",INDEX(INDIRECT(Inputs!$I$1),27,68),IF('KS2-4 Subject TMs'!$S$47="eal",INDEX(INDIRECT(Inputs!$I$1),27,94),"")))))))),"")</f>
        <v/>
      </c>
      <c r="H55" s="61" t="str">
        <f ca="1">IFERROR(IF(Inputs!$I$1="Please Select","",IF(Inputs!I$2="Please Select","",IF(Inputs!$I$2="Pupil Numbers",IF('KS2-4 Subject TMs'!$S$47="Gender",INDEX(INDIRECT(Inputs!$I$1),11,17),IF('KS2-4 Subject TMs'!$S$47="disadvantage",INDEX(INDIRECT(Inputs!$I$1),11,43),IF('KS2-4 Subject TMs'!$S$47="sen",INDEX(INDIRECT(Inputs!$I$1),11,69),IF('KS2-4 Subject TMs'!$S$47="eal",INDEX(INDIRECT(Inputs!$I$1),11,95),"")))),IF(Inputs!$I$2="Pupil Percentages",IF('KS2-4 Subject TMs'!$S$47="Gender",INDEX(INDIRECT(Inputs!$I$1),27,17),IF('KS2-4 Subject TMs'!$S$47="disadvantage",INDEX(INDIRECT(Inputs!$I$1),27,43),IF('KS2-4 Subject TMs'!$S$47="sen",INDEX(INDIRECT(Inputs!$I$1),27,69),IF('KS2-4 Subject TMs'!$S$47="eal",INDEX(INDIRECT(Inputs!$I$1),27,95),"")))))))),"")</f>
        <v/>
      </c>
      <c r="I55" s="61" t="str">
        <f ca="1">IFERROR(IF(Inputs!$I$1="Please Select","",IF(Inputs!I$2="Please Select","",IF(Inputs!$I$2="Pupil Numbers",IF('KS2-4 Subject TMs'!$S$47="Gender",INDEX(INDIRECT(Inputs!$I$1),11,18),IF('KS2-4 Subject TMs'!$S$47="disadvantage",INDEX(INDIRECT(Inputs!$I$1),11,44),IF('KS2-4 Subject TMs'!$S$47="sen",INDEX(INDIRECT(Inputs!$I$1),11,70),IF('KS2-4 Subject TMs'!$S$47="eal",INDEX(INDIRECT(Inputs!$I$1),11,96),"")))),IF(Inputs!$I$2="Pupil Percentages",IF('KS2-4 Subject TMs'!$S$47="Gender",INDEX(INDIRECT(Inputs!$I$1),27,18),IF('KS2-4 Subject TMs'!$S$47="disadvantage",INDEX(INDIRECT(Inputs!$I$1),27,44),IF('KS2-4 Subject TMs'!$S$47="sen",INDEX(INDIRECT(Inputs!$I$1),27,70),IF('KS2-4 Subject TMs'!$S$47="eal",INDEX(INDIRECT(Inputs!$I$1),27,96),"")))))))),"")</f>
        <v/>
      </c>
      <c r="J55" s="61" t="str">
        <f ca="1">IFERROR(IF(Inputs!$I$1="Please Select","",IF(Inputs!I$2="Please Select","",IF(Inputs!$I$2="Pupil Numbers",IF('KS2-4 Subject TMs'!$S$47="Gender",INDEX(INDIRECT(Inputs!$I$1),11,19),IF('KS2-4 Subject TMs'!$S$47="disadvantage",INDEX(INDIRECT(Inputs!$I$1),11,45),IF('KS2-4 Subject TMs'!$S$47="sen",INDEX(INDIRECT(Inputs!$I$1),11,71),IF('KS2-4 Subject TMs'!$S$47="eal",INDEX(INDIRECT(Inputs!$I$1),11,97),"")))),IF(Inputs!$I$2="Pupil Percentages",IF('KS2-4 Subject TMs'!$S$47="Gender",INDEX(INDIRECT(Inputs!$I$1),27,19),IF('KS2-4 Subject TMs'!$S$47="disadvantage",INDEX(INDIRECT(Inputs!$I$1),27,45),IF('KS2-4 Subject TMs'!$S$47="sen",INDEX(INDIRECT(Inputs!$I$1),27,71),IF('KS2-4 Subject TMs'!$S$47="eal",INDEX(INDIRECT(Inputs!$I$1),27,97),"")))))))),"")</f>
        <v/>
      </c>
      <c r="K55" s="61" t="str">
        <f ca="1">IFERROR(IF(Inputs!$I$1="Please Select","",IF(Inputs!I$2="Please Select","",IF(Inputs!$I$2="Pupil Numbers",IF('KS2-4 Subject TMs'!$S$47="Gender",INDEX(INDIRECT(Inputs!$I$1),11,20),IF('KS2-4 Subject TMs'!$S$47="disadvantage",INDEX(INDIRECT(Inputs!$I$1),11,46),IF('KS2-4 Subject TMs'!$S$47="sen",INDEX(INDIRECT(Inputs!$I$1),11,72),IF('KS2-4 Subject TMs'!$S$47="eal",INDEX(INDIRECT(Inputs!$I$1),11,98),"")))),IF(Inputs!$I$2="Pupil Percentages",IF('KS2-4 Subject TMs'!$S$47="Gender",INDEX(INDIRECT(Inputs!$I$1),27,20),IF('KS2-4 Subject TMs'!$S$47="disadvantage",INDEX(INDIRECT(Inputs!$I$1),27,46),IF('KS2-4 Subject TMs'!$S$47="sen",INDEX(INDIRECT(Inputs!$I$1),27,72),IF('KS2-4 Subject TMs'!$S$47="eal",INDEX(INDIRECT(Inputs!$I$1),27,98),"")))))))),"")</f>
        <v/>
      </c>
      <c r="L55" s="61" t="str">
        <f ca="1">IFERROR(IF(Inputs!$I$1="Please Select","",IF(Inputs!I$2="Please Select","",IF(Inputs!$I$2="Pupil Numbers",IF('KS2-4 Subject TMs'!$S$47="Gender",INDEX(INDIRECT(Inputs!$I$1),11,21),IF('KS2-4 Subject TMs'!$S$47="disadvantage",INDEX(INDIRECT(Inputs!$I$1),11,47),IF('KS2-4 Subject TMs'!$S$47="sen",INDEX(INDIRECT(Inputs!$I$1),11,73),IF('KS2-4 Subject TMs'!$S$47="eal",INDEX(INDIRECT(Inputs!$I$1),11,99),"")))),IF(Inputs!$I$2="Pupil Percentages",IF('KS2-4 Subject TMs'!$S$47="Gender",INDEX(INDIRECT(Inputs!$I$1),27,21),IF('KS2-4 Subject TMs'!$S$47="disadvantage",INDEX(INDIRECT(Inputs!$I$1),27,47),IF('KS2-4 Subject TMs'!$S$47="sen",INDEX(INDIRECT(Inputs!$I$1),27,73),IF('KS2-4 Subject TMs'!$S$47="eal",INDEX(INDIRECT(Inputs!$I$1),27,99),"")))))))),"")</f>
        <v/>
      </c>
      <c r="M55" s="61" t="str">
        <f ca="1">IFERROR(IF(Inputs!$I$1="Please Select","",IF(Inputs!I$2="Please Select","",IF(Inputs!$I$2="Pupil Numbers",IF('KS2-4 Subject TMs'!$S$47="Gender",INDEX(INDIRECT(Inputs!$I$1),11,22),IF('KS2-4 Subject TMs'!$S$47="disadvantage",INDEX(INDIRECT(Inputs!$I$1),11,48),IF('KS2-4 Subject TMs'!$S$47="sen",INDEX(INDIRECT(Inputs!$I$1),11,74),IF('KS2-4 Subject TMs'!$S$47="eal",INDEX(INDIRECT(Inputs!$I$1),11,100),"")))),IF(Inputs!$I$2="Pupil Percentages",IF('KS2-4 Subject TMs'!$S$47="Gender",INDEX(INDIRECT(Inputs!$I$1),27,22),IF('KS2-4 Subject TMs'!$S$47="disadvantage",INDEX(INDIRECT(Inputs!$I$1),27,48),IF('KS2-4 Subject TMs'!$S$47="sen",INDEX(INDIRECT(Inputs!$I$1),27,74),IF('KS2-4 Subject TMs'!$S$47="eal",INDEX(INDIRECT(Inputs!$I$1),27,100),"")))))))),"")</f>
        <v/>
      </c>
      <c r="N55" s="69" t="str">
        <f ca="1">IF(Inputs!$I$1="Please Select","",IF(Inputs!I$2="Please Select","",IF(OR(Inputs!$I$1="Mathematics",Inputs!$I$1="English_Language",Inputs!$I$1="English_Literature",Inputs!$I$1="Art_Design",Inputs!$I$1="Biology",Inputs!$I$1="Business_Studies",Inputs!$I$1="Chemistry",Inputs!$I$1="Citizenship_Studies",Inputs!$I$1="Classical_Studies",Inputs!$I$1="Computer_Science",Inputs!$I$1="Dance",Inputs!$I$1="Economics",Inputs!$I$1="Engineering",Inputs!$I$1="Food_Preparation_and_Nutrition",Inputs!$I$1="French",Inputs!$I$1="Geography",Inputs!$I$1="German",Inputs!$I$1="History",Inputs!$I$1="Media_Studies",Inputs!$I$1="Music",Inputs!$I$1="Design_Technology",Inputs!$I$1="Other_Modern_Languages_9_to_1",Inputs!$I$1="Other_Sciences",Inputs!$I$1="Performing_Arts",Inputs!$I$1="Photography",Inputs!$I$1="Physical_Education",Inputs!$I$1="Physics",Inputs!$I$1="Psychology",Inputs!$I$1="Religious_Studies",Inputs!$I$1="Sociology",Inputs!$I$1="Spanish",Inputs!$I$1="Statistics"),IF(Inputs!$I$2="Pupil Numbers",IF('KS2-4 Subject TMs'!$S$47="Gender",INDEX(INDIRECT(Inputs!$I$1),11,23),IF('KS2-4 Subject TMs'!$S$47="disadvantage",INDEX(INDIRECT(Inputs!$I$1),11,49),IF('KS2-4 Subject TMs'!$S$47="sen",INDEX(INDIRECT(Inputs!$I$1),11,75),IF('KS2-4 Subject TMs'!$S$47="eal",INDEX(INDIRECT(Inputs!$I$1),11,101),"")))),IF(Inputs!$I$2="Pupil Percentages",IF('KS2-4 Subject TMs'!$S$47="Gender",INDEX(INDIRECT(Inputs!$I$1),27,23),IF('KS2-4 Subject TMs'!$S$47="disadvantage",INDEX(INDIRECT(Inputs!$I$1),27,49),IF('KS2-4 Subject TMs'!$S$47="sen",INDEX(INDIRECT(Inputs!$I$1),27,75),IF('KS2-4 Subject TMs'!$S$47="eal",INDEX(INDIRECT(Inputs!$I$1),27,101),"")))))),"")))</f>
        <v/>
      </c>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row>
    <row r="56" spans="3:56" ht="23.1" customHeight="1" x14ac:dyDescent="0.5">
      <c r="C56" s="121"/>
      <c r="D56" s="60" t="s">
        <v>11</v>
      </c>
      <c r="E56" s="61" t="str">
        <f ca="1">IFERROR(IF(Inputs!$I$1="Please Select","",IF(Inputs!I$2="Please Select","",IF(Inputs!$I$2="Pupil Numbers",IF('KS2-4 Subject TMs'!$S$47="Gender",INDEX(INDIRECT(Inputs!$I$1),12,14),IF('KS2-4 Subject TMs'!$S$47="disadvantage",INDEX(INDIRECT(Inputs!$I$1),12,40),IF('KS2-4 Subject TMs'!$S$47="sen",INDEX(INDIRECT(Inputs!$I$1),12,66),IF('KS2-4 Subject TMs'!$S$47="eal",INDEX(INDIRECT(Inputs!$I$1),12,92),"")))),IF(Inputs!$I$2="Pupil Percentages",IF('KS2-4 Subject TMs'!$S$47="Gender",INDEX(INDIRECT(Inputs!$I$1),28,14),IF('KS2-4 Subject TMs'!$S$47="disadvantage",INDEX(INDIRECT(Inputs!$I$1),28,40),IF('KS2-4 Subject TMs'!$S$47="sen",INDEX(INDIRECT(Inputs!$I$1),28,66),IF('KS2-4 Subject TMs'!$S$47="eal",INDEX(INDIRECT(Inputs!$I$1),28,92),"")))))))),"")</f>
        <v/>
      </c>
      <c r="F56" s="61" t="str">
        <f ca="1">IFERROR(IF(Inputs!$I$1="Please Select","",IF(Inputs!I$2="Please Select","",IF(Inputs!$I$2="Pupil Numbers",IF('KS2-4 Subject TMs'!$S$47="Gender",INDEX(INDIRECT(Inputs!$I$1),12,15),IF('KS2-4 Subject TMs'!$S$47="disadvantage",INDEX(INDIRECT(Inputs!$I$1),12,41),IF('KS2-4 Subject TMs'!$S$47="sen",INDEX(INDIRECT(Inputs!$I$1),12,67),IF('KS2-4 Subject TMs'!$S$47="eal",INDEX(INDIRECT(Inputs!$I$1),12,93),"")))),IF(Inputs!$I$2="Pupil Percentages",IF('KS2-4 Subject TMs'!$S$47="Gender",INDEX(INDIRECT(Inputs!$I$1),28,15),IF('KS2-4 Subject TMs'!$S$47="disadvantage",INDEX(INDIRECT(Inputs!$I$1),28,41),IF('KS2-4 Subject TMs'!$S$47="sen",INDEX(INDIRECT(Inputs!$I$1),28,67),IF('KS2-4 Subject TMs'!$S$47="eal",INDEX(INDIRECT(Inputs!$I$1),28,93),"")))))))),"")</f>
        <v/>
      </c>
      <c r="G56" s="61" t="str">
        <f ca="1">IFERROR(IF(Inputs!$I$1="Please Select","",IF(Inputs!I$2="Please Select","",IF(Inputs!$I$2="Pupil Numbers",IF('KS2-4 Subject TMs'!$S$47="Gender",INDEX(INDIRECT(Inputs!$I$1),12,16),IF('KS2-4 Subject TMs'!$S$47="disadvantage",INDEX(INDIRECT(Inputs!$I$1),12,42),IF('KS2-4 Subject TMs'!$S$47="sen",INDEX(INDIRECT(Inputs!$I$1),12,68),IF('KS2-4 Subject TMs'!$S$47="eal",INDEX(INDIRECT(Inputs!$I$1),12,94),"")))),IF(Inputs!$I$2="Pupil Percentages",IF('KS2-4 Subject TMs'!$S$47="Gender",INDEX(INDIRECT(Inputs!$I$1),28,16),IF('KS2-4 Subject TMs'!$S$47="disadvantage",INDEX(INDIRECT(Inputs!$I$1),28,42),IF('KS2-4 Subject TMs'!$S$47="sen",INDEX(INDIRECT(Inputs!$I$1),28,68),IF('KS2-4 Subject TMs'!$S$47="eal",INDEX(INDIRECT(Inputs!$I$1),28,94),"")))))))),"")</f>
        <v/>
      </c>
      <c r="H56" s="61" t="str">
        <f ca="1">IFERROR(IF(Inputs!$I$1="Please Select","",IF(Inputs!I$2="Please Select","",IF(Inputs!$I$2="Pupil Numbers",IF('KS2-4 Subject TMs'!$S$47="Gender",INDEX(INDIRECT(Inputs!$I$1),12,17),IF('KS2-4 Subject TMs'!$S$47="disadvantage",INDEX(INDIRECT(Inputs!$I$1),12,43),IF('KS2-4 Subject TMs'!$S$47="sen",INDEX(INDIRECT(Inputs!$I$1),12,69),IF('KS2-4 Subject TMs'!$S$47="eal",INDEX(INDIRECT(Inputs!$I$1),12,95),"")))),IF(Inputs!$I$2="Pupil Percentages",IF('KS2-4 Subject TMs'!$S$47="Gender",INDEX(INDIRECT(Inputs!$I$1),28,17),IF('KS2-4 Subject TMs'!$S$47="disadvantage",INDEX(INDIRECT(Inputs!$I$1),28,43),IF('KS2-4 Subject TMs'!$S$47="sen",INDEX(INDIRECT(Inputs!$I$1),28,69),IF('KS2-4 Subject TMs'!$S$47="eal",INDEX(INDIRECT(Inputs!$I$1),28,95),"")))))))),"")</f>
        <v/>
      </c>
      <c r="I56" s="61" t="str">
        <f ca="1">IFERROR(IF(Inputs!$I$1="Please Select","",IF(Inputs!I$2="Please Select","",IF(Inputs!$I$2="Pupil Numbers",IF('KS2-4 Subject TMs'!$S$47="Gender",INDEX(INDIRECT(Inputs!$I$1),12,18),IF('KS2-4 Subject TMs'!$S$47="disadvantage",INDEX(INDIRECT(Inputs!$I$1),12,44),IF('KS2-4 Subject TMs'!$S$47="sen",INDEX(INDIRECT(Inputs!$I$1),12,70),IF('KS2-4 Subject TMs'!$S$47="eal",INDEX(INDIRECT(Inputs!$I$1),12,96),"")))),IF(Inputs!$I$2="Pupil Percentages",IF('KS2-4 Subject TMs'!$S$47="Gender",INDEX(INDIRECT(Inputs!$I$1),28,18),IF('KS2-4 Subject TMs'!$S$47="disadvantage",INDEX(INDIRECT(Inputs!$I$1),28,44),IF('KS2-4 Subject TMs'!$S$47="sen",INDEX(INDIRECT(Inputs!$I$1),28,70),IF('KS2-4 Subject TMs'!$S$47="eal",INDEX(INDIRECT(Inputs!$I$1),28,96),"")))))))),"")</f>
        <v/>
      </c>
      <c r="J56" s="61" t="str">
        <f ca="1">IFERROR(IF(Inputs!$I$1="Please Select","",IF(Inputs!I$2="Please Select","",IF(Inputs!$I$2="Pupil Numbers",IF('KS2-4 Subject TMs'!$S$47="Gender",INDEX(INDIRECT(Inputs!$I$1),12,19),IF('KS2-4 Subject TMs'!$S$47="disadvantage",INDEX(INDIRECT(Inputs!$I$1),12,45),IF('KS2-4 Subject TMs'!$S$47="sen",INDEX(INDIRECT(Inputs!$I$1),12,71),IF('KS2-4 Subject TMs'!$S$47="eal",INDEX(INDIRECT(Inputs!$I$1),12,97),"")))),IF(Inputs!$I$2="Pupil Percentages",IF('KS2-4 Subject TMs'!$S$47="Gender",INDEX(INDIRECT(Inputs!$I$1),28,19),IF('KS2-4 Subject TMs'!$S$47="disadvantage",INDEX(INDIRECT(Inputs!$I$1),28,45),IF('KS2-4 Subject TMs'!$S$47="sen",INDEX(INDIRECT(Inputs!$I$1),28,71),IF('KS2-4 Subject TMs'!$S$47="eal",INDEX(INDIRECT(Inputs!$I$1),28,97),"")))))))),"")</f>
        <v/>
      </c>
      <c r="K56" s="61" t="str">
        <f ca="1">IFERROR(IF(Inputs!$I$1="Please Select","",IF(Inputs!I$2="Please Select","",IF(Inputs!$I$2="Pupil Numbers",IF('KS2-4 Subject TMs'!$S$47="Gender",INDEX(INDIRECT(Inputs!$I$1),12,20),IF('KS2-4 Subject TMs'!$S$47="disadvantage",INDEX(INDIRECT(Inputs!$I$1),12,46),IF('KS2-4 Subject TMs'!$S$47="sen",INDEX(INDIRECT(Inputs!$I$1),12,72),IF('KS2-4 Subject TMs'!$S$47="eal",INDEX(INDIRECT(Inputs!$I$1),12,98),"")))),IF(Inputs!$I$2="Pupil Percentages",IF('KS2-4 Subject TMs'!$S$47="Gender",INDEX(INDIRECT(Inputs!$I$1),28,20),IF('KS2-4 Subject TMs'!$S$47="disadvantage",INDEX(INDIRECT(Inputs!$I$1),28,46),IF('KS2-4 Subject TMs'!$S$47="sen",INDEX(INDIRECT(Inputs!$I$1),28,72),IF('KS2-4 Subject TMs'!$S$47="eal",INDEX(INDIRECT(Inputs!$I$1),28,98),"")))))))),"")</f>
        <v/>
      </c>
      <c r="L56" s="61" t="str">
        <f ca="1">IFERROR(IF(Inputs!$I$1="Please Select","",IF(Inputs!I$2="Please Select","",IF(Inputs!$I$2="Pupil Numbers",IF('KS2-4 Subject TMs'!$S$47="Gender",INDEX(INDIRECT(Inputs!$I$1),12,21),IF('KS2-4 Subject TMs'!$S$47="disadvantage",INDEX(INDIRECT(Inputs!$I$1),12,47),IF('KS2-4 Subject TMs'!$S$47="sen",INDEX(INDIRECT(Inputs!$I$1),12,73),IF('KS2-4 Subject TMs'!$S$47="eal",INDEX(INDIRECT(Inputs!$I$1),12,99),"")))),IF(Inputs!$I$2="Pupil Percentages",IF('KS2-4 Subject TMs'!$S$47="Gender",INDEX(INDIRECT(Inputs!$I$1),28,21),IF('KS2-4 Subject TMs'!$S$47="disadvantage",INDEX(INDIRECT(Inputs!$I$1),28,47),IF('KS2-4 Subject TMs'!$S$47="sen",INDEX(INDIRECT(Inputs!$I$1),28,73),IF('KS2-4 Subject TMs'!$S$47="eal",INDEX(INDIRECT(Inputs!$I$1),28,99),"")))))))),"")</f>
        <v/>
      </c>
      <c r="M56" s="61" t="str">
        <f ca="1">IFERROR(IF(Inputs!$I$1="Please Select","",IF(Inputs!I$2="Please Select","",IF(Inputs!$I$2="Pupil Numbers",IF('KS2-4 Subject TMs'!$S$47="Gender",INDEX(INDIRECT(Inputs!$I$1),12,22),IF('KS2-4 Subject TMs'!$S$47="disadvantage",INDEX(INDIRECT(Inputs!$I$1),12,48),IF('KS2-4 Subject TMs'!$S$47="sen",INDEX(INDIRECT(Inputs!$I$1),12,74),IF('KS2-4 Subject TMs'!$S$47="eal",INDEX(INDIRECT(Inputs!$I$1),12,100),"")))),IF(Inputs!$I$2="Pupil Percentages",IF('KS2-4 Subject TMs'!$S$47="Gender",INDEX(INDIRECT(Inputs!$I$1),28,22),IF('KS2-4 Subject TMs'!$S$47="disadvantage",INDEX(INDIRECT(Inputs!$I$1),28,48),IF('KS2-4 Subject TMs'!$S$47="sen",INDEX(INDIRECT(Inputs!$I$1),28,74),IF('KS2-4 Subject TMs'!$S$47="eal",INDEX(INDIRECT(Inputs!$I$1),28,100),"")))))))),"")</f>
        <v/>
      </c>
      <c r="N56" s="69" t="str">
        <f ca="1">IF(Inputs!$I$1="Please Select","",IF(Inputs!I$2="Please Select","",IF(OR(Inputs!$I$1="Mathematics",Inputs!$I$1="English_Language",Inputs!$I$1="English_Literature",Inputs!$I$1="Art_Design",Inputs!$I$1="Biology",Inputs!$I$1="Business_Studies",Inputs!$I$1="Chemistry",Inputs!$I$1="Citizenship_Studies",Inputs!$I$1="Classical_Studies",Inputs!$I$1="Computer_Science",Inputs!$I$1="Dance",Inputs!$I$1="Economics",Inputs!$I$1="Engineering",Inputs!$I$1="Food_Preparation_and_Nutrition",Inputs!$I$1="French",Inputs!$I$1="Geography",Inputs!$I$1="German",Inputs!$I$1="History",Inputs!$I$1="Media_Studies",Inputs!$I$1="Music",Inputs!$I$1="Design_Technology",Inputs!$I$1="Other_Modern_Languages_9_to_1",Inputs!$I$1="Other_Sciences",Inputs!$I$1="Performing_Arts",Inputs!$I$1="Photography",Inputs!$I$1="Physical_Education",Inputs!$I$1="Physics",Inputs!$I$1="Psychology",Inputs!$I$1="Religious_Studies",Inputs!$I$1="Sociology",Inputs!$I$1="Spanish",Inputs!$I$1="Statistics"),IF(Inputs!$I$2="Pupil Numbers",IF('KS2-4 Subject TMs'!$S$47="Gender",INDEX(INDIRECT(Inputs!$I$1),12,23),IF('KS2-4 Subject TMs'!$S$47="disadvantage",INDEX(INDIRECT(Inputs!$I$1),12,49),IF('KS2-4 Subject TMs'!$S$47="sen",INDEX(INDIRECT(Inputs!$I$1),12,75),IF('KS2-4 Subject TMs'!$S$47="eal",INDEX(INDIRECT(Inputs!$I$1),12,101),"")))),IF(Inputs!$I$2="Pupil Percentages",IF('KS2-4 Subject TMs'!$S$47="Gender",INDEX(INDIRECT(Inputs!$I$1),28,23),IF('KS2-4 Subject TMs'!$S$47="disadvantage",INDEX(INDIRECT(Inputs!$I$1),28,49),IF('KS2-4 Subject TMs'!$S$47="sen",INDEX(INDIRECT(Inputs!$I$1),28,75),IF('KS2-4 Subject TMs'!$S$47="eal",INDEX(INDIRECT(Inputs!$I$1),28,101),"")))))),"")))</f>
        <v/>
      </c>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row>
    <row r="57" spans="3:56" ht="17.25" customHeight="1" x14ac:dyDescent="0.5">
      <c r="P57" s="15"/>
      <c r="Q57" s="15"/>
      <c r="R57" s="15"/>
      <c r="S57" s="15"/>
      <c r="T57" s="15"/>
      <c r="U57" s="15"/>
      <c r="V57" s="15"/>
      <c r="W57" s="15"/>
      <c r="X57" s="15"/>
      <c r="Y57" s="15"/>
      <c r="Z57" s="15"/>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row>
    <row r="58" spans="3:56" ht="14.25" customHeight="1" x14ac:dyDescent="0.5">
      <c r="P58" s="15"/>
      <c r="Q58" s="15"/>
      <c r="R58" s="15"/>
      <c r="S58" s="15"/>
      <c r="T58" s="15"/>
      <c r="U58" s="15"/>
      <c r="V58" s="15"/>
      <c r="W58" s="15"/>
      <c r="X58" s="15"/>
      <c r="Y58" s="15"/>
      <c r="Z58" s="15"/>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row>
    <row r="59" spans="3:56" ht="20.65" customHeight="1" x14ac:dyDescent="0.5">
      <c r="D59" s="5"/>
      <c r="E59" s="124" t="str">
        <f>IF($S$47="Gender","Male",IF($S$47="Disadvantage","Non-disadvantaged",IF($S$47="SEN","Non-SEN",IF($S$47="EAL","Non-EAL",""))))&amp;" Pupils"</f>
        <v>Male Pupils</v>
      </c>
      <c r="F59" s="124"/>
      <c r="G59" s="124"/>
      <c r="H59" s="124"/>
      <c r="P59" s="15"/>
      <c r="Q59" s="15"/>
      <c r="R59" s="15"/>
      <c r="S59" s="15"/>
      <c r="T59" s="15"/>
      <c r="U59" s="15"/>
      <c r="V59" s="15"/>
      <c r="W59" s="15"/>
      <c r="X59" s="15"/>
      <c r="Y59" s="15"/>
      <c r="Z59" s="15"/>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row>
    <row r="60" spans="3:56" ht="18" customHeight="1" x14ac:dyDescent="0.55000000000000004">
      <c r="C60" s="122" t="str">
        <f>IF(Inputs!$I$2="Pupil Numbers","Pupil Numbers",IF(Inputs!$I$2="Pupil Percentages","Pupil Percentages",""))</f>
        <v/>
      </c>
      <c r="D60" s="122"/>
      <c r="E60" s="58"/>
      <c r="F60" s="58"/>
      <c r="G60" s="58"/>
      <c r="H60" s="58"/>
      <c r="I60" s="58"/>
      <c r="J60" s="58"/>
      <c r="K60" s="58"/>
      <c r="L60" s="58"/>
      <c r="M60" s="58"/>
      <c r="N60" s="6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row>
    <row r="61" spans="3:56" ht="36" customHeight="1" x14ac:dyDescent="0.45">
      <c r="C61" s="122"/>
      <c r="D61" s="122"/>
      <c r="E61" s="70"/>
      <c r="F61" s="65"/>
      <c r="G61" s="65"/>
      <c r="H61" s="65"/>
      <c r="I61" s="66" t="s">
        <v>12</v>
      </c>
      <c r="J61" s="65"/>
      <c r="K61" s="65"/>
      <c r="L61" s="65"/>
      <c r="M61" s="65"/>
      <c r="N61" s="71"/>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row>
    <row r="62" spans="3:56" ht="20.100000000000001" customHeight="1" x14ac:dyDescent="0.45">
      <c r="C62" s="123"/>
      <c r="D62" s="123"/>
      <c r="E62" s="59" t="s">
        <v>0</v>
      </c>
      <c r="F62" s="59">
        <f>IF(OR(Inputs!$I$1="",Inputs!$I$1="Please Select",Inputs!$I$1="Mathematics",Inputs!$I$1="English_Language",Inputs!$I$1="English_Literature",Inputs!$I$1="Art_Design",Inputs!$I$1="Biology",Inputs!$I$1="Business_Studies",Inputs!$I$1="Chemistry",Inputs!$I$1="Citizenship_Studies",Inputs!$I$1="Classical_Studies",Inputs!$I$1="Computer_Science",Inputs!$I$1="Dance",Inputs!$I$1="Economics",Inputs!$I$1="Engineering",Inputs!$I$1="Food_Preparation_and_Nutrition",Inputs!$I$1="French",Inputs!$I$1="Geography",Inputs!$I$1="German",Inputs!$I$1="History",Inputs!$I$1="Media_Studies",Inputs!$I$1="Music",Inputs!$I$1="Design_Technology",Inputs!$I$1="Other_Modern_Languages_9_to_1",Inputs!$I$1="Other_Sciences",Inputs!$I$1="Performing_Arts",Inputs!$I$1="Photography",Inputs!$I$1="Physical_Education",Inputs!$I$1="Physics",Inputs!$I$1="Psychology",Inputs!$I$1="Religious_Studies",Inputs!$I$1="Sociology",Inputs!$I$1="Spanish",Inputs!$I$1="Statistics"),1,"G")</f>
        <v>1</v>
      </c>
      <c r="G62" s="59">
        <f>IF(OR(Inputs!$I$1="",Inputs!$I$1="Please Select",Inputs!$I$1="Mathematics",Inputs!$I$1="English_Language",Inputs!$I$1="English_Literature",Inputs!$I$1="Art_Design",Inputs!$I$1="Biology",Inputs!$I$1="Business_Studies",Inputs!$I$1="Chemistry",Inputs!$I$1="Citizenship_Studies",Inputs!$I$1="Classical_Studies",Inputs!$I$1="Computer_Science",Inputs!$I$1="Dance",Inputs!$I$1="Economics",Inputs!$I$1="Engineering",Inputs!$I$1="Food_Preparation_and_Nutrition",Inputs!$I$1="French",Inputs!$I$1="Geography",Inputs!$I$1="German",Inputs!$I$1="History",Inputs!$I$1="Media_Studies",Inputs!$I$1="Music",Inputs!$I$1="Design_Technology",Inputs!$I$1="Other_Modern_Languages_9_to_1",Inputs!$I$1="Other_Sciences",Inputs!$I$1="Performing_Arts",Inputs!$I$1="Photography",Inputs!$I$1="Physical_Education",Inputs!$I$1="Physics",Inputs!$I$1="Psychology",Inputs!$I$1="Religious_Studies",Inputs!$I$1="Sociology",Inputs!$I$1="Spanish",Inputs!$I$1="Statistics"),2,"F")</f>
        <v>2</v>
      </c>
      <c r="H62" s="67">
        <f>IF(OR(Inputs!$I$1="",Inputs!$I$1="Please Select",Inputs!$I$1="Mathematics",Inputs!$I$1="English_Language",Inputs!$I$1="English_Literature",Inputs!$I$1="Art_Design",Inputs!$I$1="Biology",Inputs!$I$1="Business_Studies",Inputs!$I$1="Chemistry",Inputs!$I$1="Citizenship_Studies",Inputs!$I$1="Classical_Studies",Inputs!$I$1="Computer_Science",Inputs!$I$1="Dance",Inputs!$I$1="Economics",Inputs!$I$1="Engineering",Inputs!$I$1="Food_Preparation_and_Nutrition",Inputs!$I$1="French",Inputs!$I$1="Geography",Inputs!$I$1="German",Inputs!$I$1="History",Inputs!$I$1="Media_Studies",Inputs!$I$1="Music",Inputs!$I$1="Design_Technology",Inputs!$I$1="Other_Modern_Languages_9_to_1",Inputs!$I$1="Other_Sciences",Inputs!$I$1="Performing_Arts",Inputs!$I$1="Photography",Inputs!$I$1="Physical_Education",Inputs!$I$1="Physics",Inputs!$I$1="Psychology",Inputs!$I$1="Religious_Studies",Inputs!$I$1="Sociology",Inputs!$I$1="Spanish",Inputs!$I$1="Statistics"),3,"E")</f>
        <v>3</v>
      </c>
      <c r="I62" s="59">
        <f>IF(OR(Inputs!$I$1="",Inputs!$I$1="Please Select",Inputs!$I$1="Mathematics",Inputs!$I$1="English_Language",Inputs!$I$1="English_Literature",Inputs!$I$1="Art_Design",Inputs!$I$1="Biology",Inputs!$I$1="Business_Studies",Inputs!$I$1="Chemistry",Inputs!$I$1="Citizenship_Studies",Inputs!$I$1="Classical_Studies",Inputs!$I$1="Computer_Science",Inputs!$I$1="Dance",Inputs!$I$1="Economics",Inputs!$I$1="Engineering",Inputs!$I$1="Food_Preparation_and_Nutrition",Inputs!$I$1="French",Inputs!$I$1="Geography",Inputs!$I$1="German",Inputs!$I$1="History",Inputs!$I$1="Media_Studies",Inputs!$I$1="Music",Inputs!$I$1="Design_Technology",Inputs!$I$1="Other_Modern_Languages_9_to_1",Inputs!$I$1="Other_Sciences",Inputs!$I$1="Performing_Arts",Inputs!$I$1="Photography",Inputs!$I$1="Physical_Education",Inputs!$I$1="Physics",Inputs!$I$1="Psychology",Inputs!$I$1="Religious_Studies",Inputs!$I$1="Sociology",Inputs!$I$1="Spanish",Inputs!$I$1="Statistics"),4,"D")</f>
        <v>4</v>
      </c>
      <c r="J62" s="59">
        <f>IF(OR(Inputs!$I$1="",Inputs!$I$1="Please Select",Inputs!$I$1="Mathematics",Inputs!$I$1="English_Language",Inputs!$I$1="English_Literature",Inputs!$I$1="Art_Design",Inputs!$I$1="Biology",Inputs!$I$1="Business_Studies",Inputs!$I$1="Chemistry",Inputs!$I$1="Citizenship_Studies",Inputs!$I$1="Classical_Studies",Inputs!$I$1="Computer_Science",Inputs!$I$1="Dance",Inputs!$I$1="Economics",Inputs!$I$1="Engineering",Inputs!$I$1="Food_Preparation_and_Nutrition",Inputs!$I$1="French",Inputs!$I$1="Geography",Inputs!$I$1="German",Inputs!$I$1="History",Inputs!$I$1="Media_Studies",Inputs!$I$1="Music",Inputs!$I$1="Design_Technology",Inputs!$I$1="Other_Modern_Languages_9_to_1",Inputs!$I$1="Other_Sciences",Inputs!$I$1="Performing_Arts",Inputs!$I$1="Photography",Inputs!$I$1="Physical_Education",Inputs!$I$1="Physics",Inputs!$I$1="Psychology",Inputs!$I$1="Religious_Studies",Inputs!$I$1="Sociology",Inputs!$I$1="Spanish",Inputs!$I$1="Statistics"),5,"C")</f>
        <v>5</v>
      </c>
      <c r="K62" s="59">
        <f>IF(OR(Inputs!$I$1="",Inputs!$I$1="Please Select",Inputs!$I$1="Mathematics",Inputs!$I$1="English_Language",Inputs!$I$1="English_Literature",Inputs!$I$1="Art_Design",Inputs!$I$1="Biology",Inputs!$I$1="Business_Studies",Inputs!$I$1="Chemistry",Inputs!$I$1="Citizenship_Studies",Inputs!$I$1="Classical_Studies",Inputs!$I$1="Computer_Science",Inputs!$I$1="Dance",Inputs!$I$1="Economics",Inputs!$I$1="Engineering",Inputs!$I$1="Food_Preparation_and_Nutrition",Inputs!$I$1="French",Inputs!$I$1="Geography",Inputs!$I$1="German",Inputs!$I$1="History",Inputs!$I$1="Media_Studies",Inputs!$I$1="Music",Inputs!$I$1="Design_Technology",Inputs!$I$1="Other_Modern_Languages_9_to_1",Inputs!$I$1="Other_Sciences",Inputs!$I$1="Performing_Arts",Inputs!$I$1="Photography",Inputs!$I$1="Physical_Education",Inputs!$I$1="Physics",Inputs!$I$1="Psychology",Inputs!$I$1="Religious_Studies",Inputs!$I$1="Sociology",Inputs!$I$1="Spanish",Inputs!$I$1="Statistics"),6,"B")</f>
        <v>6</v>
      </c>
      <c r="L62" s="59">
        <f>IF(OR(Inputs!$I$1="",Inputs!$I$1="Please Select",Inputs!$I$1="Mathematics",Inputs!$I$1="English_Language",Inputs!$I$1="English_Literature",Inputs!$I$1="Art_Design",Inputs!$I$1="Biology",Inputs!$I$1="Business_Studies",Inputs!$I$1="Chemistry",Inputs!$I$1="Citizenship_Studies",Inputs!$I$1="Classical_Studies",Inputs!$I$1="Computer_Science",Inputs!$I$1="Dance",Inputs!$I$1="Economics",Inputs!$I$1="Engineering",Inputs!$I$1="Food_Preparation_and_Nutrition",Inputs!$I$1="French",Inputs!$I$1="Geography",Inputs!$I$1="German",Inputs!$I$1="History",Inputs!$I$1="Media_Studies",Inputs!$I$1="Music",Inputs!$I$1="Design_Technology",Inputs!$I$1="Other_Modern_Languages_9_to_1",Inputs!$I$1="Other_Sciences",Inputs!$I$1="Performing_Arts",Inputs!$I$1="Photography",Inputs!$I$1="Physical_Education",Inputs!$I$1="Physics",Inputs!$I$1="Psychology",Inputs!$I$1="Religious_Studies",Inputs!$I$1="Sociology",Inputs!$I$1="Spanish",Inputs!$I$1="Statistics"),7,"A")</f>
        <v>7</v>
      </c>
      <c r="M62" s="67">
        <f>IF(OR(Inputs!$I$1="",Inputs!$I$1="Please Select",Inputs!$I$1="Mathematics",Inputs!$I$1="English_Language",Inputs!$I$1="English_Literature",Inputs!$I$1="Art_Design",Inputs!$I$1="Biology",Inputs!$I$1="Business_Studies",Inputs!$I$1="Chemistry",Inputs!$I$1="Citizenship_Studies",Inputs!$I$1="Classical_Studies",Inputs!$I$1="Computer_Science",Inputs!$I$1="Dance",Inputs!$I$1="Economics",Inputs!$I$1="Engineering",Inputs!$I$1="Food_Preparation_and_Nutrition",Inputs!$I$1="French",Inputs!$I$1="Geography",Inputs!$I$1="German",Inputs!$I$1="History",Inputs!$I$1="Media_Studies",Inputs!$I$1="Music",Inputs!$I$1="Design_Technology",Inputs!$I$1="Other_Modern_Languages_9_to_1",Inputs!$I$1="Other_Sciences",Inputs!$I$1="Performing_Arts",Inputs!$I$1="Photography",Inputs!$I$1="Physical_Education",Inputs!$I$1="Physics",Inputs!$I$1="Psychology",Inputs!$I$1="Religious_Studies",Inputs!$I$1="Sociology",Inputs!$I$1="Spanish",Inputs!$I$1="Statistics"),8,"A*")</f>
        <v>8</v>
      </c>
      <c r="N62" s="68">
        <f>IF(OR(Inputs!$I$1="",Inputs!$I$1="Please Select",Inputs!$I$1="Mathematics",Inputs!$I$1="English_Language",Inputs!$I$1="English_Literature",Inputs!$I$1="Art_Design",Inputs!$I$1="Biology",Inputs!$I$1="Business_Studies",Inputs!$I$1="Chemistry",Inputs!$I$1="Citizenship_Studies",Inputs!$I$1="Classical_Studies",Inputs!$I$1="Computer_Science",Inputs!$I$1="Dance",Inputs!$I$1="Economics",Inputs!$I$1="Engineering",Inputs!$I$1="Food_Preparation_and_Nutrition",Inputs!$I$1="French",Inputs!$I$1="Geography",Inputs!$I$1="German",Inputs!$I$1="History",Inputs!$I$1="Media_Studies",Inputs!$I$1="Music",Inputs!$I$1="Design_Technology",Inputs!$I$1="Other_Modern_Languages_9_to_1",Inputs!$I$1="Other_Sciences",Inputs!$I$1="Performing_Arts",Inputs!$I$1="Photography",Inputs!$I$1="Physical_Education",Inputs!$I$1="Physics",Inputs!$I$1="Psychology",Inputs!$I$1="Religious_Studies",Inputs!$I$1="Sociology",Inputs!$I$1="Spanish",Inputs!$I$1="Statistics"),9,"")</f>
        <v>9</v>
      </c>
      <c r="AD62" s="12"/>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row>
    <row r="63" spans="3:56" ht="23.1" customHeight="1" x14ac:dyDescent="0.5">
      <c r="C63" s="119" t="s">
        <v>13</v>
      </c>
      <c r="D63" s="60" t="s">
        <v>1</v>
      </c>
      <c r="E63" s="61" t="str">
        <f ca="1">IFERROR(IF(Inputs!$I$1="Please Select","",IF(Inputs!I$2="Please Select","",IF(Inputs!$I$2="Pupil Numbers",IF('KS2-4 Subject TMs'!$S$47="Gender",INDEX(INDIRECT(Inputs!$I$1),1,27),IF('KS2-4 Subject TMs'!$S$47="disadvantage",INDEX(INDIRECT(Inputs!$I$1),1,53),IF('KS2-4 Subject TMs'!$S$47="sen",INDEX(INDIRECT(Inputs!$I$1),1,79),IF('KS2-4 Subject TMs'!$S$47="eal",INDEX(INDIRECT(Inputs!$I$1),1,105),"")))),IF(Inputs!$I$2="Pupil Percentages",IF('KS2-4 Subject TMs'!$S$47="Gender",INDEX(INDIRECT(Inputs!$I$1),17,27),IF('KS2-4 Subject TMs'!$S$47="disadvantage",INDEX(INDIRECT(Inputs!$I$1),17,53),IF('KS2-4 Subject TMs'!$S$47="sen",INDEX(INDIRECT(Inputs!$I$1),17,79),IF('KS2-4 Subject TMs'!$S$47="eal",INDEX(INDIRECT(Inputs!$I$1),17,105),"")))))))),"")</f>
        <v/>
      </c>
      <c r="F63" s="61" t="str">
        <f ca="1">IFERROR(IF(Inputs!$I$1="Please Select","",IF(Inputs!I$2="Please Select","",IF(Inputs!$I$2="Pupil Numbers",IF('KS2-4 Subject TMs'!$S$47="Gender",INDEX(INDIRECT(Inputs!$I$1),1,28),IF('KS2-4 Subject TMs'!$S$47="disadvantage",INDEX(INDIRECT(Inputs!$I$1),1,54),IF('KS2-4 Subject TMs'!$S$47="sen",INDEX(INDIRECT(Inputs!$I$1),1,80),IF('KS2-4 Subject TMs'!$S$47="eal",INDEX(INDIRECT(Inputs!$I$1),1,106),"")))),IF(Inputs!$I$2="Pupil Percentages",IF('KS2-4 Subject TMs'!$S$47="Gender",INDEX(INDIRECT(Inputs!$I$1),17,28),IF('KS2-4 Subject TMs'!$S$47="disadvantage",INDEX(INDIRECT(Inputs!$I$1),17,54),IF('KS2-4 Subject TMs'!$S$47="sen",INDEX(INDIRECT(Inputs!$I$1),17,80),IF('KS2-4 Subject TMs'!$S$47="eal",INDEX(INDIRECT(Inputs!$I$1),17,106),"")))))))),"")</f>
        <v/>
      </c>
      <c r="G63" s="61" t="str">
        <f ca="1">IFERROR(IF(Inputs!$I$1="Please Select","",IF(Inputs!I$2="Please Select","",IF(Inputs!$I$2="Pupil Numbers",IF('KS2-4 Subject TMs'!$S$47="Gender",INDEX(INDIRECT(Inputs!$I$1),1,29),IF('KS2-4 Subject TMs'!$S$47="disadvantage",INDEX(INDIRECT(Inputs!$I$1),1,55),IF('KS2-4 Subject TMs'!$S$47="sen",INDEX(INDIRECT(Inputs!$I$1),1,81),IF('KS2-4 Subject TMs'!$S$47="eal",INDEX(INDIRECT(Inputs!$I$1),1,107),"")))),IF(Inputs!$I$2="Pupil Percentages",IF('KS2-4 Subject TMs'!$S$47="Gender",INDEX(INDIRECT(Inputs!$I$1),17,29),IF('KS2-4 Subject TMs'!$S$47="disadvantage",INDEX(INDIRECT(Inputs!$I$1),17,55),IF('KS2-4 Subject TMs'!$S$47="sen",INDEX(INDIRECT(Inputs!$I$1),17,81),IF('KS2-4 Subject TMs'!$S$47="eal",INDEX(INDIRECT(Inputs!$I$1),17,107),"")))))))),"")</f>
        <v/>
      </c>
      <c r="H63" s="61" t="str">
        <f ca="1">IFERROR(IF(Inputs!$I$1="Please Select","",IF(Inputs!I$2="Please Select","",IF(Inputs!$I$2="Pupil Numbers",IF('KS2-4 Subject TMs'!$S$47="Gender",INDEX(INDIRECT(Inputs!$I$1),1,30),IF('KS2-4 Subject TMs'!$S$47="disadvantage",INDEX(INDIRECT(Inputs!$I$1),1,56),IF('KS2-4 Subject TMs'!$S$47="sen",INDEX(INDIRECT(Inputs!$I$1),1,82),IF('KS2-4 Subject TMs'!$S$47="eal",INDEX(INDIRECT(Inputs!$I$1),1,108),"")))),IF(Inputs!$I$2="Pupil Percentages",IF('KS2-4 Subject TMs'!$S$47="Gender",INDEX(INDIRECT(Inputs!$I$1),17,30),IF('KS2-4 Subject TMs'!$S$47="disadvantage",INDEX(INDIRECT(Inputs!$I$1),17,56),IF('KS2-4 Subject TMs'!$S$47="sen",INDEX(INDIRECT(Inputs!$I$1),17,82),IF('KS2-4 Subject TMs'!$S$47="eal",INDEX(INDIRECT(Inputs!$I$1),17,108),"")))))))),"")</f>
        <v/>
      </c>
      <c r="I63" s="61" t="str">
        <f ca="1">IFERROR(IF(Inputs!$I$1="Please Select","",IF(Inputs!I$2="Please Select","",IF(Inputs!$I$2="Pupil Numbers",IF('KS2-4 Subject TMs'!$S$47="Gender",INDEX(INDIRECT(Inputs!$I$1),1,31),IF('KS2-4 Subject TMs'!$S$47="disadvantage",INDEX(INDIRECT(Inputs!$I$1),1,57),IF('KS2-4 Subject TMs'!$S$47="sen",INDEX(INDIRECT(Inputs!$I$1),1,83),IF('KS2-4 Subject TMs'!$S$47="eal",INDEX(INDIRECT(Inputs!$I$1),1,109),"")))),IF(Inputs!$I$2="Pupil Percentages",IF('KS2-4 Subject TMs'!$S$47="Gender",INDEX(INDIRECT(Inputs!$I$1),17,31),IF('KS2-4 Subject TMs'!$S$47="disadvantage",INDEX(INDIRECT(Inputs!$I$1),17,57),IF('KS2-4 Subject TMs'!$S$47="sen",INDEX(INDIRECT(Inputs!$I$1),17,83),IF('KS2-4 Subject TMs'!$S$47="eal",INDEX(INDIRECT(Inputs!$I$1),17,109),"")))))))),"")</f>
        <v/>
      </c>
      <c r="J63" s="61" t="str">
        <f ca="1">IFERROR(IF(Inputs!$I$1="Please Select","",IF(Inputs!I$2="Please Select","",IF(Inputs!$I$2="Pupil Numbers",IF('KS2-4 Subject TMs'!$S$47="Gender",INDEX(INDIRECT(Inputs!$I$1),1,32),IF('KS2-4 Subject TMs'!$S$47="disadvantage",INDEX(INDIRECT(Inputs!$I$1),1,58),IF('KS2-4 Subject TMs'!$S$47="sen",INDEX(INDIRECT(Inputs!$I$1),1,84),IF('KS2-4 Subject TMs'!$S$47="eal",INDEX(INDIRECT(Inputs!$I$1),1,110),"")))),IF(Inputs!$I$2="Pupil Percentages",IF('KS2-4 Subject TMs'!$S$47="Gender",INDEX(INDIRECT(Inputs!$I$1),17,32),IF('KS2-4 Subject TMs'!$S$47="disadvantage",INDEX(INDIRECT(Inputs!$I$1),17,58),IF('KS2-4 Subject TMs'!$S$47="sen",INDEX(INDIRECT(Inputs!$I$1),17,84),IF('KS2-4 Subject TMs'!$S$47="eal",INDEX(INDIRECT(Inputs!$I$1),17,110),"")))))))),"")</f>
        <v/>
      </c>
      <c r="K63" s="61" t="str">
        <f ca="1">IFERROR(IF(Inputs!$I$1="Please Select","",IF(Inputs!I$2="Please Select","",IF(Inputs!$I$2="Pupil Numbers",IF('KS2-4 Subject TMs'!$S$47="Gender",INDEX(INDIRECT(Inputs!$I$1),1,33),IF('KS2-4 Subject TMs'!$S$47="disadvantage",INDEX(INDIRECT(Inputs!$I$1),1,59),IF('KS2-4 Subject TMs'!$S$47="sen",INDEX(INDIRECT(Inputs!$I$1),1,85),IF('KS2-4 Subject TMs'!$S$47="eal",INDEX(INDIRECT(Inputs!$I$1),1,111),"")))),IF(Inputs!$I$2="Pupil Percentages",IF('KS2-4 Subject TMs'!$S$47="Gender",INDEX(INDIRECT(Inputs!$I$1),17,33),IF('KS2-4 Subject TMs'!$S$47="disadvantage",INDEX(INDIRECT(Inputs!$I$1),17,59),IF('KS2-4 Subject TMs'!$S$47="sen",INDEX(INDIRECT(Inputs!$I$1),17,85),IF('KS2-4 Subject TMs'!$S$47="eal",INDEX(INDIRECT(Inputs!$I$1),17,111),"")))))))),"")</f>
        <v/>
      </c>
      <c r="L63" s="61" t="str">
        <f ca="1">IFERROR(IF(Inputs!$I$1="Please Select","",IF(Inputs!I$2="Please Select","",IF(Inputs!$I$2="Pupil Numbers",IF('KS2-4 Subject TMs'!$S$47="Gender",INDEX(INDIRECT(Inputs!$I$1),1,34),IF('KS2-4 Subject TMs'!$S$47="disadvantage",INDEX(INDIRECT(Inputs!$I$1),1,60),IF('KS2-4 Subject TMs'!$S$47="sen",INDEX(INDIRECT(Inputs!$I$1),1,86),IF('KS2-4 Subject TMs'!$S$47="eal",INDEX(INDIRECT(Inputs!$I$1),1,112),"")))),IF(Inputs!$I$2="Pupil Percentages",IF('KS2-4 Subject TMs'!$S$47="Gender",INDEX(INDIRECT(Inputs!$I$1),17,34),IF('KS2-4 Subject TMs'!$S$47="disadvantage",INDEX(INDIRECT(Inputs!$I$1),17,60),IF('KS2-4 Subject TMs'!$S$47="sen",INDEX(INDIRECT(Inputs!$I$1),17,86),IF('KS2-4 Subject TMs'!$S$47="eal",INDEX(INDIRECT(Inputs!$I$1),17,112),"")))))))),"")</f>
        <v/>
      </c>
      <c r="M63" s="61" t="str">
        <f ca="1">IFERROR(IF(Inputs!$I$1="Please Select","",IF(Inputs!I$2="Please Select","",IF(Inputs!$I$2="Pupil Numbers",IF('KS2-4 Subject TMs'!$S$47="Gender",INDEX(INDIRECT(Inputs!$I$1),1,35),IF('KS2-4 Subject TMs'!$S$47="disadvantage",INDEX(INDIRECT(Inputs!$I$1),1,61),IF('KS2-4 Subject TMs'!$S$47="sen",INDEX(INDIRECT(Inputs!$I$1),1,87),IF('KS2-4 Subject TMs'!$S$47="eal",INDEX(INDIRECT(Inputs!$I$1),1,113),"")))),IF(Inputs!$I$2="Pupil Percentages",IF('KS2-4 Subject TMs'!$S$47="Gender",INDEX(INDIRECT(Inputs!$I$1),17,35),IF('KS2-4 Subject TMs'!$S$47="disadvantage",INDEX(INDIRECT(Inputs!$I$1),17,61),IF('KS2-4 Subject TMs'!$S$47="sen",INDEX(INDIRECT(Inputs!$I$1),17,87),IF('KS2-4 Subject TMs'!$S$47="eal",INDEX(INDIRECT(Inputs!$I$1),17,113),"")))))))),"")</f>
        <v/>
      </c>
      <c r="N63" s="69" t="str">
        <f ca="1">IF(Inputs!$I$1="Please Select","",IF(Inputs!I$2="Please Select","",IF(OR(Inputs!$I$1="Mathematics",Inputs!$I$1="English_Language",Inputs!$I$1="English_Literature",Inputs!$I$1="Art_Design",Inputs!$I$1="Biology",Inputs!$I$1="Business_Studies",Inputs!$I$1="Chemistry",Inputs!$I$1="Citizenship_Studies",Inputs!$I$1="Classical_Studies",Inputs!$I$1="Computer_Science",Inputs!$I$1="Dance",Inputs!$I$1="Economics",Inputs!$I$1="Engineering",Inputs!$I$1="Food_Preparation_and_Nutrition",Inputs!$I$1="French",Inputs!$I$1="Geography",Inputs!$I$1="German",Inputs!$I$1="History",Inputs!$I$1="Media_Studies",Inputs!$I$1="Music",Inputs!$I$1="Design_Technology",Inputs!$I$1="Other_Modern_Languages_9_to_1",Inputs!$I$1="Other_Sciences",Inputs!$I$1="Performing_Arts",Inputs!$I$1="Photography",Inputs!$I$1="Physical_Education",Inputs!$I$1="Physics",Inputs!$I$1="Psychology",Inputs!$I$1="Religious_Studies",Inputs!$I$1="Sociology",Inputs!$I$1="Spanish",Inputs!$I$1="Statistics"),IF(Inputs!$I$2="Pupil Numbers",IF('KS2-4 Subject TMs'!$S$47="Gender",INDEX(INDIRECT(Inputs!$I$1),1,36),IF('KS2-4 Subject TMs'!$S$47="disadvantage",INDEX(INDIRECT(Inputs!$I$1),1,62),IF('KS2-4 Subject TMs'!$S$47="sen",INDEX(INDIRECT(Inputs!$I$1),1,88),IF('KS2-4 Subject TMs'!$S$47="eal",INDEX(INDIRECT(Inputs!$I$1),1,114),"")))),IF(Inputs!$I$2="Pupil Percentages",IF('KS2-4 Subject TMs'!$S$47="Gender",INDEX(INDIRECT(Inputs!$I$1),17,36),IF('KS2-4 Subject TMs'!$S$47="disadvantage",INDEX(INDIRECT(Inputs!$I$1),17,62),IF('KS2-4 Subject TMs'!$S$47="sen",INDEX(INDIRECT(Inputs!$I$1),17,88),IF('KS2-4 Subject TMs'!$S$47="eal",INDEX(INDIRECT(Inputs!$I$1),17,114),"")))))),"")))</f>
        <v/>
      </c>
      <c r="AD63" s="12"/>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row>
    <row r="64" spans="3:56" ht="23.1" customHeight="1" x14ac:dyDescent="0.5">
      <c r="C64" s="120"/>
      <c r="D64" s="60" t="s">
        <v>56</v>
      </c>
      <c r="E64" s="61" t="str">
        <f ca="1">IFERROR(IF(Inputs!$I$1="Please Select","",IF(Inputs!I$2="Please Select","",IF(Inputs!$I$2="Pupil Numbers",IF('KS2-4 Subject TMs'!$S$47="Gender",INDEX(INDIRECT(Inputs!$I$1),2,27),IF('KS2-4 Subject TMs'!$S$47="disadvantage",INDEX(INDIRECT(Inputs!$I$1),2,53),IF('KS2-4 Subject TMs'!$S$47="sen",INDEX(INDIRECT(Inputs!$I$1),2,79),IF('KS2-4 Subject TMs'!$S$47="eal",INDEX(INDIRECT(Inputs!$I$1),2,105),"")))),IF(Inputs!$I$2="Pupil Percentages",IF('KS2-4 Subject TMs'!$S$47="Gender",INDEX(INDIRECT(Inputs!$I$1),18,27),IF('KS2-4 Subject TMs'!$S$47="disadvantage",INDEX(INDIRECT(Inputs!$I$1),18,53),IF('KS2-4 Subject TMs'!$S$47="sen",INDEX(INDIRECT(Inputs!$I$1),18,79),IF('KS2-4 Subject TMs'!$S$47="eal",INDEX(INDIRECT(Inputs!$I$1),18,105),"")))))))),"")</f>
        <v/>
      </c>
      <c r="F64" s="61" t="str">
        <f ca="1">IFERROR(IF(Inputs!$I$1="Please Select","",IF(Inputs!I$2="Please Select","",IF(Inputs!$I$2="Pupil Numbers",IF('KS2-4 Subject TMs'!$S$47="Gender",INDEX(INDIRECT(Inputs!$I$1),2,28),IF('KS2-4 Subject TMs'!$S$47="disadvantage",INDEX(INDIRECT(Inputs!$I$1),2,54),IF('KS2-4 Subject TMs'!$S$47="sen",INDEX(INDIRECT(Inputs!$I$1),2,80),IF('KS2-4 Subject TMs'!$S$47="eal",INDEX(INDIRECT(Inputs!$I$1),2,106),"")))),IF(Inputs!$I$2="Pupil Percentages",IF('KS2-4 Subject TMs'!$S$47="Gender",INDEX(INDIRECT(Inputs!$I$1),18,28),IF('KS2-4 Subject TMs'!$S$47="disadvantage",INDEX(INDIRECT(Inputs!$I$1),18,54),IF('KS2-4 Subject TMs'!$S$47="sen",INDEX(INDIRECT(Inputs!$I$1),18,80),IF('KS2-4 Subject TMs'!$S$47="eal",INDEX(INDIRECT(Inputs!$I$1),18,106),"")))))))),"")</f>
        <v/>
      </c>
      <c r="G64" s="61" t="str">
        <f ca="1">IFERROR(IF(Inputs!$I$1="Please Select","",IF(Inputs!I$2="Please Select","",IF(Inputs!$I$2="Pupil Numbers",IF('KS2-4 Subject TMs'!$S$47="Gender",INDEX(INDIRECT(Inputs!$I$1),2,29),IF('KS2-4 Subject TMs'!$S$47="disadvantage",INDEX(INDIRECT(Inputs!$I$1),2,55),IF('KS2-4 Subject TMs'!$S$47="sen",INDEX(INDIRECT(Inputs!$I$1),2,81),IF('KS2-4 Subject TMs'!$S$47="eal",INDEX(INDIRECT(Inputs!$I$1),2,107),"")))),IF(Inputs!$I$2="Pupil Percentages",IF('KS2-4 Subject TMs'!$S$47="Gender",INDEX(INDIRECT(Inputs!$I$1),18,29),IF('KS2-4 Subject TMs'!$S$47="disadvantage",INDEX(INDIRECT(Inputs!$I$1),18,55),IF('KS2-4 Subject TMs'!$S$47="sen",INDEX(INDIRECT(Inputs!$I$1),18,81),IF('KS2-4 Subject TMs'!$S$47="eal",INDEX(INDIRECT(Inputs!$I$1),18,107),"")))))))),"")</f>
        <v/>
      </c>
      <c r="H64" s="61" t="str">
        <f ca="1">IFERROR(IF(Inputs!$I$1="Please Select","",IF(Inputs!I$2="Please Select","",IF(Inputs!$I$2="Pupil Numbers",IF('KS2-4 Subject TMs'!$S$47="Gender",INDEX(INDIRECT(Inputs!$I$1),2,30),IF('KS2-4 Subject TMs'!$S$47="disadvantage",INDEX(INDIRECT(Inputs!$I$1),2,56),IF('KS2-4 Subject TMs'!$S$47="sen",INDEX(INDIRECT(Inputs!$I$1),2,82),IF('KS2-4 Subject TMs'!$S$47="eal",INDEX(INDIRECT(Inputs!$I$1),2,108),"")))),IF(Inputs!$I$2="Pupil Percentages",IF('KS2-4 Subject TMs'!$S$47="Gender",INDEX(INDIRECT(Inputs!$I$1),18,30),IF('KS2-4 Subject TMs'!$S$47="disadvantage",INDEX(INDIRECT(Inputs!$I$1),18,56),IF('KS2-4 Subject TMs'!$S$47="sen",INDEX(INDIRECT(Inputs!$I$1),18,82),IF('KS2-4 Subject TMs'!$S$47="eal",INDEX(INDIRECT(Inputs!$I$1),18,108),"")))))))),"")</f>
        <v/>
      </c>
      <c r="I64" s="61" t="str">
        <f ca="1">IFERROR(IF(Inputs!$I$1="Please Select","",IF(Inputs!I$2="Please Select","",IF(Inputs!$I$2="Pupil Numbers",IF('KS2-4 Subject TMs'!$S$47="Gender",INDEX(INDIRECT(Inputs!$I$1),2,31),IF('KS2-4 Subject TMs'!$S$47="disadvantage",INDEX(INDIRECT(Inputs!$I$1),2,57),IF('KS2-4 Subject TMs'!$S$47="sen",INDEX(INDIRECT(Inputs!$I$1),2,83),IF('KS2-4 Subject TMs'!$S$47="eal",INDEX(INDIRECT(Inputs!$I$1),2,109),"")))),IF(Inputs!$I$2="Pupil Percentages",IF('KS2-4 Subject TMs'!$S$47="Gender",INDEX(INDIRECT(Inputs!$I$1),18,31),IF('KS2-4 Subject TMs'!$S$47="disadvantage",INDEX(INDIRECT(Inputs!$I$1),18,57),IF('KS2-4 Subject TMs'!$S$47="sen",INDEX(INDIRECT(Inputs!$I$1),18,83),IF('KS2-4 Subject TMs'!$S$47="eal",INDEX(INDIRECT(Inputs!$I$1),18,109),"")))))))),"")</f>
        <v/>
      </c>
      <c r="J64" s="61" t="str">
        <f ca="1">IFERROR(IF(Inputs!$I$1="Please Select","",IF(Inputs!I$2="Please Select","",IF(Inputs!$I$2="Pupil Numbers",IF('KS2-4 Subject TMs'!$S$47="Gender",INDEX(INDIRECT(Inputs!$I$1),2,32),IF('KS2-4 Subject TMs'!$S$47="disadvantage",INDEX(INDIRECT(Inputs!$I$1),2,58),IF('KS2-4 Subject TMs'!$S$47="sen",INDEX(INDIRECT(Inputs!$I$1),2,84),IF('KS2-4 Subject TMs'!$S$47="eal",INDEX(INDIRECT(Inputs!$I$1),2,110),"")))),IF(Inputs!$I$2="Pupil Percentages",IF('KS2-4 Subject TMs'!$S$47="Gender",INDEX(INDIRECT(Inputs!$I$1),18,32),IF('KS2-4 Subject TMs'!$S$47="disadvantage",INDEX(INDIRECT(Inputs!$I$1),18,58),IF('KS2-4 Subject TMs'!$S$47="sen",INDEX(INDIRECT(Inputs!$I$1),18,84),IF('KS2-4 Subject TMs'!$S$47="eal",INDEX(INDIRECT(Inputs!$I$1),18,110),"")))))))),"")</f>
        <v/>
      </c>
      <c r="K64" s="61" t="str">
        <f ca="1">IFERROR(IF(Inputs!$I$1="Please Select","",IF(Inputs!I$2="Please Select","",IF(Inputs!$I$2="Pupil Numbers",IF('KS2-4 Subject TMs'!$S$47="Gender",INDEX(INDIRECT(Inputs!$I$1),2,33),IF('KS2-4 Subject TMs'!$S$47="disadvantage",INDEX(INDIRECT(Inputs!$I$1),2,59),IF('KS2-4 Subject TMs'!$S$47="sen",INDEX(INDIRECT(Inputs!$I$1),2,85),IF('KS2-4 Subject TMs'!$S$47="eal",INDEX(INDIRECT(Inputs!$I$1),2,111),"")))),IF(Inputs!$I$2="Pupil Percentages",IF('KS2-4 Subject TMs'!$S$47="Gender",INDEX(INDIRECT(Inputs!$I$1),18,33),IF('KS2-4 Subject TMs'!$S$47="disadvantage",INDEX(INDIRECT(Inputs!$I$1),18,59),IF('KS2-4 Subject TMs'!$S$47="sen",INDEX(INDIRECT(Inputs!$I$1),18,85),IF('KS2-4 Subject TMs'!$S$47="eal",INDEX(INDIRECT(Inputs!$I$1),18,111),"")))))))),"")</f>
        <v/>
      </c>
      <c r="L64" s="61" t="str">
        <f ca="1">IFERROR(IF(Inputs!$I$1="Please Select","",IF(Inputs!I$2="Please Select","",IF(Inputs!$I$2="Pupil Numbers",IF('KS2-4 Subject TMs'!$S$47="Gender",INDEX(INDIRECT(Inputs!$I$1),2,34),IF('KS2-4 Subject TMs'!$S$47="disadvantage",INDEX(INDIRECT(Inputs!$I$1),2,60),IF('KS2-4 Subject TMs'!$S$47="sen",INDEX(INDIRECT(Inputs!$I$1),2,86),IF('KS2-4 Subject TMs'!$S$47="eal",INDEX(INDIRECT(Inputs!$I$1),2,112),"")))),IF(Inputs!$I$2="Pupil Percentages",IF('KS2-4 Subject TMs'!$S$47="Gender",INDEX(INDIRECT(Inputs!$I$1),18,34),IF('KS2-4 Subject TMs'!$S$47="disadvantage",INDEX(INDIRECT(Inputs!$I$1),18,60),IF('KS2-4 Subject TMs'!$S$47="sen",INDEX(INDIRECT(Inputs!$I$1),18,86),IF('KS2-4 Subject TMs'!$S$47="eal",INDEX(INDIRECT(Inputs!$I$1),18,112),"")))))))),"")</f>
        <v/>
      </c>
      <c r="M64" s="61" t="str">
        <f ca="1">IFERROR(IF(Inputs!$I$1="Please Select","",IF(Inputs!I$2="Please Select","",IF(Inputs!$I$2="Pupil Numbers",IF('KS2-4 Subject TMs'!$S$47="Gender",INDEX(INDIRECT(Inputs!$I$1),2,35),IF('KS2-4 Subject TMs'!$S$47="disadvantage",INDEX(INDIRECT(Inputs!$I$1),2,61),IF('KS2-4 Subject TMs'!$S$47="sen",INDEX(INDIRECT(Inputs!$I$1),2,87),IF('KS2-4 Subject TMs'!$S$47="eal",INDEX(INDIRECT(Inputs!$I$1),2,113),"")))),IF(Inputs!$I$2="Pupil Percentages",IF('KS2-4 Subject TMs'!$S$47="Gender",INDEX(INDIRECT(Inputs!$I$1),18,35),IF('KS2-4 Subject TMs'!$S$47="disadvantage",INDEX(INDIRECT(Inputs!$I$1),18,61),IF('KS2-4 Subject TMs'!$S$47="sen",INDEX(INDIRECT(Inputs!$I$1),18,87),IF('KS2-4 Subject TMs'!$S$47="eal",INDEX(INDIRECT(Inputs!$I$1),18,113),"")))))))),"")</f>
        <v/>
      </c>
      <c r="N64" s="69" t="str">
        <f ca="1">IF(Inputs!$I$1="Please Select","",IF(Inputs!I$2="Please Select","",IF(OR(Inputs!$I$1="Mathematics",Inputs!$I$1="English_Language",Inputs!$I$1="English_Literature",Inputs!$I$1="Art_Design",Inputs!$I$1="Biology",Inputs!$I$1="Business_Studies",Inputs!$I$1="Chemistry",Inputs!$I$1="Citizenship_Studies",Inputs!$I$1="Classical_Studies",Inputs!$I$1="Computer_Science",Inputs!$I$1="Dance",Inputs!$I$1="Economics",Inputs!$I$1="Engineering",Inputs!$I$1="Food_Preparation_and_Nutrition",Inputs!$I$1="French",Inputs!$I$1="Geography",Inputs!$I$1="German",Inputs!$I$1="History",Inputs!$I$1="Media_Studies",Inputs!$I$1="Music",Inputs!$I$1="Design_Technology",Inputs!$I$1="Other_Modern_Languages_9_to_1",Inputs!$I$1="Other_Sciences",Inputs!$I$1="Performing_Arts",Inputs!$I$1="Photography",Inputs!$I$1="Physical_Education",Inputs!$I$1="Physics",Inputs!$I$1="Psychology",Inputs!$I$1="Religious_Studies",Inputs!$I$1="Sociology",Inputs!$I$1="Spanish",Inputs!$I$1="Statistics"),IF(Inputs!$I$2="Pupil Numbers",IF('KS2-4 Subject TMs'!$S$47="Gender",INDEX(INDIRECT(Inputs!$I$1),2,36),IF('KS2-4 Subject TMs'!$S$47="disadvantage",INDEX(INDIRECT(Inputs!$I$1),2,62),IF('KS2-4 Subject TMs'!$S$47="sen",INDEX(INDIRECT(Inputs!$I$1),2,88),IF('KS2-4 Subject TMs'!$S$47="eal",INDEX(INDIRECT(Inputs!$I$1),2,114),"")))),IF(Inputs!$I$2="Pupil Percentages",IF('KS2-4 Subject TMs'!$S$47="Gender",INDEX(INDIRECT(Inputs!$I$1),18,36),IF('KS2-4 Subject TMs'!$S$47="disadvantage",INDEX(INDIRECT(Inputs!$I$1),18,62),IF('KS2-4 Subject TMs'!$S$47="sen",INDEX(INDIRECT(Inputs!$I$1),18,88),IF('KS2-4 Subject TMs'!$S$47="eal",INDEX(INDIRECT(Inputs!$I$1),18,114),"")))))),"")))</f>
        <v/>
      </c>
      <c r="AD64" s="12"/>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row>
    <row r="65" spans="3:56" ht="23.1" customHeight="1" x14ac:dyDescent="0.5">
      <c r="C65" s="120"/>
      <c r="D65" s="60" t="s">
        <v>2</v>
      </c>
      <c r="E65" s="61" t="str">
        <f ca="1">IFERROR(IF(Inputs!$I$1="Please Select","",IF(Inputs!I$2="Please Select","",IF(Inputs!$I$2="Pupil Numbers",IF('KS2-4 Subject TMs'!$S$47="Gender",INDEX(INDIRECT(Inputs!$I$1),3,27),IF('KS2-4 Subject TMs'!$S$47="disadvantage",INDEX(INDIRECT(Inputs!$I$1),3,53),IF('KS2-4 Subject TMs'!$S$47="sen",INDEX(INDIRECT(Inputs!$I$1),3,79),IF('KS2-4 Subject TMs'!$S$47="eal",INDEX(INDIRECT(Inputs!$I$1),3,105),"")))),IF(Inputs!$I$2="Pupil Percentages",IF('KS2-4 Subject TMs'!$S$47="Gender",INDEX(INDIRECT(Inputs!$I$1),19,27),IF('KS2-4 Subject TMs'!$S$47="disadvantage",INDEX(INDIRECT(Inputs!$I$1),19,53),IF('KS2-4 Subject TMs'!$S$47="sen",INDEX(INDIRECT(Inputs!$I$1),19,79),IF('KS2-4 Subject TMs'!$S$47="eal",INDEX(INDIRECT(Inputs!$I$1),19,105),"")))))))),"")</f>
        <v/>
      </c>
      <c r="F65" s="61" t="str">
        <f ca="1">IFERROR(IF(Inputs!$I$1="Please Select","",IF(Inputs!I$2="Please Select","",IF(Inputs!$I$2="Pupil Numbers",IF('KS2-4 Subject TMs'!$S$47="Gender",INDEX(INDIRECT(Inputs!$I$1),3,28),IF('KS2-4 Subject TMs'!$S$47="disadvantage",INDEX(INDIRECT(Inputs!$I$1),3,54),IF('KS2-4 Subject TMs'!$S$47="sen",INDEX(INDIRECT(Inputs!$I$1),3,80),IF('KS2-4 Subject TMs'!$S$47="eal",INDEX(INDIRECT(Inputs!$I$1),3,106),"")))),IF(Inputs!$I$2="Pupil Percentages",IF('KS2-4 Subject TMs'!$S$47="Gender",INDEX(INDIRECT(Inputs!$I$1),19,28),IF('KS2-4 Subject TMs'!$S$47="disadvantage",INDEX(INDIRECT(Inputs!$I$1),19,54),IF('KS2-4 Subject TMs'!$S$47="sen",INDEX(INDIRECT(Inputs!$I$1),19,80),IF('KS2-4 Subject TMs'!$S$47="eal",INDEX(INDIRECT(Inputs!$I$1),19,106),"")))))))),"")</f>
        <v/>
      </c>
      <c r="G65" s="61" t="str">
        <f ca="1">IFERROR(IF(Inputs!$I$1="Please Select","",IF(Inputs!I$2="Please Select","",IF(Inputs!$I$2="Pupil Numbers",IF('KS2-4 Subject TMs'!$S$47="Gender",INDEX(INDIRECT(Inputs!$I$1),3,29),IF('KS2-4 Subject TMs'!$S$47="disadvantage",INDEX(INDIRECT(Inputs!$I$1),3,55),IF('KS2-4 Subject TMs'!$S$47="sen",INDEX(INDIRECT(Inputs!$I$1),3,81),IF('KS2-4 Subject TMs'!$S$47="eal",INDEX(INDIRECT(Inputs!$I$1),3,107),"")))),IF(Inputs!$I$2="Pupil Percentages",IF('KS2-4 Subject TMs'!$S$47="Gender",INDEX(INDIRECT(Inputs!$I$1),19,29),IF('KS2-4 Subject TMs'!$S$47="disadvantage",INDEX(INDIRECT(Inputs!$I$1),19,55),IF('KS2-4 Subject TMs'!$S$47="sen",INDEX(INDIRECT(Inputs!$I$1),19,81),IF('KS2-4 Subject TMs'!$S$47="eal",INDEX(INDIRECT(Inputs!$I$1),19,107),"")))))))),"")</f>
        <v/>
      </c>
      <c r="H65" s="61" t="str">
        <f ca="1">IFERROR(IF(Inputs!$I$1="Please Select","",IF(Inputs!I$2="Please Select","",IF(Inputs!$I$2="Pupil Numbers",IF('KS2-4 Subject TMs'!$S$47="Gender",INDEX(INDIRECT(Inputs!$I$1),3,30),IF('KS2-4 Subject TMs'!$S$47="disadvantage",INDEX(INDIRECT(Inputs!$I$1),3,56),IF('KS2-4 Subject TMs'!$S$47="sen",INDEX(INDIRECT(Inputs!$I$1),3,82),IF('KS2-4 Subject TMs'!$S$47="eal",INDEX(INDIRECT(Inputs!$I$1),3,108),"")))),IF(Inputs!$I$2="Pupil Percentages",IF('KS2-4 Subject TMs'!$S$47="Gender",INDEX(INDIRECT(Inputs!$I$1),19,30),IF('KS2-4 Subject TMs'!$S$47="disadvantage",INDEX(INDIRECT(Inputs!$I$1),19,56),IF('KS2-4 Subject TMs'!$S$47="sen",INDEX(INDIRECT(Inputs!$I$1),19,82),IF('KS2-4 Subject TMs'!$S$47="eal",INDEX(INDIRECT(Inputs!$I$1),19,108),"")))))))),"")</f>
        <v/>
      </c>
      <c r="I65" s="61" t="str">
        <f ca="1">IFERROR(IF(Inputs!$I$1="Please Select","",IF(Inputs!I$2="Please Select","",IF(Inputs!$I$2="Pupil Numbers",IF('KS2-4 Subject TMs'!$S$47="Gender",INDEX(INDIRECT(Inputs!$I$1),3,31),IF('KS2-4 Subject TMs'!$S$47="disadvantage",INDEX(INDIRECT(Inputs!$I$1),3,57),IF('KS2-4 Subject TMs'!$S$47="sen",INDEX(INDIRECT(Inputs!$I$1),3,83),IF('KS2-4 Subject TMs'!$S$47="eal",INDEX(INDIRECT(Inputs!$I$1),3,109),"")))),IF(Inputs!$I$2="Pupil Percentages",IF('KS2-4 Subject TMs'!$S$47="Gender",INDEX(INDIRECT(Inputs!$I$1),19,31),IF('KS2-4 Subject TMs'!$S$47="disadvantage",INDEX(INDIRECT(Inputs!$I$1),19,57),IF('KS2-4 Subject TMs'!$S$47="sen",INDEX(INDIRECT(Inputs!$I$1),19,83),IF('KS2-4 Subject TMs'!$S$47="eal",INDEX(INDIRECT(Inputs!$I$1),19,109),"")))))))),"")</f>
        <v/>
      </c>
      <c r="J65" s="61" t="str">
        <f ca="1">IFERROR(IF(Inputs!$I$1="Please Select","",IF(Inputs!I$2="Please Select","",IF(Inputs!$I$2="Pupil Numbers",IF('KS2-4 Subject TMs'!$S$47="Gender",INDEX(INDIRECT(Inputs!$I$1),3,32),IF('KS2-4 Subject TMs'!$S$47="disadvantage",INDEX(INDIRECT(Inputs!$I$1),3,58),IF('KS2-4 Subject TMs'!$S$47="sen",INDEX(INDIRECT(Inputs!$I$1),3,84),IF('KS2-4 Subject TMs'!$S$47="eal",INDEX(INDIRECT(Inputs!$I$1),3,110),"")))),IF(Inputs!$I$2="Pupil Percentages",IF('KS2-4 Subject TMs'!$S$47="Gender",INDEX(INDIRECT(Inputs!$I$1),19,32),IF('KS2-4 Subject TMs'!$S$47="disadvantage",INDEX(INDIRECT(Inputs!$I$1),19,58),IF('KS2-4 Subject TMs'!$S$47="sen",INDEX(INDIRECT(Inputs!$I$1),19,84),IF('KS2-4 Subject TMs'!$S$47="eal",INDEX(INDIRECT(Inputs!$I$1),19,110),"")))))))),"")</f>
        <v/>
      </c>
      <c r="K65" s="61" t="str">
        <f ca="1">IFERROR(IF(Inputs!$I$1="Please Select","",IF(Inputs!I$2="Please Select","",IF(Inputs!$I$2="Pupil Numbers",IF('KS2-4 Subject TMs'!$S$47="Gender",INDEX(INDIRECT(Inputs!$I$1),3,33),IF('KS2-4 Subject TMs'!$S$47="disadvantage",INDEX(INDIRECT(Inputs!$I$1),3,59),IF('KS2-4 Subject TMs'!$S$47="sen",INDEX(INDIRECT(Inputs!$I$1),3,85),IF('KS2-4 Subject TMs'!$S$47="eal",INDEX(INDIRECT(Inputs!$I$1),3,111),"")))),IF(Inputs!$I$2="Pupil Percentages",IF('KS2-4 Subject TMs'!$S$47="Gender",INDEX(INDIRECT(Inputs!$I$1),19,33),IF('KS2-4 Subject TMs'!$S$47="disadvantage",INDEX(INDIRECT(Inputs!$I$1),19,59),IF('KS2-4 Subject TMs'!$S$47="sen",INDEX(INDIRECT(Inputs!$I$1),19,85),IF('KS2-4 Subject TMs'!$S$47="eal",INDEX(INDIRECT(Inputs!$I$1),19,111),"")))))))),"")</f>
        <v/>
      </c>
      <c r="L65" s="61" t="str">
        <f ca="1">IFERROR(IF(Inputs!$I$1="Please Select","",IF(Inputs!I$2="Please Select","",IF(Inputs!$I$2="Pupil Numbers",IF('KS2-4 Subject TMs'!$S$47="Gender",INDEX(INDIRECT(Inputs!$I$1),3,34),IF('KS2-4 Subject TMs'!$S$47="disadvantage",INDEX(INDIRECT(Inputs!$I$1),3,60),IF('KS2-4 Subject TMs'!$S$47="sen",INDEX(INDIRECT(Inputs!$I$1),3,86),IF('KS2-4 Subject TMs'!$S$47="eal",INDEX(INDIRECT(Inputs!$I$1),3,112),"")))),IF(Inputs!$I$2="Pupil Percentages",IF('KS2-4 Subject TMs'!$S$47="Gender",INDEX(INDIRECT(Inputs!$I$1),19,34),IF('KS2-4 Subject TMs'!$S$47="disadvantage",INDEX(INDIRECT(Inputs!$I$1),19,60),IF('KS2-4 Subject TMs'!$S$47="sen",INDEX(INDIRECT(Inputs!$I$1),19,86),IF('KS2-4 Subject TMs'!$S$47="eal",INDEX(INDIRECT(Inputs!$I$1),19,112),"")))))))),"")</f>
        <v/>
      </c>
      <c r="M65" s="61" t="str">
        <f ca="1">IFERROR(IF(Inputs!$I$1="Please Select","",IF(Inputs!I$2="Please Select","",IF(Inputs!$I$2="Pupil Numbers",IF('KS2-4 Subject TMs'!$S$47="Gender",INDEX(INDIRECT(Inputs!$I$1),3,35),IF('KS2-4 Subject TMs'!$S$47="disadvantage",INDEX(INDIRECT(Inputs!$I$1),3,61),IF('KS2-4 Subject TMs'!$S$47="sen",INDEX(INDIRECT(Inputs!$I$1),3,87),IF('KS2-4 Subject TMs'!$S$47="eal",INDEX(INDIRECT(Inputs!$I$1),3,113),"")))),IF(Inputs!$I$2="Pupil Percentages",IF('KS2-4 Subject TMs'!$S$47="Gender",INDEX(INDIRECT(Inputs!$I$1),19,35),IF('KS2-4 Subject TMs'!$S$47="disadvantage",INDEX(INDIRECT(Inputs!$I$1),19,61),IF('KS2-4 Subject TMs'!$S$47="sen",INDEX(INDIRECT(Inputs!$I$1),19,87),IF('KS2-4 Subject TMs'!$S$47="eal",INDEX(INDIRECT(Inputs!$I$1),19,113),"")))))))),"")</f>
        <v/>
      </c>
      <c r="N65" s="69" t="str">
        <f ca="1">IF(Inputs!$I$1="Please Select","",IF(Inputs!I$2="Please Select","",IF(OR(Inputs!$I$1="Mathematics",Inputs!$I$1="English_Language",Inputs!$I$1="English_Literature",Inputs!$I$1="Art_Design",Inputs!$I$1="Biology",Inputs!$I$1="Business_Studies",Inputs!$I$1="Chemistry",Inputs!$I$1="Citizenship_Studies",Inputs!$I$1="Classical_Studies",Inputs!$I$1="Computer_Science",Inputs!$I$1="Dance",Inputs!$I$1="Economics",Inputs!$I$1="Engineering",Inputs!$I$1="Food_Preparation_and_Nutrition",Inputs!$I$1="French",Inputs!$I$1="Geography",Inputs!$I$1="German",Inputs!$I$1="History",Inputs!$I$1="Media_Studies",Inputs!$I$1="Music",Inputs!$I$1="Design_Technology",Inputs!$I$1="Other_Modern_Languages_9_to_1",Inputs!$I$1="Other_Sciences",Inputs!$I$1="Performing_Arts",Inputs!$I$1="Photography",Inputs!$I$1="Physical_Education",Inputs!$I$1="Physics",Inputs!$I$1="Psychology",Inputs!$I$1="Religious_Studies",Inputs!$I$1="Sociology",Inputs!$I$1="Spanish",Inputs!$I$1="Statistics"),IF(Inputs!$I$2="Pupil Numbers",IF('KS2-4 Subject TMs'!$S$47="Gender",INDEX(INDIRECT(Inputs!$I$1),3,36),IF('KS2-4 Subject TMs'!$S$47="disadvantage",INDEX(INDIRECT(Inputs!$I$1),3,62),IF('KS2-4 Subject TMs'!$S$47="sen",INDEX(INDIRECT(Inputs!$I$1),3,88),IF('KS2-4 Subject TMs'!$S$47="eal",INDEX(INDIRECT(Inputs!$I$1),3,114),"")))),IF(Inputs!$I$2="Pupil Percentages",IF('KS2-4 Subject TMs'!$S$47="Gender",INDEX(INDIRECT(Inputs!$I$1),19,36),IF('KS2-4 Subject TMs'!$S$47="disadvantage",INDEX(INDIRECT(Inputs!$I$1),19,62),IF('KS2-4 Subject TMs'!$S$47="sen",INDEX(INDIRECT(Inputs!$I$1),19,88),IF('KS2-4 Subject TMs'!$S$47="eal",INDEX(INDIRECT(Inputs!$I$1),19,114),"")))))),"")))</f>
        <v/>
      </c>
      <c r="AD65" s="12"/>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row>
    <row r="66" spans="3:56" ht="23.1" customHeight="1" x14ac:dyDescent="0.5">
      <c r="C66" s="120"/>
      <c r="D66" s="60" t="s">
        <v>3</v>
      </c>
      <c r="E66" s="61" t="str">
        <f ca="1">IFERROR(IF(Inputs!$I$1="Please Select","",IF(Inputs!I$2="Please Select","",IF(Inputs!$I$2="Pupil Numbers",IF('KS2-4 Subject TMs'!$S$47="Gender",INDEX(INDIRECT(Inputs!$I$1),4,27),IF('KS2-4 Subject TMs'!$S$47="disadvantage",INDEX(INDIRECT(Inputs!$I$1),4,53),IF('KS2-4 Subject TMs'!$S$47="sen",INDEX(INDIRECT(Inputs!$I$1),4,79),IF('KS2-4 Subject TMs'!$S$47="eal",INDEX(INDIRECT(Inputs!$I$1),4,105),"")))),IF(Inputs!$I$2="Pupil Percentages",IF('KS2-4 Subject TMs'!$S$47="Gender",INDEX(INDIRECT(Inputs!$I$1),20,27),IF('KS2-4 Subject TMs'!$S$47="disadvantage",INDEX(INDIRECT(Inputs!$I$1),20,53),IF('KS2-4 Subject TMs'!$S$47="sen",INDEX(INDIRECT(Inputs!$I$1),20,79),IF('KS2-4 Subject TMs'!$S$47="eal",INDEX(INDIRECT(Inputs!$I$1),20,105),"")))))))),"")</f>
        <v/>
      </c>
      <c r="F66" s="61" t="str">
        <f ca="1">IFERROR(IF(Inputs!$I$1="Please Select","",IF(Inputs!I$2="Please Select","",IF(Inputs!$I$2="Pupil Numbers",IF('KS2-4 Subject TMs'!$S$47="Gender",INDEX(INDIRECT(Inputs!$I$1),4,28),IF('KS2-4 Subject TMs'!$S$47="disadvantage",INDEX(INDIRECT(Inputs!$I$1),4,54),IF('KS2-4 Subject TMs'!$S$47="sen",INDEX(INDIRECT(Inputs!$I$1),4,80),IF('KS2-4 Subject TMs'!$S$47="eal",INDEX(INDIRECT(Inputs!$I$1),4,106),"")))),IF(Inputs!$I$2="Pupil Percentages",IF('KS2-4 Subject TMs'!$S$47="Gender",INDEX(INDIRECT(Inputs!$I$1),20,28),IF('KS2-4 Subject TMs'!$S$47="disadvantage",INDEX(INDIRECT(Inputs!$I$1),20,54),IF('KS2-4 Subject TMs'!$S$47="sen",INDEX(INDIRECT(Inputs!$I$1),20,80),IF('KS2-4 Subject TMs'!$S$47="eal",INDEX(INDIRECT(Inputs!$I$1),20,106),"")))))))),"")</f>
        <v/>
      </c>
      <c r="G66" s="61" t="str">
        <f ca="1">IFERROR(IF(Inputs!$I$1="Please Select","",IF(Inputs!I$2="Please Select","",IF(Inputs!$I$2="Pupil Numbers",IF('KS2-4 Subject TMs'!$S$47="Gender",INDEX(INDIRECT(Inputs!$I$1),4,29),IF('KS2-4 Subject TMs'!$S$47="disadvantage",INDEX(INDIRECT(Inputs!$I$1),4,55),IF('KS2-4 Subject TMs'!$S$47="sen",INDEX(INDIRECT(Inputs!$I$1),4,81),IF('KS2-4 Subject TMs'!$S$47="eal",INDEX(INDIRECT(Inputs!$I$1),4,107),"")))),IF(Inputs!$I$2="Pupil Percentages",IF('KS2-4 Subject TMs'!$S$47="Gender",INDEX(INDIRECT(Inputs!$I$1),20,29),IF('KS2-4 Subject TMs'!$S$47="disadvantage",INDEX(INDIRECT(Inputs!$I$1),20,55),IF('KS2-4 Subject TMs'!$S$47="sen",INDEX(INDIRECT(Inputs!$I$1),20,81),IF('KS2-4 Subject TMs'!$S$47="eal",INDEX(INDIRECT(Inputs!$I$1),20,107),"")))))))),"")</f>
        <v/>
      </c>
      <c r="H66" s="61" t="str">
        <f ca="1">IFERROR(IF(Inputs!$I$1="Please Select","",IF(Inputs!I$2="Please Select","",IF(Inputs!$I$2="Pupil Numbers",IF('KS2-4 Subject TMs'!$S$47="Gender",INDEX(INDIRECT(Inputs!$I$1),4,30),IF('KS2-4 Subject TMs'!$S$47="disadvantage",INDEX(INDIRECT(Inputs!$I$1),4,56),IF('KS2-4 Subject TMs'!$S$47="sen",INDEX(INDIRECT(Inputs!$I$1),4,82),IF('KS2-4 Subject TMs'!$S$47="eal",INDEX(INDIRECT(Inputs!$I$1),4,108),"")))),IF(Inputs!$I$2="Pupil Percentages",IF('KS2-4 Subject TMs'!$S$47="Gender",INDEX(INDIRECT(Inputs!$I$1),20,30),IF('KS2-4 Subject TMs'!$S$47="disadvantage",INDEX(INDIRECT(Inputs!$I$1),20,56),IF('KS2-4 Subject TMs'!$S$47="sen",INDEX(INDIRECT(Inputs!$I$1),20,82),IF('KS2-4 Subject TMs'!$S$47="eal",INDEX(INDIRECT(Inputs!$I$1),20,108),"")))))))),"")</f>
        <v/>
      </c>
      <c r="I66" s="61" t="str">
        <f ca="1">IFERROR(IF(Inputs!$I$1="Please Select","",IF(Inputs!I$2="Please Select","",IF(Inputs!$I$2="Pupil Numbers",IF('KS2-4 Subject TMs'!$S$47="Gender",INDEX(INDIRECT(Inputs!$I$1),4,31),IF('KS2-4 Subject TMs'!$S$47="disadvantage",INDEX(INDIRECT(Inputs!$I$1),4,57),IF('KS2-4 Subject TMs'!$S$47="sen",INDEX(INDIRECT(Inputs!$I$1),4,83),IF('KS2-4 Subject TMs'!$S$47="eal",INDEX(INDIRECT(Inputs!$I$1),4,109),"")))),IF(Inputs!$I$2="Pupil Percentages",IF('KS2-4 Subject TMs'!$S$47="Gender",INDEX(INDIRECT(Inputs!$I$1),20,31),IF('KS2-4 Subject TMs'!$S$47="disadvantage",INDEX(INDIRECT(Inputs!$I$1),20,57),IF('KS2-4 Subject TMs'!$S$47="sen",INDEX(INDIRECT(Inputs!$I$1),20,83),IF('KS2-4 Subject TMs'!$S$47="eal",INDEX(INDIRECT(Inputs!$I$1),20,109),"")))))))),"")</f>
        <v/>
      </c>
      <c r="J66" s="61" t="str">
        <f ca="1">IFERROR(IF(Inputs!$I$1="Please Select","",IF(Inputs!I$2="Please Select","",IF(Inputs!$I$2="Pupil Numbers",IF('KS2-4 Subject TMs'!$S$47="Gender",INDEX(INDIRECT(Inputs!$I$1),4,32),IF('KS2-4 Subject TMs'!$S$47="disadvantage",INDEX(INDIRECT(Inputs!$I$1),4,58),IF('KS2-4 Subject TMs'!$S$47="sen",INDEX(INDIRECT(Inputs!$I$1),4,84),IF('KS2-4 Subject TMs'!$S$47="eal",INDEX(INDIRECT(Inputs!$I$1),4,110),"")))),IF(Inputs!$I$2="Pupil Percentages",IF('KS2-4 Subject TMs'!$S$47="Gender",INDEX(INDIRECT(Inputs!$I$1),20,32),IF('KS2-4 Subject TMs'!$S$47="disadvantage",INDEX(INDIRECT(Inputs!$I$1),20,58),IF('KS2-4 Subject TMs'!$S$47="sen",INDEX(INDIRECT(Inputs!$I$1),20,84),IF('KS2-4 Subject TMs'!$S$47="eal",INDEX(INDIRECT(Inputs!$I$1),20,110),"")))))))),"")</f>
        <v/>
      </c>
      <c r="K66" s="61" t="str">
        <f ca="1">IFERROR(IF(Inputs!$I$1="Please Select","",IF(Inputs!I$2="Please Select","",IF(Inputs!$I$2="Pupil Numbers",IF('KS2-4 Subject TMs'!$S$47="Gender",INDEX(INDIRECT(Inputs!$I$1),4,33),IF('KS2-4 Subject TMs'!$S$47="disadvantage",INDEX(INDIRECT(Inputs!$I$1),4,59),IF('KS2-4 Subject TMs'!$S$47="sen",INDEX(INDIRECT(Inputs!$I$1),4,85),IF('KS2-4 Subject TMs'!$S$47="eal",INDEX(INDIRECT(Inputs!$I$1),4,111),"")))),IF(Inputs!$I$2="Pupil Percentages",IF('KS2-4 Subject TMs'!$S$47="Gender",INDEX(INDIRECT(Inputs!$I$1),20,33),IF('KS2-4 Subject TMs'!$S$47="disadvantage",INDEX(INDIRECT(Inputs!$I$1),20,59),IF('KS2-4 Subject TMs'!$S$47="sen",INDEX(INDIRECT(Inputs!$I$1),20,85),IF('KS2-4 Subject TMs'!$S$47="eal",INDEX(INDIRECT(Inputs!$I$1),20,111),"")))))))),"")</f>
        <v/>
      </c>
      <c r="L66" s="61" t="str">
        <f ca="1">IFERROR(IF(Inputs!$I$1="Please Select","",IF(Inputs!I$2="Please Select","",IF(Inputs!$I$2="Pupil Numbers",IF('KS2-4 Subject TMs'!$S$47="Gender",INDEX(INDIRECT(Inputs!$I$1),4,34),IF('KS2-4 Subject TMs'!$S$47="disadvantage",INDEX(INDIRECT(Inputs!$I$1),4,60),IF('KS2-4 Subject TMs'!$S$47="sen",INDEX(INDIRECT(Inputs!$I$1),4,86),IF('KS2-4 Subject TMs'!$S$47="eal",INDEX(INDIRECT(Inputs!$I$1),4,112),"")))),IF(Inputs!$I$2="Pupil Percentages",IF('KS2-4 Subject TMs'!$S$47="Gender",INDEX(INDIRECT(Inputs!$I$1),20,34),IF('KS2-4 Subject TMs'!$S$47="disadvantage",INDEX(INDIRECT(Inputs!$I$1),20,60),IF('KS2-4 Subject TMs'!$S$47="sen",INDEX(INDIRECT(Inputs!$I$1),20,86),IF('KS2-4 Subject TMs'!$S$47="eal",INDEX(INDIRECT(Inputs!$I$1),20,112),"")))))))),"")</f>
        <v/>
      </c>
      <c r="M66" s="61" t="str">
        <f ca="1">IFERROR(IF(Inputs!$I$1="Please Select","",IF(Inputs!I$2="Please Select","",IF(Inputs!$I$2="Pupil Numbers",IF('KS2-4 Subject TMs'!$S$47="Gender",INDEX(INDIRECT(Inputs!$I$1),4,35),IF('KS2-4 Subject TMs'!$S$47="disadvantage",INDEX(INDIRECT(Inputs!$I$1),4,61),IF('KS2-4 Subject TMs'!$S$47="sen",INDEX(INDIRECT(Inputs!$I$1),4,87),IF('KS2-4 Subject TMs'!$S$47="eal",INDEX(INDIRECT(Inputs!$I$1),4,113),"")))),IF(Inputs!$I$2="Pupil Percentages",IF('KS2-4 Subject TMs'!$S$47="Gender",INDEX(INDIRECT(Inputs!$I$1),20,35),IF('KS2-4 Subject TMs'!$S$47="disadvantage",INDEX(INDIRECT(Inputs!$I$1),20,61),IF('KS2-4 Subject TMs'!$S$47="sen",INDEX(INDIRECT(Inputs!$I$1),20,87),IF('KS2-4 Subject TMs'!$S$47="eal",INDEX(INDIRECT(Inputs!$I$1),20,113),"")))))))),"")</f>
        <v/>
      </c>
      <c r="N66" s="69" t="str">
        <f ca="1">IF(Inputs!$I$1="Please Select","",IF(Inputs!I$2="Please Select","",IF(OR(Inputs!$I$1="Mathematics",Inputs!$I$1="English_Language",Inputs!$I$1="English_Literature",Inputs!$I$1="Art_Design",Inputs!$I$1="Biology",Inputs!$I$1="Business_Studies",Inputs!$I$1="Chemistry",Inputs!$I$1="Citizenship_Studies",Inputs!$I$1="Classical_Studies",Inputs!$I$1="Computer_Science",Inputs!$I$1="Dance",Inputs!$I$1="Economics",Inputs!$I$1="Engineering",Inputs!$I$1="Food_Preparation_and_Nutrition",Inputs!$I$1="French",Inputs!$I$1="Geography",Inputs!$I$1="German",Inputs!$I$1="History",Inputs!$I$1="Media_Studies",Inputs!$I$1="Music",Inputs!$I$1="Design_Technology",Inputs!$I$1="Other_Modern_Languages_9_to_1",Inputs!$I$1="Other_Sciences",Inputs!$I$1="Performing_Arts",Inputs!$I$1="Photography",Inputs!$I$1="Physical_Education",Inputs!$I$1="Physics",Inputs!$I$1="Psychology",Inputs!$I$1="Religious_Studies",Inputs!$I$1="Sociology",Inputs!$I$1="Spanish",Inputs!$I$1="Statistics"),IF(Inputs!$I$2="Pupil Numbers",IF('KS2-4 Subject TMs'!$S$47="Gender",INDEX(INDIRECT(Inputs!$I$1),4,36),IF('KS2-4 Subject TMs'!$S$47="disadvantage",INDEX(INDIRECT(Inputs!$I$1),4,62),IF('KS2-4 Subject TMs'!$S$47="sen",INDEX(INDIRECT(Inputs!$I$1),4,88),IF('KS2-4 Subject TMs'!$S$47="eal",INDEX(INDIRECT(Inputs!$I$1),4,114),"")))),IF(Inputs!$I$2="Pupil Percentages",IF('KS2-4 Subject TMs'!$S$47="Gender",INDEX(INDIRECT(Inputs!$I$1),20,36),IF('KS2-4 Subject TMs'!$S$47="disadvantage",INDEX(INDIRECT(Inputs!$I$1),20,62),IF('KS2-4 Subject TMs'!$S$47="sen",INDEX(INDIRECT(Inputs!$I$1),20,88),IF('KS2-4 Subject TMs'!$S$47="eal",INDEX(INDIRECT(Inputs!$I$1),20,114),"")))))),"")))</f>
        <v/>
      </c>
      <c r="AD66" s="12"/>
      <c r="AR66" s="13"/>
      <c r="AS66" s="13"/>
      <c r="AT66" s="13"/>
      <c r="AU66" s="13"/>
      <c r="AV66" s="13"/>
      <c r="AW66" s="13"/>
      <c r="AX66" s="13"/>
      <c r="AY66" s="13"/>
      <c r="AZ66" s="13"/>
      <c r="BA66" s="13"/>
      <c r="BB66" s="13"/>
      <c r="BC66" s="13"/>
      <c r="BD66" s="13"/>
    </row>
    <row r="67" spans="3:56" ht="23.1" customHeight="1" x14ac:dyDescent="0.5">
      <c r="C67" s="120"/>
      <c r="D67" s="60" t="s">
        <v>4</v>
      </c>
      <c r="E67" s="61" t="str">
        <f ca="1">IFERROR(IF(Inputs!$I$1="Please Select","",IF(Inputs!I$2="Please Select","",IF(Inputs!$I$2="Pupil Numbers",IF('KS2-4 Subject TMs'!$S$47="Gender",INDEX(INDIRECT(Inputs!$I$1),5,27),IF('KS2-4 Subject TMs'!$S$47="disadvantage",INDEX(INDIRECT(Inputs!$I$1),5,53),IF('KS2-4 Subject TMs'!$S$47="sen",INDEX(INDIRECT(Inputs!$I$1),5,79),IF('KS2-4 Subject TMs'!$S$47="eal",INDEX(INDIRECT(Inputs!$I$1),5,105),"")))),IF(Inputs!$I$2="Pupil Percentages",IF('KS2-4 Subject TMs'!$S$47="Gender",INDEX(INDIRECT(Inputs!$I$1),21,27),IF('KS2-4 Subject TMs'!$S$47="disadvantage",INDEX(INDIRECT(Inputs!$I$1),21,53),IF('KS2-4 Subject TMs'!$S$47="sen",INDEX(INDIRECT(Inputs!$I$1),21,79),IF('KS2-4 Subject TMs'!$S$47="eal",INDEX(INDIRECT(Inputs!$I$1),21,105),"")))))))),"")</f>
        <v/>
      </c>
      <c r="F67" s="61" t="str">
        <f ca="1">IFERROR(IF(Inputs!$I$1="Please Select","",IF(Inputs!I$2="Please Select","",IF(Inputs!$I$2="Pupil Numbers",IF('KS2-4 Subject TMs'!$S$47="Gender",INDEX(INDIRECT(Inputs!$I$1),5,28),IF('KS2-4 Subject TMs'!$S$47="disadvantage",INDEX(INDIRECT(Inputs!$I$1),5,54),IF('KS2-4 Subject TMs'!$S$47="sen",INDEX(INDIRECT(Inputs!$I$1),5,80),IF('KS2-4 Subject TMs'!$S$47="eal",INDEX(INDIRECT(Inputs!$I$1),5,106),"")))),IF(Inputs!$I$2="Pupil Percentages",IF('KS2-4 Subject TMs'!$S$47="Gender",INDEX(INDIRECT(Inputs!$I$1),21,28),IF('KS2-4 Subject TMs'!$S$47="disadvantage",INDEX(INDIRECT(Inputs!$I$1),21,54),IF('KS2-4 Subject TMs'!$S$47="sen",INDEX(INDIRECT(Inputs!$I$1),21,80),IF('KS2-4 Subject TMs'!$S$47="eal",INDEX(INDIRECT(Inputs!$I$1),21,106),"")))))))),"")</f>
        <v/>
      </c>
      <c r="G67" s="61" t="str">
        <f ca="1">IFERROR(IF(Inputs!$I$1="Please Select","",IF(Inputs!I$2="Please Select","",IF(Inputs!$I$2="Pupil Numbers",IF('KS2-4 Subject TMs'!$S$47="Gender",INDEX(INDIRECT(Inputs!$I$1),5,29),IF('KS2-4 Subject TMs'!$S$47="disadvantage",INDEX(INDIRECT(Inputs!$I$1),5,55),IF('KS2-4 Subject TMs'!$S$47="sen",INDEX(INDIRECT(Inputs!$I$1),5,81),IF('KS2-4 Subject TMs'!$S$47="eal",INDEX(INDIRECT(Inputs!$I$1),5,107),"")))),IF(Inputs!$I$2="Pupil Percentages",IF('KS2-4 Subject TMs'!$S$47="Gender",INDEX(INDIRECT(Inputs!$I$1),21,29),IF('KS2-4 Subject TMs'!$S$47="disadvantage",INDEX(INDIRECT(Inputs!$I$1),21,55),IF('KS2-4 Subject TMs'!$S$47="sen",INDEX(INDIRECT(Inputs!$I$1),21,81),IF('KS2-4 Subject TMs'!$S$47="eal",INDEX(INDIRECT(Inputs!$I$1),21,107),"")))))))),"")</f>
        <v/>
      </c>
      <c r="H67" s="61" t="str">
        <f ca="1">IFERROR(IF(Inputs!$I$1="Please Select","",IF(Inputs!I$2="Please Select","",IF(Inputs!$I$2="Pupil Numbers",IF('KS2-4 Subject TMs'!$S$47="Gender",INDEX(INDIRECT(Inputs!$I$1),5,30),IF('KS2-4 Subject TMs'!$S$47="disadvantage",INDEX(INDIRECT(Inputs!$I$1),5,56),IF('KS2-4 Subject TMs'!$S$47="sen",INDEX(INDIRECT(Inputs!$I$1),5,82),IF('KS2-4 Subject TMs'!$S$47="eal",INDEX(INDIRECT(Inputs!$I$1),5,108),"")))),IF(Inputs!$I$2="Pupil Percentages",IF('KS2-4 Subject TMs'!$S$47="Gender",INDEX(INDIRECT(Inputs!$I$1),21,30),IF('KS2-4 Subject TMs'!$S$47="disadvantage",INDEX(INDIRECT(Inputs!$I$1),21,56),IF('KS2-4 Subject TMs'!$S$47="sen",INDEX(INDIRECT(Inputs!$I$1),21,82),IF('KS2-4 Subject TMs'!$S$47="eal",INDEX(INDIRECT(Inputs!$I$1),21,108),"")))))))),"")</f>
        <v/>
      </c>
      <c r="I67" s="61" t="str">
        <f ca="1">IFERROR(IF(Inputs!$I$1="Please Select","",IF(Inputs!I$2="Please Select","",IF(Inputs!$I$2="Pupil Numbers",IF('KS2-4 Subject TMs'!$S$47="Gender",INDEX(INDIRECT(Inputs!$I$1),5,31),IF('KS2-4 Subject TMs'!$S$47="disadvantage",INDEX(INDIRECT(Inputs!$I$1),5,57),IF('KS2-4 Subject TMs'!$S$47="sen",INDEX(INDIRECT(Inputs!$I$1),5,83),IF('KS2-4 Subject TMs'!$S$47="eal",INDEX(INDIRECT(Inputs!$I$1),5,109),"")))),IF(Inputs!$I$2="Pupil Percentages",IF('KS2-4 Subject TMs'!$S$47="Gender",INDEX(INDIRECT(Inputs!$I$1),21,31),IF('KS2-4 Subject TMs'!$S$47="disadvantage",INDEX(INDIRECT(Inputs!$I$1),21,57),IF('KS2-4 Subject TMs'!$S$47="sen",INDEX(INDIRECT(Inputs!$I$1),21,83),IF('KS2-4 Subject TMs'!$S$47="eal",INDEX(INDIRECT(Inputs!$I$1),21,109),"")))))))),"")</f>
        <v/>
      </c>
      <c r="J67" s="61" t="str">
        <f ca="1">IFERROR(IF(Inputs!$I$1="Please Select","",IF(Inputs!I$2="Please Select","",IF(Inputs!$I$2="Pupil Numbers",IF('KS2-4 Subject TMs'!$S$47="Gender",INDEX(INDIRECT(Inputs!$I$1),5,32),IF('KS2-4 Subject TMs'!$S$47="disadvantage",INDEX(INDIRECT(Inputs!$I$1),5,58),IF('KS2-4 Subject TMs'!$S$47="sen",INDEX(INDIRECT(Inputs!$I$1),5,84),IF('KS2-4 Subject TMs'!$S$47="eal",INDEX(INDIRECT(Inputs!$I$1),5,110),"")))),IF(Inputs!$I$2="Pupil Percentages",IF('KS2-4 Subject TMs'!$S$47="Gender",INDEX(INDIRECT(Inputs!$I$1),21,32),IF('KS2-4 Subject TMs'!$S$47="disadvantage",INDEX(INDIRECT(Inputs!$I$1),21,58),IF('KS2-4 Subject TMs'!$S$47="sen",INDEX(INDIRECT(Inputs!$I$1),21,84),IF('KS2-4 Subject TMs'!$S$47="eal",INDEX(INDIRECT(Inputs!$I$1),21,110),"")))))))),"")</f>
        <v/>
      </c>
      <c r="K67" s="61" t="str">
        <f ca="1">IFERROR(IF(Inputs!$I$1="Please Select","",IF(Inputs!I$2="Please Select","",IF(Inputs!$I$2="Pupil Numbers",IF('KS2-4 Subject TMs'!$S$47="Gender",INDEX(INDIRECT(Inputs!$I$1),5,33),IF('KS2-4 Subject TMs'!$S$47="disadvantage",INDEX(INDIRECT(Inputs!$I$1),5,59),IF('KS2-4 Subject TMs'!$S$47="sen",INDEX(INDIRECT(Inputs!$I$1),5,85),IF('KS2-4 Subject TMs'!$S$47="eal",INDEX(INDIRECT(Inputs!$I$1),5,111),"")))),IF(Inputs!$I$2="Pupil Percentages",IF('KS2-4 Subject TMs'!$S$47="Gender",INDEX(INDIRECT(Inputs!$I$1),21,33),IF('KS2-4 Subject TMs'!$S$47="disadvantage",INDEX(INDIRECT(Inputs!$I$1),21,59),IF('KS2-4 Subject TMs'!$S$47="sen",INDEX(INDIRECT(Inputs!$I$1),21,85),IF('KS2-4 Subject TMs'!$S$47="eal",INDEX(INDIRECT(Inputs!$I$1),21,111),"")))))))),"")</f>
        <v/>
      </c>
      <c r="L67" s="61" t="str">
        <f ca="1">IFERROR(IF(Inputs!$I$1="Please Select","",IF(Inputs!I$2="Please Select","",IF(Inputs!$I$2="Pupil Numbers",IF('KS2-4 Subject TMs'!$S$47="Gender",INDEX(INDIRECT(Inputs!$I$1),5,34),IF('KS2-4 Subject TMs'!$S$47="disadvantage",INDEX(INDIRECT(Inputs!$I$1),5,60),IF('KS2-4 Subject TMs'!$S$47="sen",INDEX(INDIRECT(Inputs!$I$1),5,86),IF('KS2-4 Subject TMs'!$S$47="eal",INDEX(INDIRECT(Inputs!$I$1),5,112),"")))),IF(Inputs!$I$2="Pupil Percentages",IF('KS2-4 Subject TMs'!$S$47="Gender",INDEX(INDIRECT(Inputs!$I$1),21,34),IF('KS2-4 Subject TMs'!$S$47="disadvantage",INDEX(INDIRECT(Inputs!$I$1),21,60),IF('KS2-4 Subject TMs'!$S$47="sen",INDEX(INDIRECT(Inputs!$I$1),21,86),IF('KS2-4 Subject TMs'!$S$47="eal",INDEX(INDIRECT(Inputs!$I$1),21,112),"")))))))),"")</f>
        <v/>
      </c>
      <c r="M67" s="61" t="str">
        <f ca="1">IFERROR(IF(Inputs!$I$1="Please Select","",IF(Inputs!I$2="Please Select","",IF(Inputs!$I$2="Pupil Numbers",IF('KS2-4 Subject TMs'!$S$47="Gender",INDEX(INDIRECT(Inputs!$I$1),5,35),IF('KS2-4 Subject TMs'!$S$47="disadvantage",INDEX(INDIRECT(Inputs!$I$1),5,61),IF('KS2-4 Subject TMs'!$S$47="sen",INDEX(INDIRECT(Inputs!$I$1),5,87),IF('KS2-4 Subject TMs'!$S$47="eal",INDEX(INDIRECT(Inputs!$I$1),5,113),"")))),IF(Inputs!$I$2="Pupil Percentages",IF('KS2-4 Subject TMs'!$S$47="Gender",INDEX(INDIRECT(Inputs!$I$1),21,35),IF('KS2-4 Subject TMs'!$S$47="disadvantage",INDEX(INDIRECT(Inputs!$I$1),21,61),IF('KS2-4 Subject TMs'!$S$47="sen",INDEX(INDIRECT(Inputs!$I$1),21,87),IF('KS2-4 Subject TMs'!$S$47="eal",INDEX(INDIRECT(Inputs!$I$1),21,113),"")))))))),"")</f>
        <v/>
      </c>
      <c r="N67" s="69" t="str">
        <f ca="1">IF(Inputs!$I$1="Please Select","",IF(Inputs!I$2="Please Select","",IF(OR(Inputs!$I$1="Mathematics",Inputs!$I$1="English_Language",Inputs!$I$1="English_Literature",Inputs!$I$1="Art_Design",Inputs!$I$1="Biology",Inputs!$I$1="Business_Studies",Inputs!$I$1="Chemistry",Inputs!$I$1="Citizenship_Studies",Inputs!$I$1="Classical_Studies",Inputs!$I$1="Computer_Science",Inputs!$I$1="Dance",Inputs!$I$1="Economics",Inputs!$I$1="Engineering",Inputs!$I$1="Food_Preparation_and_Nutrition",Inputs!$I$1="French",Inputs!$I$1="Geography",Inputs!$I$1="German",Inputs!$I$1="History",Inputs!$I$1="Media_Studies",Inputs!$I$1="Music",Inputs!$I$1="Design_Technology",Inputs!$I$1="Other_Modern_Languages_9_to_1",Inputs!$I$1="Other_Sciences",Inputs!$I$1="Performing_Arts",Inputs!$I$1="Photography",Inputs!$I$1="Physical_Education",Inputs!$I$1="Physics",Inputs!$I$1="Psychology",Inputs!$I$1="Religious_Studies",Inputs!$I$1="Sociology",Inputs!$I$1="Spanish",Inputs!$I$1="Statistics"),IF(Inputs!$I$2="Pupil Numbers",IF('KS2-4 Subject TMs'!$S$47="Gender",INDEX(INDIRECT(Inputs!$I$1),5,36),IF('KS2-4 Subject TMs'!$S$47="disadvantage",INDEX(INDIRECT(Inputs!$I$1),5,62),IF('KS2-4 Subject TMs'!$S$47="sen",INDEX(INDIRECT(Inputs!$I$1),5,88),IF('KS2-4 Subject TMs'!$S$47="eal",INDEX(INDIRECT(Inputs!$I$1),5,114),"")))),IF(Inputs!$I$2="Pupil Percentages",IF('KS2-4 Subject TMs'!$S$47="Gender",INDEX(INDIRECT(Inputs!$I$1),21,36),IF('KS2-4 Subject TMs'!$S$47="disadvantage",INDEX(INDIRECT(Inputs!$I$1),21,62),IF('KS2-4 Subject TMs'!$S$47="sen",INDEX(INDIRECT(Inputs!$I$1),21,88),IF('KS2-4 Subject TMs'!$S$47="eal",INDEX(INDIRECT(Inputs!$I$1),21,114),"")))))),"")))</f>
        <v/>
      </c>
      <c r="AD67" s="12"/>
      <c r="AR67" s="13"/>
      <c r="AS67" s="13"/>
      <c r="AT67" s="13"/>
      <c r="AU67" s="13"/>
      <c r="AV67" s="13"/>
      <c r="AW67" s="13"/>
      <c r="AX67" s="13"/>
      <c r="AY67" s="13"/>
      <c r="AZ67" s="13"/>
      <c r="BA67" s="13"/>
      <c r="BB67" s="13"/>
      <c r="BC67" s="13"/>
      <c r="BD67" s="13"/>
    </row>
    <row r="68" spans="3:56" ht="23.1" customHeight="1" x14ac:dyDescent="0.5">
      <c r="C68" s="120"/>
      <c r="D68" s="60" t="s">
        <v>5</v>
      </c>
      <c r="E68" s="61" t="str">
        <f ca="1">IFERROR(IF(Inputs!$I$1="Please Select","",IF(Inputs!I$2="Please Select","",IF(Inputs!$I$2="Pupil Numbers",IF('KS2-4 Subject TMs'!$S$47="Gender",INDEX(INDIRECT(Inputs!$I$1),6,27),IF('KS2-4 Subject TMs'!$S$47="disadvantage",INDEX(INDIRECT(Inputs!$I$1),6,53),IF('KS2-4 Subject TMs'!$S$47="sen",INDEX(INDIRECT(Inputs!$I$1),6,79),IF('KS2-4 Subject TMs'!$S$47="eal",INDEX(INDIRECT(Inputs!$I$1),6,105),"")))),IF(Inputs!$I$2="Pupil Percentages",IF('KS2-4 Subject TMs'!$S$47="Gender",INDEX(INDIRECT(Inputs!$I$1),22,27),IF('KS2-4 Subject TMs'!$S$47="disadvantage",INDEX(INDIRECT(Inputs!$I$1),22,53),IF('KS2-4 Subject TMs'!$S$47="sen",INDEX(INDIRECT(Inputs!$I$1),22,79),IF('KS2-4 Subject TMs'!$S$47="eal",INDEX(INDIRECT(Inputs!$I$1),22,105),"")))))))),"")</f>
        <v/>
      </c>
      <c r="F68" s="61" t="str">
        <f ca="1">IFERROR(IF(Inputs!$I$1="Please Select","",IF(Inputs!I$2="Please Select","",IF(Inputs!$I$2="Pupil Numbers",IF('KS2-4 Subject TMs'!$S$47="Gender",INDEX(INDIRECT(Inputs!$I$1),6,28),IF('KS2-4 Subject TMs'!$S$47="disadvantage",INDEX(INDIRECT(Inputs!$I$1),6,54),IF('KS2-4 Subject TMs'!$S$47="sen",INDEX(INDIRECT(Inputs!$I$1),6,80),IF('KS2-4 Subject TMs'!$S$47="eal",INDEX(INDIRECT(Inputs!$I$1),6,106),"")))),IF(Inputs!$I$2="Pupil Percentages",IF('KS2-4 Subject TMs'!$S$47="Gender",INDEX(INDIRECT(Inputs!$I$1),22,28),IF('KS2-4 Subject TMs'!$S$47="disadvantage",INDEX(INDIRECT(Inputs!$I$1),22,54),IF('KS2-4 Subject TMs'!$S$47="sen",INDEX(INDIRECT(Inputs!$I$1),22,80),IF('KS2-4 Subject TMs'!$S$47="eal",INDEX(INDIRECT(Inputs!$I$1),22,106),"")))))))),"")</f>
        <v/>
      </c>
      <c r="G68" s="61" t="str">
        <f ca="1">IFERROR(IF(Inputs!$I$1="Please Select","",IF(Inputs!I$2="Please Select","",IF(Inputs!$I$2="Pupil Numbers",IF('KS2-4 Subject TMs'!$S$47="Gender",INDEX(INDIRECT(Inputs!$I$1),6,29),IF('KS2-4 Subject TMs'!$S$47="disadvantage",INDEX(INDIRECT(Inputs!$I$1),6,55),IF('KS2-4 Subject TMs'!$S$47="sen",INDEX(INDIRECT(Inputs!$I$1),6,81),IF('KS2-4 Subject TMs'!$S$47="eal",INDEX(INDIRECT(Inputs!$I$1),6,107),"")))),IF(Inputs!$I$2="Pupil Percentages",IF('KS2-4 Subject TMs'!$S$47="Gender",INDEX(INDIRECT(Inputs!$I$1),22,29),IF('KS2-4 Subject TMs'!$S$47="disadvantage",INDEX(INDIRECT(Inputs!$I$1),22,55),IF('KS2-4 Subject TMs'!$S$47="sen",INDEX(INDIRECT(Inputs!$I$1),22,81),IF('KS2-4 Subject TMs'!$S$47="eal",INDEX(INDIRECT(Inputs!$I$1),22,107),"")))))))),"")</f>
        <v/>
      </c>
      <c r="H68" s="61" t="str">
        <f ca="1">IFERROR(IF(Inputs!$I$1="Please Select","",IF(Inputs!I$2="Please Select","",IF(Inputs!$I$2="Pupil Numbers",IF('KS2-4 Subject TMs'!$S$47="Gender",INDEX(INDIRECT(Inputs!$I$1),6,30),IF('KS2-4 Subject TMs'!$S$47="disadvantage",INDEX(INDIRECT(Inputs!$I$1),6,56),IF('KS2-4 Subject TMs'!$S$47="sen",INDEX(INDIRECT(Inputs!$I$1),6,82),IF('KS2-4 Subject TMs'!$S$47="eal",INDEX(INDIRECT(Inputs!$I$1),6,108),"")))),IF(Inputs!$I$2="Pupil Percentages",IF('KS2-4 Subject TMs'!$S$47="Gender",INDEX(INDIRECT(Inputs!$I$1),22,30),IF('KS2-4 Subject TMs'!$S$47="disadvantage",INDEX(INDIRECT(Inputs!$I$1),22,56),IF('KS2-4 Subject TMs'!$S$47="sen",INDEX(INDIRECT(Inputs!$I$1),22,82),IF('KS2-4 Subject TMs'!$S$47="eal",INDEX(INDIRECT(Inputs!$I$1),22,108),"")))))))),"")</f>
        <v/>
      </c>
      <c r="I68" s="61" t="str">
        <f ca="1">IFERROR(IF(Inputs!$I$1="Please Select","",IF(Inputs!I$2="Please Select","",IF(Inputs!$I$2="Pupil Numbers",IF('KS2-4 Subject TMs'!$S$47="Gender",INDEX(INDIRECT(Inputs!$I$1),6,31),IF('KS2-4 Subject TMs'!$S$47="disadvantage",INDEX(INDIRECT(Inputs!$I$1),6,57),IF('KS2-4 Subject TMs'!$S$47="sen",INDEX(INDIRECT(Inputs!$I$1),6,83),IF('KS2-4 Subject TMs'!$S$47="eal",INDEX(INDIRECT(Inputs!$I$1),6,109),"")))),IF(Inputs!$I$2="Pupil Percentages",IF('KS2-4 Subject TMs'!$S$47="Gender",INDEX(INDIRECT(Inputs!$I$1),22,31),IF('KS2-4 Subject TMs'!$S$47="disadvantage",INDEX(INDIRECT(Inputs!$I$1),22,57),IF('KS2-4 Subject TMs'!$S$47="sen",INDEX(INDIRECT(Inputs!$I$1),22,83),IF('KS2-4 Subject TMs'!$S$47="eal",INDEX(INDIRECT(Inputs!$I$1),22,109),"")))))))),"")</f>
        <v/>
      </c>
      <c r="J68" s="61" t="str">
        <f ca="1">IFERROR(IF(Inputs!$I$1="Please Select","",IF(Inputs!I$2="Please Select","",IF(Inputs!$I$2="Pupil Numbers",IF('KS2-4 Subject TMs'!$S$47="Gender",INDEX(INDIRECT(Inputs!$I$1),6,32),IF('KS2-4 Subject TMs'!$S$47="disadvantage",INDEX(INDIRECT(Inputs!$I$1),6,58),IF('KS2-4 Subject TMs'!$S$47="sen",INDEX(INDIRECT(Inputs!$I$1),6,84),IF('KS2-4 Subject TMs'!$S$47="eal",INDEX(INDIRECT(Inputs!$I$1),6,110),"")))),IF(Inputs!$I$2="Pupil Percentages",IF('KS2-4 Subject TMs'!$S$47="Gender",INDEX(INDIRECT(Inputs!$I$1),22,32),IF('KS2-4 Subject TMs'!$S$47="disadvantage",INDEX(INDIRECT(Inputs!$I$1),22,58),IF('KS2-4 Subject TMs'!$S$47="sen",INDEX(INDIRECT(Inputs!$I$1),22,84),IF('KS2-4 Subject TMs'!$S$47="eal",INDEX(INDIRECT(Inputs!$I$1),22,110),"")))))))),"")</f>
        <v/>
      </c>
      <c r="K68" s="61" t="str">
        <f ca="1">IFERROR(IF(Inputs!$I$1="Please Select","",IF(Inputs!I$2="Please Select","",IF(Inputs!$I$2="Pupil Numbers",IF('KS2-4 Subject TMs'!$S$47="Gender",INDEX(INDIRECT(Inputs!$I$1),6,33),IF('KS2-4 Subject TMs'!$S$47="disadvantage",INDEX(INDIRECT(Inputs!$I$1),6,59),IF('KS2-4 Subject TMs'!$S$47="sen",INDEX(INDIRECT(Inputs!$I$1),6,85),IF('KS2-4 Subject TMs'!$S$47="eal",INDEX(INDIRECT(Inputs!$I$1),6,111),"")))),IF(Inputs!$I$2="Pupil Percentages",IF('KS2-4 Subject TMs'!$S$47="Gender",INDEX(INDIRECT(Inputs!$I$1),22,33),IF('KS2-4 Subject TMs'!$S$47="disadvantage",INDEX(INDIRECT(Inputs!$I$1),22,59),IF('KS2-4 Subject TMs'!$S$47="sen",INDEX(INDIRECT(Inputs!$I$1),22,85),IF('KS2-4 Subject TMs'!$S$47="eal",INDEX(INDIRECT(Inputs!$I$1),22,111),"")))))))),"")</f>
        <v/>
      </c>
      <c r="L68" s="61" t="str">
        <f ca="1">IFERROR(IF(Inputs!$I$1="Please Select","",IF(Inputs!I$2="Please Select","",IF(Inputs!$I$2="Pupil Numbers",IF('KS2-4 Subject TMs'!$S$47="Gender",INDEX(INDIRECT(Inputs!$I$1),6,34),IF('KS2-4 Subject TMs'!$S$47="disadvantage",INDEX(INDIRECT(Inputs!$I$1),6,60),IF('KS2-4 Subject TMs'!$S$47="sen",INDEX(INDIRECT(Inputs!$I$1),6,86),IF('KS2-4 Subject TMs'!$S$47="eal",INDEX(INDIRECT(Inputs!$I$1),6,112),"")))),IF(Inputs!$I$2="Pupil Percentages",IF('KS2-4 Subject TMs'!$S$47="Gender",INDEX(INDIRECT(Inputs!$I$1),22,34),IF('KS2-4 Subject TMs'!$S$47="disadvantage",INDEX(INDIRECT(Inputs!$I$1),22,60),IF('KS2-4 Subject TMs'!$S$47="sen",INDEX(INDIRECT(Inputs!$I$1),22,86),IF('KS2-4 Subject TMs'!$S$47="eal",INDEX(INDIRECT(Inputs!$I$1),22,112),"")))))))),"")</f>
        <v/>
      </c>
      <c r="M68" s="61" t="str">
        <f ca="1">IFERROR(IF(Inputs!$I$1="Please Select","",IF(Inputs!I$2="Please Select","",IF(Inputs!$I$2="Pupil Numbers",IF('KS2-4 Subject TMs'!$S$47="Gender",INDEX(INDIRECT(Inputs!$I$1),6,35),IF('KS2-4 Subject TMs'!$S$47="disadvantage",INDEX(INDIRECT(Inputs!$I$1),6,61),IF('KS2-4 Subject TMs'!$S$47="sen",INDEX(INDIRECT(Inputs!$I$1),6,87),IF('KS2-4 Subject TMs'!$S$47="eal",INDEX(INDIRECT(Inputs!$I$1),6,113),"")))),IF(Inputs!$I$2="Pupil Percentages",IF('KS2-4 Subject TMs'!$S$47="Gender",INDEX(INDIRECT(Inputs!$I$1),22,35),IF('KS2-4 Subject TMs'!$S$47="disadvantage",INDEX(INDIRECT(Inputs!$I$1),22,61),IF('KS2-4 Subject TMs'!$S$47="sen",INDEX(INDIRECT(Inputs!$I$1),22,87),IF('KS2-4 Subject TMs'!$S$47="eal",INDEX(INDIRECT(Inputs!$I$1),22,113),"")))))))),"")</f>
        <v/>
      </c>
      <c r="N68" s="69" t="str">
        <f ca="1">IF(Inputs!$I$1="Please Select","",IF(Inputs!I$2="Please Select","",IF(OR(Inputs!$I$1="Mathematics",Inputs!$I$1="English_Language",Inputs!$I$1="English_Literature",Inputs!$I$1="Art_Design",Inputs!$I$1="Biology",Inputs!$I$1="Business_Studies",Inputs!$I$1="Chemistry",Inputs!$I$1="Citizenship_Studies",Inputs!$I$1="Classical_Studies",Inputs!$I$1="Computer_Science",Inputs!$I$1="Dance",Inputs!$I$1="Economics",Inputs!$I$1="Engineering",Inputs!$I$1="Food_Preparation_and_Nutrition",Inputs!$I$1="French",Inputs!$I$1="Geography",Inputs!$I$1="German",Inputs!$I$1="History",Inputs!$I$1="Media_Studies",Inputs!$I$1="Music",Inputs!$I$1="Design_Technology",Inputs!$I$1="Other_Modern_Languages_9_to_1",Inputs!$I$1="Other_Sciences",Inputs!$I$1="Performing_Arts",Inputs!$I$1="Photography",Inputs!$I$1="Physical_Education",Inputs!$I$1="Physics",Inputs!$I$1="Psychology",Inputs!$I$1="Religious_Studies",Inputs!$I$1="Sociology",Inputs!$I$1="Spanish",Inputs!$I$1="Statistics"),IF(Inputs!$I$2="Pupil Numbers",IF('KS2-4 Subject TMs'!$S$47="Gender",INDEX(INDIRECT(Inputs!$I$1),6,36),IF('KS2-4 Subject TMs'!$S$47="disadvantage",INDEX(INDIRECT(Inputs!$I$1),6,62),IF('KS2-4 Subject TMs'!$S$47="sen",INDEX(INDIRECT(Inputs!$I$1),6,88),IF('KS2-4 Subject TMs'!$S$47="eal",INDEX(INDIRECT(Inputs!$I$1),6,114),"")))),IF(Inputs!$I$2="Pupil Percentages",IF('KS2-4 Subject TMs'!$S$47="Gender",INDEX(INDIRECT(Inputs!$I$1),22,36),IF('KS2-4 Subject TMs'!$S$47="disadvantage",INDEX(INDIRECT(Inputs!$I$1),22,62),IF('KS2-4 Subject TMs'!$S$47="sen",INDEX(INDIRECT(Inputs!$I$1),22,88),IF('KS2-4 Subject TMs'!$S$47="eal",INDEX(INDIRECT(Inputs!$I$1),22,114),"")))))),"")))</f>
        <v/>
      </c>
      <c r="AD68" s="12"/>
      <c r="AR68" s="13"/>
      <c r="AS68" s="13"/>
      <c r="AT68" s="13"/>
      <c r="AU68" s="13"/>
      <c r="AV68" s="13"/>
      <c r="AW68" s="13"/>
      <c r="AX68" s="13"/>
      <c r="AY68" s="13"/>
      <c r="AZ68" s="13"/>
      <c r="BA68" s="13"/>
      <c r="BB68" s="13"/>
      <c r="BC68" s="13"/>
      <c r="BD68" s="13"/>
    </row>
    <row r="69" spans="3:56" ht="23.1" customHeight="1" x14ac:dyDescent="0.5">
      <c r="C69" s="120"/>
      <c r="D69" s="60" t="s">
        <v>6</v>
      </c>
      <c r="E69" s="61" t="str">
        <f ca="1">IFERROR(IF(Inputs!$I$1="Please Select","",IF(Inputs!I$2="Please Select","",IF(Inputs!$I$2="Pupil Numbers",IF('KS2-4 Subject TMs'!$S$47="Gender",INDEX(INDIRECT(Inputs!$I$1),7,27),IF('KS2-4 Subject TMs'!$S$47="disadvantage",INDEX(INDIRECT(Inputs!$I$1),7,53),IF('KS2-4 Subject TMs'!$S$47="sen",INDEX(INDIRECT(Inputs!$I$1),7,79),IF('KS2-4 Subject TMs'!$S$47="eal",INDEX(INDIRECT(Inputs!$I$1),7,105),"")))),IF(Inputs!$I$2="Pupil Percentages",IF('KS2-4 Subject TMs'!$S$47="Gender",INDEX(INDIRECT(Inputs!$I$1),23,27),IF('KS2-4 Subject TMs'!$S$47="disadvantage",INDEX(INDIRECT(Inputs!$I$1),23,53),IF('KS2-4 Subject TMs'!$S$47="sen",INDEX(INDIRECT(Inputs!$I$1),23,79),IF('KS2-4 Subject TMs'!$S$47="eal",INDEX(INDIRECT(Inputs!$I$1),23,105),"")))))))),"")</f>
        <v/>
      </c>
      <c r="F69" s="61" t="str">
        <f ca="1">IFERROR(IF(Inputs!$I$1="Please Select","",IF(Inputs!I$2="Please Select","",IF(Inputs!$I$2="Pupil Numbers",IF('KS2-4 Subject TMs'!$S$47="Gender",INDEX(INDIRECT(Inputs!$I$1),7,28),IF('KS2-4 Subject TMs'!$S$47="disadvantage",INDEX(INDIRECT(Inputs!$I$1),7,54),IF('KS2-4 Subject TMs'!$S$47="sen",INDEX(INDIRECT(Inputs!$I$1),7,80),IF('KS2-4 Subject TMs'!$S$47="eal",INDEX(INDIRECT(Inputs!$I$1),7,106),"")))),IF(Inputs!$I$2="Pupil Percentages",IF('KS2-4 Subject TMs'!$S$47="Gender",INDEX(INDIRECT(Inputs!$I$1),23,28),IF('KS2-4 Subject TMs'!$S$47="disadvantage",INDEX(INDIRECT(Inputs!$I$1),23,54),IF('KS2-4 Subject TMs'!$S$47="sen",INDEX(INDIRECT(Inputs!$I$1),23,80),IF('KS2-4 Subject TMs'!$S$47="eal",INDEX(INDIRECT(Inputs!$I$1),23,106),"")))))))),"")</f>
        <v/>
      </c>
      <c r="G69" s="61" t="str">
        <f ca="1">IFERROR(IF(Inputs!$I$1="Please Select","",IF(Inputs!I$2="Please Select","",IF(Inputs!$I$2="Pupil Numbers",IF('KS2-4 Subject TMs'!$S$47="Gender",INDEX(INDIRECT(Inputs!$I$1),7,29),IF('KS2-4 Subject TMs'!$S$47="disadvantage",INDEX(INDIRECT(Inputs!$I$1),7,55),IF('KS2-4 Subject TMs'!$S$47="sen",INDEX(INDIRECT(Inputs!$I$1),7,81),IF('KS2-4 Subject TMs'!$S$47="eal",INDEX(INDIRECT(Inputs!$I$1),7,107),"")))),IF(Inputs!$I$2="Pupil Percentages",IF('KS2-4 Subject TMs'!$S$47="Gender",INDEX(INDIRECT(Inputs!$I$1),23,29),IF('KS2-4 Subject TMs'!$S$47="disadvantage",INDEX(INDIRECT(Inputs!$I$1),23,55),IF('KS2-4 Subject TMs'!$S$47="sen",INDEX(INDIRECT(Inputs!$I$1),23,81),IF('KS2-4 Subject TMs'!$S$47="eal",INDEX(INDIRECT(Inputs!$I$1),23,107),"")))))))),"")</f>
        <v/>
      </c>
      <c r="H69" s="61" t="str">
        <f ca="1">IFERROR(IF(Inputs!$I$1="Please Select","",IF(Inputs!I$2="Please Select","",IF(Inputs!$I$2="Pupil Numbers",IF('KS2-4 Subject TMs'!$S$47="Gender",INDEX(INDIRECT(Inputs!$I$1),7,30),IF('KS2-4 Subject TMs'!$S$47="disadvantage",INDEX(INDIRECT(Inputs!$I$1),7,56),IF('KS2-4 Subject TMs'!$S$47="sen",INDEX(INDIRECT(Inputs!$I$1),7,82),IF('KS2-4 Subject TMs'!$S$47="eal",INDEX(INDIRECT(Inputs!$I$1),7,108),"")))),IF(Inputs!$I$2="Pupil Percentages",IF('KS2-4 Subject TMs'!$S$47="Gender",INDEX(INDIRECT(Inputs!$I$1),23,30),IF('KS2-4 Subject TMs'!$S$47="disadvantage",INDEX(INDIRECT(Inputs!$I$1),23,56),IF('KS2-4 Subject TMs'!$S$47="sen",INDEX(INDIRECT(Inputs!$I$1),23,82),IF('KS2-4 Subject TMs'!$S$47="eal",INDEX(INDIRECT(Inputs!$I$1),23,108),"")))))))),"")</f>
        <v/>
      </c>
      <c r="I69" s="61" t="str">
        <f ca="1">IFERROR(IF(Inputs!$I$1="Please Select","",IF(Inputs!I$2="Please Select","",IF(Inputs!$I$2="Pupil Numbers",IF('KS2-4 Subject TMs'!$S$47="Gender",INDEX(INDIRECT(Inputs!$I$1),7,31),IF('KS2-4 Subject TMs'!$S$47="disadvantage",INDEX(INDIRECT(Inputs!$I$1),7,57),IF('KS2-4 Subject TMs'!$S$47="sen",INDEX(INDIRECT(Inputs!$I$1),7,83),IF('KS2-4 Subject TMs'!$S$47="eal",INDEX(INDIRECT(Inputs!$I$1),7,109),"")))),IF(Inputs!$I$2="Pupil Percentages",IF('KS2-4 Subject TMs'!$S$47="Gender",INDEX(INDIRECT(Inputs!$I$1),23,31),IF('KS2-4 Subject TMs'!$S$47="disadvantage",INDEX(INDIRECT(Inputs!$I$1),23,57),IF('KS2-4 Subject TMs'!$S$47="sen",INDEX(INDIRECT(Inputs!$I$1),23,83),IF('KS2-4 Subject TMs'!$S$47="eal",INDEX(INDIRECT(Inputs!$I$1),23,109),"")))))))),"")</f>
        <v/>
      </c>
      <c r="J69" s="61" t="str">
        <f ca="1">IFERROR(IF(Inputs!$I$1="Please Select","",IF(Inputs!I$2="Please Select","",IF(Inputs!$I$2="Pupil Numbers",IF('KS2-4 Subject TMs'!$S$47="Gender",INDEX(INDIRECT(Inputs!$I$1),7,32),IF('KS2-4 Subject TMs'!$S$47="disadvantage",INDEX(INDIRECT(Inputs!$I$1),7,58),IF('KS2-4 Subject TMs'!$S$47="sen",INDEX(INDIRECT(Inputs!$I$1),7,84),IF('KS2-4 Subject TMs'!$S$47="eal",INDEX(INDIRECT(Inputs!$I$1),7,110),"")))),IF(Inputs!$I$2="Pupil Percentages",IF('KS2-4 Subject TMs'!$S$47="Gender",INDEX(INDIRECT(Inputs!$I$1),23,32),IF('KS2-4 Subject TMs'!$S$47="disadvantage",INDEX(INDIRECT(Inputs!$I$1),23,58),IF('KS2-4 Subject TMs'!$S$47="sen",INDEX(INDIRECT(Inputs!$I$1),23,84),IF('KS2-4 Subject TMs'!$S$47="eal",INDEX(INDIRECT(Inputs!$I$1),23,110),"")))))))),"")</f>
        <v/>
      </c>
      <c r="K69" s="61" t="str">
        <f ca="1">IFERROR(IF(Inputs!$I$1="Please Select","",IF(Inputs!I$2="Please Select","",IF(Inputs!$I$2="Pupil Numbers",IF('KS2-4 Subject TMs'!$S$47="Gender",INDEX(INDIRECT(Inputs!$I$1),7,33),IF('KS2-4 Subject TMs'!$S$47="disadvantage",INDEX(INDIRECT(Inputs!$I$1),7,59),IF('KS2-4 Subject TMs'!$S$47="sen",INDEX(INDIRECT(Inputs!$I$1),7,85),IF('KS2-4 Subject TMs'!$S$47="eal",INDEX(INDIRECT(Inputs!$I$1),7,111),"")))),IF(Inputs!$I$2="Pupil Percentages",IF('KS2-4 Subject TMs'!$S$47="Gender",INDEX(INDIRECT(Inputs!$I$1),23,33),IF('KS2-4 Subject TMs'!$S$47="disadvantage",INDEX(INDIRECT(Inputs!$I$1),23,59),IF('KS2-4 Subject TMs'!$S$47="sen",INDEX(INDIRECT(Inputs!$I$1),23,85),IF('KS2-4 Subject TMs'!$S$47="eal",INDEX(INDIRECT(Inputs!$I$1),23,111),"")))))))),"")</f>
        <v/>
      </c>
      <c r="L69" s="61" t="str">
        <f ca="1">IFERROR(IF(Inputs!$I$1="Please Select","",IF(Inputs!I$2="Please Select","",IF(Inputs!$I$2="Pupil Numbers",IF('KS2-4 Subject TMs'!$S$47="Gender",INDEX(INDIRECT(Inputs!$I$1),7,34),IF('KS2-4 Subject TMs'!$S$47="disadvantage",INDEX(INDIRECT(Inputs!$I$1),7,60),IF('KS2-4 Subject TMs'!$S$47="sen",INDEX(INDIRECT(Inputs!$I$1),7,86),IF('KS2-4 Subject TMs'!$S$47="eal",INDEX(INDIRECT(Inputs!$I$1),7,112),"")))),IF(Inputs!$I$2="Pupil Percentages",IF('KS2-4 Subject TMs'!$S$47="Gender",INDEX(INDIRECT(Inputs!$I$1),23,34),IF('KS2-4 Subject TMs'!$S$47="disadvantage",INDEX(INDIRECT(Inputs!$I$1),23,60),IF('KS2-4 Subject TMs'!$S$47="sen",INDEX(INDIRECT(Inputs!$I$1),23,86),IF('KS2-4 Subject TMs'!$S$47="eal",INDEX(INDIRECT(Inputs!$I$1),23,112),"")))))))),"")</f>
        <v/>
      </c>
      <c r="M69" s="61" t="str">
        <f ca="1">IFERROR(IF(Inputs!$I$1="Please Select","",IF(Inputs!I$2="Please Select","",IF(Inputs!$I$2="Pupil Numbers",IF('KS2-4 Subject TMs'!$S$47="Gender",INDEX(INDIRECT(Inputs!$I$1),7,35),IF('KS2-4 Subject TMs'!$S$47="disadvantage",INDEX(INDIRECT(Inputs!$I$1),7,61),IF('KS2-4 Subject TMs'!$S$47="sen",INDEX(INDIRECT(Inputs!$I$1),7,87),IF('KS2-4 Subject TMs'!$S$47="eal",INDEX(INDIRECT(Inputs!$I$1),7,113),"")))),IF(Inputs!$I$2="Pupil Percentages",IF('KS2-4 Subject TMs'!$S$47="Gender",INDEX(INDIRECT(Inputs!$I$1),23,35),IF('KS2-4 Subject TMs'!$S$47="disadvantage",INDEX(INDIRECT(Inputs!$I$1),23,61),IF('KS2-4 Subject TMs'!$S$47="sen",INDEX(INDIRECT(Inputs!$I$1),23,87),IF('KS2-4 Subject TMs'!$S$47="eal",INDEX(INDIRECT(Inputs!$I$1),23,113),"")))))))),"")</f>
        <v/>
      </c>
      <c r="N69" s="69" t="str">
        <f ca="1">IF(Inputs!$I$1="Please Select","",IF(Inputs!I$2="Please Select","",IF(OR(Inputs!$I$1="Mathematics",Inputs!$I$1="English_Language",Inputs!$I$1="English_Literature",Inputs!$I$1="Art_Design",Inputs!$I$1="Biology",Inputs!$I$1="Business_Studies",Inputs!$I$1="Chemistry",Inputs!$I$1="Citizenship_Studies",Inputs!$I$1="Classical_Studies",Inputs!$I$1="Computer_Science",Inputs!$I$1="Dance",Inputs!$I$1="Economics",Inputs!$I$1="Engineering",Inputs!$I$1="Food_Preparation_and_Nutrition",Inputs!$I$1="French",Inputs!$I$1="Geography",Inputs!$I$1="German",Inputs!$I$1="History",Inputs!$I$1="Media_Studies",Inputs!$I$1="Music",Inputs!$I$1="Design_Technology",Inputs!$I$1="Other_Modern_Languages_9_to_1",Inputs!$I$1="Other_Sciences",Inputs!$I$1="Performing_Arts",Inputs!$I$1="Photography",Inputs!$I$1="Physical_Education",Inputs!$I$1="Physics",Inputs!$I$1="Psychology",Inputs!$I$1="Religious_Studies",Inputs!$I$1="Sociology",Inputs!$I$1="Spanish",Inputs!$I$1="Statistics"),IF(Inputs!$I$2="Pupil Numbers",IF('KS2-4 Subject TMs'!$S$47="Gender",INDEX(INDIRECT(Inputs!$I$1),7,36),IF('KS2-4 Subject TMs'!$S$47="disadvantage",INDEX(INDIRECT(Inputs!$I$1),7,62),IF('KS2-4 Subject TMs'!$S$47="sen",INDEX(INDIRECT(Inputs!$I$1),7,88),IF('KS2-4 Subject TMs'!$S$47="eal",INDEX(INDIRECT(Inputs!$I$1),7,114),"")))),IF(Inputs!$I$2="Pupil Percentages",IF('KS2-4 Subject TMs'!$S$47="Gender",INDEX(INDIRECT(Inputs!$I$1),23,36),IF('KS2-4 Subject TMs'!$S$47="disadvantage",INDEX(INDIRECT(Inputs!$I$1),23,62),IF('KS2-4 Subject TMs'!$S$47="sen",INDEX(INDIRECT(Inputs!$I$1),23,88),IF('KS2-4 Subject TMs'!$S$47="eal",INDEX(INDIRECT(Inputs!$I$1),23,114),"")))))),"")))</f>
        <v/>
      </c>
      <c r="AD69" s="12"/>
      <c r="AR69" s="13"/>
      <c r="AS69" s="13"/>
      <c r="AT69" s="13"/>
      <c r="AU69" s="13"/>
      <c r="AV69" s="13"/>
      <c r="AW69" s="13"/>
      <c r="AX69" s="13"/>
      <c r="AY69" s="13"/>
      <c r="AZ69" s="13"/>
      <c r="BA69" s="13"/>
      <c r="BB69" s="13"/>
      <c r="BC69" s="13"/>
      <c r="BD69" s="13"/>
    </row>
    <row r="70" spans="3:56" ht="23.1" customHeight="1" x14ac:dyDescent="0.5">
      <c r="C70" s="120"/>
      <c r="D70" s="60" t="s">
        <v>7</v>
      </c>
      <c r="E70" s="61" t="str">
        <f ca="1">IFERROR(IF(Inputs!$I$1="Please Select","",IF(Inputs!I$2="Please Select","",IF(Inputs!$I$2="Pupil Numbers",IF('KS2-4 Subject TMs'!$S$47="Gender",INDEX(INDIRECT(Inputs!$I$1),8,27),IF('KS2-4 Subject TMs'!$S$47="disadvantage",INDEX(INDIRECT(Inputs!$I$1),8,53),IF('KS2-4 Subject TMs'!$S$47="sen",INDEX(INDIRECT(Inputs!$I$1),8,79),IF('KS2-4 Subject TMs'!$S$47="eal",INDEX(INDIRECT(Inputs!$I$1),8,105),"")))),IF(Inputs!$I$2="Pupil Percentages",IF('KS2-4 Subject TMs'!$S$47="Gender",INDEX(INDIRECT(Inputs!$I$1),24,27),IF('KS2-4 Subject TMs'!$S$47="disadvantage",INDEX(INDIRECT(Inputs!$I$1),24,53),IF('KS2-4 Subject TMs'!$S$47="sen",INDEX(INDIRECT(Inputs!$I$1),24,79),IF('KS2-4 Subject TMs'!$S$47="eal",INDEX(INDIRECT(Inputs!$I$1),24,105),"")))))))),"")</f>
        <v/>
      </c>
      <c r="F70" s="61" t="str">
        <f ca="1">IFERROR(IF(Inputs!$I$1="Please Select","",IF(Inputs!I$2="Please Select","",IF(Inputs!$I$2="Pupil Numbers",IF('KS2-4 Subject TMs'!$S$47="Gender",INDEX(INDIRECT(Inputs!$I$1),8,28),IF('KS2-4 Subject TMs'!$S$47="disadvantage",INDEX(INDIRECT(Inputs!$I$1),8,54),IF('KS2-4 Subject TMs'!$S$47="sen",INDEX(INDIRECT(Inputs!$I$1),8,80),IF('KS2-4 Subject TMs'!$S$47="eal",INDEX(INDIRECT(Inputs!$I$1),8,106),"")))),IF(Inputs!$I$2="Pupil Percentages",IF('KS2-4 Subject TMs'!$S$47="Gender",INDEX(INDIRECT(Inputs!$I$1),24,28),IF('KS2-4 Subject TMs'!$S$47="disadvantage",INDEX(INDIRECT(Inputs!$I$1),24,54),IF('KS2-4 Subject TMs'!$S$47="sen",INDEX(INDIRECT(Inputs!$I$1),24,80),IF('KS2-4 Subject TMs'!$S$47="eal",INDEX(INDIRECT(Inputs!$I$1),24,106),"")))))))),"")</f>
        <v/>
      </c>
      <c r="G70" s="61" t="str">
        <f ca="1">IFERROR(IF(Inputs!$I$1="Please Select","",IF(Inputs!I$2="Please Select","",IF(Inputs!$I$2="Pupil Numbers",IF('KS2-4 Subject TMs'!$S$47="Gender",INDEX(INDIRECT(Inputs!$I$1),8,29),IF('KS2-4 Subject TMs'!$S$47="disadvantage",INDEX(INDIRECT(Inputs!$I$1),8,55),IF('KS2-4 Subject TMs'!$S$47="sen",INDEX(INDIRECT(Inputs!$I$1),8,81),IF('KS2-4 Subject TMs'!$S$47="eal",INDEX(INDIRECT(Inputs!$I$1),8,107),"")))),IF(Inputs!$I$2="Pupil Percentages",IF('KS2-4 Subject TMs'!$S$47="Gender",INDEX(INDIRECT(Inputs!$I$1),24,29),IF('KS2-4 Subject TMs'!$S$47="disadvantage",INDEX(INDIRECT(Inputs!$I$1),24,55),IF('KS2-4 Subject TMs'!$S$47="sen",INDEX(INDIRECT(Inputs!$I$1),24,81),IF('KS2-4 Subject TMs'!$S$47="eal",INDEX(INDIRECT(Inputs!$I$1),24,107),"")))))))),"")</f>
        <v/>
      </c>
      <c r="H70" s="61" t="str">
        <f ca="1">IFERROR(IF(Inputs!$I$1="Please Select","",IF(Inputs!I$2="Please Select","",IF(Inputs!$I$2="Pupil Numbers",IF('KS2-4 Subject TMs'!$S$47="Gender",INDEX(INDIRECT(Inputs!$I$1),8,30),IF('KS2-4 Subject TMs'!$S$47="disadvantage",INDEX(INDIRECT(Inputs!$I$1),8,56),IF('KS2-4 Subject TMs'!$S$47="sen",INDEX(INDIRECT(Inputs!$I$1),8,82),IF('KS2-4 Subject TMs'!$S$47="eal",INDEX(INDIRECT(Inputs!$I$1),8,108),"")))),IF(Inputs!$I$2="Pupil Percentages",IF('KS2-4 Subject TMs'!$S$47="Gender",INDEX(INDIRECT(Inputs!$I$1),24,30),IF('KS2-4 Subject TMs'!$S$47="disadvantage",INDEX(INDIRECT(Inputs!$I$1),24,56),IF('KS2-4 Subject TMs'!$S$47="sen",INDEX(INDIRECT(Inputs!$I$1),24,82),IF('KS2-4 Subject TMs'!$S$47="eal",INDEX(INDIRECT(Inputs!$I$1),24,108),"")))))))),"")</f>
        <v/>
      </c>
      <c r="I70" s="61" t="str">
        <f ca="1">IFERROR(IF(Inputs!$I$1="Please Select","",IF(Inputs!I$2="Please Select","",IF(Inputs!$I$2="Pupil Numbers",IF('KS2-4 Subject TMs'!$S$47="Gender",INDEX(INDIRECT(Inputs!$I$1),8,31),IF('KS2-4 Subject TMs'!$S$47="disadvantage",INDEX(INDIRECT(Inputs!$I$1),8,57),IF('KS2-4 Subject TMs'!$S$47="sen",INDEX(INDIRECT(Inputs!$I$1),8,83),IF('KS2-4 Subject TMs'!$S$47="eal",INDEX(INDIRECT(Inputs!$I$1),8,109),"")))),IF(Inputs!$I$2="Pupil Percentages",IF('KS2-4 Subject TMs'!$S$47="Gender",INDEX(INDIRECT(Inputs!$I$1),24,31),IF('KS2-4 Subject TMs'!$S$47="disadvantage",INDEX(INDIRECT(Inputs!$I$1),24,57),IF('KS2-4 Subject TMs'!$S$47="sen",INDEX(INDIRECT(Inputs!$I$1),24,83),IF('KS2-4 Subject TMs'!$S$47="eal",INDEX(INDIRECT(Inputs!$I$1),24,109),"")))))))),"")</f>
        <v/>
      </c>
      <c r="J70" s="61" t="str">
        <f ca="1">IFERROR(IF(Inputs!$I$1="Please Select","",IF(Inputs!I$2="Please Select","",IF(Inputs!$I$2="Pupil Numbers",IF('KS2-4 Subject TMs'!$S$47="Gender",INDEX(INDIRECT(Inputs!$I$1),8,32),IF('KS2-4 Subject TMs'!$S$47="disadvantage",INDEX(INDIRECT(Inputs!$I$1),8,58),IF('KS2-4 Subject TMs'!$S$47="sen",INDEX(INDIRECT(Inputs!$I$1),8,84),IF('KS2-4 Subject TMs'!$S$47="eal",INDEX(INDIRECT(Inputs!$I$1),8,110),"")))),IF(Inputs!$I$2="Pupil Percentages",IF('KS2-4 Subject TMs'!$S$47="Gender",INDEX(INDIRECT(Inputs!$I$1),24,32),IF('KS2-4 Subject TMs'!$S$47="disadvantage",INDEX(INDIRECT(Inputs!$I$1),24,58),IF('KS2-4 Subject TMs'!$S$47="sen",INDEX(INDIRECT(Inputs!$I$1),24,84),IF('KS2-4 Subject TMs'!$S$47="eal",INDEX(INDIRECT(Inputs!$I$1),24,110),"")))))))),"")</f>
        <v/>
      </c>
      <c r="K70" s="61" t="str">
        <f ca="1">IFERROR(IF(Inputs!$I$1="Please Select","",IF(Inputs!I$2="Please Select","",IF(Inputs!$I$2="Pupil Numbers",IF('KS2-4 Subject TMs'!$S$47="Gender",INDEX(INDIRECT(Inputs!$I$1),8,33),IF('KS2-4 Subject TMs'!$S$47="disadvantage",INDEX(INDIRECT(Inputs!$I$1),8,59),IF('KS2-4 Subject TMs'!$S$47="sen",INDEX(INDIRECT(Inputs!$I$1),8,85),IF('KS2-4 Subject TMs'!$S$47="eal",INDEX(INDIRECT(Inputs!$I$1),8,111),"")))),IF(Inputs!$I$2="Pupil Percentages",IF('KS2-4 Subject TMs'!$S$47="Gender",INDEX(INDIRECT(Inputs!$I$1),24,33),IF('KS2-4 Subject TMs'!$S$47="disadvantage",INDEX(INDIRECT(Inputs!$I$1),24,59),IF('KS2-4 Subject TMs'!$S$47="sen",INDEX(INDIRECT(Inputs!$I$1),24,85),IF('KS2-4 Subject TMs'!$S$47="eal",INDEX(INDIRECT(Inputs!$I$1),24,111),"")))))))),"")</f>
        <v/>
      </c>
      <c r="L70" s="61" t="str">
        <f ca="1">IFERROR(IF(Inputs!$I$1="Please Select","",IF(Inputs!I$2="Please Select","",IF(Inputs!$I$2="Pupil Numbers",IF('KS2-4 Subject TMs'!$S$47="Gender",INDEX(INDIRECT(Inputs!$I$1),8,34),IF('KS2-4 Subject TMs'!$S$47="disadvantage",INDEX(INDIRECT(Inputs!$I$1),8,60),IF('KS2-4 Subject TMs'!$S$47="sen",INDEX(INDIRECT(Inputs!$I$1),8,86),IF('KS2-4 Subject TMs'!$S$47="eal",INDEX(INDIRECT(Inputs!$I$1),8,112),"")))),IF(Inputs!$I$2="Pupil Percentages",IF('KS2-4 Subject TMs'!$S$47="Gender",INDEX(INDIRECT(Inputs!$I$1),24,34),IF('KS2-4 Subject TMs'!$S$47="disadvantage",INDEX(INDIRECT(Inputs!$I$1),24,60),IF('KS2-4 Subject TMs'!$S$47="sen",INDEX(INDIRECT(Inputs!$I$1),24,86),IF('KS2-4 Subject TMs'!$S$47="eal",INDEX(INDIRECT(Inputs!$I$1),24,112),"")))))))),"")</f>
        <v/>
      </c>
      <c r="M70" s="61" t="str">
        <f ca="1">IFERROR(IF(Inputs!$I$1="Please Select","",IF(Inputs!I$2="Please Select","",IF(Inputs!$I$2="Pupil Numbers",IF('KS2-4 Subject TMs'!$S$47="Gender",INDEX(INDIRECT(Inputs!$I$1),8,35),IF('KS2-4 Subject TMs'!$S$47="disadvantage",INDEX(INDIRECT(Inputs!$I$1),8,61),IF('KS2-4 Subject TMs'!$S$47="sen",INDEX(INDIRECT(Inputs!$I$1),8,87),IF('KS2-4 Subject TMs'!$S$47="eal",INDEX(INDIRECT(Inputs!$I$1),8,113),"")))),IF(Inputs!$I$2="Pupil Percentages",IF('KS2-4 Subject TMs'!$S$47="Gender",INDEX(INDIRECT(Inputs!$I$1),24,35),IF('KS2-4 Subject TMs'!$S$47="disadvantage",INDEX(INDIRECT(Inputs!$I$1),24,61),IF('KS2-4 Subject TMs'!$S$47="sen",INDEX(INDIRECT(Inputs!$I$1),24,87),IF('KS2-4 Subject TMs'!$S$47="eal",INDEX(INDIRECT(Inputs!$I$1),24,113),"")))))))),"")</f>
        <v/>
      </c>
      <c r="N70" s="69" t="str">
        <f ca="1">IF(Inputs!$I$1="Please Select","",IF(Inputs!I$2="Please Select","",IF(OR(Inputs!$I$1="Mathematics",Inputs!$I$1="English_Language",Inputs!$I$1="English_Literature",Inputs!$I$1="Art_Design",Inputs!$I$1="Biology",Inputs!$I$1="Business_Studies",Inputs!$I$1="Chemistry",Inputs!$I$1="Citizenship_Studies",Inputs!$I$1="Classical_Studies",Inputs!$I$1="Computer_Science",Inputs!$I$1="Dance",Inputs!$I$1="Economics",Inputs!$I$1="Engineering",Inputs!$I$1="Food_Preparation_and_Nutrition",Inputs!$I$1="French",Inputs!$I$1="Geography",Inputs!$I$1="German",Inputs!$I$1="History",Inputs!$I$1="Media_Studies",Inputs!$I$1="Music",Inputs!$I$1="Design_Technology",Inputs!$I$1="Other_Modern_Languages_9_to_1",Inputs!$I$1="Other_Sciences",Inputs!$I$1="Performing_Arts",Inputs!$I$1="Photography",Inputs!$I$1="Physical_Education",Inputs!$I$1="Physics",Inputs!$I$1="Psychology",Inputs!$I$1="Religious_Studies",Inputs!$I$1="Sociology",Inputs!$I$1="Spanish",Inputs!$I$1="Statistics"),IF(Inputs!$I$2="Pupil Numbers",IF('KS2-4 Subject TMs'!$S$47="Gender",INDEX(INDIRECT(Inputs!$I$1),8,36),IF('KS2-4 Subject TMs'!$S$47="disadvantage",INDEX(INDIRECT(Inputs!$I$1),8,62),IF('KS2-4 Subject TMs'!$S$47="sen",INDEX(INDIRECT(Inputs!$I$1),8,88),IF('KS2-4 Subject TMs'!$S$47="eal",INDEX(INDIRECT(Inputs!$I$1),8,114),"")))),IF(Inputs!$I$2="Pupil Percentages",IF('KS2-4 Subject TMs'!$S$47="Gender",INDEX(INDIRECT(Inputs!$I$1),24,36),IF('KS2-4 Subject TMs'!$S$47="disadvantage",INDEX(INDIRECT(Inputs!$I$1),24,62),IF('KS2-4 Subject TMs'!$S$47="sen",INDEX(INDIRECT(Inputs!$I$1),24,88),IF('KS2-4 Subject TMs'!$S$47="eal",INDEX(INDIRECT(Inputs!$I$1),24,114),"")))))),"")))</f>
        <v/>
      </c>
      <c r="AD70" s="12"/>
      <c r="AR70" s="13"/>
      <c r="AS70" s="13"/>
      <c r="AT70" s="13"/>
      <c r="AU70" s="13"/>
      <c r="AV70" s="13"/>
      <c r="AW70" s="13"/>
      <c r="AX70" s="13"/>
      <c r="AY70" s="13"/>
      <c r="AZ70" s="13"/>
      <c r="BA70" s="13"/>
      <c r="BB70" s="13"/>
      <c r="BC70" s="13"/>
      <c r="BD70" s="13"/>
    </row>
    <row r="71" spans="3:56" ht="23.1" customHeight="1" x14ac:dyDescent="0.5">
      <c r="C71" s="120"/>
      <c r="D71" s="60" t="s">
        <v>8</v>
      </c>
      <c r="E71" s="61" t="str">
        <f ca="1">IFERROR(IF(Inputs!$I$1="Please Select","",IF(Inputs!I$2="Please Select","",IF(Inputs!$I$2="Pupil Numbers",IF('KS2-4 Subject TMs'!$S$47="Gender",INDEX(INDIRECT(Inputs!$I$1),9,27),IF('KS2-4 Subject TMs'!$S$47="disadvantage",INDEX(INDIRECT(Inputs!$I$1),9,53),IF('KS2-4 Subject TMs'!$S$47="sen",INDEX(INDIRECT(Inputs!$I$1),9,79),IF('KS2-4 Subject TMs'!$S$47="eal",INDEX(INDIRECT(Inputs!$I$1),9,105),"")))),IF(Inputs!$I$2="Pupil Percentages",IF('KS2-4 Subject TMs'!$S$47="Gender",INDEX(INDIRECT(Inputs!$I$1),25,27),IF('KS2-4 Subject TMs'!$S$47="disadvantage",INDEX(INDIRECT(Inputs!$I$1),25,53),IF('KS2-4 Subject TMs'!$S$47="sen",INDEX(INDIRECT(Inputs!$I$1),25,79),IF('KS2-4 Subject TMs'!$S$47="eal",INDEX(INDIRECT(Inputs!$I$1),25,105),"")))))))),"")</f>
        <v/>
      </c>
      <c r="F71" s="61" t="str">
        <f ca="1">IFERROR(IF(Inputs!$I$1="Please Select","",IF(Inputs!I$2="Please Select","",IF(Inputs!$I$2="Pupil Numbers",IF('KS2-4 Subject TMs'!$S$47="Gender",INDEX(INDIRECT(Inputs!$I$1),9,28),IF('KS2-4 Subject TMs'!$S$47="disadvantage",INDEX(INDIRECT(Inputs!$I$1),9,54),IF('KS2-4 Subject TMs'!$S$47="sen",INDEX(INDIRECT(Inputs!$I$1),9,80),IF('KS2-4 Subject TMs'!$S$47="eal",INDEX(INDIRECT(Inputs!$I$1),9,106),"")))),IF(Inputs!$I$2="Pupil Percentages",IF('KS2-4 Subject TMs'!$S$47="Gender",INDEX(INDIRECT(Inputs!$I$1),25,28),IF('KS2-4 Subject TMs'!$S$47="disadvantage",INDEX(INDIRECT(Inputs!$I$1),25,54),IF('KS2-4 Subject TMs'!$S$47="sen",INDEX(INDIRECT(Inputs!$I$1),25,80),IF('KS2-4 Subject TMs'!$S$47="eal",INDEX(INDIRECT(Inputs!$I$1),25,106),"")))))))),"")</f>
        <v/>
      </c>
      <c r="G71" s="61" t="str">
        <f ca="1">IFERROR(IF(Inputs!$I$1="Please Select","",IF(Inputs!I$2="Please Select","",IF(Inputs!$I$2="Pupil Numbers",IF('KS2-4 Subject TMs'!$S$47="Gender",INDEX(INDIRECT(Inputs!$I$1),9,29),IF('KS2-4 Subject TMs'!$S$47="disadvantage",INDEX(INDIRECT(Inputs!$I$1),9,55),IF('KS2-4 Subject TMs'!$S$47="sen",INDEX(INDIRECT(Inputs!$I$1),9,81),IF('KS2-4 Subject TMs'!$S$47="eal",INDEX(INDIRECT(Inputs!$I$1),9,107),"")))),IF(Inputs!$I$2="Pupil Percentages",IF('KS2-4 Subject TMs'!$S$47="Gender",INDEX(INDIRECT(Inputs!$I$1),25,29),IF('KS2-4 Subject TMs'!$S$47="disadvantage",INDEX(INDIRECT(Inputs!$I$1),25,55),IF('KS2-4 Subject TMs'!$S$47="sen",INDEX(INDIRECT(Inputs!$I$1),25,81),IF('KS2-4 Subject TMs'!$S$47="eal",INDEX(INDIRECT(Inputs!$I$1),25,107),"")))))))),"")</f>
        <v/>
      </c>
      <c r="H71" s="61" t="str">
        <f ca="1">IFERROR(IF(Inputs!$I$1="Please Select","",IF(Inputs!I$2="Please Select","",IF(Inputs!$I$2="Pupil Numbers",IF('KS2-4 Subject TMs'!$S$47="Gender",INDEX(INDIRECT(Inputs!$I$1),9,30),IF('KS2-4 Subject TMs'!$S$47="disadvantage",INDEX(INDIRECT(Inputs!$I$1),9,56),IF('KS2-4 Subject TMs'!$S$47="sen",INDEX(INDIRECT(Inputs!$I$1),9,82),IF('KS2-4 Subject TMs'!$S$47="eal",INDEX(INDIRECT(Inputs!$I$1),9,108),"")))),IF(Inputs!$I$2="Pupil Percentages",IF('KS2-4 Subject TMs'!$S$47="Gender",INDEX(INDIRECT(Inputs!$I$1),25,30),IF('KS2-4 Subject TMs'!$S$47="disadvantage",INDEX(INDIRECT(Inputs!$I$1),25,56),IF('KS2-4 Subject TMs'!$S$47="sen",INDEX(INDIRECT(Inputs!$I$1),25,82),IF('KS2-4 Subject TMs'!$S$47="eal",INDEX(INDIRECT(Inputs!$I$1),25,108),"")))))))),"")</f>
        <v/>
      </c>
      <c r="I71" s="61" t="str">
        <f ca="1">IFERROR(IF(Inputs!$I$1="Please Select","",IF(Inputs!I$2="Please Select","",IF(Inputs!$I$2="Pupil Numbers",IF('KS2-4 Subject TMs'!$S$47="Gender",INDEX(INDIRECT(Inputs!$I$1),9,31),IF('KS2-4 Subject TMs'!$S$47="disadvantage",INDEX(INDIRECT(Inputs!$I$1),9,57),IF('KS2-4 Subject TMs'!$S$47="sen",INDEX(INDIRECT(Inputs!$I$1),9,83),IF('KS2-4 Subject TMs'!$S$47="eal",INDEX(INDIRECT(Inputs!$I$1),9,109),"")))),IF(Inputs!$I$2="Pupil Percentages",IF('KS2-4 Subject TMs'!$S$47="Gender",INDEX(INDIRECT(Inputs!$I$1),25,31),IF('KS2-4 Subject TMs'!$S$47="disadvantage",INDEX(INDIRECT(Inputs!$I$1),25,57),IF('KS2-4 Subject TMs'!$S$47="sen",INDEX(INDIRECT(Inputs!$I$1),25,83),IF('KS2-4 Subject TMs'!$S$47="eal",INDEX(INDIRECT(Inputs!$I$1),25,109),"")))))))),"")</f>
        <v/>
      </c>
      <c r="J71" s="61" t="str">
        <f ca="1">IFERROR(IF(Inputs!$I$1="Please Select","",IF(Inputs!I$2="Please Select","",IF(Inputs!$I$2="Pupil Numbers",IF('KS2-4 Subject TMs'!$S$47="Gender",INDEX(INDIRECT(Inputs!$I$1),9,32),IF('KS2-4 Subject TMs'!$S$47="disadvantage",INDEX(INDIRECT(Inputs!$I$1),9,58),IF('KS2-4 Subject TMs'!$S$47="sen",INDEX(INDIRECT(Inputs!$I$1),9,84),IF('KS2-4 Subject TMs'!$S$47="eal",INDEX(INDIRECT(Inputs!$I$1),9,110),"")))),IF(Inputs!$I$2="Pupil Percentages",IF('KS2-4 Subject TMs'!$S$47="Gender",INDEX(INDIRECT(Inputs!$I$1),25,32),IF('KS2-4 Subject TMs'!$S$47="disadvantage",INDEX(INDIRECT(Inputs!$I$1),25,58),IF('KS2-4 Subject TMs'!$S$47="sen",INDEX(INDIRECT(Inputs!$I$1),25,84),IF('KS2-4 Subject TMs'!$S$47="eal",INDEX(INDIRECT(Inputs!$I$1),25,110),"")))))))),"")</f>
        <v/>
      </c>
      <c r="K71" s="61" t="str">
        <f ca="1">IFERROR(IF(Inputs!$I$1="Please Select","",IF(Inputs!I$2="Please Select","",IF(Inputs!$I$2="Pupil Numbers",IF('KS2-4 Subject TMs'!$S$47="Gender",INDEX(INDIRECT(Inputs!$I$1),9,33),IF('KS2-4 Subject TMs'!$S$47="disadvantage",INDEX(INDIRECT(Inputs!$I$1),9,59),IF('KS2-4 Subject TMs'!$S$47="sen",INDEX(INDIRECT(Inputs!$I$1),9,85),IF('KS2-4 Subject TMs'!$S$47="eal",INDEX(INDIRECT(Inputs!$I$1),9,111),"")))),IF(Inputs!$I$2="Pupil Percentages",IF('KS2-4 Subject TMs'!$S$47="Gender",INDEX(INDIRECT(Inputs!$I$1),25,33),IF('KS2-4 Subject TMs'!$S$47="disadvantage",INDEX(INDIRECT(Inputs!$I$1),25,59),IF('KS2-4 Subject TMs'!$S$47="sen",INDEX(INDIRECT(Inputs!$I$1),25,85),IF('KS2-4 Subject TMs'!$S$47="eal",INDEX(INDIRECT(Inputs!$I$1),25,111),"")))))))),"")</f>
        <v/>
      </c>
      <c r="L71" s="61" t="str">
        <f ca="1">IFERROR(IF(Inputs!$I$1="Please Select","",IF(Inputs!I$2="Please Select","",IF(Inputs!$I$2="Pupil Numbers",IF('KS2-4 Subject TMs'!$S$47="Gender",INDEX(INDIRECT(Inputs!$I$1),9,34),IF('KS2-4 Subject TMs'!$S$47="disadvantage",INDEX(INDIRECT(Inputs!$I$1),9,60),IF('KS2-4 Subject TMs'!$S$47="sen",INDEX(INDIRECT(Inputs!$I$1),9,86),IF('KS2-4 Subject TMs'!$S$47="eal",INDEX(INDIRECT(Inputs!$I$1),9,112),"")))),IF(Inputs!$I$2="Pupil Percentages",IF('KS2-4 Subject TMs'!$S$47="Gender",INDEX(INDIRECT(Inputs!$I$1),25,34),IF('KS2-4 Subject TMs'!$S$47="disadvantage",INDEX(INDIRECT(Inputs!$I$1),25,60),IF('KS2-4 Subject TMs'!$S$47="sen",INDEX(INDIRECT(Inputs!$I$1),25,86),IF('KS2-4 Subject TMs'!$S$47="eal",INDEX(INDIRECT(Inputs!$I$1),25,112),"")))))))),"")</f>
        <v/>
      </c>
      <c r="M71" s="61" t="str">
        <f ca="1">IFERROR(IF(Inputs!$I$1="Please Select","",IF(Inputs!I$2="Please Select","",IF(Inputs!$I$2="Pupil Numbers",IF('KS2-4 Subject TMs'!$S$47="Gender",INDEX(INDIRECT(Inputs!$I$1),9,35),IF('KS2-4 Subject TMs'!$S$47="disadvantage",INDEX(INDIRECT(Inputs!$I$1),9,61),IF('KS2-4 Subject TMs'!$S$47="sen",INDEX(INDIRECT(Inputs!$I$1),9,87),IF('KS2-4 Subject TMs'!$S$47="eal",INDEX(INDIRECT(Inputs!$I$1),9,113),"")))),IF(Inputs!$I$2="Pupil Percentages",IF('KS2-4 Subject TMs'!$S$47="Gender",INDEX(INDIRECT(Inputs!$I$1),25,35),IF('KS2-4 Subject TMs'!$S$47="disadvantage",INDEX(INDIRECT(Inputs!$I$1),25,61),IF('KS2-4 Subject TMs'!$S$47="sen",INDEX(INDIRECT(Inputs!$I$1),25,87),IF('KS2-4 Subject TMs'!$S$47="eal",INDEX(INDIRECT(Inputs!$I$1),25,113),"")))))))),"")</f>
        <v/>
      </c>
      <c r="N71" s="69" t="str">
        <f ca="1">IF(Inputs!$I$1="Please Select","",IF(Inputs!I$2="Please Select","",IF(OR(Inputs!$I$1="Mathematics",Inputs!$I$1="English_Language",Inputs!$I$1="English_Literature",Inputs!$I$1="Art_Design",Inputs!$I$1="Biology",Inputs!$I$1="Business_Studies",Inputs!$I$1="Chemistry",Inputs!$I$1="Citizenship_Studies",Inputs!$I$1="Classical_Studies",Inputs!$I$1="Computer_Science",Inputs!$I$1="Dance",Inputs!$I$1="Economics",Inputs!$I$1="Engineering",Inputs!$I$1="Food_Preparation_and_Nutrition",Inputs!$I$1="French",Inputs!$I$1="Geography",Inputs!$I$1="German",Inputs!$I$1="History",Inputs!$I$1="Media_Studies",Inputs!$I$1="Music",Inputs!$I$1="Design_Technology",Inputs!$I$1="Other_Modern_Languages_9_to_1",Inputs!$I$1="Other_Sciences",Inputs!$I$1="Performing_Arts",Inputs!$I$1="Photography",Inputs!$I$1="Physical_Education",Inputs!$I$1="Physics",Inputs!$I$1="Psychology",Inputs!$I$1="Religious_Studies",Inputs!$I$1="Sociology",Inputs!$I$1="Spanish",Inputs!$I$1="Statistics"),IF(Inputs!$I$2="Pupil Numbers",IF('KS2-4 Subject TMs'!$S$47="Gender",INDEX(INDIRECT(Inputs!$I$1),9,36),IF('KS2-4 Subject TMs'!$S$47="disadvantage",INDEX(INDIRECT(Inputs!$I$1),9,62),IF('KS2-4 Subject TMs'!$S$47="sen",INDEX(INDIRECT(Inputs!$I$1),9,88),IF('KS2-4 Subject TMs'!$S$47="eal",INDEX(INDIRECT(Inputs!$I$1),9,114),"")))),IF(Inputs!$I$2="Pupil Percentages",IF('KS2-4 Subject TMs'!$S$47="Gender",INDEX(INDIRECT(Inputs!$I$1),25,36),IF('KS2-4 Subject TMs'!$S$47="disadvantage",INDEX(INDIRECT(Inputs!$I$1),25,62),IF('KS2-4 Subject TMs'!$S$47="sen",INDEX(INDIRECT(Inputs!$I$1),25,88),IF('KS2-4 Subject TMs'!$S$47="eal",INDEX(INDIRECT(Inputs!$I$1),25,114),"")))))),"")))</f>
        <v/>
      </c>
      <c r="P71" s="104"/>
      <c r="Q71" s="104"/>
      <c r="R71" s="104"/>
      <c r="S71" s="104"/>
      <c r="T71" s="104"/>
      <c r="U71" s="104"/>
      <c r="V71" s="104"/>
      <c r="W71" s="104"/>
      <c r="X71" s="104"/>
      <c r="Y71" s="104"/>
      <c r="Z71" s="104"/>
      <c r="AA71" s="104"/>
      <c r="AD71" s="12"/>
      <c r="AR71" s="13"/>
      <c r="AS71" s="13"/>
      <c r="AT71" s="13"/>
      <c r="AU71" s="13"/>
      <c r="AV71" s="13"/>
      <c r="AW71" s="13"/>
      <c r="AX71" s="13"/>
      <c r="AY71" s="13"/>
      <c r="AZ71" s="13"/>
      <c r="BA71" s="13"/>
      <c r="BB71" s="13"/>
      <c r="BC71" s="13"/>
      <c r="BD71" s="13"/>
    </row>
    <row r="72" spans="3:56" ht="23.1" customHeight="1" x14ac:dyDescent="0.5">
      <c r="C72" s="120"/>
      <c r="D72" s="60" t="s">
        <v>9</v>
      </c>
      <c r="E72" s="61" t="str">
        <f ca="1">IFERROR(IF(Inputs!$I$1="Please Select","",IF(Inputs!I$2="Please Select","",IF(Inputs!$I$2="Pupil Numbers",IF('KS2-4 Subject TMs'!$S$47="Gender",INDEX(INDIRECT(Inputs!$I$1),10,27),IF('KS2-4 Subject TMs'!$S$47="disadvantage",INDEX(INDIRECT(Inputs!$I$1),10,53),IF('KS2-4 Subject TMs'!$S$47="sen",INDEX(INDIRECT(Inputs!$I$1),10,79),IF('KS2-4 Subject TMs'!$S$47="eal",INDEX(INDIRECT(Inputs!$I$1),10,105),"")))),IF(Inputs!$I$2="Pupil Percentages",IF('KS2-4 Subject TMs'!$S$47="Gender",INDEX(INDIRECT(Inputs!$I$1),26,27),IF('KS2-4 Subject TMs'!$S$47="disadvantage",INDEX(INDIRECT(Inputs!$I$1),26,53),IF('KS2-4 Subject TMs'!$S$47="sen",INDEX(INDIRECT(Inputs!$I$1),26,79),IF('KS2-4 Subject TMs'!$S$47="eal",INDEX(INDIRECT(Inputs!$I$1),26,105),"")))))))),"")</f>
        <v/>
      </c>
      <c r="F72" s="61" t="str">
        <f ca="1">IFERROR(IF(Inputs!$I$1="Please Select","",IF(Inputs!I$2="Please Select","",IF(Inputs!$I$2="Pupil Numbers",IF('KS2-4 Subject TMs'!$S$47="Gender",INDEX(INDIRECT(Inputs!$I$1),10,28),IF('KS2-4 Subject TMs'!$S$47="disadvantage",INDEX(INDIRECT(Inputs!$I$1),10,54),IF('KS2-4 Subject TMs'!$S$47="sen",INDEX(INDIRECT(Inputs!$I$1),10,80),IF('KS2-4 Subject TMs'!$S$47="eal",INDEX(INDIRECT(Inputs!$I$1),10,106),"")))),IF(Inputs!$I$2="Pupil Percentages",IF('KS2-4 Subject TMs'!$S$47="Gender",INDEX(INDIRECT(Inputs!$I$1),26,28),IF('KS2-4 Subject TMs'!$S$47="disadvantage",INDEX(INDIRECT(Inputs!$I$1),26,54),IF('KS2-4 Subject TMs'!$S$47="sen",INDEX(INDIRECT(Inputs!$I$1),26,80),IF('KS2-4 Subject TMs'!$S$47="eal",INDEX(INDIRECT(Inputs!$I$1),26,106),"")))))))),"")</f>
        <v/>
      </c>
      <c r="G72" s="61" t="str">
        <f ca="1">IFERROR(IF(Inputs!$I$1="Please Select","",IF(Inputs!I$2="Please Select","",IF(Inputs!$I$2="Pupil Numbers",IF('KS2-4 Subject TMs'!$S$47="Gender",INDEX(INDIRECT(Inputs!$I$1),10,29),IF('KS2-4 Subject TMs'!$S$47="disadvantage",INDEX(INDIRECT(Inputs!$I$1),10,55),IF('KS2-4 Subject TMs'!$S$47="sen",INDEX(INDIRECT(Inputs!$I$1),10,81),IF('KS2-4 Subject TMs'!$S$47="eal",INDEX(INDIRECT(Inputs!$I$1),10,107),"")))),IF(Inputs!$I$2="Pupil Percentages",IF('KS2-4 Subject TMs'!$S$47="Gender",INDEX(INDIRECT(Inputs!$I$1),26,29),IF('KS2-4 Subject TMs'!$S$47="disadvantage",INDEX(INDIRECT(Inputs!$I$1),26,55),IF('KS2-4 Subject TMs'!$S$47="sen",INDEX(INDIRECT(Inputs!$I$1),26,81),IF('KS2-4 Subject TMs'!$S$47="eal",INDEX(INDIRECT(Inputs!$I$1),26,107),"")))))))),"")</f>
        <v/>
      </c>
      <c r="H72" s="61" t="str">
        <f ca="1">IFERROR(IF(Inputs!$I$1="Please Select","",IF(Inputs!I$2="Please Select","",IF(Inputs!$I$2="Pupil Numbers",IF('KS2-4 Subject TMs'!$S$47="Gender",INDEX(INDIRECT(Inputs!$I$1),10,30),IF('KS2-4 Subject TMs'!$S$47="disadvantage",INDEX(INDIRECT(Inputs!$I$1),10,56),IF('KS2-4 Subject TMs'!$S$47="sen",INDEX(INDIRECT(Inputs!$I$1),10,82),IF('KS2-4 Subject TMs'!$S$47="eal",INDEX(INDIRECT(Inputs!$I$1),10,108),"")))),IF(Inputs!$I$2="Pupil Percentages",IF('KS2-4 Subject TMs'!$S$47="Gender",INDEX(INDIRECT(Inputs!$I$1),26,30),IF('KS2-4 Subject TMs'!$S$47="disadvantage",INDEX(INDIRECT(Inputs!$I$1),26,56),IF('KS2-4 Subject TMs'!$S$47="sen",INDEX(INDIRECT(Inputs!$I$1),26,82),IF('KS2-4 Subject TMs'!$S$47="eal",INDEX(INDIRECT(Inputs!$I$1),26,108),"")))))))),"")</f>
        <v/>
      </c>
      <c r="I72" s="61" t="str">
        <f ca="1">IFERROR(IF(Inputs!$I$1="Please Select","",IF(Inputs!I$2="Please Select","",IF(Inputs!$I$2="Pupil Numbers",IF('KS2-4 Subject TMs'!$S$47="Gender",INDEX(INDIRECT(Inputs!$I$1),10,31),IF('KS2-4 Subject TMs'!$S$47="disadvantage",INDEX(INDIRECT(Inputs!$I$1),10,57),IF('KS2-4 Subject TMs'!$S$47="sen",INDEX(INDIRECT(Inputs!$I$1),10,83),IF('KS2-4 Subject TMs'!$S$47="eal",INDEX(INDIRECT(Inputs!$I$1),10,109),"")))),IF(Inputs!$I$2="Pupil Percentages",IF('KS2-4 Subject TMs'!$S$47="Gender",INDEX(INDIRECT(Inputs!$I$1),26,31),IF('KS2-4 Subject TMs'!$S$47="disadvantage",INDEX(INDIRECT(Inputs!$I$1),26,57),IF('KS2-4 Subject TMs'!$S$47="sen",INDEX(INDIRECT(Inputs!$I$1),26,83),IF('KS2-4 Subject TMs'!$S$47="eal",INDEX(INDIRECT(Inputs!$I$1),26,109),"")))))))),"")</f>
        <v/>
      </c>
      <c r="J72" s="61" t="str">
        <f ca="1">IFERROR(IF(Inputs!$I$1="Please Select","",IF(Inputs!I$2="Please Select","",IF(Inputs!$I$2="Pupil Numbers",IF('KS2-4 Subject TMs'!$S$47="Gender",INDEX(INDIRECT(Inputs!$I$1),10,32),IF('KS2-4 Subject TMs'!$S$47="disadvantage",INDEX(INDIRECT(Inputs!$I$1),10,58),IF('KS2-4 Subject TMs'!$S$47="sen",INDEX(INDIRECT(Inputs!$I$1),10,84),IF('KS2-4 Subject TMs'!$S$47="eal",INDEX(INDIRECT(Inputs!$I$1),10,110),"")))),IF(Inputs!$I$2="Pupil Percentages",IF('KS2-4 Subject TMs'!$S$47="Gender",INDEX(INDIRECT(Inputs!$I$1),26,32),IF('KS2-4 Subject TMs'!$S$47="disadvantage",INDEX(INDIRECT(Inputs!$I$1),26,58),IF('KS2-4 Subject TMs'!$S$47="sen",INDEX(INDIRECT(Inputs!$I$1),26,84),IF('KS2-4 Subject TMs'!$S$47="eal",INDEX(INDIRECT(Inputs!$I$1),26,110),"")))))))),"")</f>
        <v/>
      </c>
      <c r="K72" s="61" t="str">
        <f ca="1">IFERROR(IF(Inputs!$I$1="Please Select","",IF(Inputs!I$2="Please Select","",IF(Inputs!$I$2="Pupil Numbers",IF('KS2-4 Subject TMs'!$S$47="Gender",INDEX(INDIRECT(Inputs!$I$1),10,33),IF('KS2-4 Subject TMs'!$S$47="disadvantage",INDEX(INDIRECT(Inputs!$I$1),10,59),IF('KS2-4 Subject TMs'!$S$47="sen",INDEX(INDIRECT(Inputs!$I$1),10,85),IF('KS2-4 Subject TMs'!$S$47="eal",INDEX(INDIRECT(Inputs!$I$1),10,111),"")))),IF(Inputs!$I$2="Pupil Percentages",IF('KS2-4 Subject TMs'!$S$47="Gender",INDEX(INDIRECT(Inputs!$I$1),26,33),IF('KS2-4 Subject TMs'!$S$47="disadvantage",INDEX(INDIRECT(Inputs!$I$1),26,59),IF('KS2-4 Subject TMs'!$S$47="sen",INDEX(INDIRECT(Inputs!$I$1),26,85),IF('KS2-4 Subject TMs'!$S$47="eal",INDEX(INDIRECT(Inputs!$I$1),26,111),"")))))))),"")</f>
        <v/>
      </c>
      <c r="L72" s="61" t="str">
        <f ca="1">IFERROR(IF(Inputs!$I$1="Please Select","",IF(Inputs!I$2="Please Select","",IF(Inputs!$I$2="Pupil Numbers",IF('KS2-4 Subject TMs'!$S$47="Gender",INDEX(INDIRECT(Inputs!$I$1),10,34),IF('KS2-4 Subject TMs'!$S$47="disadvantage",INDEX(INDIRECT(Inputs!$I$1),10,60),IF('KS2-4 Subject TMs'!$S$47="sen",INDEX(INDIRECT(Inputs!$I$1),10,86),IF('KS2-4 Subject TMs'!$S$47="eal",INDEX(INDIRECT(Inputs!$I$1),10,112),"")))),IF(Inputs!$I$2="Pupil Percentages",IF('KS2-4 Subject TMs'!$S$47="Gender",INDEX(INDIRECT(Inputs!$I$1),26,34),IF('KS2-4 Subject TMs'!$S$47="disadvantage",INDEX(INDIRECT(Inputs!$I$1),26,60),IF('KS2-4 Subject TMs'!$S$47="sen",INDEX(INDIRECT(Inputs!$I$1),26,86),IF('KS2-4 Subject TMs'!$S$47="eal",INDEX(INDIRECT(Inputs!$I$1),26,112),"")))))))),"")</f>
        <v/>
      </c>
      <c r="M72" s="61" t="str">
        <f ca="1">IFERROR(IF(Inputs!$I$1="Please Select","",IF(Inputs!I$2="Please Select","",IF(Inputs!$I$2="Pupil Numbers",IF('KS2-4 Subject TMs'!$S$47="Gender",INDEX(INDIRECT(Inputs!$I$1),10,35),IF('KS2-4 Subject TMs'!$S$47="disadvantage",INDEX(INDIRECT(Inputs!$I$1),10,61),IF('KS2-4 Subject TMs'!$S$47="sen",INDEX(INDIRECT(Inputs!$I$1),10,87),IF('KS2-4 Subject TMs'!$S$47="eal",INDEX(INDIRECT(Inputs!$I$1),10,113),"")))),IF(Inputs!$I$2="Pupil Percentages",IF('KS2-4 Subject TMs'!$S$47="Gender",INDEX(INDIRECT(Inputs!$I$1),26,35),IF('KS2-4 Subject TMs'!$S$47="disadvantage",INDEX(INDIRECT(Inputs!$I$1),26,61),IF('KS2-4 Subject TMs'!$S$47="sen",INDEX(INDIRECT(Inputs!$I$1),26,87),IF('KS2-4 Subject TMs'!$S$47="eal",INDEX(INDIRECT(Inputs!$I$1),26,113),"")))))))),"")</f>
        <v/>
      </c>
      <c r="N72" s="69" t="str">
        <f ca="1">IF(Inputs!$I$1="Please Select","",IF(Inputs!I$2="Please Select","",IF(OR(Inputs!$I$1="Mathematics",Inputs!$I$1="English_Language",Inputs!$I$1="English_Literature",Inputs!$I$1="Art_Design",Inputs!$I$1="Biology",Inputs!$I$1="Business_Studies",Inputs!$I$1="Chemistry",Inputs!$I$1="Citizenship_Studies",Inputs!$I$1="Classical_Studies",Inputs!$I$1="Computer_Science",Inputs!$I$1="Dance",Inputs!$I$1="Economics",Inputs!$I$1="Engineering",Inputs!$I$1="Food_Preparation_and_Nutrition",Inputs!$I$1="French",Inputs!$I$1="Geography",Inputs!$I$1="German",Inputs!$I$1="History",Inputs!$I$1="Media_Studies",Inputs!$I$1="Music",Inputs!$I$1="Design_Technology",Inputs!$I$1="Other_Modern_Languages_9_to_1",Inputs!$I$1="Other_Sciences",Inputs!$I$1="Performing_Arts",Inputs!$I$1="Photography",Inputs!$I$1="Physical_Education",Inputs!$I$1="Physics",Inputs!$I$1="Psychology",Inputs!$I$1="Religious_Studies",Inputs!$I$1="Sociology",Inputs!$I$1="Spanish",Inputs!$I$1="Statistics"),IF(Inputs!$I$2="Pupil Numbers",IF('KS2-4 Subject TMs'!$S$47="Gender",INDEX(INDIRECT(Inputs!$I$1),10,36),IF('KS2-4 Subject TMs'!$S$47="disadvantage",INDEX(INDIRECT(Inputs!$I$1),10,62),IF('KS2-4 Subject TMs'!$S$47="sen",INDEX(INDIRECT(Inputs!$I$1),10,88),IF('KS2-4 Subject TMs'!$S$47="eal",INDEX(INDIRECT(Inputs!$I$1),10,114),"")))),IF(Inputs!$I$2="Pupil Percentages",IF('KS2-4 Subject TMs'!$S$47="Gender",INDEX(INDIRECT(Inputs!$I$1),26,36),IF('KS2-4 Subject TMs'!$S$47="disadvantage",INDEX(INDIRECT(Inputs!$I$1),26,62),IF('KS2-4 Subject TMs'!$S$47="sen",INDEX(INDIRECT(Inputs!$I$1),26,88),IF('KS2-4 Subject TMs'!$S$47="eal",INDEX(INDIRECT(Inputs!$I$1),26,114),"")))))),"")))</f>
        <v/>
      </c>
      <c r="S72" s="7"/>
      <c r="T72" s="7"/>
      <c r="U72" s="7"/>
      <c r="V72" s="7"/>
      <c r="W72" s="7"/>
      <c r="X72" s="7"/>
      <c r="Y72" s="7"/>
      <c r="Z72" s="7"/>
      <c r="AA72" s="7"/>
      <c r="AD72" s="12"/>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row>
    <row r="73" spans="3:56" ht="23.1" customHeight="1" x14ac:dyDescent="0.5">
      <c r="C73" s="120"/>
      <c r="D73" s="60" t="s">
        <v>10</v>
      </c>
      <c r="E73" s="61" t="str">
        <f ca="1">IFERROR(IF(Inputs!$I$1="Please Select","",IF(Inputs!I$2="Please Select","",IF(Inputs!$I$2="Pupil Numbers",IF('KS2-4 Subject TMs'!$S$47="Gender",INDEX(INDIRECT(Inputs!$I$1),11,27),IF('KS2-4 Subject TMs'!$S$47="disadvantage",INDEX(INDIRECT(Inputs!$I$1),11,53),IF('KS2-4 Subject TMs'!$S$47="sen",INDEX(INDIRECT(Inputs!$I$1),11,79),IF('KS2-4 Subject TMs'!$S$47="eal",INDEX(INDIRECT(Inputs!$I$1),11,105),"")))),IF(Inputs!$I$2="Pupil Percentages",IF('KS2-4 Subject TMs'!$S$47="Gender",INDEX(INDIRECT(Inputs!$I$1),27,27),IF('KS2-4 Subject TMs'!$S$47="disadvantage",INDEX(INDIRECT(Inputs!$I$1),27,53),IF('KS2-4 Subject TMs'!$S$47="sen",INDEX(INDIRECT(Inputs!$I$1),27,79),IF('KS2-4 Subject TMs'!$S$47="eal",INDEX(INDIRECT(Inputs!$I$1),27,105),"")))))))),"")</f>
        <v/>
      </c>
      <c r="F73" s="61" t="str">
        <f ca="1">IFERROR(IF(Inputs!$I$1="Please Select","",IF(Inputs!I$2="Please Select","",IF(Inputs!$I$2="Pupil Numbers",IF('KS2-4 Subject TMs'!$S$47="Gender",INDEX(INDIRECT(Inputs!$I$1),11,28),IF('KS2-4 Subject TMs'!$S$47="disadvantage",INDEX(INDIRECT(Inputs!$I$1),11,54),IF('KS2-4 Subject TMs'!$S$47="sen",INDEX(INDIRECT(Inputs!$I$1),11,80),IF('KS2-4 Subject TMs'!$S$47="eal",INDEX(INDIRECT(Inputs!$I$1),11,106),"")))),IF(Inputs!$I$2="Pupil Percentages",IF('KS2-4 Subject TMs'!$S$47="Gender",INDEX(INDIRECT(Inputs!$I$1),27,28),IF('KS2-4 Subject TMs'!$S$47="disadvantage",INDEX(INDIRECT(Inputs!$I$1),27,54),IF('KS2-4 Subject TMs'!$S$47="sen",INDEX(INDIRECT(Inputs!$I$1),27,80),IF('KS2-4 Subject TMs'!$S$47="eal",INDEX(INDIRECT(Inputs!$I$1),27,106),"")))))))),"")</f>
        <v/>
      </c>
      <c r="G73" s="61" t="str">
        <f ca="1">IFERROR(IF(Inputs!$I$1="Please Select","",IF(Inputs!I$2="Please Select","",IF(Inputs!$I$2="Pupil Numbers",IF('KS2-4 Subject TMs'!$S$47="Gender",INDEX(INDIRECT(Inputs!$I$1),11,29),IF('KS2-4 Subject TMs'!$S$47="disadvantage",INDEX(INDIRECT(Inputs!$I$1),11,55),IF('KS2-4 Subject TMs'!$S$47="sen",INDEX(INDIRECT(Inputs!$I$1),11,81),IF('KS2-4 Subject TMs'!$S$47="eal",INDEX(INDIRECT(Inputs!$I$1),11,107),"")))),IF(Inputs!$I$2="Pupil Percentages",IF('KS2-4 Subject TMs'!$S$47="Gender",INDEX(INDIRECT(Inputs!$I$1),27,29),IF('KS2-4 Subject TMs'!$S$47="disadvantage",INDEX(INDIRECT(Inputs!$I$1),27,55),IF('KS2-4 Subject TMs'!$S$47="sen",INDEX(INDIRECT(Inputs!$I$1),27,81),IF('KS2-4 Subject TMs'!$S$47="eal",INDEX(INDIRECT(Inputs!$I$1),27,107),"")))))))),"")</f>
        <v/>
      </c>
      <c r="H73" s="61" t="str">
        <f ca="1">IFERROR(IF(Inputs!$I$1="Please Select","",IF(Inputs!I$2="Please Select","",IF(Inputs!$I$2="Pupil Numbers",IF('KS2-4 Subject TMs'!$S$47="Gender",INDEX(INDIRECT(Inputs!$I$1),11,30),IF('KS2-4 Subject TMs'!$S$47="disadvantage",INDEX(INDIRECT(Inputs!$I$1),11,56),IF('KS2-4 Subject TMs'!$S$47="sen",INDEX(INDIRECT(Inputs!$I$1),11,82),IF('KS2-4 Subject TMs'!$S$47="eal",INDEX(INDIRECT(Inputs!$I$1),11,108),"")))),IF(Inputs!$I$2="Pupil Percentages",IF('KS2-4 Subject TMs'!$S$47="Gender",INDEX(INDIRECT(Inputs!$I$1),27,30),IF('KS2-4 Subject TMs'!$S$47="disadvantage",INDEX(INDIRECT(Inputs!$I$1),27,56),IF('KS2-4 Subject TMs'!$S$47="sen",INDEX(INDIRECT(Inputs!$I$1),27,82),IF('KS2-4 Subject TMs'!$S$47="eal",INDEX(INDIRECT(Inputs!$I$1),27,108),"")))))))),"")</f>
        <v/>
      </c>
      <c r="I73" s="61" t="str">
        <f ca="1">IFERROR(IF(Inputs!$I$1="Please Select","",IF(Inputs!I$2="Please Select","",IF(Inputs!$I$2="Pupil Numbers",IF('KS2-4 Subject TMs'!$S$47="Gender",INDEX(INDIRECT(Inputs!$I$1),11,31),IF('KS2-4 Subject TMs'!$S$47="disadvantage",INDEX(INDIRECT(Inputs!$I$1),11,57),IF('KS2-4 Subject TMs'!$S$47="sen",INDEX(INDIRECT(Inputs!$I$1),11,83),IF('KS2-4 Subject TMs'!$S$47="eal",INDEX(INDIRECT(Inputs!$I$1),11,109),"")))),IF(Inputs!$I$2="Pupil Percentages",IF('KS2-4 Subject TMs'!$S$47="Gender",INDEX(INDIRECT(Inputs!$I$1),27,31),IF('KS2-4 Subject TMs'!$S$47="disadvantage",INDEX(INDIRECT(Inputs!$I$1),27,57),IF('KS2-4 Subject TMs'!$S$47="sen",INDEX(INDIRECT(Inputs!$I$1),27,83),IF('KS2-4 Subject TMs'!$S$47="eal",INDEX(INDIRECT(Inputs!$I$1),27,109),"")))))))),"")</f>
        <v/>
      </c>
      <c r="J73" s="61" t="str">
        <f ca="1">IFERROR(IF(Inputs!$I$1="Please Select","",IF(Inputs!I$2="Please Select","",IF(Inputs!$I$2="Pupil Numbers",IF('KS2-4 Subject TMs'!$S$47="Gender",INDEX(INDIRECT(Inputs!$I$1),11,32),IF('KS2-4 Subject TMs'!$S$47="disadvantage",INDEX(INDIRECT(Inputs!$I$1),11,58),IF('KS2-4 Subject TMs'!$S$47="sen",INDEX(INDIRECT(Inputs!$I$1),11,84),IF('KS2-4 Subject TMs'!$S$47="eal",INDEX(INDIRECT(Inputs!$I$1),11,110),"")))),IF(Inputs!$I$2="Pupil Percentages",IF('KS2-4 Subject TMs'!$S$47="Gender",INDEX(INDIRECT(Inputs!$I$1),27,32),IF('KS2-4 Subject TMs'!$S$47="disadvantage",INDEX(INDIRECT(Inputs!$I$1),27,58),IF('KS2-4 Subject TMs'!$S$47="sen",INDEX(INDIRECT(Inputs!$I$1),27,84),IF('KS2-4 Subject TMs'!$S$47="eal",INDEX(INDIRECT(Inputs!$I$1),27,110),"")))))))),"")</f>
        <v/>
      </c>
      <c r="K73" s="61" t="str">
        <f ca="1">IFERROR(IF(Inputs!$I$1="Please Select","",IF(Inputs!I$2="Please Select","",IF(Inputs!$I$2="Pupil Numbers",IF('KS2-4 Subject TMs'!$S$47="Gender",INDEX(INDIRECT(Inputs!$I$1),11,33),IF('KS2-4 Subject TMs'!$S$47="disadvantage",INDEX(INDIRECT(Inputs!$I$1),11,59),IF('KS2-4 Subject TMs'!$S$47="sen",INDEX(INDIRECT(Inputs!$I$1),11,85),IF('KS2-4 Subject TMs'!$S$47="eal",INDEX(INDIRECT(Inputs!$I$1),11,111),"")))),IF(Inputs!$I$2="Pupil Percentages",IF('KS2-4 Subject TMs'!$S$47="Gender",INDEX(INDIRECT(Inputs!$I$1),27,33),IF('KS2-4 Subject TMs'!$S$47="disadvantage",INDEX(INDIRECT(Inputs!$I$1),27,59),IF('KS2-4 Subject TMs'!$S$47="sen",INDEX(INDIRECT(Inputs!$I$1),27,85),IF('KS2-4 Subject TMs'!$S$47="eal",INDEX(INDIRECT(Inputs!$I$1),27,111),"")))))))),"")</f>
        <v/>
      </c>
      <c r="L73" s="61" t="str">
        <f ca="1">IFERROR(IF(Inputs!$I$1="Please Select","",IF(Inputs!I$2="Please Select","",IF(Inputs!$I$2="Pupil Numbers",IF('KS2-4 Subject TMs'!$S$47="Gender",INDEX(INDIRECT(Inputs!$I$1),11,34),IF('KS2-4 Subject TMs'!$S$47="disadvantage",INDEX(INDIRECT(Inputs!$I$1),11,60),IF('KS2-4 Subject TMs'!$S$47="sen",INDEX(INDIRECT(Inputs!$I$1),11,86),IF('KS2-4 Subject TMs'!$S$47="eal",INDEX(INDIRECT(Inputs!$I$1),11,112),"")))),IF(Inputs!$I$2="Pupil Percentages",IF('KS2-4 Subject TMs'!$S$47="Gender",INDEX(INDIRECT(Inputs!$I$1),27,34),IF('KS2-4 Subject TMs'!$S$47="disadvantage",INDEX(INDIRECT(Inputs!$I$1),27,60),IF('KS2-4 Subject TMs'!$S$47="sen",INDEX(INDIRECT(Inputs!$I$1),27,86),IF('KS2-4 Subject TMs'!$S$47="eal",INDEX(INDIRECT(Inputs!$I$1),27,112),"")))))))),"")</f>
        <v/>
      </c>
      <c r="M73" s="61" t="str">
        <f ca="1">IFERROR(IF(Inputs!$I$1="Please Select","",IF(Inputs!I$2="Please Select","",IF(Inputs!$I$2="Pupil Numbers",IF('KS2-4 Subject TMs'!$S$47="Gender",INDEX(INDIRECT(Inputs!$I$1),11,35),IF('KS2-4 Subject TMs'!$S$47="disadvantage",INDEX(INDIRECT(Inputs!$I$1),11,61),IF('KS2-4 Subject TMs'!$S$47="sen",INDEX(INDIRECT(Inputs!$I$1),11,87),IF('KS2-4 Subject TMs'!$S$47="eal",INDEX(INDIRECT(Inputs!$I$1),11,113),"")))),IF(Inputs!$I$2="Pupil Percentages",IF('KS2-4 Subject TMs'!$S$47="Gender",INDEX(INDIRECT(Inputs!$I$1),27,35),IF('KS2-4 Subject TMs'!$S$47="disadvantage",INDEX(INDIRECT(Inputs!$I$1),27,61),IF('KS2-4 Subject TMs'!$S$47="sen",INDEX(INDIRECT(Inputs!$I$1),27,87),IF('KS2-4 Subject TMs'!$S$47="eal",INDEX(INDIRECT(Inputs!$I$1),27,113),"")))))))),"")</f>
        <v/>
      </c>
      <c r="N73" s="69" t="str">
        <f ca="1">IF(Inputs!$I$1="Please Select","",IF(Inputs!I$2="Please Select","",IF(OR(Inputs!$I$1="Mathematics",Inputs!$I$1="English_Language",Inputs!$I$1="English_Literature",Inputs!$I$1="Art_Design",Inputs!$I$1="Biology",Inputs!$I$1="Business_Studies",Inputs!$I$1="Chemistry",Inputs!$I$1="Citizenship_Studies",Inputs!$I$1="Classical_Studies",Inputs!$I$1="Computer_Science",Inputs!$I$1="Dance",Inputs!$I$1="Economics",Inputs!$I$1="Engineering",Inputs!$I$1="Food_Preparation_and_Nutrition",Inputs!$I$1="French",Inputs!$I$1="Geography",Inputs!$I$1="German",Inputs!$I$1="History",Inputs!$I$1="Media_Studies",Inputs!$I$1="Music",Inputs!$I$1="Design_Technology",Inputs!$I$1="Other_Modern_Languages_9_to_1",Inputs!$I$1="Other_Sciences",Inputs!$I$1="Performing_Arts",Inputs!$I$1="Photography",Inputs!$I$1="Physical_Education",Inputs!$I$1="Physics",Inputs!$I$1="Psychology",Inputs!$I$1="Religious_Studies",Inputs!$I$1="Sociology",Inputs!$I$1="Spanish",Inputs!$I$1="Statistics"),IF(Inputs!$I$2="Pupil Numbers",IF('KS2-4 Subject TMs'!$S$47="Gender",INDEX(INDIRECT(Inputs!$I$1),11,36),IF('KS2-4 Subject TMs'!$S$47="disadvantage",INDEX(INDIRECT(Inputs!$I$1),11,62),IF('KS2-4 Subject TMs'!$S$47="sen",INDEX(INDIRECT(Inputs!$I$1),11,88),IF('KS2-4 Subject TMs'!$S$47="eal",INDEX(INDIRECT(Inputs!$I$1),11,114),"")))),IF(Inputs!$I$2="Pupil Percentages",IF('KS2-4 Subject TMs'!$S$47="Gender",INDEX(INDIRECT(Inputs!$I$1),27,36),IF('KS2-4 Subject TMs'!$S$47="disadvantage",INDEX(INDIRECT(Inputs!$I$1),27,62),IF('KS2-4 Subject TMs'!$S$47="sen",INDEX(INDIRECT(Inputs!$I$1),27,88),IF('KS2-4 Subject TMs'!$S$47="eal",INDEX(INDIRECT(Inputs!$I$1),27,114),"")))))),"")))</f>
        <v/>
      </c>
      <c r="AD73" s="12"/>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row>
    <row r="74" spans="3:56" ht="23.1" customHeight="1" x14ac:dyDescent="0.5">
      <c r="C74" s="121"/>
      <c r="D74" s="60" t="s">
        <v>11</v>
      </c>
      <c r="E74" s="61" t="str">
        <f ca="1">IFERROR(IF(Inputs!$I$1="Please Select","",IF(Inputs!I$2="Please Select","",IF(Inputs!$I$2="Pupil Numbers",IF('KS2-4 Subject TMs'!$S$47="Gender",INDEX(INDIRECT(Inputs!$I$1),12,27),IF('KS2-4 Subject TMs'!$S$47="disadvantage",INDEX(INDIRECT(Inputs!$I$1),12,53),IF('KS2-4 Subject TMs'!$S$47="sen",INDEX(INDIRECT(Inputs!$I$1),12,79),IF('KS2-4 Subject TMs'!$S$47="eal",INDEX(INDIRECT(Inputs!$I$1),12,105),"")))),IF(Inputs!$I$2="Pupil Percentages",IF('KS2-4 Subject TMs'!$S$47="Gender",INDEX(INDIRECT(Inputs!$I$1),28,27),IF('KS2-4 Subject TMs'!$S$47="disadvantage",INDEX(INDIRECT(Inputs!$I$1),28,53),IF('KS2-4 Subject TMs'!$S$47="sen",INDEX(INDIRECT(Inputs!$I$1),28,79),IF('KS2-4 Subject TMs'!$S$47="eal",INDEX(INDIRECT(Inputs!$I$1),28,105),"")))))))),"")</f>
        <v/>
      </c>
      <c r="F74" s="61" t="str">
        <f ca="1">IFERROR(IF(Inputs!$I$1="Please Select","",IF(Inputs!I$2="Please Select","",IF(Inputs!$I$2="Pupil Numbers",IF('KS2-4 Subject TMs'!$S$47="Gender",INDEX(INDIRECT(Inputs!$I$1),12,28),IF('KS2-4 Subject TMs'!$S$47="disadvantage",INDEX(INDIRECT(Inputs!$I$1),12,54),IF('KS2-4 Subject TMs'!$S$47="sen",INDEX(INDIRECT(Inputs!$I$1),12,80),IF('KS2-4 Subject TMs'!$S$47="eal",INDEX(INDIRECT(Inputs!$I$1),12,106),"")))),IF(Inputs!$I$2="Pupil Percentages",IF('KS2-4 Subject TMs'!$S$47="Gender",INDEX(INDIRECT(Inputs!$I$1),28,28),IF('KS2-4 Subject TMs'!$S$47="disadvantage",INDEX(INDIRECT(Inputs!$I$1),28,54),IF('KS2-4 Subject TMs'!$S$47="sen",INDEX(INDIRECT(Inputs!$I$1),28,80),IF('KS2-4 Subject TMs'!$S$47="eal",INDEX(INDIRECT(Inputs!$I$1),28,106),"")))))))),"")</f>
        <v/>
      </c>
      <c r="G74" s="61" t="str">
        <f ca="1">IFERROR(IF(Inputs!$I$1="Please Select","",IF(Inputs!I$2="Please Select","",IF(Inputs!$I$2="Pupil Numbers",IF('KS2-4 Subject TMs'!$S$47="Gender",INDEX(INDIRECT(Inputs!$I$1),12,29),IF('KS2-4 Subject TMs'!$S$47="disadvantage",INDEX(INDIRECT(Inputs!$I$1),12,55),IF('KS2-4 Subject TMs'!$S$47="sen",INDEX(INDIRECT(Inputs!$I$1),12,81),IF('KS2-4 Subject TMs'!$S$47="eal",INDEX(INDIRECT(Inputs!$I$1),12,107),"")))),IF(Inputs!$I$2="Pupil Percentages",IF('KS2-4 Subject TMs'!$S$47="Gender",INDEX(INDIRECT(Inputs!$I$1),28,29),IF('KS2-4 Subject TMs'!$S$47="disadvantage",INDEX(INDIRECT(Inputs!$I$1),28,55),IF('KS2-4 Subject TMs'!$S$47="sen",INDEX(INDIRECT(Inputs!$I$1),28,81),IF('KS2-4 Subject TMs'!$S$47="eal",INDEX(INDIRECT(Inputs!$I$1),28,107),"")))))))),"")</f>
        <v/>
      </c>
      <c r="H74" s="61" t="str">
        <f ca="1">IFERROR(IF(Inputs!$I$1="Please Select","",IF(Inputs!I$2="Please Select","",IF(Inputs!$I$2="Pupil Numbers",IF('KS2-4 Subject TMs'!$S$47="Gender",INDEX(INDIRECT(Inputs!$I$1),12,30),IF('KS2-4 Subject TMs'!$S$47="disadvantage",INDEX(INDIRECT(Inputs!$I$1),12,56),IF('KS2-4 Subject TMs'!$S$47="sen",INDEX(INDIRECT(Inputs!$I$1),12,82),IF('KS2-4 Subject TMs'!$S$47="eal",INDEX(INDIRECT(Inputs!$I$1),12,108),"")))),IF(Inputs!$I$2="Pupil Percentages",IF('KS2-4 Subject TMs'!$S$47="Gender",INDEX(INDIRECT(Inputs!$I$1),28,30),IF('KS2-4 Subject TMs'!$S$47="disadvantage",INDEX(INDIRECT(Inputs!$I$1),28,56),IF('KS2-4 Subject TMs'!$S$47="sen",INDEX(INDIRECT(Inputs!$I$1),28,82),IF('KS2-4 Subject TMs'!$S$47="eal",INDEX(INDIRECT(Inputs!$I$1),28,108),"")))))))),"")</f>
        <v/>
      </c>
      <c r="I74" s="61" t="str">
        <f ca="1">IFERROR(IF(Inputs!$I$1="Please Select","",IF(Inputs!I$2="Please Select","",IF(Inputs!$I$2="Pupil Numbers",IF('KS2-4 Subject TMs'!$S$47="Gender",INDEX(INDIRECT(Inputs!$I$1),12,31),IF('KS2-4 Subject TMs'!$S$47="disadvantage",INDEX(INDIRECT(Inputs!$I$1),12,57),IF('KS2-4 Subject TMs'!$S$47="sen",INDEX(INDIRECT(Inputs!$I$1),12,83),IF('KS2-4 Subject TMs'!$S$47="eal",INDEX(INDIRECT(Inputs!$I$1),12,109),"")))),IF(Inputs!$I$2="Pupil Percentages",IF('KS2-4 Subject TMs'!$S$47="Gender",INDEX(INDIRECT(Inputs!$I$1),28,31),IF('KS2-4 Subject TMs'!$S$47="disadvantage",INDEX(INDIRECT(Inputs!$I$1),28,57),IF('KS2-4 Subject TMs'!$S$47="sen",INDEX(INDIRECT(Inputs!$I$1),28,83),IF('KS2-4 Subject TMs'!$S$47="eal",INDEX(INDIRECT(Inputs!$I$1),28,109),"")))))))),"")</f>
        <v/>
      </c>
      <c r="J74" s="61" t="str">
        <f ca="1">IFERROR(IF(Inputs!$I$1="Please Select","",IF(Inputs!I$2="Please Select","",IF(Inputs!$I$2="Pupil Numbers",IF('KS2-4 Subject TMs'!$S$47="Gender",INDEX(INDIRECT(Inputs!$I$1),12,32),IF('KS2-4 Subject TMs'!$S$47="disadvantage",INDEX(INDIRECT(Inputs!$I$1),12,58),IF('KS2-4 Subject TMs'!$S$47="sen",INDEX(INDIRECT(Inputs!$I$1),12,84),IF('KS2-4 Subject TMs'!$S$47="eal",INDEX(INDIRECT(Inputs!$I$1),12,110),"")))),IF(Inputs!$I$2="Pupil Percentages",IF('KS2-4 Subject TMs'!$S$47="Gender",INDEX(INDIRECT(Inputs!$I$1),28,32),IF('KS2-4 Subject TMs'!$S$47="disadvantage",INDEX(INDIRECT(Inputs!$I$1),28,58),IF('KS2-4 Subject TMs'!$S$47="sen",INDEX(INDIRECT(Inputs!$I$1),28,84),IF('KS2-4 Subject TMs'!$S$47="eal",INDEX(INDIRECT(Inputs!$I$1),28,110),"")))))))),"")</f>
        <v/>
      </c>
      <c r="K74" s="61" t="str">
        <f ca="1">IFERROR(IF(Inputs!$I$1="Please Select","",IF(Inputs!I$2="Please Select","",IF(Inputs!$I$2="Pupil Numbers",IF('KS2-4 Subject TMs'!$S$47="Gender",INDEX(INDIRECT(Inputs!$I$1),12,33),IF('KS2-4 Subject TMs'!$S$47="disadvantage",INDEX(INDIRECT(Inputs!$I$1),12,59),IF('KS2-4 Subject TMs'!$S$47="sen",INDEX(INDIRECT(Inputs!$I$1),12,85),IF('KS2-4 Subject TMs'!$S$47="eal",INDEX(INDIRECT(Inputs!$I$1),12,111),"")))),IF(Inputs!$I$2="Pupil Percentages",IF('KS2-4 Subject TMs'!$S$47="Gender",INDEX(INDIRECT(Inputs!$I$1),28,33),IF('KS2-4 Subject TMs'!$S$47="disadvantage",INDEX(INDIRECT(Inputs!$I$1),28,59),IF('KS2-4 Subject TMs'!$S$47="sen",INDEX(INDIRECT(Inputs!$I$1),28,85),IF('KS2-4 Subject TMs'!$S$47="eal",INDEX(INDIRECT(Inputs!$I$1),28,111),"")))))))),"")</f>
        <v/>
      </c>
      <c r="L74" s="61" t="str">
        <f ca="1">IFERROR(IF(Inputs!$I$1="Please Select","",IF(Inputs!I$2="Please Select","",IF(Inputs!$I$2="Pupil Numbers",IF('KS2-4 Subject TMs'!$S$47="Gender",INDEX(INDIRECT(Inputs!$I$1),12,34),IF('KS2-4 Subject TMs'!$S$47="disadvantage",INDEX(INDIRECT(Inputs!$I$1),12,60),IF('KS2-4 Subject TMs'!$S$47="sen",INDEX(INDIRECT(Inputs!$I$1),12,86),IF('KS2-4 Subject TMs'!$S$47="eal",INDEX(INDIRECT(Inputs!$I$1),12,112),"")))),IF(Inputs!$I$2="Pupil Percentages",IF('KS2-4 Subject TMs'!$S$47="Gender",INDEX(INDIRECT(Inputs!$I$1),28,34),IF('KS2-4 Subject TMs'!$S$47="disadvantage",INDEX(INDIRECT(Inputs!$I$1),28,60),IF('KS2-4 Subject TMs'!$S$47="sen",INDEX(INDIRECT(Inputs!$I$1),28,86),IF('KS2-4 Subject TMs'!$S$47="eal",INDEX(INDIRECT(Inputs!$I$1),28,112),"")))))))),"")</f>
        <v/>
      </c>
      <c r="M74" s="61" t="str">
        <f ca="1">IFERROR(IF(Inputs!$I$1="Please Select","",IF(Inputs!I$2="Please Select","",IF(Inputs!$I$2="Pupil Numbers",IF('KS2-4 Subject TMs'!$S$47="Gender",INDEX(INDIRECT(Inputs!$I$1),12,35),IF('KS2-4 Subject TMs'!$S$47="disadvantage",INDEX(INDIRECT(Inputs!$I$1),12,61),IF('KS2-4 Subject TMs'!$S$47="sen",INDEX(INDIRECT(Inputs!$I$1),12,87),IF('KS2-4 Subject TMs'!$S$47="eal",INDEX(INDIRECT(Inputs!$I$1),12,113),"")))),IF(Inputs!$I$2="Pupil Percentages",IF('KS2-4 Subject TMs'!$S$47="Gender",INDEX(INDIRECT(Inputs!$I$1),28,35),IF('KS2-4 Subject TMs'!$S$47="disadvantage",INDEX(INDIRECT(Inputs!$I$1),28,61),IF('KS2-4 Subject TMs'!$S$47="sen",INDEX(INDIRECT(Inputs!$I$1),28,87),IF('KS2-4 Subject TMs'!$S$47="eal",INDEX(INDIRECT(Inputs!$I$1),28,113),"")))))))),"")</f>
        <v/>
      </c>
      <c r="N74" s="69" t="str">
        <f ca="1">IF(Inputs!$I$1="Please Select","",IF(Inputs!I$2="Please Select","",IF(OR(Inputs!$I$1="Mathematics",Inputs!$I$1="English_Language",Inputs!$I$1="English_Literature",Inputs!$I$1="Art_Design",Inputs!$I$1="Biology",Inputs!$I$1="Business_Studies",Inputs!$I$1="Chemistry",Inputs!$I$1="Citizenship_Studies",Inputs!$I$1="Classical_Studies",Inputs!$I$1="Computer_Science",Inputs!$I$1="Dance",Inputs!$I$1="Economics",Inputs!$I$1="Engineering",Inputs!$I$1="Food_Preparation_and_Nutrition",Inputs!$I$1="French",Inputs!$I$1="Geography",Inputs!$I$1="German",Inputs!$I$1="History",Inputs!$I$1="Media_Studies",Inputs!$I$1="Music",Inputs!$I$1="Design_Technology",Inputs!$I$1="Other_Modern_Languages_9_to_1",Inputs!$I$1="Other_Sciences",Inputs!$I$1="Performing_Arts",Inputs!$I$1="Photography",Inputs!$I$1="Physical_Education",Inputs!$I$1="Physics",Inputs!$I$1="Psychology",Inputs!$I$1="Religious_Studies",Inputs!$I$1="Sociology",Inputs!$I$1="Spanish",Inputs!$I$1="Statistics"),IF(Inputs!$I$2="Pupil Numbers",IF('KS2-4 Subject TMs'!$S$47="Gender",INDEX(INDIRECT(Inputs!$I$1),12,36),IF('KS2-4 Subject TMs'!$S$47="disadvantage",INDEX(INDIRECT(Inputs!$I$1),12,62),IF('KS2-4 Subject TMs'!$S$47="sen",INDEX(INDIRECT(Inputs!$I$1),12,88),IF('KS2-4 Subject TMs'!$S$47="eal",INDEX(INDIRECT(Inputs!$I$1),12,114),"")))),IF(Inputs!$I$2="Pupil Percentages",IF('KS2-4 Subject TMs'!$S$47="Gender",INDEX(INDIRECT(Inputs!$I$1),28,36),IF('KS2-4 Subject TMs'!$S$47="disadvantage",INDEX(INDIRECT(Inputs!$I$1),28,62),IF('KS2-4 Subject TMs'!$S$47="sen",INDEX(INDIRECT(Inputs!$I$1),28,88),IF('KS2-4 Subject TMs'!$S$47="eal",INDEX(INDIRECT(Inputs!$I$1),28,114),"")))))),"")))</f>
        <v/>
      </c>
      <c r="AD74" s="12"/>
      <c r="AE74" s="12"/>
      <c r="AF74" s="12"/>
      <c r="AG74" s="12"/>
      <c r="AH74" s="12"/>
      <c r="AI74" s="12"/>
      <c r="AJ74" s="12"/>
      <c r="AK74" s="12"/>
      <c r="AL74" s="12"/>
      <c r="AM74" s="12"/>
      <c r="AN74" s="12"/>
      <c r="AO74" s="12"/>
      <c r="AP74" s="12"/>
      <c r="AQ74" s="12"/>
      <c r="AR74" s="12"/>
      <c r="AS74" s="12"/>
      <c r="AT74" s="12"/>
      <c r="AU74" s="12"/>
      <c r="AV74" s="13"/>
      <c r="AW74" s="13"/>
      <c r="AX74" s="13"/>
      <c r="AY74" s="13"/>
      <c r="AZ74" s="13"/>
      <c r="BA74" s="13"/>
      <c r="BB74" s="13"/>
      <c r="BC74" s="13"/>
      <c r="BD74" s="13"/>
    </row>
    <row r="75" spans="3:56" ht="13.9" customHeight="1" x14ac:dyDescent="0.45">
      <c r="AD75" s="12"/>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row>
    <row r="76" spans="3:56" x14ac:dyDescent="0.45">
      <c r="AD76" s="12"/>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row>
    <row r="77" spans="3:56" ht="31.15" customHeight="1" x14ac:dyDescent="0.45">
      <c r="AD77" s="12"/>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row>
    <row r="78" spans="3:56" ht="21.4" customHeight="1" x14ac:dyDescent="0.45">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row>
    <row r="79" spans="3:56" x14ac:dyDescent="0.45">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row>
    <row r="80" spans="3:56" x14ac:dyDescent="0.45">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row>
    <row r="81" spans="31:56" x14ac:dyDescent="0.45">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row>
    <row r="82" spans="31:56" x14ac:dyDescent="0.45">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row>
    <row r="83" spans="31:56" x14ac:dyDescent="0.45">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row>
    <row r="84" spans="31:56" x14ac:dyDescent="0.45">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row>
    <row r="85" spans="31:56" x14ac:dyDescent="0.45">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row>
    <row r="86" spans="31:56" x14ac:dyDescent="0.45">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row>
  </sheetData>
  <sheetProtection algorithmName="SHA-512" hashValue="TiceVWeTARx4JG49GYGpPbHOdUXmglJXnyiqK+17/rvh7x/JQGFLNcyNFMT7+tnAeVOKHeamjfjqpazXMC64KA==" saltValue="0P70RUGjq+UR3YrIyP5Z+A==" spinCount="100000" sheet="1" objects="1" selectLockedCells="1"/>
  <mergeCells count="9">
    <mergeCell ref="P6:AA6"/>
    <mergeCell ref="S47:U47"/>
    <mergeCell ref="C45:C56"/>
    <mergeCell ref="C60:D62"/>
    <mergeCell ref="C63:C74"/>
    <mergeCell ref="C42:D44"/>
    <mergeCell ref="E59:H59"/>
    <mergeCell ref="C16:C27"/>
    <mergeCell ref="C13:D15"/>
  </mergeCells>
  <pageMargins left="0.7" right="0.7" top="0.75" bottom="0.75" header="0.3" footer="0.3"/>
  <pageSetup paperSize="9" orientation="portrait" r:id="rId1"/>
  <drawing r:id="rId2"/>
  <legacyDrawing r:id="rId3"/>
  <controls>
    <mc:AlternateContent xmlns:mc="http://schemas.openxmlformats.org/markup-compatibility/2006">
      <mc:Choice Requires="x14">
        <control shapeId="1035" r:id="rId4" name="ComboBox1">
          <controlPr defaultSize="0" autoLine="0" altText="Drop-down box to select key stage 4 subject" linkedCell="Inputs!F1" listFillRange="subj" r:id="rId5">
            <anchor moveWithCells="1">
              <from>
                <xdr:col>10</xdr:col>
                <xdr:colOff>276225</xdr:colOff>
                <xdr:row>3</xdr:row>
                <xdr:rowOff>161925</xdr:rowOff>
              </from>
              <to>
                <xdr:col>15</xdr:col>
                <xdr:colOff>42863</xdr:colOff>
                <xdr:row>4</xdr:row>
                <xdr:rowOff>271463</xdr:rowOff>
              </to>
            </anchor>
          </controlPr>
        </control>
      </mc:Choice>
      <mc:Fallback>
        <control shapeId="1035" r:id="rId4" name="ComboBox1"/>
      </mc:Fallback>
    </mc:AlternateContent>
    <mc:AlternateContent xmlns:mc="http://schemas.openxmlformats.org/markup-compatibility/2006">
      <mc:Choice Requires="x14">
        <control shapeId="1037" r:id="rId6" name="ComboBox2">
          <controlPr defaultSize="0" autoLine="0" autoPict="0" altText="Drop-down box to select either pupil numbers or percentages" linkedCell="Inputs!G2" listFillRange="datat" r:id="rId7">
            <anchor moveWithCells="1">
              <from>
                <xdr:col>10</xdr:col>
                <xdr:colOff>276225</xdr:colOff>
                <xdr:row>5</xdr:row>
                <xdr:rowOff>61913</xdr:rowOff>
              </from>
              <to>
                <xdr:col>15</xdr:col>
                <xdr:colOff>28575</xdr:colOff>
                <xdr:row>6</xdr:row>
                <xdr:rowOff>223838</xdr:rowOff>
              </to>
            </anchor>
          </controlPr>
        </control>
      </mc:Choice>
      <mc:Fallback>
        <control shapeId="1037" r:id="rId6" name="ComboBox2"/>
      </mc:Fallback>
    </mc:AlternateContent>
    <mc:AlternateContent xmlns:mc="http://schemas.openxmlformats.org/markup-compatibility/2006">
      <mc:Choice Requires="x14">
        <control shapeId="1038" r:id="rId8" name="ComboBox3">
          <controlPr defaultSize="0" autoLine="0" autoPict="0" altText="Drop-down box to select key stage 2 attainment level" linkedCell="Inputs!G3" listFillRange="prior" r:id="rId9">
            <anchor moveWithCells="1">
              <from>
                <xdr:col>10</xdr:col>
                <xdr:colOff>252413</xdr:colOff>
                <xdr:row>7</xdr:row>
                <xdr:rowOff>90488</xdr:rowOff>
              </from>
              <to>
                <xdr:col>15</xdr:col>
                <xdr:colOff>19050</xdr:colOff>
                <xdr:row>8</xdr:row>
                <xdr:rowOff>233363</xdr:rowOff>
              </to>
            </anchor>
          </controlPr>
        </control>
      </mc:Choice>
      <mc:Fallback>
        <control shapeId="1038" r:id="rId8" name="ComboBox3"/>
      </mc:Fallback>
    </mc:AlternateContent>
    <mc:AlternateContent xmlns:mc="http://schemas.openxmlformats.org/markup-compatibility/2006">
      <mc:Choice Requires="x14">
        <control shapeId="1040" r:id="rId10" name="ComboBox4">
          <controlPr defaultSize="0" autoLine="0" autoPict="0" altText="Drop-down box to select key stage 4 subject" linkedCell="Inputs!H1" listFillRange="subj" r:id="rId11">
            <anchor moveWithCells="1">
              <from>
                <xdr:col>10</xdr:col>
                <xdr:colOff>304800</xdr:colOff>
                <xdr:row>33</xdr:row>
                <xdr:rowOff>138113</xdr:rowOff>
              </from>
              <to>
                <xdr:col>15</xdr:col>
                <xdr:colOff>142875</xdr:colOff>
                <xdr:row>35</xdr:row>
                <xdr:rowOff>4763</xdr:rowOff>
              </to>
            </anchor>
          </controlPr>
        </control>
      </mc:Choice>
      <mc:Fallback>
        <control shapeId="1040" r:id="rId10" name="ComboBox4"/>
      </mc:Fallback>
    </mc:AlternateContent>
    <mc:AlternateContent xmlns:mc="http://schemas.openxmlformats.org/markup-compatibility/2006">
      <mc:Choice Requires="x14">
        <control shapeId="1041" r:id="rId12" name="ComboBox5">
          <controlPr defaultSize="0" autoLine="0" altText="Drop-down box to select pupil numbers or percentages" linkedCell="Inputs!I2" listFillRange="datat" r:id="rId13">
            <anchor moveWithCells="1">
              <from>
                <xdr:col>10</xdr:col>
                <xdr:colOff>314325</xdr:colOff>
                <xdr:row>35</xdr:row>
                <xdr:rowOff>114300</xdr:rowOff>
              </from>
              <to>
                <xdr:col>15</xdr:col>
                <xdr:colOff>138113</xdr:colOff>
                <xdr:row>36</xdr:row>
                <xdr:rowOff>266700</xdr:rowOff>
              </to>
            </anchor>
          </controlPr>
        </control>
      </mc:Choice>
      <mc:Fallback>
        <control shapeId="1041" r:id="rId12" name="ComboBox5"/>
      </mc:Fallback>
    </mc:AlternateContent>
    <mc:AlternateContent xmlns:mc="http://schemas.openxmlformats.org/markup-compatibility/2006">
      <mc:Choice Requires="x14">
        <control shapeId="1042" r:id="rId14" name="ComboBox6">
          <controlPr defaultSize="0" autoLine="0" autoPict="0" altText="Drop-down box to select key stage 2 attainment level" linkedCell="Inputs!I3" listFillRange="prior_2" r:id="rId15">
            <anchor moveWithCells="1">
              <from>
                <xdr:col>10</xdr:col>
                <xdr:colOff>314325</xdr:colOff>
                <xdr:row>37</xdr:row>
                <xdr:rowOff>123825</xdr:rowOff>
              </from>
              <to>
                <xdr:col>15</xdr:col>
                <xdr:colOff>123825</xdr:colOff>
                <xdr:row>39</xdr:row>
                <xdr:rowOff>19050</xdr:rowOff>
              </to>
            </anchor>
          </controlPr>
        </control>
      </mc:Choice>
      <mc:Fallback>
        <control shapeId="1042" r:id="rId14" name="ComboBox6"/>
      </mc:Fallback>
    </mc:AlternateContent>
    <mc:AlternateContent xmlns:mc="http://schemas.openxmlformats.org/markup-compatibility/2006">
      <mc:Choice Requires="x14">
        <control shapeId="1047" r:id="rId16" name="Spinner 23">
          <controlPr defaultSize="0" autoPict="0" altText="Arrows to select characteristic breakdown from either gender, disadvantage, SEN or EAL">
            <anchor moveWithCells="1" sizeWithCells="1">
              <from>
                <xdr:col>21</xdr:col>
                <xdr:colOff>547688</xdr:colOff>
                <xdr:row>46</xdr:row>
                <xdr:rowOff>0</xdr:rowOff>
              </from>
              <to>
                <xdr:col>23</xdr:col>
                <xdr:colOff>0</xdr:colOff>
                <xdr:row>47</xdr:row>
                <xdr:rowOff>9525</xdr:rowOff>
              </to>
            </anchor>
          </controlPr>
        </control>
      </mc:Choice>
    </mc:AlternateContent>
  </controls>
  <extLst>
    <ext xmlns:x14="http://schemas.microsoft.com/office/spreadsheetml/2009/9/main" uri="{78C0D931-6437-407d-A8EE-F0AAD7539E65}">
      <x14:conditionalFormattings>
        <x14:conditionalFormatting xmlns:xm="http://schemas.microsoft.com/office/excel/2006/main">
          <x14:cfRule type="expression" priority="57" id="{24047FEF-3387-4841-BB02-310F0530F6F8}">
            <xm:f>OR(Inputs!$I$1="",Inputs!$I$1="Please Select",Inputs!$I$1="Mathematics",Inputs!$I$1="English_Language",Inputs!$I$1="English_Literature",Inputs!$I$1="Art_Design",Inputs!$I$1="Biology",Inputs!$I$1="Business_Studies",Inputs!$I$1="Chemistry",Inputs!$I$1="Citizenship_Studies",Inputs!$I$1="Classical_Studies",Inputs!$I$1="Computer_Science",Inputs!$I$1="Dance",Inputs!$I$1="Economics",Inputs!$I$1="Engineering",Inputs!$I$1="Food_Preparation_and_Nutrition",Inputs!$I$1="French",Inputs!$I$1="Geography",Inputs!$I$1="German",Inputs!$I$1="History",Inputs!$I$1="Media_Studies",Inputs!$I$1="Music",Inputs!$I$1="Design_Technology",Inputs!$I$1="Other_Modern_Languages_9_to_1",Inputs!$I$1="Other_Sciences",Inputs!$I$1="Performing_Arts",Inputs!$I$1="Photography",Inputs!$I$1="Physical_Education",Inputs!$I$1="Physics",Inputs!$I$1="Psychology",Inputs!$I$1="Religious_Studies",Inputs!$I$1="Sociology",Inputs!$I$1="Spanish",Inputs!$I$1="Statistics")</xm:f>
            <x14:dxf>
              <fill>
                <patternFill>
                  <bgColor theme="0" tint="-0.14996795556505021"/>
                </patternFill>
              </fill>
              <border>
                <right style="thin">
                  <color auto="1"/>
                </right>
                <top style="thin">
                  <color auto="1"/>
                </top>
                <bottom style="thin">
                  <color auto="1"/>
                </bottom>
                <vertical/>
                <horizontal/>
              </border>
            </x14:dxf>
          </x14:cfRule>
          <xm:sqref>N43</xm:sqref>
        </x14:conditionalFormatting>
        <x14:conditionalFormatting xmlns:xm="http://schemas.microsoft.com/office/excel/2006/main">
          <x14:cfRule type="expression" priority="51" id="{25AD3AF0-C18A-48F4-828C-2C8A4867F591}">
            <xm:f>OR(Inputs!$I$1="",Inputs!$I$1="Please Select",Inputs!$I$1="Mathematics",Inputs!$I$1="English_Language",Inputs!$I$1="English_Literature",Inputs!$I$1="Art_Design",Inputs!$I$1="Biology",Inputs!$I$1="Business_Studies",Inputs!$I$1="Chemistry",Inputs!$I$1="Citizenship_Studies",Inputs!$I$1="Classical_Studies",Inputs!$I$1="Computer_Science",Inputs!$I$1="Dance",Inputs!$I$1="Economics",Inputs!$I$1="Engineering",Inputs!$I$1="Food_Preparation_and_Nutrition",Inputs!$I$1="French",Inputs!$I$1="Geography",Inputs!$I$1="German",Inputs!$I$1="History",Inputs!$I$1="Media_Studies",Inputs!$I$1="Music",Inputs!$I$1="Design_Technology",Inputs!$I$1="Other_Modern_Languages_9_to_1",Inputs!$I$1="Other_Sciences",Inputs!$I$1="Performing_Arts",Inputs!$I$1="Photography",Inputs!$I$1="Physical_Education",Inputs!$I$1="Physics",Inputs!$I$1="Psychology",Inputs!$I$1="Religious_Studies",Inputs!$I$1="Sociology",Inputs!$I$1="Spanish",Inputs!$I$1="Statistics")</xm:f>
            <x14:dxf>
              <fill>
                <patternFill>
                  <bgColor theme="0" tint="-0.14996795556505021"/>
                </patternFill>
              </fill>
              <border>
                <right style="thin">
                  <color auto="1"/>
                </right>
                <top style="thin">
                  <color auto="1"/>
                </top>
                <bottom style="thin">
                  <color auto="1"/>
                </bottom>
                <vertical/>
                <horizontal/>
              </border>
            </x14:dxf>
          </x14:cfRule>
          <xm:sqref>N61</xm:sqref>
        </x14:conditionalFormatting>
        <x14:conditionalFormatting xmlns:xm="http://schemas.microsoft.com/office/excel/2006/main">
          <x14:cfRule type="expression" priority="39" id="{70C05AA2-A645-4A76-A489-60FBEE43CE0F}">
            <xm:f>NOT(OR(Inputs!$I$1="",Inputs!$I$1="Please Select",Inputs!$I$1="Mathematics",Inputs!$I$1="English_Language",Inputs!$I$1="English_Literature",Inputs!$I$1="Art_Design",Inputs!$I$1="Biology",Inputs!$I$1="Business_Studies",Inputs!$I$1="Chemistry",Inputs!$I$1="Citizenship_Studies",Inputs!$I$1="Classical_Studies",Inputs!$I$1="Computer_Science",Inputs!$I$1="Dance",Inputs!$I$1="Economics",Inputs!$I$1="Engineering",Inputs!$I$1="Food_Preparation_and_Nutrition",Inputs!$I$1="French",Inputs!$I$1="Geography",Inputs!$I$1="German",Inputs!$I$1="History",Inputs!$I$1="Media_Studies",Inputs!$I$1="Music",Inputs!$I$1="Design_Technology",Inputs!$I$1="Other_Modern_Languages_9_to_1",Inputs!$I$1="Other_Sciences",Inputs!$I$1="Performing_Arts",Inputs!$I$1="Photography",Inputs!$I$1="Physical_Education",Inputs!$I$1="Physics",Inputs!$I$1="Psychology",Inputs!$I$1="Religious_Studies",Inputs!$I$1="Sociology",Inputs!$I$1="Spanish",Inputs!$I$1="Statistics"))</xm:f>
            <x14:dxf>
              <border>
                <right style="thin">
                  <color auto="1"/>
                </right>
              </border>
            </x14:dxf>
          </x14:cfRule>
          <xm:sqref>M43</xm:sqref>
        </x14:conditionalFormatting>
        <x14:conditionalFormatting xmlns:xm="http://schemas.microsoft.com/office/excel/2006/main">
          <x14:cfRule type="expression" priority="38" id="{4135E0F2-8CE6-4107-9D10-5B689D90A7C1}">
            <xm:f>NOT(OR(Inputs!$I$1="",Inputs!$I$1="Please Select",Inputs!$I$1="Mathematics",Inputs!$I$1="English_Language",Inputs!$I$1="English_Literature",Inputs!$I$1="Art_Design",Inputs!$I$1="Biology",Inputs!$I$1="Business_Studies",Inputs!$I$1="Chemistry",Inputs!$I$1="Citizenship_Studies",Inputs!$I$1="Classical_Studies",Inputs!$I$1="Computer_Science",Inputs!$I$1="Dance",Inputs!$I$1="Economics",Inputs!$I$1="Engineering",Inputs!$I$1="Food_Preparation_and_Nutrition",Inputs!$I$1="French",Inputs!$I$1="Geography",Inputs!$I$1="German",Inputs!$I$1="History",Inputs!$I$1="Media_Studies",Inputs!$I$1="Music",Inputs!$I$1="Design_Technology",Inputs!$I$1="Other_Modern_Languages_9_to_1",Inputs!$I$1="Other_Sciences",Inputs!$I$1="Performing_Arts",Inputs!$I$1="Photography",Inputs!$I$1="Physical_Education",Inputs!$I$1="Physics",Inputs!$I$1="Psychology",Inputs!$I$1="Religious_Studies",Inputs!$I$1="Sociology",Inputs!$I$1="Spanish",Inputs!$I$1="Statistics"))</xm:f>
            <x14:dxf>
              <border>
                <right style="thin">
                  <color auto="1"/>
                </right>
                <vertical/>
                <horizontal/>
              </border>
            </x14:dxf>
          </x14:cfRule>
          <xm:sqref>M61</xm:sqref>
        </x14:conditionalFormatting>
        <x14:conditionalFormatting xmlns:xm="http://schemas.microsoft.com/office/excel/2006/main">
          <x14:cfRule type="expression" priority="97" id="{CDC03678-9C2A-4495-BF89-4D114EB99BB1}">
            <xm:f>OR(Inputs!$G$1="",Inputs!$G$1="Please Select",Inputs!$G$1="Mathematics",Inputs!$G$1="English_Language",Inputs!$G$1="English_Literature",Inputs!$G$1="Art_Design",Inputs!$G$1="Biology",Inputs!$G$1="Business_Studies",Inputs!$G$1="Chemistry",Inputs!$G$1="Citizenship_Studies",Inputs!$G$1="Classical_Studies",Inputs!$G$1="Computer_Science",Inputs!$G$1="Dance",Inputs!$G$1="Economics",Inputs!$G$1="Engineering",Inputs!$G$1="Food_Preparation_and_Nutrition",Inputs!$G$1="French",Inputs!$G$1="Geography",Inputs!$G$1="German",Inputs!$G$1="History",Inputs!$G$1="Media_Studies",Inputs!$G$1="Music",Inputs!$G$1="Design_Technology",Inputs!$G$1="Other_Modern_Languages_9_to_1",Inputs!$G$1="Other_Sciences",Inputs!$G$1="Performing_Arts",Inputs!$G$1="Photography",Inputs!$G$1="Physical_Education",Inputs!$G$1="Physics",Inputs!$G$1="Psychology",Inputs!$G$1="Religious_Studies",Inputs!$G$1="Sociology",Inputs!$G$1="Spanish",Inputs!$G$1="Statistics")</xm:f>
            <x14:dxf>
              <fill>
                <patternFill>
                  <bgColor theme="0" tint="-0.14996795556505021"/>
                </patternFill>
              </fill>
              <border>
                <right style="thin">
                  <color auto="1"/>
                </right>
                <top style="thin">
                  <color auto="1"/>
                </top>
                <bottom style="thin">
                  <color auto="1"/>
                </bottom>
                <vertical/>
                <horizontal/>
              </border>
            </x14:dxf>
          </x14:cfRule>
          <xm:sqref>N14</xm:sqref>
        </x14:conditionalFormatting>
        <x14:conditionalFormatting xmlns:xm="http://schemas.microsoft.com/office/excel/2006/main">
          <x14:cfRule type="expression" priority="40" id="{5FF03447-78CE-4DD0-8B76-D24907F80769}">
            <xm:f>NOT(OR(Inputs!$G$1="",Inputs!$G$1="Please Select",Inputs!$G$1="Mathematics",Inputs!$G$1="English_Language",Inputs!$G$1="English_Literature",Inputs!$G$1="Art_Design",Inputs!$G$1="Biology",Inputs!$G$1="Business_Studies",Inputs!$G$1="Chemistry",Inputs!$G$1="Citizenship_Studies",Inputs!$G$1="Classical_Studies",Inputs!$G$1="Computer_Science",Inputs!$G$1="Dance",Inputs!$G$1="Economics",Inputs!$G$1="Engineering",Inputs!$G$1="Food_Preparation_and_Nutrition",Inputs!$G$1="French",Inputs!$G$1="Geography",Inputs!$G$1="German",Inputs!$G$1="History",Inputs!$G$1="Media_Studies",Inputs!$G$1="Music",Inputs!$G$1="Design_Technology",Inputs!$G$1="Other_Modern_Languages_9_to_1",Inputs!$G$1="Other_Sciences",Inputs!$G$1="Performing_Arts",Inputs!$G$1="Photography",Inputs!$G$1="Physical_Education",Inputs!$G$1="Physics",Inputs!$G$1="Psychology",Inputs!$G$1="Religious_Studies",Inputs!$G$1="Sociology",Inputs!$G$1="Spanish",Inputs!$G$1="Statistics"))</xm:f>
            <x14:dxf>
              <border>
                <right style="thin">
                  <color auto="1"/>
                </right>
                <vertical/>
                <horizontal/>
              </border>
            </x14:dxf>
          </x14:cfRule>
          <xm:sqref>M14</xm:sqref>
        </x14:conditionalFormatting>
        <x14:conditionalFormatting xmlns:xm="http://schemas.microsoft.com/office/excel/2006/main">
          <x14:cfRule type="expression" priority="100" id="{8170DAB7-C614-4442-8568-6CD8F9D9E462}">
            <xm:f>IF(AND(OR(Inputs!$G$1="",Inputs!$G$1="Please Select",Inputs!$G$1="Mathematics",Inputs!$G$1="English_Language",Inputs!$G$1="English_Literature",Inputs!$G$1="Art_Design",Inputs!$G$1="Biology",Inputs!$G$1="Business_Studies",Inputs!$G$1="Chemistry",Inputs!$G$1="Citizenship_Studies",Inputs!$G$1="Classical_Studies",Inputs!$G$1="Computer_Science",Inputs!$G$1="Dance",Inputs!$G$1="Economics",Inputs!$G$1="Engineering",Inputs!$G$1="Food_Preparation_and_Nutrition",Inputs!$G$1="French",Inputs!$G$1="Geography",Inputs!$G$1="German",Inputs!$G$1="History",Inputs!$G$1="Media_Studies",Inputs!$G$1="Music",Inputs!$G$1="Design_Technology",Inputs!$G$1="Other_Modern_Languages_9_to_1",Inputs!$G$1="Other_Sciences",Inputs!$G$1="Performing_Arts",Inputs!$G$1="Photography",Inputs!$G$1="Physical_Education",Inputs!$G$1="Physics",Inputs!$G$1="Psychology",Inputs!$G$1="Religious_Studies",Inputs!$G$1="Sociology",Inputs!$G$1="Spanish",Inputs!$G$1="Statistics"), NOT(OR(Inputs!$G$1="Please Select",Inputs!$G$1="",Inputs!$G$2="Please Select",Inputs!$G$2=""))), Inputs!$G$3=$D16)</xm:f>
            <x14:dxf>
              <fill>
                <patternFill>
                  <bgColor rgb="FFD4CEDE"/>
                </patternFill>
              </fill>
            </x14:dxf>
          </x14:cfRule>
          <x14:cfRule type="expression" priority="101" id="{7514FB7A-7F23-4FA8-9841-C82F0F955B64}">
            <xm:f>OR(Inputs!$G$1="",Inputs!$G$1="Please Select",Inputs!$G$1="Mathematics",Inputs!$G$1="English_Language",Inputs!$G$1="English_Literature",Inputs!$G$1="Art_Design",Inputs!$G$1="Biology",Inputs!$G$1="Business_Studies",Inputs!$G$1="Chemistry",Inputs!$G$1="Citizenship_Studies",Inputs!$G$1="Classical_Studies",Inputs!$G$1="Computer_Science",Inputs!$G$1="Dance",Inputs!$G$1="Economics",Inputs!$G$1="Engineering",Inputs!$G$1="Food_Preparation_and_Nutrition",Inputs!$G$1="French",Inputs!$G$1="Geography",Inputs!$G$1="German",Inputs!$G$1="History",Inputs!$G$1="Media_Studies",Inputs!$G$1="Music",Inputs!$G$1="Design_Technology",Inputs!$G$1="Other_Modern_Languages_9_to_1",Inputs!$G$1="Other_Sciences",Inputs!$G$1="Performing_Arts",Inputs!$G$1="Photography",Inputs!$G$1="Physical_Education",Inputs!$G$1="Physics",Inputs!$G$1="Psychology",Inputs!$G$1="Religious_Studies",Inputs!$G$1="Sociology",Inputs!$G$1="Spanish",Inputs!$G$1="Statistics")</xm:f>
            <x14:dxf>
              <border>
                <left style="thin">
                  <color auto="1"/>
                </left>
                <right style="thin">
                  <color auto="1"/>
                </right>
                <top style="thin">
                  <color auto="1"/>
                </top>
                <bottom style="thin">
                  <color auto="1"/>
                </bottom>
              </border>
            </x14:dxf>
          </x14:cfRule>
          <xm:sqref>N16:N27</xm:sqref>
        </x14:conditionalFormatting>
        <x14:conditionalFormatting xmlns:xm="http://schemas.microsoft.com/office/excel/2006/main">
          <x14:cfRule type="expression" priority="102" id="{A593DCF3-93A5-4C74-9F7E-43664ADD501F}">
            <xm:f>IF(NOT(OR(Inputs!$G$1="Please Select",Inputs!$G$1="",Inputs!$G$2="Please Select",Inputs!$G$2="")),Inputs!$G$3=$D16)</xm:f>
            <x14:dxf>
              <fill>
                <patternFill>
                  <bgColor rgb="FFD4CEDE"/>
                </patternFill>
              </fill>
            </x14:dxf>
          </x14:cfRule>
          <xm:sqref>E16:M27</xm:sqref>
        </x14:conditionalFormatting>
        <x14:conditionalFormatting xmlns:xm="http://schemas.microsoft.com/office/excel/2006/main">
          <x14:cfRule type="expression" priority="35" id="{AA238467-DA52-4880-8A18-12D6E42814CA}">
            <xm:f>OR(Inputs!$I$1="",Inputs!$I$1="Please Select",Inputs!$I$1="Mathematics",Inputs!$I$1="English_Language",Inputs!$I$1="English_Literature",Inputs!$I$1="Art_Design",Inputs!$I$1="Biology",Inputs!$I$1="Business_Studies",Inputs!$I$1="Chemistry",Inputs!$I$1="Citizenship_Studies",Inputs!$I$1="Classical_Studies",Inputs!$I$1="Computer_Science",Inputs!$I$1="Dance",Inputs!$I$1="Economics",Inputs!$I$1="Engineering",Inputs!$I$1="Food_Preparation_and_Nutrition",Inputs!$I$1="French",Inputs!$I$1="Geography",Inputs!$I$1="German",Inputs!$I$1="History",Inputs!$I$1="Media_Studies",Inputs!$I$1="Music",Inputs!$I$1="Design_Technology",Inputs!$I$1="Other_Modern_Languages_9_to_1",Inputs!$I$1="Other_Sciences",Inputs!$I$1="Performing_Arts",Inputs!$I$1="Photography",Inputs!$I$1="Physical_Education",Inputs!$I$1="Physics",Inputs!$I$1="Psychology",Inputs!$I$1="Religious_Studies",Inputs!$I$1="Sociology",Inputs!$I$1="Spanish",Inputs!$I$1="Statistics")</xm:f>
            <x14:dxf>
              <border>
                <left style="thin">
                  <color auto="1"/>
                </left>
                <right style="thin">
                  <color auto="1"/>
                </right>
                <top style="thin">
                  <color auto="1"/>
                </top>
                <bottom style="thin">
                  <color auto="1"/>
                </bottom>
                <vertical/>
                <horizontal/>
              </border>
            </x14:dxf>
          </x14:cfRule>
          <xm:sqref>N44</xm:sqref>
        </x14:conditionalFormatting>
        <x14:conditionalFormatting xmlns:xm="http://schemas.microsoft.com/office/excel/2006/main">
          <x14:cfRule type="expression" priority="36" id="{7B5B9563-555A-4C61-9454-7638AE8140B8}">
            <xm:f>OR(Inputs!$I$1="",Inputs!$I$1="Please Select",Inputs!$I$1="Mathematics",Inputs!$I$1="English_Language",Inputs!$I$1="English_Literature",Inputs!$I$1="Art_Design",Inputs!$I$1="Biology",Inputs!$I$1="Business_Studies",Inputs!$I$1="Chemistry",Inputs!$I$1="Citizenship_Studies",Inputs!$I$1="Classical_Studies",Inputs!$I$1="Computer_Science",Inputs!$I$1="Dance",Inputs!$I$1="Economics",Inputs!$I$1="Engineering",Inputs!$I$1="Food_Preparation_and_Nutrition",Inputs!$I$1="French",Inputs!$I$1="Geography",Inputs!$I$1="German",Inputs!$I$1="History",Inputs!$I$1="Media_Studies",Inputs!$I$1="Music",Inputs!$I$1="Design_Technology",Inputs!$I$1="Other_Modern_Languages_9_to_1",Inputs!$I$1="Other_Sciences",Inputs!$I$1="Performing_Arts",Inputs!$I$1="Photography",Inputs!$I$1="Physical_Education",Inputs!$I$1="Physics",Inputs!$I$1="Psychology",Inputs!$I$1="Religious_Studies",Inputs!$I$1="Sociology",Inputs!$I$1="Spanish",Inputs!$I$1="Statistics")</xm:f>
            <x14:dxf>
              <fill>
                <patternFill>
                  <bgColor rgb="FF9FB9C8"/>
                </patternFill>
              </fill>
            </x14:dxf>
          </x14:cfRule>
          <xm:sqref>N44</xm:sqref>
        </x14:conditionalFormatting>
        <x14:conditionalFormatting xmlns:xm="http://schemas.microsoft.com/office/excel/2006/main">
          <x14:cfRule type="expression" priority="8" id="{AF4970F2-027A-4903-B59B-9BC042BDA4FE}">
            <xm:f>IF(AND(OR(Inputs!$I$1="",Inputs!$I$1="Please Select",Inputs!$I$1="Mathematics",Inputs!$I$1="English_Language",Inputs!$I$1="English_Literature",Inputs!$I$1="Art_Design",Inputs!$I$1="Biology",Inputs!$I$1="Business_Studies",Inputs!$I$1="Chemistry",Inputs!$I$1="Citizenship_Studies",Inputs!$I$1="Classical_Studies",Inputs!$I$1="Computer_Science",Inputs!$I$1="Dance",Inputs!$I$1="Economics",Inputs!$I$1="Engineering",Inputs!$I$1="Food_Preparation_and_Nutrition",Inputs!$I$1="French",Inputs!$I$1="Geography",Inputs!$I$1="German",Inputs!$I$1="History",Inputs!$I$1="Media_Studies",Inputs!$I$1="Music",Inputs!$I$1="Design_Technology",Inputs!$I$1="Other_Modern_Languages_9_to_1",Inputs!$I$1="Other_Sciences",Inputs!$I$1="Performing_Arts",Inputs!$I$1="Photography",Inputs!$I$1="Physical_Education",Inputs!$I$1="Physics",Inputs!$I$1="Psychology",Inputs!$I$1="Religious_Studies",Inputs!$I$1="Sociology",Inputs!$I$1="Spanish",Inputs!$I$1="Statistics"), NOT(OR(Inputs!$I$1="Please Select",Inputs!$I$1="",Inputs!$I$2="Please Select",Inputs!$I$2=""))), Inputs!$I$3=$D45)</xm:f>
            <x14:dxf>
              <fill>
                <patternFill>
                  <bgColor rgb="FFD4CEDE"/>
                </patternFill>
              </fill>
            </x14:dxf>
          </x14:cfRule>
          <x14:cfRule type="expression" priority="10" id="{FE136EFF-1637-4986-8B99-0936D9D81B18}">
            <xm:f>OR(Inputs!$I$1="",Inputs!$I$1="Please Select",Inputs!$I$1="Mathematics",Inputs!$I$1="English_Language",Inputs!$I$1="English_Literature",Inputs!$I$1="Art_Design",Inputs!$I$1="Biology",Inputs!$I$1="Business_Studies",Inputs!$I$1="Chemistry",Inputs!$I$1="Citizenship_Studies",Inputs!$I$1="Classical_Studies",Inputs!$I$1="Computer_Science",Inputs!$I$1="Dance",Inputs!$I$1="Economics",Inputs!$I$1="Engineering",Inputs!$I$1="Food_Preparation_and_Nutrition",Inputs!$I$1="French",Inputs!$I$1="Geography",Inputs!$I$1="German",Inputs!$I$1="History",Inputs!$I$1="Media_Studies",Inputs!$I$1="Music",Inputs!$I$1="Design_Technology",Inputs!$I$1="Other_Modern_Languages_9_to_1",Inputs!$I$1="Other_Sciences",Inputs!$I$1="Performing_Arts",Inputs!$I$1="Photography",Inputs!$I$1="Physical_Education",Inputs!$I$1="Physics",Inputs!$I$1="Psychology",Inputs!$I$1="Religious_Studies",Inputs!$I$1="Sociology",Inputs!$I$1="Spanish",Inputs!$I$1="Statistics")</xm:f>
            <x14:dxf>
              <border>
                <left style="thin">
                  <color auto="1"/>
                </left>
                <right style="thin">
                  <color auto="1"/>
                </right>
                <top style="thin">
                  <color auto="1"/>
                </top>
                <bottom style="thin">
                  <color auto="1"/>
                </bottom>
                <vertical/>
                <horizontal/>
              </border>
            </x14:dxf>
          </x14:cfRule>
          <xm:sqref>N45:N56</xm:sqref>
        </x14:conditionalFormatting>
        <x14:conditionalFormatting xmlns:xm="http://schemas.microsoft.com/office/excel/2006/main">
          <x14:cfRule type="expression" priority="7" id="{53A471C1-7FC4-436B-8DB6-6408C71EAB5F}">
            <xm:f>IF(AND(OR(Inputs!$I$1="",Inputs!$I$1="Please Select",Inputs!$I$1="Mathematics",Inputs!$I$1="English_Language",Inputs!$I$1="English_Literature",Inputs!$I$1="Art_Design",Inputs!$I$1="Biology",Inputs!$I$1="Business_Studies",Inputs!$I$1="Chemistry",Inputs!$I$1="Citizenship_Studies",Inputs!$I$1="Classical_Studies",Inputs!$I$1="Computer_Science",Inputs!$I$1="Dance",Inputs!$I$1="Economics",Inputs!$I$1="Engineering",Inputs!$I$1="Food_Preparation_and_Nutrition",Inputs!$I$1="French",Inputs!$I$1="Geography",Inputs!$I$1="German",Inputs!$I$1="History",Inputs!$I$1="Media_Studies",Inputs!$I$1="Music",Inputs!$I$1="Design_Technology",Inputs!$I$1="Other_Modern_Languages_9_to_1",Inputs!$I$1="Other_Sciences",Inputs!$I$1="Performing_Arts",Inputs!$I$1="Photography",Inputs!$I$1="Physical_Education",Inputs!$I$1="Physics",Inputs!$I$1="Psychology",Inputs!$I$1="Religious_Studies",Inputs!$I$1="Sociology",Inputs!$I$1="Spanish",Inputs!$I$1="Statistics"), NOT(OR(Inputs!$I$1="Please Select",Inputs!$I$1="",Inputs!$I$2="Please Select",Inputs!$I$2=""))), Inputs!$I$3=$D63)</xm:f>
            <x14:dxf>
              <fill>
                <patternFill>
                  <bgColor rgb="FFD4CEDE"/>
                </patternFill>
              </fill>
            </x14:dxf>
          </x14:cfRule>
          <x14:cfRule type="expression" priority="9" id="{BE021126-2D78-485F-8387-F9902EDDFEBC}">
            <xm:f>OR(Inputs!$I$1="",Inputs!$I$1="Please Select",Inputs!$I$1="Mathematics",Inputs!$I$1="English_Language",Inputs!$I$1="English_Literature",Inputs!$I$1="Art_Design",Inputs!$I$1="Biology",Inputs!$I$1="Business_Studies",Inputs!$I$1="Chemistry",Inputs!$I$1="Citizenship_Studies",Inputs!$I$1="Classical_Studies",Inputs!$I$1="Computer_Science",Inputs!$I$1="Dance",Inputs!$I$1="Economics",Inputs!$I$1="Engineering",Inputs!$I$1="Food_Preparation_and_Nutrition",Inputs!$I$1="French",Inputs!$I$1="Geography",Inputs!$I$1="German",Inputs!$I$1="History",Inputs!$I$1="Media_Studies",Inputs!$I$1="Music",Inputs!$I$1="Design_Technology",Inputs!$I$1="Other_Modern_Languages_9_to_1",Inputs!$I$1="Other_Sciences",Inputs!$I$1="Performing_Arts",Inputs!$I$1="Photography",Inputs!$I$1="Physical_Education",Inputs!$I$1="Physics",Inputs!$I$1="Psychology",Inputs!$I$1="Religious_Studies",Inputs!$I$1="Sociology",Inputs!$I$1="Spanish",Inputs!$I$1="Statistics")</xm:f>
            <x14:dxf>
              <border>
                <left style="thin">
                  <color auto="1"/>
                </left>
                <right style="thin">
                  <color auto="1"/>
                </right>
                <top style="thin">
                  <color auto="1"/>
                </top>
                <bottom style="thin">
                  <color auto="1"/>
                </bottom>
                <vertical/>
                <horizontal/>
              </border>
            </x14:dxf>
          </x14:cfRule>
          <xm:sqref>N63:N74</xm:sqref>
        </x14:conditionalFormatting>
        <x14:conditionalFormatting xmlns:xm="http://schemas.microsoft.com/office/excel/2006/main">
          <x14:cfRule type="expression" priority="6" id="{15C2A230-B985-444F-B22B-F8DCF6635B4B}">
            <xm:f>IF(NOT(OR(Inputs!$I$1="Please Select",Inputs!$I$1="",Inputs!$I$2="Please Select",Inputs!$I$2="")),Inputs!$I$3=$D45)</xm:f>
            <x14:dxf>
              <fill>
                <patternFill>
                  <bgColor rgb="FFD4CEDE"/>
                </patternFill>
              </fill>
            </x14:dxf>
          </x14:cfRule>
          <xm:sqref>E45:M56</xm:sqref>
        </x14:conditionalFormatting>
        <x14:conditionalFormatting xmlns:xm="http://schemas.microsoft.com/office/excel/2006/main">
          <x14:cfRule type="expression" priority="5" id="{EF59CACE-8D0C-4A09-8205-D45A903EFB57}">
            <xm:f>IF(NOT(OR(Inputs!$I$1="Please Select",Inputs!$I$1="",Inputs!$I$2="Please Select",Inputs!$I$2="")),Inputs!$I$3=$D63)</xm:f>
            <x14:dxf>
              <fill>
                <patternFill>
                  <bgColor rgb="FFD4CEDE"/>
                </patternFill>
              </fill>
            </x14:dxf>
          </x14:cfRule>
          <xm:sqref>E63:M74</xm:sqref>
        </x14:conditionalFormatting>
        <x14:conditionalFormatting xmlns:xm="http://schemas.microsoft.com/office/excel/2006/main">
          <x14:cfRule type="expression" priority="3" id="{660EC5F4-5541-4FE2-A833-3BB11C7B151D}">
            <xm:f>OR(Inputs!$I$1="",Inputs!$I$1="Please Select",Inputs!$I$1="Mathematics",Inputs!$I$1="English_Language",Inputs!$I$1="English_Literature",Inputs!$I$1="Art_Design",Inputs!$I$1="Biology",Inputs!$I$1="Business_Studies",Inputs!$I$1="Chemistry",Inputs!$I$1="Citizenship_Studies",Inputs!$I$1="Classical_Studies",Inputs!$I$1="Computer_Science",Inputs!$I$1="Dance",Inputs!$I$1="Economics",Inputs!$I$1="Engineering",Inputs!$I$1="Food_Preparation_and_Nutrition",Inputs!$I$1="French",Inputs!$I$1="Geography",Inputs!$I$1="German",Inputs!$I$1="History",Inputs!$I$1="Media_Studies",Inputs!$I$1="Music",Inputs!$I$1="Design_Technology",Inputs!$I$1="Other_Modern_Languages_9_to_1",Inputs!$I$1="Other_Sciences",Inputs!$I$1="Performing_Arts",Inputs!$I$1="Photography",Inputs!$I$1="Physical_Education",Inputs!$I$1="Physics",Inputs!$I$1="Psychology",Inputs!$I$1="Religious_Studies",Inputs!$I$1="Sociology",Inputs!$I$1="Spanish",Inputs!$I$1="Statistics")</xm:f>
            <x14:dxf>
              <border>
                <left style="thin">
                  <color auto="1"/>
                </left>
                <right style="thin">
                  <color auto="1"/>
                </right>
                <top style="thin">
                  <color auto="1"/>
                </top>
                <bottom style="thin">
                  <color auto="1"/>
                </bottom>
                <vertical/>
                <horizontal/>
              </border>
            </x14:dxf>
          </x14:cfRule>
          <xm:sqref>N62</xm:sqref>
        </x14:conditionalFormatting>
        <x14:conditionalFormatting xmlns:xm="http://schemas.microsoft.com/office/excel/2006/main">
          <x14:cfRule type="expression" priority="4" id="{0570AB0B-480C-42F3-BF95-E376BDE67805}">
            <xm:f>OR(Inputs!$I$1="",Inputs!$I$1="Please Select",Inputs!$I$1="Mathematics",Inputs!$I$1="English_Language",Inputs!$I$1="English_Literature",Inputs!$I$1="Art_Design",Inputs!$I$1="Biology",Inputs!$I$1="Business_Studies",Inputs!$I$1="Chemistry",Inputs!$I$1="Citizenship_Studies",Inputs!$I$1="Classical_Studies",Inputs!$I$1="Computer_Science",Inputs!$I$1="Dance",Inputs!$I$1="Economics",Inputs!$I$1="Engineering",Inputs!$I$1="Food_Preparation_and_Nutrition",Inputs!$I$1="French",Inputs!$I$1="Geography",Inputs!$I$1="German",Inputs!$I$1="History",Inputs!$I$1="Media_Studies",Inputs!$I$1="Music",Inputs!$I$1="Design_Technology",Inputs!$I$1="Other_Modern_Languages_9_to_1",Inputs!$I$1="Other_Sciences",Inputs!$I$1="Performing_Arts",Inputs!$I$1="Photography",Inputs!$I$1="Physical_Education",Inputs!$I$1="Physics",Inputs!$I$1="Psychology",Inputs!$I$1="Religious_Studies",Inputs!$I$1="Sociology",Inputs!$I$1="Spanish",Inputs!$I$1="Statistics")</xm:f>
            <x14:dxf>
              <fill>
                <patternFill>
                  <bgColor rgb="FF9FB9C8"/>
                </patternFill>
              </fill>
            </x14:dxf>
          </x14:cfRule>
          <xm:sqref>N62</xm:sqref>
        </x14:conditionalFormatting>
        <x14:conditionalFormatting xmlns:xm="http://schemas.microsoft.com/office/excel/2006/main">
          <x14:cfRule type="expression" priority="1" id="{BB6285AA-24DE-4C72-9EAC-FE10882CC620}">
            <xm:f>OR(Inputs!$G$1="",Inputs!$G$1="Please Select",Inputs!$G$1="Mathematics",Inputs!$G$1="English_Language",Inputs!$G$1="English_Literature",Inputs!$G$1="Art_Design",Inputs!$G$1="Biology",Inputs!$G$1="Business_Studies",Inputs!$G$1="Chemistry",Inputs!$G$1="Citizenship_Studies",Inputs!$G$1="Classical_Studies",Inputs!$G$1="Computer_Science",Inputs!$G$1="Dance",Inputs!$G$1="Economics",Inputs!$G$1="Engineering",Inputs!$G$1="Food_Preparation_and_Nutrition",Inputs!$G$1="French",Inputs!$G$1="Geography",Inputs!$G$1="German",Inputs!$G$1="History",Inputs!$G$1="Media_Studies",Inputs!$G$1="Music",Inputs!$G$1="Design_Technology",Inputs!$G$1="Other_Modern_Languages_9_to_1",Inputs!$G$1="Other_Sciences",Inputs!$G$1="Performing_Arts",Inputs!$G$1="Photography",Inputs!$G$1="Physical_Education",Inputs!$G$1="Physics",Inputs!$G$1="Psychology",Inputs!$G$1="Religious_Studies",Inputs!$G$1="Sociology",Inputs!$G$1="Spanish",Inputs!$G$1="Statistics")</xm:f>
            <x14:dxf>
              <border>
                <left style="thin">
                  <color auto="1"/>
                </left>
                <right style="thin">
                  <color auto="1"/>
                </right>
                <top style="thin">
                  <color auto="1"/>
                </top>
                <bottom style="thin">
                  <color auto="1"/>
                </bottom>
                <vertical/>
                <horizontal/>
              </border>
            </x14:dxf>
          </x14:cfRule>
          <xm:sqref>N15</xm:sqref>
        </x14:conditionalFormatting>
        <x14:conditionalFormatting xmlns:xm="http://schemas.microsoft.com/office/excel/2006/main">
          <x14:cfRule type="expression" priority="2" id="{C5FD1181-32E0-47CD-B092-3FA7566FD3C9}">
            <xm:f>OR(Inputs!$G$1="",Inputs!$G$1="Please Select",Inputs!$G$1="Mathematics",Inputs!$G$1="English_Language",Inputs!$G$1="English_Literature",Inputs!$G$1="Art_Design",Inputs!$G$1="Biology",Inputs!$G$1="Business_Studies",Inputs!$G$1="Chemistry",Inputs!$G$1="Citizenship_Studies",Inputs!$G$1="Classical_Studies",Inputs!$G$1="Computer_Science",Inputs!$G$1="Dance",Inputs!$G$1="Economics",Inputs!$G$1="Engineering",Inputs!$G$1="Food_Preparation_and_Nutrition",Inputs!$G$1="French",Inputs!$G$1="Geography",Inputs!$G$1="German",Inputs!$G$1="History",Inputs!$G$1="Media_Studies",Inputs!$G$1="Music",Inputs!$G$1="Design_Technology",Inputs!$G$1="Other_Modern_Languages_9_to_1",Inputs!$G$1="Other_Sciences",Inputs!$G$1="Performing_Arts",Inputs!$G$1="Photography",Inputs!$G$1="Physical_Education",Inputs!$G$1="Physics",Inputs!$G$1="Psychology",Inputs!$G$1="Religious_Studies",Inputs!$G$1="Sociology",Inputs!$G$1="Spanish",Inputs!$G$1="Statistics")</xm:f>
            <x14:dxf>
              <fill>
                <patternFill>
                  <bgColor rgb="FF9FB9C8"/>
                </patternFill>
              </fill>
            </x14:dxf>
          </x14:cfRule>
          <xm:sqref>N15</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B1:CU86"/>
  <sheetViews>
    <sheetView showGridLines="0" showRowColHeaders="0" zoomScale="70" zoomScaleNormal="70" workbookViewId="0">
      <selection activeCell="BG22" sqref="BG22"/>
    </sheetView>
  </sheetViews>
  <sheetFormatPr defaultRowHeight="14.25" x14ac:dyDescent="0.45"/>
  <cols>
    <col min="1" max="2" width="3.73046875" customWidth="1"/>
    <col min="3" max="3" width="8.3984375" customWidth="1"/>
    <col min="4" max="13" width="11.1328125" customWidth="1"/>
    <col min="14" max="14" width="11" customWidth="1"/>
    <col min="15" max="23" width="11.1328125" customWidth="1"/>
    <col min="30" max="30" width="9" customWidth="1"/>
    <col min="31" max="31" width="10" customWidth="1"/>
    <col min="32" max="41" width="9" customWidth="1"/>
    <col min="43" max="43" width="19.59765625" customWidth="1"/>
    <col min="44" max="44" width="16.86328125" customWidth="1"/>
  </cols>
  <sheetData>
    <row r="1" spans="2:99" ht="15" x14ac:dyDescent="0.45">
      <c r="AF1" s="13"/>
      <c r="AG1" s="13"/>
      <c r="AH1" s="13"/>
      <c r="AI1" s="13"/>
      <c r="AJ1" s="13"/>
      <c r="AK1" s="13"/>
      <c r="AL1" s="13"/>
      <c r="AM1" s="13"/>
      <c r="AN1" s="13"/>
      <c r="AO1" s="13"/>
      <c r="AP1" s="13"/>
      <c r="AQ1" s="13"/>
      <c r="AR1" s="13"/>
      <c r="AS1" s="13"/>
      <c r="AT1" s="13"/>
      <c r="AU1" s="13"/>
      <c r="AV1" s="13"/>
      <c r="AW1" s="13"/>
      <c r="AX1" s="13"/>
      <c r="BG1" s="16"/>
    </row>
    <row r="2" spans="2:99" ht="15" x14ac:dyDescent="0.45">
      <c r="AF2" s="92"/>
      <c r="AG2" s="13"/>
      <c r="AH2" s="13"/>
      <c r="AI2" s="13"/>
      <c r="AJ2" s="13"/>
      <c r="AK2" s="13"/>
      <c r="AL2" s="13"/>
      <c r="AM2" s="13"/>
      <c r="AN2" s="13"/>
      <c r="AO2" s="13"/>
      <c r="AP2" s="13"/>
      <c r="AQ2" s="13"/>
      <c r="AR2" s="13" t="s">
        <v>54</v>
      </c>
      <c r="AS2" s="13"/>
      <c r="AT2" s="13"/>
      <c r="AU2" s="13"/>
      <c r="AV2" s="13"/>
      <c r="AW2" s="13"/>
      <c r="AX2" s="13"/>
      <c r="BG2" s="16"/>
    </row>
    <row r="3" spans="2:99" ht="15" customHeight="1" x14ac:dyDescent="0.45">
      <c r="AF3" s="13"/>
      <c r="AG3" s="13"/>
      <c r="AH3" s="13"/>
      <c r="AI3" s="13"/>
      <c r="AJ3" s="13"/>
      <c r="AK3" s="13"/>
      <c r="AL3" s="13"/>
      <c r="AM3" s="13"/>
      <c r="AN3" s="13"/>
      <c r="AO3" s="13"/>
      <c r="AP3" s="13"/>
      <c r="AQ3" s="13"/>
      <c r="AR3" s="13"/>
      <c r="AS3" s="13"/>
      <c r="AT3" s="13"/>
      <c r="AU3" s="13"/>
      <c r="AV3" s="13"/>
      <c r="AW3" s="13"/>
      <c r="AX3" s="13"/>
      <c r="BG3" s="16"/>
    </row>
    <row r="4" spans="2:99" ht="19.149999999999999" customHeight="1" x14ac:dyDescent="0.45">
      <c r="Q4" s="20"/>
      <c r="R4" s="20"/>
      <c r="S4" s="20"/>
      <c r="T4" s="20"/>
      <c r="U4" s="20"/>
      <c r="V4" s="20"/>
      <c r="W4" s="20"/>
      <c r="X4" s="20"/>
      <c r="Y4" s="20"/>
      <c r="Z4" s="20"/>
      <c r="AA4" s="20"/>
      <c r="AB4" s="20"/>
      <c r="AC4" s="20"/>
      <c r="AF4" s="13"/>
      <c r="AG4" s="13"/>
      <c r="AH4" s="13"/>
      <c r="AI4" s="13"/>
      <c r="AJ4" s="13"/>
      <c r="AK4" s="13"/>
      <c r="AL4" s="13"/>
      <c r="AM4" s="13"/>
      <c r="AN4" s="13"/>
      <c r="AO4" s="13"/>
      <c r="AP4" s="13"/>
      <c r="AQ4" s="13"/>
      <c r="AR4" s="13"/>
      <c r="AS4" s="13"/>
      <c r="AT4" s="13"/>
      <c r="AU4" s="13"/>
      <c r="AV4" s="13"/>
      <c r="AW4" s="13"/>
      <c r="AX4" s="13"/>
      <c r="BG4" s="16"/>
    </row>
    <row r="5" spans="2:99" ht="24" customHeight="1" x14ac:dyDescent="0.45">
      <c r="B5" s="8" t="s">
        <v>52</v>
      </c>
      <c r="AF5" s="13"/>
      <c r="AG5" s="13"/>
      <c r="AH5" s="13"/>
      <c r="AI5" s="13"/>
      <c r="AJ5" s="13"/>
      <c r="AK5" s="13"/>
      <c r="AL5" s="13"/>
      <c r="AM5" s="13"/>
      <c r="AN5" s="13"/>
      <c r="AO5" s="13"/>
      <c r="AP5" s="13"/>
      <c r="AQ5" s="13"/>
      <c r="AR5" s="13"/>
      <c r="AS5" s="13"/>
      <c r="AT5" s="13"/>
      <c r="AU5" s="13"/>
      <c r="AV5" s="13"/>
      <c r="AW5" s="13"/>
      <c r="AX5" s="13"/>
      <c r="BG5" s="21"/>
    </row>
    <row r="6" spans="2:99" ht="15" customHeight="1" x14ac:dyDescent="0.45">
      <c r="AB6" s="20"/>
      <c r="AF6" s="13"/>
      <c r="AG6" s="13"/>
      <c r="AH6" s="13"/>
      <c r="AI6" s="13"/>
      <c r="AJ6" s="13"/>
      <c r="AK6" s="13"/>
      <c r="AL6" s="13"/>
      <c r="AM6" s="13"/>
      <c r="AN6" s="13"/>
      <c r="AO6" s="13"/>
      <c r="AP6" s="13"/>
      <c r="AQ6" s="13"/>
      <c r="AR6" s="13"/>
      <c r="AS6" s="13"/>
      <c r="AT6" s="13"/>
      <c r="AU6" s="13"/>
      <c r="AV6" s="13"/>
      <c r="AW6" s="13"/>
      <c r="AX6" s="13"/>
      <c r="BG6" s="21"/>
    </row>
    <row r="7" spans="2:99" ht="23.65" customHeight="1" x14ac:dyDescent="0.45">
      <c r="B7" s="8" t="s">
        <v>53</v>
      </c>
      <c r="C7" s="8"/>
      <c r="AF7" s="13"/>
      <c r="AG7" s="13"/>
      <c r="AH7" s="13"/>
      <c r="AI7" s="13"/>
      <c r="AJ7" s="13"/>
      <c r="AK7" s="13"/>
      <c r="AL7" s="13"/>
      <c r="AM7" s="13"/>
      <c r="AN7" s="13"/>
      <c r="AO7" s="13"/>
      <c r="AP7" s="13"/>
      <c r="AQ7" s="13"/>
      <c r="AR7" s="13"/>
      <c r="AS7" s="13"/>
      <c r="AT7" s="13"/>
      <c r="AU7" s="13"/>
      <c r="AV7" s="13"/>
      <c r="AW7" s="13"/>
      <c r="AX7" s="13"/>
      <c r="AY7" s="13"/>
      <c r="AZ7" s="13"/>
      <c r="BA7" s="13"/>
      <c r="BB7" s="13"/>
      <c r="BC7" s="13"/>
      <c r="BF7" s="13"/>
      <c r="BG7" s="21"/>
      <c r="BH7" s="13"/>
      <c r="BI7" s="13"/>
      <c r="BJ7" s="13"/>
      <c r="BK7" s="13"/>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13"/>
      <c r="CL7" s="13"/>
      <c r="CM7" s="13"/>
      <c r="CN7" s="13"/>
      <c r="CO7" s="13"/>
      <c r="CP7" s="13"/>
      <c r="CQ7" s="13"/>
      <c r="CR7" s="13"/>
      <c r="CS7" s="13"/>
      <c r="CT7" s="13"/>
      <c r="CU7" s="13"/>
    </row>
    <row r="8" spans="2:99" ht="15" customHeight="1" x14ac:dyDescent="0.45">
      <c r="AF8" s="13"/>
      <c r="AG8" s="13"/>
      <c r="AH8" s="13"/>
      <c r="AI8" s="13"/>
      <c r="AJ8" s="13"/>
      <c r="AK8" s="13"/>
      <c r="AL8" s="13"/>
      <c r="AM8" s="13"/>
      <c r="AN8" s="13"/>
      <c r="AO8" s="13"/>
      <c r="AP8" s="13"/>
      <c r="AQ8" s="13"/>
      <c r="AR8" s="13"/>
      <c r="AS8" s="13"/>
      <c r="AT8" s="13"/>
      <c r="AU8" s="13"/>
      <c r="AV8" s="13"/>
      <c r="AW8" s="13"/>
      <c r="AX8" s="13"/>
      <c r="AY8" s="13"/>
      <c r="AZ8" s="13"/>
      <c r="BA8" s="13"/>
      <c r="BB8" s="13"/>
      <c r="BC8" s="13"/>
      <c r="BF8" s="13"/>
      <c r="BG8" s="21"/>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row>
    <row r="9" spans="2:99" ht="23.65" customHeight="1" x14ac:dyDescent="0.45">
      <c r="B9" s="8" t="s">
        <v>57</v>
      </c>
      <c r="C9" s="8"/>
      <c r="Z9" s="115" t="s">
        <v>18</v>
      </c>
      <c r="AA9" s="115"/>
      <c r="AB9" s="115"/>
      <c r="AC9" s="115"/>
      <c r="AD9" s="115"/>
      <c r="AE9" s="115"/>
      <c r="AF9" s="115"/>
      <c r="AG9" s="115"/>
      <c r="AH9" s="115"/>
      <c r="AI9" s="115"/>
      <c r="AJ9" s="115"/>
      <c r="AK9" s="115"/>
      <c r="AL9" s="13"/>
      <c r="AM9" s="13"/>
      <c r="AN9" s="13"/>
      <c r="AO9" s="13"/>
      <c r="AP9" s="13"/>
      <c r="AQ9" s="13"/>
      <c r="AR9" s="13"/>
      <c r="AS9" s="13"/>
      <c r="AT9" s="13"/>
      <c r="AU9" s="13"/>
      <c r="AV9" s="13"/>
      <c r="AW9" s="13"/>
      <c r="AX9" s="13"/>
      <c r="AY9" s="13"/>
      <c r="AZ9" s="13"/>
      <c r="BA9" s="13"/>
      <c r="BB9" s="13"/>
      <c r="BC9" s="13"/>
      <c r="BF9" s="13"/>
      <c r="BG9" s="21"/>
      <c r="BH9" s="13"/>
      <c r="BI9" s="13"/>
      <c r="BJ9" s="1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c r="CL9" s="13"/>
      <c r="CM9" s="13"/>
      <c r="CN9" s="13"/>
      <c r="CO9" s="13"/>
      <c r="CP9" s="13"/>
      <c r="CQ9" s="13"/>
      <c r="CR9" s="13"/>
      <c r="CS9" s="13"/>
      <c r="CT9" s="13"/>
      <c r="CU9" s="13"/>
    </row>
    <row r="10" spans="2:99" ht="15" customHeight="1" x14ac:dyDescent="0.45">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F10" s="13"/>
      <c r="BG10" s="21"/>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c r="CL10" s="13"/>
      <c r="CM10" s="13"/>
      <c r="CN10" s="13"/>
      <c r="CO10" s="13"/>
      <c r="CP10" s="13"/>
      <c r="CQ10" s="13"/>
      <c r="CR10" s="13"/>
      <c r="CS10" s="13"/>
      <c r="CT10" s="13"/>
      <c r="CU10" s="13"/>
    </row>
    <row r="11" spans="2:99" ht="19.149999999999999" customHeight="1" x14ac:dyDescent="0.45">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F11" s="13"/>
      <c r="BG11" s="21"/>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row>
    <row r="12" spans="2:99" ht="15.4" customHeight="1" x14ac:dyDescent="0.45">
      <c r="F12" s="26"/>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F12" s="13"/>
      <c r="BG12" s="21"/>
      <c r="BH12" s="13"/>
      <c r="BI12" s="13"/>
      <c r="BJ12" s="13"/>
      <c r="BK12" s="13"/>
      <c r="BL12" s="13"/>
      <c r="BM12" s="13"/>
      <c r="BN12" s="13"/>
      <c r="BO12" s="13"/>
      <c r="BP12" s="13"/>
      <c r="BQ12" s="13"/>
      <c r="BR12" s="13"/>
      <c r="BS12" s="13"/>
      <c r="BT12" s="13"/>
      <c r="BU12" s="13"/>
      <c r="BV12" s="13"/>
      <c r="BW12" s="13"/>
      <c r="BX12" s="13"/>
      <c r="BY12" s="13"/>
      <c r="BZ12" s="13"/>
      <c r="CA12" s="13"/>
      <c r="CB12" s="13"/>
      <c r="CC12" s="13"/>
      <c r="CD12" s="13"/>
      <c r="CE12" s="13"/>
      <c r="CF12" s="13"/>
      <c r="CG12" s="13"/>
      <c r="CH12" s="13"/>
      <c r="CI12" s="13"/>
      <c r="CJ12" s="13"/>
      <c r="CK12" s="13"/>
      <c r="CL12" s="13"/>
      <c r="CM12" s="13"/>
      <c r="CN12" s="13"/>
      <c r="CO12" s="13"/>
      <c r="CP12" s="13"/>
      <c r="CQ12" s="13"/>
      <c r="CR12" s="13"/>
      <c r="CS12" s="13"/>
      <c r="CT12" s="13"/>
      <c r="CU12" s="13"/>
    </row>
    <row r="13" spans="2:99" ht="18" customHeight="1" x14ac:dyDescent="0.55000000000000004">
      <c r="C13" s="122" t="s">
        <v>54</v>
      </c>
      <c r="D13" s="122"/>
      <c r="E13" s="58"/>
      <c r="F13" s="58"/>
      <c r="G13" s="58"/>
      <c r="H13" s="58"/>
      <c r="I13" s="58"/>
      <c r="J13" s="58"/>
      <c r="K13" s="58"/>
      <c r="L13" s="58"/>
      <c r="M13" s="58"/>
      <c r="N13" s="63"/>
      <c r="R13" s="15"/>
      <c r="S13" s="15"/>
      <c r="T13" s="15"/>
      <c r="U13" s="15"/>
      <c r="V13" s="15"/>
      <c r="W13" s="15"/>
      <c r="X13" s="15"/>
      <c r="Y13" s="15"/>
      <c r="Z13" s="15"/>
      <c r="AD13" s="12"/>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F13" s="13"/>
      <c r="BG13" s="21"/>
      <c r="BH13" s="13"/>
      <c r="BI13" s="13"/>
      <c r="BJ13" s="13"/>
      <c r="BK13" s="13"/>
      <c r="BL13" s="13"/>
      <c r="BM13" s="13"/>
      <c r="BN13" s="13"/>
      <c r="BO13" s="13"/>
      <c r="BP13" s="13"/>
      <c r="BQ13" s="13"/>
      <c r="BR13" s="13"/>
      <c r="BS13" s="13"/>
      <c r="BT13" s="13"/>
      <c r="BU13" s="13"/>
      <c r="BV13" s="13"/>
      <c r="BW13" s="13"/>
      <c r="BX13" s="13"/>
      <c r="BY13" s="13"/>
      <c r="BZ13" s="13"/>
      <c r="CA13" s="13"/>
      <c r="CB13" s="13"/>
      <c r="CC13" s="13"/>
      <c r="CD13" s="13"/>
      <c r="CE13" s="13"/>
      <c r="CF13" s="13"/>
      <c r="CG13" s="13"/>
      <c r="CH13" s="13"/>
      <c r="CI13" s="13"/>
      <c r="CJ13" s="13"/>
      <c r="CK13" s="13"/>
      <c r="CL13" s="13"/>
      <c r="CM13" s="13"/>
      <c r="CN13" s="13"/>
      <c r="CO13" s="13"/>
      <c r="CP13" s="13"/>
      <c r="CQ13" s="13"/>
      <c r="CR13" s="13"/>
      <c r="CS13" s="13"/>
      <c r="CT13" s="13"/>
      <c r="CU13" s="13"/>
    </row>
    <row r="14" spans="2:99" ht="36" customHeight="1" x14ac:dyDescent="0.5">
      <c r="C14" s="122"/>
      <c r="D14" s="122"/>
      <c r="E14" s="93" t="s">
        <v>106</v>
      </c>
      <c r="F14" s="94"/>
      <c r="G14" s="94"/>
      <c r="H14" s="94"/>
      <c r="I14" s="95"/>
      <c r="J14" s="94"/>
      <c r="K14" s="94"/>
      <c r="L14" s="94"/>
      <c r="M14" s="94"/>
      <c r="N14" s="96"/>
      <c r="O14" s="96"/>
      <c r="P14" s="96"/>
      <c r="Q14" s="96"/>
      <c r="R14" s="96"/>
      <c r="S14" s="96"/>
      <c r="T14" s="96"/>
      <c r="U14" s="96"/>
      <c r="V14" s="97"/>
      <c r="X14" s="15"/>
      <c r="Y14" s="15"/>
      <c r="Z14" s="15"/>
      <c r="AD14" s="12"/>
      <c r="AF14" s="18"/>
      <c r="AG14" s="13"/>
      <c r="AH14" s="13"/>
      <c r="AI14" s="13"/>
      <c r="AJ14" s="13"/>
      <c r="AK14" s="13"/>
      <c r="AL14" s="13"/>
      <c r="AM14" s="13"/>
      <c r="AN14" s="13"/>
      <c r="AO14" s="13"/>
      <c r="AP14" s="13"/>
      <c r="AQ14" s="13"/>
      <c r="AR14" s="13"/>
      <c r="AS14" s="13"/>
      <c r="AT14" s="13"/>
      <c r="AU14" s="13"/>
      <c r="AV14" s="13"/>
      <c r="AW14" s="13"/>
      <c r="AX14" s="13"/>
      <c r="BC14" s="13"/>
      <c r="BF14" s="13"/>
      <c r="BG14" s="21"/>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c r="CL14" s="13"/>
      <c r="CM14" s="13"/>
      <c r="CN14" s="13"/>
      <c r="CO14" s="13"/>
      <c r="CP14" s="13"/>
      <c r="CQ14" s="13"/>
      <c r="CR14" s="13"/>
      <c r="CS14" s="13"/>
      <c r="CT14" s="13"/>
      <c r="CU14" s="13"/>
    </row>
    <row r="15" spans="2:99" ht="20.100000000000001" customHeight="1" x14ac:dyDescent="0.45">
      <c r="C15" s="123"/>
      <c r="D15" s="123"/>
      <c r="E15" s="98" t="s">
        <v>0</v>
      </c>
      <c r="F15" s="98">
        <v>11</v>
      </c>
      <c r="G15" s="98">
        <v>21</v>
      </c>
      <c r="H15" s="98">
        <v>22</v>
      </c>
      <c r="I15" s="98">
        <v>32</v>
      </c>
      <c r="J15" s="98">
        <v>33</v>
      </c>
      <c r="K15" s="98">
        <v>43</v>
      </c>
      <c r="L15" s="98">
        <v>44</v>
      </c>
      <c r="M15" s="98">
        <v>54</v>
      </c>
      <c r="N15" s="98">
        <v>55</v>
      </c>
      <c r="O15" s="98">
        <v>65</v>
      </c>
      <c r="P15" s="98">
        <v>66</v>
      </c>
      <c r="Q15" s="98">
        <v>76</v>
      </c>
      <c r="R15" s="98">
        <v>77</v>
      </c>
      <c r="S15" s="98">
        <v>87</v>
      </c>
      <c r="T15" s="98">
        <v>88</v>
      </c>
      <c r="U15" s="98">
        <v>98</v>
      </c>
      <c r="V15" s="98">
        <v>99</v>
      </c>
      <c r="AD15" s="12"/>
      <c r="AF15" s="13"/>
      <c r="AG15" s="13"/>
      <c r="AH15" s="13"/>
      <c r="AI15" s="13"/>
      <c r="AJ15" s="13"/>
      <c r="AK15" s="13"/>
      <c r="AL15" s="13"/>
      <c r="AM15" s="13"/>
      <c r="AN15" s="13"/>
      <c r="AO15" s="13"/>
      <c r="AP15" s="13"/>
      <c r="AQ15" s="13"/>
      <c r="AR15" s="13"/>
      <c r="AS15" s="13"/>
      <c r="AT15" s="13"/>
      <c r="AU15" s="13"/>
      <c r="AV15" s="13"/>
      <c r="AW15" s="13"/>
      <c r="AX15" s="13"/>
      <c r="BC15" s="13"/>
      <c r="BF15" s="13"/>
      <c r="BG15" s="16"/>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row>
    <row r="16" spans="2:99" ht="23.1" customHeight="1" x14ac:dyDescent="0.5">
      <c r="C16" s="119" t="s">
        <v>13</v>
      </c>
      <c r="D16" s="60" t="s">
        <v>1</v>
      </c>
      <c r="E16" s="61" t="str">
        <f ca="1">IFERROR(IF(InputsCS!$G$2="Pupil Numbers",INDEX(INDIRECT(InputsCS!$G$1),1,1),IF(InputsCS!$G$2="Pupil Percentages",INDEX(INDIRECT(InputsCS!$G$1),17,1),"")),"")</f>
        <v/>
      </c>
      <c r="F16" s="61" t="str">
        <f ca="1">IFERROR(IF(InputsCS!$G$2="Pupil Numbers",INDEX(INDIRECT(InputsCS!$G$1),1,2),IF(InputsCS!$G$2="Pupil Percentages",INDEX(INDIRECT(InputsCS!$G$1),17,2),"")),"")</f>
        <v/>
      </c>
      <c r="G16" s="61" t="str">
        <f ca="1">IFERROR(IF(InputsCS!$G$2="Pupil Numbers",INDEX(INDIRECT(InputsCS!$G$1),1,3),IF(InputsCS!$G$2="Pupil Percentages",INDEX(INDIRECT(InputsCS!$G$1),17,3),"")),"")</f>
        <v/>
      </c>
      <c r="H16" s="61" t="str">
        <f ca="1">IFERROR(IF(InputsCS!$G$2="Pupil Numbers",INDEX(INDIRECT(InputsCS!$G$1),1,4),IF(InputsCS!$G$2="Pupil Percentages",INDEX(INDIRECT(InputsCS!$G$1),17,4),"")),"")</f>
        <v/>
      </c>
      <c r="I16" s="61" t="str">
        <f ca="1">IFERROR(IF(InputsCS!$G$2="Pupil Numbers",INDEX(INDIRECT(InputsCS!$G$1),1,5),IF(InputsCS!$G$2="Pupil Percentages",INDEX(INDIRECT(InputsCS!$G$1),17,5),"")),"")</f>
        <v/>
      </c>
      <c r="J16" s="61" t="str">
        <f ca="1">IFERROR(IF(InputsCS!$G$2="Pupil Numbers",INDEX(INDIRECT(InputsCS!$G$1),1,6),IF(InputsCS!$G$2="Pupil Percentages",INDEX(INDIRECT(InputsCS!$G$1),17,6),"")),"")</f>
        <v/>
      </c>
      <c r="K16" s="61" t="str">
        <f ca="1">IFERROR(IF(InputsCS!$G$2="Pupil Numbers",INDEX(INDIRECT(InputsCS!$G$1),1,7),IF(InputsCS!$G$2="Pupil Percentages",INDEX(INDIRECT(InputsCS!$G$1),17,7),"")),"")</f>
        <v/>
      </c>
      <c r="L16" s="61" t="str">
        <f ca="1">IFERROR(IF(InputsCS!$G$2="Pupil Numbers",INDEX(INDIRECT(InputsCS!$G$1),1,8),IF(InputsCS!$G$2="Pupil Percentages",INDEX(INDIRECT(InputsCS!$G$1),17,8),"")),"")</f>
        <v/>
      </c>
      <c r="M16" s="61" t="str">
        <f ca="1">IFERROR(IF(InputsCS!$G$2="Pupil Numbers",INDEX(INDIRECT(InputsCS!$G$1),1,9),IF(InputsCS!$G$2="Pupil Percentages",INDEX(INDIRECT(InputsCS!$G$1),17,9),"")),"")</f>
        <v/>
      </c>
      <c r="N16" s="61" t="str">
        <f ca="1">IFERROR(IF(InputsCS!$G$2="Pupil Numbers",INDEX(INDIRECT(InputsCS!$G$1),1,10),IF(InputsCS!$G$2="Pupil Percentages",INDEX(INDIRECT(InputsCS!$G$1),17,10),"")),"")</f>
        <v/>
      </c>
      <c r="O16" s="61" t="str">
        <f ca="1">IFERROR(IF(InputsCS!$G$2="Pupil Numbers",INDEX(INDIRECT(InputsCS!$G$1),1,11),IF(InputsCS!$G$2="Pupil Percentages",INDEX(INDIRECT(InputsCS!$G$1),17,11),"")),"")</f>
        <v/>
      </c>
      <c r="P16" s="61" t="str">
        <f ca="1">IFERROR(IF(InputsCS!$G$2="Pupil Numbers",INDEX(INDIRECT(InputsCS!$G$1),1,12),IF(InputsCS!$G$2="Pupil Percentages",INDEX(INDIRECT(InputsCS!$G$1),17,12),"")),"")</f>
        <v/>
      </c>
      <c r="Q16" s="61" t="str">
        <f ca="1">IFERROR(IF(InputsCS!$G$2="Pupil Numbers",INDEX(INDIRECT(InputsCS!$G$1),1,13),IF(InputsCS!$G$2="Pupil Percentages",INDEX(INDIRECT(InputsCS!$G$1),17,13),"")),"")</f>
        <v/>
      </c>
      <c r="R16" s="61" t="str">
        <f ca="1">IFERROR(IF(InputsCS!$G$2="Pupil Numbers",INDEX(INDIRECT(InputsCS!$G$1),1,14),IF(InputsCS!$G$2="Pupil Percentages",INDEX(INDIRECT(InputsCS!$G$1),17,14),"")),"")</f>
        <v/>
      </c>
      <c r="S16" s="61" t="str">
        <f ca="1">IFERROR(IF(InputsCS!$G$2="Pupil Numbers",INDEX(INDIRECT(InputsCS!$G$1),1,15),IF(InputsCS!$G$2="Pupil Percentages",INDEX(INDIRECT(InputsCS!$G$1),17,15),"")),"")</f>
        <v/>
      </c>
      <c r="T16" s="61" t="str">
        <f ca="1">IFERROR(IF(InputsCS!$G$2="Pupil Numbers",INDEX(INDIRECT(InputsCS!$G$1),1,16),IF(InputsCS!$G$2="Pupil Percentages",INDEX(INDIRECT(InputsCS!$G$1),17,16),"")),"")</f>
        <v/>
      </c>
      <c r="U16" s="61" t="str">
        <f ca="1">IFERROR(IF(InputsCS!$G$2="Pupil Numbers",INDEX(INDIRECT(InputsCS!$G$1),1,17),IF(InputsCS!$G$2="Pupil Percentages",INDEX(INDIRECT(InputsCS!$G$1),17,17),"")),"")</f>
        <v/>
      </c>
      <c r="V16" s="61" t="str">
        <f ca="1">IFERROR(IF(InputsCS!$G$2="Pupil Numbers",INDEX(INDIRECT(InputsCS!$G$1),1,18),IF(InputsCS!$G$2="Pupil Percentages",INDEX(INDIRECT(InputsCS!$G$1),17,18),"")),"")</f>
        <v/>
      </c>
      <c r="AD16" s="12"/>
      <c r="AF16" s="13"/>
      <c r="AG16" s="13"/>
      <c r="AH16" s="13"/>
      <c r="AI16" s="13"/>
      <c r="AJ16" s="13"/>
      <c r="AK16" s="13"/>
      <c r="AL16" s="13"/>
      <c r="AM16" s="13"/>
      <c r="AN16" s="13"/>
      <c r="AO16" s="13"/>
      <c r="AP16" s="13"/>
      <c r="AQ16" s="13"/>
      <c r="AR16" s="13"/>
      <c r="AS16" s="13"/>
      <c r="AT16" s="13"/>
      <c r="AU16" s="13"/>
      <c r="AV16" s="13"/>
      <c r="AW16" s="13"/>
      <c r="AX16" s="13"/>
      <c r="BC16" s="13"/>
      <c r="BD16" s="13"/>
      <c r="BE16" s="13"/>
      <c r="BF16" s="13"/>
      <c r="BG16" s="21"/>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c r="CR16" s="13"/>
      <c r="CS16" s="13"/>
      <c r="CT16" s="13"/>
      <c r="CU16" s="13"/>
    </row>
    <row r="17" spans="3:99" ht="23.1" customHeight="1" x14ac:dyDescent="0.5">
      <c r="C17" s="120"/>
      <c r="D17" s="60" t="s">
        <v>56</v>
      </c>
      <c r="E17" s="61" t="str">
        <f ca="1">IFERROR(IF(InputsCS!$G$2="Pupil Numbers",INDEX(INDIRECT(InputsCS!$G$1),2,1),IF(InputsCS!$G$2="Pupil Percentages",INDEX(INDIRECT(InputsCS!$G$1),18,1),"")),"")</f>
        <v/>
      </c>
      <c r="F17" s="61" t="str">
        <f ca="1">IFERROR(IF(InputsCS!$G$2="Pupil Numbers",INDEX(INDIRECT(InputsCS!$G$1),2,2),IF(InputsCS!$G$2="Pupil Percentages",INDEX(INDIRECT(InputsCS!$G$1),18,2),"")),"")</f>
        <v/>
      </c>
      <c r="G17" s="61" t="str">
        <f ca="1">IFERROR(IF(InputsCS!$G$2="Pupil Numbers",INDEX(INDIRECT(InputsCS!$G$1),2,3),IF(InputsCS!$G$2="Pupil Percentages",INDEX(INDIRECT(InputsCS!$G$1),18,3),"")),"")</f>
        <v/>
      </c>
      <c r="H17" s="61" t="str">
        <f ca="1">IFERROR(IF(InputsCS!$G$2="Pupil Numbers",INDEX(INDIRECT(InputsCS!$G$1),2,4),IF(InputsCS!$G$2="Pupil Percentages",INDEX(INDIRECT(InputsCS!$G$1),18,4),"")),"")</f>
        <v/>
      </c>
      <c r="I17" s="61" t="str">
        <f ca="1">IFERROR(IF(InputsCS!$G$2="Pupil Numbers",INDEX(INDIRECT(InputsCS!$G$1),2,5),IF(InputsCS!$G$2="Pupil Percentages",INDEX(INDIRECT(InputsCS!$G$1),18,5),"")),"")</f>
        <v/>
      </c>
      <c r="J17" s="61" t="str">
        <f ca="1">IFERROR(IF(InputsCS!$G$2="Pupil Numbers",INDEX(INDIRECT(InputsCS!$G$1),2,6),IF(InputsCS!$G$2="Pupil Percentages",INDEX(INDIRECT(InputsCS!$G$1),18,6),"")),"")</f>
        <v/>
      </c>
      <c r="K17" s="61" t="str">
        <f ca="1">IFERROR(IF(InputsCS!$G$2="Pupil Numbers",INDEX(INDIRECT(InputsCS!$G$1),2,7),IF(InputsCS!$G$2="Pupil Percentages",INDEX(INDIRECT(InputsCS!$G$1),18,7),"")),"")</f>
        <v/>
      </c>
      <c r="L17" s="61" t="str">
        <f ca="1">IFERROR(IF(InputsCS!$G$2="Pupil Numbers",INDEX(INDIRECT(InputsCS!$G$1),2,8),IF(InputsCS!$G$2="Pupil Percentages",INDEX(INDIRECT(InputsCS!$G$1),18,8),"")),"")</f>
        <v/>
      </c>
      <c r="M17" s="61" t="str">
        <f ca="1">IFERROR(IF(InputsCS!$G$2="Pupil Numbers",INDEX(INDIRECT(InputsCS!$G$1),2,9),IF(InputsCS!$G$2="Pupil Percentages",INDEX(INDIRECT(InputsCS!$G$1),18,9),"")),"")</f>
        <v/>
      </c>
      <c r="N17" s="61" t="str">
        <f ca="1">IFERROR(IF(InputsCS!$G$2="Pupil Numbers",INDEX(INDIRECT(InputsCS!$G$1),2,10),IF(InputsCS!$G$2="Pupil Percentages",INDEX(INDIRECT(InputsCS!$G$1),18,10),"")),"")</f>
        <v/>
      </c>
      <c r="O17" s="61" t="str">
        <f ca="1">IFERROR(IF(InputsCS!$G$2="Pupil Numbers",INDEX(INDIRECT(InputsCS!$G$1),2,11),IF(InputsCS!$G$2="Pupil Percentages",INDEX(INDIRECT(InputsCS!$G$1),18,11),"")),"")</f>
        <v/>
      </c>
      <c r="P17" s="61" t="str">
        <f ca="1">IFERROR(IF(InputsCS!$G$2="Pupil Numbers",INDEX(INDIRECT(InputsCS!$G$1),2,12),IF(InputsCS!$G$2="Pupil Percentages",INDEX(INDIRECT(InputsCS!$G$1),18,12),"")),"")</f>
        <v/>
      </c>
      <c r="Q17" s="61" t="str">
        <f ca="1">IFERROR(IF(InputsCS!$G$2="Pupil Numbers",INDEX(INDIRECT(InputsCS!$G$1),2,13),IF(InputsCS!$G$2="Pupil Percentages",INDEX(INDIRECT(InputsCS!$G$1),18,13),"")),"")</f>
        <v/>
      </c>
      <c r="R17" s="61" t="str">
        <f ca="1">IFERROR(IF(InputsCS!$G$2="Pupil Numbers",INDEX(INDIRECT(InputsCS!$G$1),2,14),IF(InputsCS!$G$2="Pupil Percentages",INDEX(INDIRECT(InputsCS!$G$1),18,14),"")),"")</f>
        <v/>
      </c>
      <c r="S17" s="61" t="str">
        <f ca="1">IFERROR(IF(InputsCS!$G$2="Pupil Numbers",INDEX(INDIRECT(InputsCS!$G$1),2,15),IF(InputsCS!$G$2="Pupil Percentages",INDEX(INDIRECT(InputsCS!$G$1),18,15),"")),"")</f>
        <v/>
      </c>
      <c r="T17" s="61" t="str">
        <f ca="1">IFERROR(IF(InputsCS!$G$2="Pupil Numbers",INDEX(INDIRECT(InputsCS!$G$1),2,16),IF(InputsCS!$G$2="Pupil Percentages",INDEX(INDIRECT(InputsCS!$G$1),18,16),"")),"")</f>
        <v/>
      </c>
      <c r="U17" s="61" t="str">
        <f ca="1">IFERROR(IF(InputsCS!$G$2="Pupil Numbers",INDEX(INDIRECT(InputsCS!$G$1),2,17),IF(InputsCS!$G$2="Pupil Percentages",INDEX(INDIRECT(InputsCS!$G$1),18,17),"")),"")</f>
        <v/>
      </c>
      <c r="V17" s="61" t="str">
        <f ca="1">IFERROR(IF(InputsCS!$G$2="Pupil Numbers",INDEX(INDIRECT(InputsCS!$G$1),2,18),IF(InputsCS!$G$2="Pupil Percentages",INDEX(INDIRECT(InputsCS!$G$1),18,18),"")),"")</f>
        <v/>
      </c>
      <c r="AD17" s="12"/>
      <c r="AF17" s="13"/>
      <c r="AG17" s="13"/>
      <c r="AH17" s="13"/>
      <c r="AI17" s="13"/>
      <c r="AJ17" s="13"/>
      <c r="AK17" s="13"/>
      <c r="AL17" s="13"/>
      <c r="AM17" s="13"/>
      <c r="AN17" s="13"/>
      <c r="AO17" s="13"/>
      <c r="AP17" s="13"/>
      <c r="AQ17" s="13"/>
      <c r="AR17" s="13"/>
      <c r="AS17" s="13"/>
      <c r="AT17" s="13"/>
      <c r="AU17" s="13"/>
      <c r="AV17" s="13"/>
      <c r="AW17" s="13"/>
      <c r="AX17" s="13"/>
      <c r="BC17" s="13"/>
      <c r="BD17" s="13"/>
      <c r="BE17" s="13"/>
      <c r="BF17" s="13"/>
      <c r="BG17" s="21"/>
      <c r="BH17" s="13"/>
      <c r="BI17" s="13"/>
      <c r="BJ17" s="1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13"/>
      <c r="CL17" s="13"/>
      <c r="CM17" s="13"/>
      <c r="CN17" s="13"/>
      <c r="CO17" s="13"/>
      <c r="CP17" s="13"/>
      <c r="CQ17" s="13"/>
      <c r="CR17" s="13"/>
      <c r="CS17" s="13"/>
      <c r="CT17" s="13"/>
      <c r="CU17" s="13"/>
    </row>
    <row r="18" spans="3:99" ht="23.1" customHeight="1" x14ac:dyDescent="0.5">
      <c r="C18" s="120"/>
      <c r="D18" s="60" t="s">
        <v>2</v>
      </c>
      <c r="E18" s="61" t="str">
        <f ca="1">IFERROR(IF(InputsCS!$G$2="Pupil Numbers",INDEX(INDIRECT(InputsCS!$G$1),3,1),IF(InputsCS!$G$2="Pupil Percentages",INDEX(INDIRECT(InputsCS!$G$1),19,1),"")),"")</f>
        <v/>
      </c>
      <c r="F18" s="61" t="str">
        <f ca="1">IFERROR(IF(InputsCS!$G$2="Pupil Numbers",INDEX(INDIRECT(InputsCS!$G$1),3,2),IF(InputsCS!$G$2="Pupil Percentages",INDEX(INDIRECT(InputsCS!$G$1),19,2),"")),"")</f>
        <v/>
      </c>
      <c r="G18" s="61" t="str">
        <f ca="1">IFERROR(IF(InputsCS!$G$2="Pupil Numbers",INDEX(INDIRECT(InputsCS!$G$1),3,3),IF(InputsCS!$G$2="Pupil Percentages",INDEX(INDIRECT(InputsCS!$G$1),19,3),"")),"")</f>
        <v/>
      </c>
      <c r="H18" s="61" t="str">
        <f ca="1">IFERROR(IF(InputsCS!$G$2="Pupil Numbers",INDEX(INDIRECT(InputsCS!$G$1),3,4),IF(InputsCS!$G$2="Pupil Percentages",INDEX(INDIRECT(InputsCS!$G$1),19,4),"")),"")</f>
        <v/>
      </c>
      <c r="I18" s="61" t="str">
        <f ca="1">IFERROR(IF(InputsCS!$G$2="Pupil Numbers",INDEX(INDIRECT(InputsCS!$G$1),3,5),IF(InputsCS!$G$2="Pupil Percentages",INDEX(INDIRECT(InputsCS!$G$1),19,5),"")),"")</f>
        <v/>
      </c>
      <c r="J18" s="61" t="str">
        <f ca="1">IFERROR(IF(InputsCS!$G$2="Pupil Numbers",INDEX(INDIRECT(InputsCS!$G$1),3,6),IF(InputsCS!$G$2="Pupil Percentages",INDEX(INDIRECT(InputsCS!$G$1),19,6),"")),"")</f>
        <v/>
      </c>
      <c r="K18" s="61" t="str">
        <f ca="1">IFERROR(IF(InputsCS!$G$2="Pupil Numbers",INDEX(INDIRECT(InputsCS!$G$1),3,7),IF(InputsCS!$G$2="Pupil Percentages",INDEX(INDIRECT(InputsCS!$G$1),19,7),"")),"")</f>
        <v/>
      </c>
      <c r="L18" s="61" t="str">
        <f ca="1">IFERROR(IF(InputsCS!$G$2="Pupil Numbers",INDEX(INDIRECT(InputsCS!$G$1),3,8),IF(InputsCS!$G$2="Pupil Percentages",INDEX(INDIRECT(InputsCS!$G$1),19,8),"")),"")</f>
        <v/>
      </c>
      <c r="M18" s="61" t="str">
        <f ca="1">IFERROR(IF(InputsCS!$G$2="Pupil Numbers",INDEX(INDIRECT(InputsCS!$G$1),3,9),IF(InputsCS!$G$2="Pupil Percentages",INDEX(INDIRECT(InputsCS!$G$1),19,9),"")),"")</f>
        <v/>
      </c>
      <c r="N18" s="61" t="str">
        <f ca="1">IFERROR(IF(InputsCS!$G$2="Pupil Numbers",INDEX(INDIRECT(InputsCS!$G$1),3,10),IF(InputsCS!$G$2="Pupil Percentages",INDEX(INDIRECT(InputsCS!$G$1),19,10),"")),"")</f>
        <v/>
      </c>
      <c r="O18" s="61" t="str">
        <f ca="1">IFERROR(IF(InputsCS!$G$2="Pupil Numbers",INDEX(INDIRECT(InputsCS!$G$1),3,11),IF(InputsCS!$G$2="Pupil Percentages",INDEX(INDIRECT(InputsCS!$G$1),19,11),"")),"")</f>
        <v/>
      </c>
      <c r="P18" s="61" t="str">
        <f ca="1">IFERROR(IF(InputsCS!$G$2="Pupil Numbers",INDEX(INDIRECT(InputsCS!$G$1),3,12),IF(InputsCS!$G$2="Pupil Percentages",INDEX(INDIRECT(InputsCS!$G$1),19,12),"")),"")</f>
        <v/>
      </c>
      <c r="Q18" s="61" t="str">
        <f ca="1">IFERROR(IF(InputsCS!$G$2="Pupil Numbers",INDEX(INDIRECT(InputsCS!$G$1),3,13),IF(InputsCS!$G$2="Pupil Percentages",INDEX(INDIRECT(InputsCS!$G$1),19,13),"")),"")</f>
        <v/>
      </c>
      <c r="R18" s="61" t="str">
        <f ca="1">IFERROR(IF(InputsCS!$G$2="Pupil Numbers",INDEX(INDIRECT(InputsCS!$G$1),3,14),IF(InputsCS!$G$2="Pupil Percentages",INDEX(INDIRECT(InputsCS!$G$1),19,14),"")),"")</f>
        <v/>
      </c>
      <c r="S18" s="61" t="str">
        <f ca="1">IFERROR(IF(InputsCS!$G$2="Pupil Numbers",INDEX(INDIRECT(InputsCS!$G$1),3,15),IF(InputsCS!$G$2="Pupil Percentages",INDEX(INDIRECT(InputsCS!$G$1),19,15),"")),"")</f>
        <v/>
      </c>
      <c r="T18" s="61" t="str">
        <f ca="1">IFERROR(IF(InputsCS!$G$2="Pupil Numbers",INDEX(INDIRECT(InputsCS!$G$1),3,16),IF(InputsCS!$G$2="Pupil Percentages",INDEX(INDIRECT(InputsCS!$G$1),19,16),"")),"")</f>
        <v/>
      </c>
      <c r="U18" s="61" t="str">
        <f ca="1">IFERROR(IF(InputsCS!$G$2="Pupil Numbers",INDEX(INDIRECT(InputsCS!$G$1),3,17),IF(InputsCS!$G$2="Pupil Percentages",INDEX(INDIRECT(InputsCS!$G$1),19,17),"")),"")</f>
        <v/>
      </c>
      <c r="V18" s="61" t="str">
        <f ca="1">IFERROR(IF(InputsCS!$G$2="Pupil Numbers",INDEX(INDIRECT(InputsCS!$G$1),3,18),IF(InputsCS!$G$2="Pupil Percentages",INDEX(INDIRECT(InputsCS!$G$1),19,18),"")),"")</f>
        <v/>
      </c>
      <c r="AD18" s="12"/>
      <c r="AF18" s="13"/>
      <c r="AG18" s="13"/>
      <c r="AH18" s="13"/>
      <c r="AI18" s="13"/>
      <c r="AJ18" s="13"/>
      <c r="AK18" s="13"/>
      <c r="AL18" s="13"/>
      <c r="AM18" s="13"/>
      <c r="AN18" s="13"/>
      <c r="AO18" s="13"/>
      <c r="AP18" s="13"/>
      <c r="AQ18" s="13"/>
      <c r="AR18" s="13"/>
      <c r="AS18" s="13"/>
      <c r="AT18" s="13"/>
      <c r="AU18" s="13"/>
      <c r="AV18" s="13"/>
      <c r="AW18" s="13"/>
      <c r="AX18" s="13"/>
      <c r="BC18" s="13"/>
      <c r="BD18" s="13"/>
      <c r="BE18" s="13"/>
      <c r="BF18" s="13"/>
      <c r="BG18" s="21"/>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c r="CL18" s="13"/>
      <c r="CM18" s="13"/>
      <c r="CN18" s="13"/>
      <c r="CO18" s="13"/>
      <c r="CP18" s="13"/>
      <c r="CQ18" s="13"/>
      <c r="CR18" s="13"/>
      <c r="CS18" s="13"/>
      <c r="CT18" s="13"/>
      <c r="CU18" s="13"/>
    </row>
    <row r="19" spans="3:99" ht="23.1" customHeight="1" x14ac:dyDescent="0.5">
      <c r="C19" s="120"/>
      <c r="D19" s="60" t="s">
        <v>3</v>
      </c>
      <c r="E19" s="61" t="str">
        <f ca="1">IFERROR(IF(InputsCS!$G$2="Pupil Numbers",INDEX(INDIRECT(InputsCS!$G$1),4,1),IF(InputsCS!$G$2="Pupil Percentages",INDEX(INDIRECT(InputsCS!$G$1),20,1),"")),"")</f>
        <v/>
      </c>
      <c r="F19" s="61" t="str">
        <f ca="1">IFERROR(IF(InputsCS!$G$2="Pupil Numbers",INDEX(INDIRECT(InputsCS!$G$1),4,2),IF(InputsCS!$G$2="Pupil Percentages",INDEX(INDIRECT(InputsCS!$G$1),20,2),"")),"")</f>
        <v/>
      </c>
      <c r="G19" s="61" t="str">
        <f ca="1">IFERROR(IF(InputsCS!$G$2="Pupil Numbers",INDEX(INDIRECT(InputsCS!$G$1),4,3),IF(InputsCS!$G$2="Pupil Percentages",INDEX(INDIRECT(InputsCS!$G$1),20,3),"")),"")</f>
        <v/>
      </c>
      <c r="H19" s="61" t="str">
        <f ca="1">IFERROR(IF(InputsCS!$G$2="Pupil Numbers",INDEX(INDIRECT(InputsCS!$G$1),4,4),IF(InputsCS!$G$2="Pupil Percentages",INDEX(INDIRECT(InputsCS!$G$1),20,4),"")),"")</f>
        <v/>
      </c>
      <c r="I19" s="61" t="str">
        <f ca="1">IFERROR(IF(InputsCS!$G$2="Pupil Numbers",INDEX(INDIRECT(InputsCS!$G$1),4,5),IF(InputsCS!$G$2="Pupil Percentages",INDEX(INDIRECT(InputsCS!$G$1),20,5),"")),"")</f>
        <v/>
      </c>
      <c r="J19" s="61" t="str">
        <f ca="1">IFERROR(IF(InputsCS!$G$2="Pupil Numbers",INDEX(INDIRECT(InputsCS!$G$1),4,6),IF(InputsCS!$G$2="Pupil Percentages",INDEX(INDIRECT(InputsCS!$G$1),20,6),"")),"")</f>
        <v/>
      </c>
      <c r="K19" s="61" t="str">
        <f ca="1">IFERROR(IF(InputsCS!$G$2="Pupil Numbers",INDEX(INDIRECT(InputsCS!$G$1),4,7),IF(InputsCS!$G$2="Pupil Percentages",INDEX(INDIRECT(InputsCS!$G$1),20,7),"")),"")</f>
        <v/>
      </c>
      <c r="L19" s="61" t="str">
        <f ca="1">IFERROR(IF(InputsCS!$G$2="Pupil Numbers",INDEX(INDIRECT(InputsCS!$G$1),4,8),IF(InputsCS!$G$2="Pupil Percentages",INDEX(INDIRECT(InputsCS!$G$1),20,8),"")),"")</f>
        <v/>
      </c>
      <c r="M19" s="61" t="str">
        <f ca="1">IFERROR(IF(InputsCS!$G$2="Pupil Numbers",INDEX(INDIRECT(InputsCS!$G$1),4,9),IF(InputsCS!$G$2="Pupil Percentages",INDEX(INDIRECT(InputsCS!$G$1),20,9),"")),"")</f>
        <v/>
      </c>
      <c r="N19" s="61" t="str">
        <f ca="1">IFERROR(IF(InputsCS!$G$2="Pupil Numbers",INDEX(INDIRECT(InputsCS!$G$1),4,10),IF(InputsCS!$G$2="Pupil Percentages",INDEX(INDIRECT(InputsCS!$G$1),20,10),"")),"")</f>
        <v/>
      </c>
      <c r="O19" s="61" t="str">
        <f ca="1">IFERROR(IF(InputsCS!$G$2="Pupil Numbers",INDEX(INDIRECT(InputsCS!$G$1),4,11),IF(InputsCS!$G$2="Pupil Percentages",INDEX(INDIRECT(InputsCS!$G$1),20,11),"")),"")</f>
        <v/>
      </c>
      <c r="P19" s="61" t="str">
        <f ca="1">IFERROR(IF(InputsCS!$G$2="Pupil Numbers",INDEX(INDIRECT(InputsCS!$G$1),4,12),IF(InputsCS!$G$2="Pupil Percentages",INDEX(INDIRECT(InputsCS!$G$1),20,12),"")),"")</f>
        <v/>
      </c>
      <c r="Q19" s="61" t="str">
        <f ca="1">IFERROR(IF(InputsCS!$G$2="Pupil Numbers",INDEX(INDIRECT(InputsCS!$G$1),4,13),IF(InputsCS!$G$2="Pupil Percentages",INDEX(INDIRECT(InputsCS!$G$1),20,13),"")),"")</f>
        <v/>
      </c>
      <c r="R19" s="61" t="str">
        <f ca="1">IFERROR(IF(InputsCS!$G$2="Pupil Numbers",INDEX(INDIRECT(InputsCS!$G$1),4,14),IF(InputsCS!$G$2="Pupil Percentages",INDEX(INDIRECT(InputsCS!$G$1),20,14),"")),"")</f>
        <v/>
      </c>
      <c r="S19" s="61" t="str">
        <f ca="1">IFERROR(IF(InputsCS!$G$2="Pupil Numbers",INDEX(INDIRECT(InputsCS!$G$1),4,15),IF(InputsCS!$G$2="Pupil Percentages",INDEX(INDIRECT(InputsCS!$G$1),20,15),"")),"")</f>
        <v/>
      </c>
      <c r="T19" s="61" t="str">
        <f ca="1">IFERROR(IF(InputsCS!$G$2="Pupil Numbers",INDEX(INDIRECT(InputsCS!$G$1),4,16),IF(InputsCS!$G$2="Pupil Percentages",INDEX(INDIRECT(InputsCS!$G$1),20,16),"")),"")</f>
        <v/>
      </c>
      <c r="U19" s="61" t="str">
        <f ca="1">IFERROR(IF(InputsCS!$G$2="Pupil Numbers",INDEX(INDIRECT(InputsCS!$G$1),4,17),IF(InputsCS!$G$2="Pupil Percentages",INDEX(INDIRECT(InputsCS!$G$1),20,17),"")),"")</f>
        <v/>
      </c>
      <c r="V19" s="61" t="str">
        <f ca="1">IFERROR(IF(InputsCS!$G$2="Pupil Numbers",INDEX(INDIRECT(InputsCS!$G$1),4,18),IF(InputsCS!$G$2="Pupil Percentages",INDEX(INDIRECT(InputsCS!$G$1),20,18),"")),"")</f>
        <v/>
      </c>
      <c r="AD19" s="12"/>
      <c r="AF19" s="13"/>
      <c r="AG19" s="13"/>
      <c r="AH19" s="13"/>
      <c r="AI19" s="13"/>
      <c r="AJ19" s="13"/>
      <c r="AK19" s="13"/>
      <c r="AL19" s="13"/>
      <c r="AM19" s="13"/>
      <c r="AN19" s="13"/>
      <c r="AO19" s="13"/>
      <c r="AP19" s="13"/>
      <c r="AQ19" s="13"/>
      <c r="AR19" s="13"/>
      <c r="AS19" s="13"/>
      <c r="AT19" s="13"/>
      <c r="AU19" s="13"/>
      <c r="AV19" s="13"/>
      <c r="AW19" s="13"/>
      <c r="AX19" s="13"/>
      <c r="BC19" s="13"/>
      <c r="BD19" s="13"/>
      <c r="BE19" s="13"/>
      <c r="BF19" s="13"/>
      <c r="BG19" s="21"/>
      <c r="BH19" s="13"/>
      <c r="BI19" s="13"/>
      <c r="BJ19" s="1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c r="CL19" s="13"/>
      <c r="CM19" s="13"/>
      <c r="CN19" s="13"/>
      <c r="CO19" s="13"/>
      <c r="CP19" s="13"/>
      <c r="CQ19" s="13"/>
      <c r="CR19" s="13"/>
      <c r="CS19" s="13"/>
      <c r="CT19" s="13"/>
      <c r="CU19" s="13"/>
    </row>
    <row r="20" spans="3:99" ht="23.1" customHeight="1" x14ac:dyDescent="0.5">
      <c r="C20" s="120"/>
      <c r="D20" s="60" t="s">
        <v>4</v>
      </c>
      <c r="E20" s="61" t="str">
        <f ca="1">IFERROR(IF(InputsCS!$G$2="Pupil Numbers",INDEX(INDIRECT(InputsCS!$G$1),5,1),IF(InputsCS!$G$2="Pupil Percentages",INDEX(INDIRECT(InputsCS!$G$1),21,1),"")),"")</f>
        <v/>
      </c>
      <c r="F20" s="61" t="str">
        <f ca="1">IFERROR(IF(InputsCS!$G$2="Pupil Numbers",INDEX(INDIRECT(InputsCS!$G$1),5,2),IF(InputsCS!$G$2="Pupil Percentages",INDEX(INDIRECT(InputsCS!$G$1),21,2),"")),"")</f>
        <v/>
      </c>
      <c r="G20" s="61" t="str">
        <f ca="1">IFERROR(IF(InputsCS!$G$2="Pupil Numbers",INDEX(INDIRECT(InputsCS!$G$1),5,3),IF(InputsCS!$G$2="Pupil Percentages",INDEX(INDIRECT(InputsCS!$G$1),21,3),"")),"")</f>
        <v/>
      </c>
      <c r="H20" s="61" t="str">
        <f ca="1">IFERROR(IF(InputsCS!$G$2="Pupil Numbers",INDEX(INDIRECT(InputsCS!$G$1),5,4),IF(InputsCS!$G$2="Pupil Percentages",INDEX(INDIRECT(InputsCS!$G$1),21,4),"")),"")</f>
        <v/>
      </c>
      <c r="I20" s="61" t="str">
        <f ca="1">IFERROR(IF(InputsCS!$G$2="Pupil Numbers",INDEX(INDIRECT(InputsCS!$G$1),5,5),IF(InputsCS!$G$2="Pupil Percentages",INDEX(INDIRECT(InputsCS!$G$1),21,5),"")),"")</f>
        <v/>
      </c>
      <c r="J20" s="61" t="str">
        <f ca="1">IFERROR(IF(InputsCS!$G$2="Pupil Numbers",INDEX(INDIRECT(InputsCS!$G$1),5,6),IF(InputsCS!$G$2="Pupil Percentages",INDEX(INDIRECT(InputsCS!$G$1),21,6),"")),"")</f>
        <v/>
      </c>
      <c r="K20" s="61" t="str">
        <f ca="1">IFERROR(IF(InputsCS!$G$2="Pupil Numbers",INDEX(INDIRECT(InputsCS!$G$1),5,7),IF(InputsCS!$G$2="Pupil Percentages",INDEX(INDIRECT(InputsCS!$G$1),21,7),"")),"")</f>
        <v/>
      </c>
      <c r="L20" s="61" t="str">
        <f ca="1">IFERROR(IF(InputsCS!$G$2="Pupil Numbers",INDEX(INDIRECT(InputsCS!$G$1),5,8),IF(InputsCS!$G$2="Pupil Percentages",INDEX(INDIRECT(InputsCS!$G$1),21,8),"")),"")</f>
        <v/>
      </c>
      <c r="M20" s="61" t="str">
        <f ca="1">IFERROR(IF(InputsCS!$G$2="Pupil Numbers",INDEX(INDIRECT(InputsCS!$G$1),5,9),IF(InputsCS!$G$2="Pupil Percentages",INDEX(INDIRECT(InputsCS!$G$1),21,9),"")),"")</f>
        <v/>
      </c>
      <c r="N20" s="61" t="str">
        <f ca="1">IFERROR(IF(InputsCS!$G$2="Pupil Numbers",INDEX(INDIRECT(InputsCS!$G$1),5,10),IF(InputsCS!$G$2="Pupil Percentages",INDEX(INDIRECT(InputsCS!$G$1),21,10),"")),"")</f>
        <v/>
      </c>
      <c r="O20" s="61" t="str">
        <f ca="1">IFERROR(IF(InputsCS!$G$2="Pupil Numbers",INDEX(INDIRECT(InputsCS!$G$1),5,11),IF(InputsCS!$G$2="Pupil Percentages",INDEX(INDIRECT(InputsCS!$G$1),21,11),"")),"")</f>
        <v/>
      </c>
      <c r="P20" s="61" t="str">
        <f ca="1">IFERROR(IF(InputsCS!$G$2="Pupil Numbers",INDEX(INDIRECT(InputsCS!$G$1),5,12),IF(InputsCS!$G$2="Pupil Percentages",INDEX(INDIRECT(InputsCS!$G$1),21,12),"")),"")</f>
        <v/>
      </c>
      <c r="Q20" s="61" t="str">
        <f ca="1">IFERROR(IF(InputsCS!$G$2="Pupil Numbers",INDEX(INDIRECT(InputsCS!$G$1),5,13),IF(InputsCS!$G$2="Pupil Percentages",INDEX(INDIRECT(InputsCS!$G$1),21,13),"")),"")</f>
        <v/>
      </c>
      <c r="R20" s="61" t="str">
        <f ca="1">IFERROR(IF(InputsCS!$G$2="Pupil Numbers",INDEX(INDIRECT(InputsCS!$G$1),5,14),IF(InputsCS!$G$2="Pupil Percentages",INDEX(INDIRECT(InputsCS!$G$1),21,14),"")),"")</f>
        <v/>
      </c>
      <c r="S20" s="61" t="str">
        <f ca="1">IFERROR(IF(InputsCS!$G$2="Pupil Numbers",INDEX(INDIRECT(InputsCS!$G$1),5,15),IF(InputsCS!$G$2="Pupil Percentages",INDEX(INDIRECT(InputsCS!$G$1),21,15),"")),"")</f>
        <v/>
      </c>
      <c r="T20" s="61" t="str">
        <f ca="1">IFERROR(IF(InputsCS!$G$2="Pupil Numbers",INDEX(INDIRECT(InputsCS!$G$1),5,16),IF(InputsCS!$G$2="Pupil Percentages",INDEX(INDIRECT(InputsCS!$G$1),21,16),"")),"")</f>
        <v/>
      </c>
      <c r="U20" s="61" t="str">
        <f ca="1">IFERROR(IF(InputsCS!$G$2="Pupil Numbers",INDEX(INDIRECT(InputsCS!$G$1),5,17),IF(InputsCS!$G$2="Pupil Percentages",INDEX(INDIRECT(InputsCS!$G$1),21,17),"")),"")</f>
        <v/>
      </c>
      <c r="V20" s="61" t="str">
        <f ca="1">IFERROR(IF(InputsCS!$G$2="Pupil Numbers",INDEX(INDIRECT(InputsCS!$G$1),5,18),IF(InputsCS!$G$2="Pupil Percentages",INDEX(INDIRECT(InputsCS!$G$1),21,18),"")),"")</f>
        <v/>
      </c>
      <c r="AD20" s="12"/>
      <c r="AF20" s="13"/>
      <c r="AG20" s="13"/>
      <c r="AH20" s="13"/>
      <c r="AI20" s="13"/>
      <c r="AJ20" s="13"/>
      <c r="AK20" s="13"/>
      <c r="AL20" s="13"/>
      <c r="AM20" s="13"/>
      <c r="AN20" s="13"/>
      <c r="AO20" s="13"/>
      <c r="AP20" s="13"/>
      <c r="AQ20" s="13"/>
      <c r="AR20" s="13"/>
      <c r="AS20" s="13"/>
      <c r="AT20" s="13"/>
      <c r="AU20" s="13"/>
      <c r="AV20" s="13"/>
      <c r="AW20" s="13"/>
      <c r="AX20" s="13"/>
      <c r="BC20" s="13"/>
      <c r="BD20" s="13"/>
      <c r="BE20" s="13"/>
      <c r="BF20" s="13"/>
      <c r="BG20" s="21"/>
      <c r="BH20" s="13"/>
      <c r="BI20" s="13"/>
      <c r="BJ20" s="13"/>
      <c r="BK20" s="13"/>
      <c r="BL20" s="13"/>
      <c r="BM20" s="13"/>
      <c r="BN20" s="13"/>
      <c r="BO20" s="13"/>
      <c r="BP20" s="13"/>
      <c r="BQ20" s="13"/>
      <c r="BR20" s="13"/>
      <c r="BS20" s="13"/>
      <c r="BT20" s="13"/>
      <c r="BU20" s="13"/>
      <c r="BV20" s="13"/>
      <c r="BW20" s="13"/>
      <c r="BX20" s="13"/>
      <c r="BY20" s="13"/>
      <c r="BZ20" s="13"/>
      <c r="CA20" s="13"/>
      <c r="CB20" s="13"/>
      <c r="CC20" s="13"/>
      <c r="CD20" s="13"/>
      <c r="CE20" s="13"/>
      <c r="CF20" s="13"/>
      <c r="CG20" s="13"/>
      <c r="CH20" s="13"/>
      <c r="CI20" s="13"/>
      <c r="CJ20" s="13"/>
      <c r="CK20" s="13"/>
      <c r="CL20" s="13"/>
      <c r="CM20" s="13"/>
      <c r="CN20" s="13"/>
      <c r="CO20" s="13"/>
      <c r="CP20" s="13"/>
      <c r="CQ20" s="13"/>
      <c r="CR20" s="13"/>
      <c r="CS20" s="13"/>
      <c r="CT20" s="13"/>
      <c r="CU20" s="13"/>
    </row>
    <row r="21" spans="3:99" ht="23.1" customHeight="1" x14ac:dyDescent="0.5">
      <c r="C21" s="120"/>
      <c r="D21" s="60" t="s">
        <v>5</v>
      </c>
      <c r="E21" s="61" t="str">
        <f ca="1">IFERROR(IF(InputsCS!$G$2="Pupil Numbers",INDEX(INDIRECT(InputsCS!$G$1),6,1),IF(InputsCS!$G$2="Pupil Percentages",INDEX(INDIRECT(InputsCS!$G$1),22,1),"")),"")</f>
        <v/>
      </c>
      <c r="F21" s="61" t="str">
        <f ca="1">IFERROR(IF(InputsCS!$G$2="Pupil Numbers",INDEX(INDIRECT(InputsCS!$G$1),6,2),IF(InputsCS!$G$2="Pupil Percentages",INDEX(INDIRECT(InputsCS!$G$1),22,2),"")),"")</f>
        <v/>
      </c>
      <c r="G21" s="61" t="str">
        <f ca="1">IFERROR(IF(InputsCS!$G$2="Pupil Numbers",INDEX(INDIRECT(InputsCS!$G$1),6,3),IF(InputsCS!$G$2="Pupil Percentages",INDEX(INDIRECT(InputsCS!$G$1),22,3),"")),"")</f>
        <v/>
      </c>
      <c r="H21" s="61" t="str">
        <f ca="1">IFERROR(IF(InputsCS!$G$2="Pupil Numbers",INDEX(INDIRECT(InputsCS!$G$1),6,4),IF(InputsCS!$G$2="Pupil Percentages",INDEX(INDIRECT(InputsCS!$G$1),22,4),"")),"")</f>
        <v/>
      </c>
      <c r="I21" s="61" t="str">
        <f ca="1">IFERROR(IF(InputsCS!$G$2="Pupil Numbers",INDEX(INDIRECT(InputsCS!$G$1),6,5),IF(InputsCS!$G$2="Pupil Percentages",INDEX(INDIRECT(InputsCS!$G$1),22,5),"")),"")</f>
        <v/>
      </c>
      <c r="J21" s="61" t="str">
        <f ca="1">IFERROR(IF(InputsCS!$G$2="Pupil Numbers",INDEX(INDIRECT(InputsCS!$G$1),6,6),IF(InputsCS!$G$2="Pupil Percentages",INDEX(INDIRECT(InputsCS!$G$1),22,6),"")),"")</f>
        <v/>
      </c>
      <c r="K21" s="61" t="str">
        <f ca="1">IFERROR(IF(InputsCS!$G$2="Pupil Numbers",INDEX(INDIRECT(InputsCS!$G$1),6,7),IF(InputsCS!$G$2="Pupil Percentages",INDEX(INDIRECT(InputsCS!$G$1),22,7),"")),"")</f>
        <v/>
      </c>
      <c r="L21" s="61" t="str">
        <f ca="1">IFERROR(IF(InputsCS!$G$2="Pupil Numbers",INDEX(INDIRECT(InputsCS!$G$1),6,8),IF(InputsCS!$G$2="Pupil Percentages",INDEX(INDIRECT(InputsCS!$G$1),22,8),"")),"")</f>
        <v/>
      </c>
      <c r="M21" s="61" t="str">
        <f ca="1">IFERROR(IF(InputsCS!$G$2="Pupil Numbers",INDEX(INDIRECT(InputsCS!$G$1),6,9),IF(InputsCS!$G$2="Pupil Percentages",INDEX(INDIRECT(InputsCS!$G$1),22,9),"")),"")</f>
        <v/>
      </c>
      <c r="N21" s="61" t="str">
        <f ca="1">IFERROR(IF(InputsCS!$G$2="Pupil Numbers",INDEX(INDIRECT(InputsCS!$G$1),6,10),IF(InputsCS!$G$2="Pupil Percentages",INDEX(INDIRECT(InputsCS!$G$1),22,10),"")),"")</f>
        <v/>
      </c>
      <c r="O21" s="61" t="str">
        <f ca="1">IFERROR(IF(InputsCS!$G$2="Pupil Numbers",INDEX(INDIRECT(InputsCS!$G$1),6,11),IF(InputsCS!$G$2="Pupil Percentages",INDEX(INDIRECT(InputsCS!$G$1),22,11),"")),"")</f>
        <v/>
      </c>
      <c r="P21" s="61" t="str">
        <f ca="1">IFERROR(IF(InputsCS!$G$2="Pupil Numbers",INDEX(INDIRECT(InputsCS!$G$1),6,12),IF(InputsCS!$G$2="Pupil Percentages",INDEX(INDIRECT(InputsCS!$G$1),22,12),"")),"")</f>
        <v/>
      </c>
      <c r="Q21" s="61" t="str">
        <f ca="1">IFERROR(IF(InputsCS!$G$2="Pupil Numbers",INDEX(INDIRECT(InputsCS!$G$1),6,13),IF(InputsCS!$G$2="Pupil Percentages",INDEX(INDIRECT(InputsCS!$G$1),22,13),"")),"")</f>
        <v/>
      </c>
      <c r="R21" s="61" t="str">
        <f ca="1">IFERROR(IF(InputsCS!$G$2="Pupil Numbers",INDEX(INDIRECT(InputsCS!$G$1),6,14),IF(InputsCS!$G$2="Pupil Percentages",INDEX(INDIRECT(InputsCS!$G$1),22,14),"")),"")</f>
        <v/>
      </c>
      <c r="S21" s="61" t="str">
        <f ca="1">IFERROR(IF(InputsCS!$G$2="Pupil Numbers",INDEX(INDIRECT(InputsCS!$G$1),6,15),IF(InputsCS!$G$2="Pupil Percentages",INDEX(INDIRECT(InputsCS!$G$1),22,15),"")),"")</f>
        <v/>
      </c>
      <c r="T21" s="61" t="str">
        <f ca="1">IFERROR(IF(InputsCS!$G$2="Pupil Numbers",INDEX(INDIRECT(InputsCS!$G$1),6,16),IF(InputsCS!$G$2="Pupil Percentages",INDEX(INDIRECT(InputsCS!$G$1),22,16),"")),"")</f>
        <v/>
      </c>
      <c r="U21" s="61" t="str">
        <f ca="1">IFERROR(IF(InputsCS!$G$2="Pupil Numbers",INDEX(INDIRECT(InputsCS!$G$1),6,17),IF(InputsCS!$G$2="Pupil Percentages",INDEX(INDIRECT(InputsCS!$G$1),22,17),"")),"")</f>
        <v/>
      </c>
      <c r="V21" s="61" t="str">
        <f ca="1">IFERROR(IF(InputsCS!$G$2="Pupil Numbers",INDEX(INDIRECT(InputsCS!$G$1),6,18),IF(InputsCS!$G$2="Pupil Percentages",INDEX(INDIRECT(InputsCS!$G$1),22,18),"")),"")</f>
        <v/>
      </c>
      <c r="AD21" s="12"/>
      <c r="AF21" s="13"/>
      <c r="AG21" s="13"/>
      <c r="AH21" s="13"/>
      <c r="AI21" s="13"/>
      <c r="AJ21" s="13"/>
      <c r="AK21" s="13"/>
      <c r="AL21" s="13"/>
      <c r="AM21" s="13"/>
      <c r="AN21" s="13"/>
      <c r="AO21" s="13"/>
      <c r="AP21" s="13"/>
      <c r="AQ21" s="13"/>
      <c r="AR21" s="13"/>
      <c r="AS21" s="13"/>
      <c r="AT21" s="13"/>
      <c r="AU21" s="13"/>
      <c r="AV21" s="13"/>
      <c r="AW21" s="13"/>
      <c r="AX21" s="13"/>
      <c r="BC21" s="13"/>
      <c r="BD21" s="13"/>
      <c r="BE21" s="13"/>
      <c r="BF21" s="13"/>
      <c r="BG21" s="21"/>
      <c r="BH21" s="13"/>
      <c r="BI21" s="13"/>
      <c r="BJ21" s="13"/>
      <c r="BK21" s="13"/>
      <c r="BL21" s="13"/>
      <c r="BM21" s="13"/>
      <c r="BN21" s="13"/>
      <c r="BO21" s="13"/>
      <c r="BP21" s="13"/>
      <c r="BQ21" s="13"/>
      <c r="BR21" s="13"/>
      <c r="BS21" s="13"/>
      <c r="BT21" s="13"/>
      <c r="BU21" s="13"/>
      <c r="BV21" s="13"/>
      <c r="BW21" s="13"/>
      <c r="BX21" s="13"/>
      <c r="BY21" s="13"/>
      <c r="BZ21" s="13"/>
      <c r="CA21" s="13"/>
      <c r="CB21" s="13"/>
      <c r="CC21" s="13"/>
      <c r="CD21" s="13"/>
      <c r="CE21" s="13"/>
      <c r="CF21" s="13"/>
      <c r="CG21" s="13"/>
      <c r="CH21" s="13"/>
      <c r="CI21" s="13"/>
      <c r="CJ21" s="13"/>
      <c r="CK21" s="13"/>
      <c r="CL21" s="13"/>
      <c r="CM21" s="13"/>
      <c r="CN21" s="13"/>
      <c r="CO21" s="13"/>
      <c r="CP21" s="13"/>
      <c r="CQ21" s="13"/>
      <c r="CR21" s="13"/>
      <c r="CS21" s="13"/>
      <c r="CT21" s="13"/>
      <c r="CU21" s="13"/>
    </row>
    <row r="22" spans="3:99" ht="23.1" customHeight="1" x14ac:dyDescent="0.5">
      <c r="C22" s="120"/>
      <c r="D22" s="60" t="s">
        <v>6</v>
      </c>
      <c r="E22" s="61" t="str">
        <f ca="1">IFERROR(IF(InputsCS!$G$2="Pupil Numbers",INDEX(INDIRECT(InputsCS!$G$1),7,1),IF(InputsCS!$G$2="Pupil Percentages",INDEX(INDIRECT(InputsCS!$G$1),23,1),"")),"")</f>
        <v/>
      </c>
      <c r="F22" s="61" t="str">
        <f ca="1">IFERROR(IF(InputsCS!$G$2="Pupil Numbers",INDEX(INDIRECT(InputsCS!$G$1),7,2),IF(InputsCS!$G$2="Pupil Percentages",INDEX(INDIRECT(InputsCS!$G$1),23,2),"")),"")</f>
        <v/>
      </c>
      <c r="G22" s="61" t="str">
        <f ca="1">IFERROR(IF(InputsCS!$G$2="Pupil Numbers",INDEX(INDIRECT(InputsCS!$G$1),7,3),IF(InputsCS!$G$2="Pupil Percentages",INDEX(INDIRECT(InputsCS!$G$1),23,3),"")),"")</f>
        <v/>
      </c>
      <c r="H22" s="61" t="str">
        <f ca="1">IFERROR(IF(InputsCS!$G$2="Pupil Numbers",INDEX(INDIRECT(InputsCS!$G$1),7,4),IF(InputsCS!$G$2="Pupil Percentages",INDEX(INDIRECT(InputsCS!$G$1),23,4),"")),"")</f>
        <v/>
      </c>
      <c r="I22" s="61" t="str">
        <f ca="1">IFERROR(IF(InputsCS!$G$2="Pupil Numbers",INDEX(INDIRECT(InputsCS!$G$1),7,5),IF(InputsCS!$G$2="Pupil Percentages",INDEX(INDIRECT(InputsCS!$G$1),23,5),"")),"")</f>
        <v/>
      </c>
      <c r="J22" s="61" t="str">
        <f ca="1">IFERROR(IF(InputsCS!$G$2="Pupil Numbers",INDEX(INDIRECT(InputsCS!$G$1),7,6),IF(InputsCS!$G$2="Pupil Percentages",INDEX(INDIRECT(InputsCS!$G$1),23,6),"")),"")</f>
        <v/>
      </c>
      <c r="K22" s="61" t="str">
        <f ca="1">IFERROR(IF(InputsCS!$G$2="Pupil Numbers",INDEX(INDIRECT(InputsCS!$G$1),7,7),IF(InputsCS!$G$2="Pupil Percentages",INDEX(INDIRECT(InputsCS!$G$1),23,7),"")),"")</f>
        <v/>
      </c>
      <c r="L22" s="61" t="str">
        <f ca="1">IFERROR(IF(InputsCS!$G$2="Pupil Numbers",INDEX(INDIRECT(InputsCS!$G$1),7,8),IF(InputsCS!$G$2="Pupil Percentages",INDEX(INDIRECT(InputsCS!$G$1),23,8),"")),"")</f>
        <v/>
      </c>
      <c r="M22" s="61" t="str">
        <f ca="1">IFERROR(IF(InputsCS!$G$2="Pupil Numbers",INDEX(INDIRECT(InputsCS!$G$1),7,9),IF(InputsCS!$G$2="Pupil Percentages",INDEX(INDIRECT(InputsCS!$G$1),23,9),"")),"")</f>
        <v/>
      </c>
      <c r="N22" s="61" t="str">
        <f ca="1">IFERROR(IF(InputsCS!$G$2="Pupil Numbers",INDEX(INDIRECT(InputsCS!$G$1),7,10),IF(InputsCS!$G$2="Pupil Percentages",INDEX(INDIRECT(InputsCS!$G$1),23,10),"")),"")</f>
        <v/>
      </c>
      <c r="O22" s="61" t="str">
        <f ca="1">IFERROR(IF(InputsCS!$G$2="Pupil Numbers",INDEX(INDIRECT(InputsCS!$G$1),7,11),IF(InputsCS!$G$2="Pupil Percentages",INDEX(INDIRECT(InputsCS!$G$1),23,11),"")),"")</f>
        <v/>
      </c>
      <c r="P22" s="61" t="str">
        <f ca="1">IFERROR(IF(InputsCS!$G$2="Pupil Numbers",INDEX(INDIRECT(InputsCS!$G$1),7,12),IF(InputsCS!$G$2="Pupil Percentages",INDEX(INDIRECT(InputsCS!$G$1),23,12),"")),"")</f>
        <v/>
      </c>
      <c r="Q22" s="61" t="str">
        <f ca="1">IFERROR(IF(InputsCS!$G$2="Pupil Numbers",INDEX(INDIRECT(InputsCS!$G$1),7,13),IF(InputsCS!$G$2="Pupil Percentages",INDEX(INDIRECT(InputsCS!$G$1),23,13),"")),"")</f>
        <v/>
      </c>
      <c r="R22" s="61" t="str">
        <f ca="1">IFERROR(IF(InputsCS!$G$2="Pupil Numbers",INDEX(INDIRECT(InputsCS!$G$1),7,14),IF(InputsCS!$G$2="Pupil Percentages",INDEX(INDIRECT(InputsCS!$G$1),23,14),"")),"")</f>
        <v/>
      </c>
      <c r="S22" s="61" t="str">
        <f ca="1">IFERROR(IF(InputsCS!$G$2="Pupil Numbers",INDEX(INDIRECT(InputsCS!$G$1),7,15),IF(InputsCS!$G$2="Pupil Percentages",INDEX(INDIRECT(InputsCS!$G$1),23,15),"")),"")</f>
        <v/>
      </c>
      <c r="T22" s="61" t="str">
        <f ca="1">IFERROR(IF(InputsCS!$G$2="Pupil Numbers",INDEX(INDIRECT(InputsCS!$G$1),7,16),IF(InputsCS!$G$2="Pupil Percentages",INDEX(INDIRECT(InputsCS!$G$1),23,16),"")),"")</f>
        <v/>
      </c>
      <c r="U22" s="61" t="str">
        <f ca="1">IFERROR(IF(InputsCS!$G$2="Pupil Numbers",INDEX(INDIRECT(InputsCS!$G$1),7,17),IF(InputsCS!$G$2="Pupil Percentages",INDEX(INDIRECT(InputsCS!$G$1),23,17),"")),"")</f>
        <v/>
      </c>
      <c r="V22" s="61" t="str">
        <f ca="1">IFERROR(IF(InputsCS!$G$2="Pupil Numbers",INDEX(INDIRECT(InputsCS!$G$1),7,18),IF(InputsCS!$G$2="Pupil Percentages",INDEX(INDIRECT(InputsCS!$G$1),23,18),"")),"")</f>
        <v/>
      </c>
      <c r="AD22" s="12"/>
      <c r="AF22" s="13"/>
      <c r="AG22" s="13"/>
      <c r="AH22" s="13"/>
      <c r="AI22" s="13"/>
      <c r="AJ22" s="13"/>
      <c r="AK22" s="13"/>
      <c r="AL22" s="13"/>
      <c r="AM22" s="13"/>
      <c r="AN22" s="13"/>
      <c r="AO22" s="13"/>
      <c r="AP22" s="13"/>
      <c r="AQ22" s="13"/>
      <c r="AR22" s="13"/>
      <c r="AS22" s="13"/>
      <c r="AT22" s="13"/>
      <c r="AU22" s="13"/>
      <c r="AV22" s="13"/>
      <c r="AW22" s="13"/>
      <c r="AX22" s="13"/>
      <c r="BC22" s="13"/>
      <c r="BD22" s="13"/>
      <c r="BE22" s="13"/>
      <c r="BF22" s="13"/>
      <c r="BG22" s="21"/>
      <c r="BH22" s="13"/>
      <c r="BI22" s="13"/>
      <c r="BJ22" s="13"/>
      <c r="BK22" s="13"/>
      <c r="BL22" s="13"/>
      <c r="BM22" s="13"/>
      <c r="BN22" s="13"/>
      <c r="BO22" s="13"/>
      <c r="BP22" s="13"/>
      <c r="BQ22" s="13"/>
      <c r="BR22" s="13"/>
      <c r="BS22" s="13"/>
      <c r="BT22" s="13"/>
      <c r="BU22" s="13"/>
      <c r="BV22" s="13"/>
      <c r="BW22" s="13"/>
      <c r="BX22" s="13"/>
      <c r="BY22" s="13"/>
      <c r="BZ22" s="13"/>
      <c r="CA22" s="13"/>
      <c r="CB22" s="13"/>
      <c r="CC22" s="13"/>
      <c r="CD22" s="13"/>
      <c r="CE22" s="13"/>
      <c r="CF22" s="13"/>
      <c r="CG22" s="13"/>
      <c r="CH22" s="13"/>
      <c r="CI22" s="13"/>
      <c r="CJ22" s="13"/>
      <c r="CK22" s="13"/>
      <c r="CL22" s="13"/>
      <c r="CM22" s="13"/>
      <c r="CN22" s="13"/>
      <c r="CO22" s="13"/>
      <c r="CP22" s="13"/>
      <c r="CQ22" s="13"/>
      <c r="CR22" s="13"/>
      <c r="CS22" s="13"/>
      <c r="CT22" s="13"/>
      <c r="CU22" s="13"/>
    </row>
    <row r="23" spans="3:99" ht="23.1" customHeight="1" x14ac:dyDescent="0.5">
      <c r="C23" s="120"/>
      <c r="D23" s="60" t="s">
        <v>7</v>
      </c>
      <c r="E23" s="61" t="str">
        <f ca="1">IFERROR(IF(InputsCS!$G$2="Pupil Numbers",INDEX(INDIRECT(InputsCS!$G$1),8,1),IF(InputsCS!$G$2="Pupil Percentages",INDEX(INDIRECT(InputsCS!$G$1),24,1),"")),"")</f>
        <v/>
      </c>
      <c r="F23" s="61" t="str">
        <f ca="1">IFERROR(IF(InputsCS!$G$2="Pupil Numbers",INDEX(INDIRECT(InputsCS!$G$1),8,2),IF(InputsCS!$G$2="Pupil Percentages",INDEX(INDIRECT(InputsCS!$G$1),24,2),"")),"")</f>
        <v/>
      </c>
      <c r="G23" s="61" t="str">
        <f ca="1">IFERROR(IF(InputsCS!$G$2="Pupil Numbers",INDEX(INDIRECT(InputsCS!$G$1),8,3),IF(InputsCS!$G$2="Pupil Percentages",INDEX(INDIRECT(InputsCS!$G$1),24,3),"")),"")</f>
        <v/>
      </c>
      <c r="H23" s="61" t="str">
        <f ca="1">IFERROR(IF(InputsCS!$G$2="Pupil Numbers",INDEX(INDIRECT(InputsCS!$G$1),8,4),IF(InputsCS!$G$2="Pupil Percentages",INDEX(INDIRECT(InputsCS!$G$1),24,4),"")),"")</f>
        <v/>
      </c>
      <c r="I23" s="61" t="str">
        <f ca="1">IFERROR(IF(InputsCS!$G$2="Pupil Numbers",INDEX(INDIRECT(InputsCS!$G$1),8,5),IF(InputsCS!$G$2="Pupil Percentages",INDEX(INDIRECT(InputsCS!$G$1),24,5),"")),"")</f>
        <v/>
      </c>
      <c r="J23" s="61" t="str">
        <f ca="1">IFERROR(IF(InputsCS!$G$2="Pupil Numbers",INDEX(INDIRECT(InputsCS!$G$1),8,6),IF(InputsCS!$G$2="Pupil Percentages",INDEX(INDIRECT(InputsCS!$G$1),24,6),"")),"")</f>
        <v/>
      </c>
      <c r="K23" s="61" t="str">
        <f ca="1">IFERROR(IF(InputsCS!$G$2="Pupil Numbers",INDEX(INDIRECT(InputsCS!$G$1),8,7),IF(InputsCS!$G$2="Pupil Percentages",INDEX(INDIRECT(InputsCS!$G$1),24,7),"")),"")</f>
        <v/>
      </c>
      <c r="L23" s="61" t="str">
        <f ca="1">IFERROR(IF(InputsCS!$G$2="Pupil Numbers",INDEX(INDIRECT(InputsCS!$G$1),8,8),IF(InputsCS!$G$2="Pupil Percentages",INDEX(INDIRECT(InputsCS!$G$1),24,8),"")),"")</f>
        <v/>
      </c>
      <c r="M23" s="61" t="str">
        <f ca="1">IFERROR(IF(InputsCS!$G$2="Pupil Numbers",INDEX(INDIRECT(InputsCS!$G$1),8,9),IF(InputsCS!$G$2="Pupil Percentages",INDEX(INDIRECT(InputsCS!$G$1),24,9),"")),"")</f>
        <v/>
      </c>
      <c r="N23" s="61" t="str">
        <f ca="1">IFERROR(IF(InputsCS!$G$2="Pupil Numbers",INDEX(INDIRECT(InputsCS!$G$1),8,10),IF(InputsCS!$G$2="Pupil Percentages",INDEX(INDIRECT(InputsCS!$G$1),24,10),"")),"")</f>
        <v/>
      </c>
      <c r="O23" s="61" t="str">
        <f ca="1">IFERROR(IF(InputsCS!$G$2="Pupil Numbers",INDEX(INDIRECT(InputsCS!$G$1),8,11),IF(InputsCS!$G$2="Pupil Percentages",INDEX(INDIRECT(InputsCS!$G$1),24,11),"")),"")</f>
        <v/>
      </c>
      <c r="P23" s="61" t="str">
        <f ca="1">IFERROR(IF(InputsCS!$G$2="Pupil Numbers",INDEX(INDIRECT(InputsCS!$G$1),8,12),IF(InputsCS!$G$2="Pupil Percentages",INDEX(INDIRECT(InputsCS!$G$1),24,12),"")),"")</f>
        <v/>
      </c>
      <c r="Q23" s="61" t="str">
        <f ca="1">IFERROR(IF(InputsCS!$G$2="Pupil Numbers",INDEX(INDIRECT(InputsCS!$G$1),8,13),IF(InputsCS!$G$2="Pupil Percentages",INDEX(INDIRECT(InputsCS!$G$1),24,13),"")),"")</f>
        <v/>
      </c>
      <c r="R23" s="61" t="str">
        <f ca="1">IFERROR(IF(InputsCS!$G$2="Pupil Numbers",INDEX(INDIRECT(InputsCS!$G$1),8,14),IF(InputsCS!$G$2="Pupil Percentages",INDEX(INDIRECT(InputsCS!$G$1),24,14),"")),"")</f>
        <v/>
      </c>
      <c r="S23" s="61" t="str">
        <f ca="1">IFERROR(IF(InputsCS!$G$2="Pupil Numbers",INDEX(INDIRECT(InputsCS!$G$1),8,15),IF(InputsCS!$G$2="Pupil Percentages",INDEX(INDIRECT(InputsCS!$G$1),24,15),"")),"")</f>
        <v/>
      </c>
      <c r="T23" s="61" t="str">
        <f ca="1">IFERROR(IF(InputsCS!$G$2="Pupil Numbers",INDEX(INDIRECT(InputsCS!$G$1),8,16),IF(InputsCS!$G$2="Pupil Percentages",INDEX(INDIRECT(InputsCS!$G$1),24,16),"")),"")</f>
        <v/>
      </c>
      <c r="U23" s="61" t="str">
        <f ca="1">IFERROR(IF(InputsCS!$G$2="Pupil Numbers",INDEX(INDIRECT(InputsCS!$G$1),8,17),IF(InputsCS!$G$2="Pupil Percentages",INDEX(INDIRECT(InputsCS!$G$1),24,17),"")),"")</f>
        <v/>
      </c>
      <c r="V23" s="61" t="str">
        <f ca="1">IFERROR(IF(InputsCS!$G$2="Pupil Numbers",INDEX(INDIRECT(InputsCS!$G$1),8,18),IF(InputsCS!$G$2="Pupil Percentages",INDEX(INDIRECT(InputsCS!$G$1),24,18),"")),"")</f>
        <v/>
      </c>
      <c r="AD23" s="12"/>
      <c r="AF23" s="13"/>
      <c r="AG23" s="13"/>
      <c r="AH23" s="13"/>
      <c r="AI23" s="13"/>
      <c r="AJ23" s="13"/>
      <c r="AK23" s="13"/>
      <c r="AL23" s="13"/>
      <c r="AM23" s="13"/>
      <c r="AN23" s="13"/>
      <c r="AO23" s="13"/>
      <c r="AP23" s="13"/>
      <c r="AQ23" s="13"/>
      <c r="AR23" s="13"/>
      <c r="AS23" s="13"/>
      <c r="AT23" s="13"/>
      <c r="AU23" s="13"/>
      <c r="AV23" s="13"/>
      <c r="AW23" s="13"/>
      <c r="AX23" s="13"/>
      <c r="BC23" s="13"/>
      <c r="BD23" s="13"/>
      <c r="BE23" s="13"/>
      <c r="BF23" s="13"/>
      <c r="BG23" s="22"/>
      <c r="BH23" s="13"/>
      <c r="BI23" s="13"/>
      <c r="BJ23" s="13"/>
      <c r="BK23" s="13"/>
      <c r="BL23" s="13"/>
      <c r="BM23" s="13"/>
      <c r="BN23" s="13"/>
      <c r="BO23" s="13"/>
      <c r="BP23" s="13"/>
      <c r="BQ23" s="13"/>
      <c r="BR23" s="13"/>
      <c r="BS23" s="13"/>
      <c r="BT23" s="13"/>
      <c r="BU23" s="13"/>
      <c r="BV23" s="13"/>
      <c r="BW23" s="13"/>
      <c r="BX23" s="13"/>
      <c r="BY23" s="13"/>
      <c r="BZ23" s="13"/>
      <c r="CA23" s="13"/>
      <c r="CB23" s="13"/>
      <c r="CC23" s="13"/>
      <c r="CD23" s="13"/>
      <c r="CE23" s="13"/>
      <c r="CF23" s="13"/>
      <c r="CG23" s="13"/>
      <c r="CH23" s="13"/>
      <c r="CI23" s="13"/>
      <c r="CJ23" s="13"/>
      <c r="CK23" s="13"/>
      <c r="CL23" s="13"/>
      <c r="CM23" s="13"/>
      <c r="CN23" s="13"/>
      <c r="CO23" s="13"/>
      <c r="CP23" s="13"/>
      <c r="CQ23" s="13"/>
      <c r="CR23" s="13"/>
      <c r="CS23" s="13"/>
      <c r="CT23" s="13"/>
      <c r="CU23" s="13"/>
    </row>
    <row r="24" spans="3:99" ht="23.1" customHeight="1" x14ac:dyDescent="0.5">
      <c r="C24" s="120"/>
      <c r="D24" s="60" t="s">
        <v>8</v>
      </c>
      <c r="E24" s="61" t="str">
        <f ca="1">IFERROR(IF(InputsCS!$G$2="Pupil Numbers",INDEX(INDIRECT(InputsCS!$G$1),9,1),IF(InputsCS!$G$2="Pupil Percentages",INDEX(INDIRECT(InputsCS!$G$1),25,1),"")),"")</f>
        <v/>
      </c>
      <c r="F24" s="61" t="str">
        <f ca="1">IFERROR(IF(InputsCS!$G$2="Pupil Numbers",INDEX(INDIRECT(InputsCS!$G$1),9,2),IF(InputsCS!$G$2="Pupil Percentages",INDEX(INDIRECT(InputsCS!$G$1),25,2),"")),"")</f>
        <v/>
      </c>
      <c r="G24" s="61" t="str">
        <f ca="1">IFERROR(IF(InputsCS!$G$2="Pupil Numbers",INDEX(INDIRECT(InputsCS!$G$1),9,3),IF(InputsCS!$G$2="Pupil Percentages",INDEX(INDIRECT(InputsCS!$G$1),25,3),"")),"")</f>
        <v/>
      </c>
      <c r="H24" s="61" t="str">
        <f ca="1">IFERROR(IF(InputsCS!$G$2="Pupil Numbers",INDEX(INDIRECT(InputsCS!$G$1),9,4),IF(InputsCS!$G$2="Pupil Percentages",INDEX(INDIRECT(InputsCS!$G$1),25,4),"")),"")</f>
        <v/>
      </c>
      <c r="I24" s="61" t="str">
        <f ca="1">IFERROR(IF(InputsCS!$G$2="Pupil Numbers",INDEX(INDIRECT(InputsCS!$G$1),9,5),IF(InputsCS!$G$2="Pupil Percentages",INDEX(INDIRECT(InputsCS!$G$1),25,5),"")),"")</f>
        <v/>
      </c>
      <c r="J24" s="61" t="str">
        <f ca="1">IFERROR(IF(InputsCS!$G$2="Pupil Numbers",INDEX(INDIRECT(InputsCS!$G$1),9,6),IF(InputsCS!$G$2="Pupil Percentages",INDEX(INDIRECT(InputsCS!$G$1),25,6),"")),"")</f>
        <v/>
      </c>
      <c r="K24" s="61" t="str">
        <f ca="1">IFERROR(IF(InputsCS!$G$2="Pupil Numbers",INDEX(INDIRECT(InputsCS!$G$1),9,7),IF(InputsCS!$G$2="Pupil Percentages",INDEX(INDIRECT(InputsCS!$G$1),25,7),"")),"")</f>
        <v/>
      </c>
      <c r="L24" s="61" t="str">
        <f ca="1">IFERROR(IF(InputsCS!$G$2="Pupil Numbers",INDEX(INDIRECT(InputsCS!$G$1),9,8),IF(InputsCS!$G$2="Pupil Percentages",INDEX(INDIRECT(InputsCS!$G$1),25,8),"")),"")</f>
        <v/>
      </c>
      <c r="M24" s="61" t="str">
        <f ca="1">IFERROR(IF(InputsCS!$G$2="Pupil Numbers",INDEX(INDIRECT(InputsCS!$G$1),9,9),IF(InputsCS!$G$2="Pupil Percentages",INDEX(INDIRECT(InputsCS!$G$1),25,9),"")),"")</f>
        <v/>
      </c>
      <c r="N24" s="61" t="str">
        <f ca="1">IFERROR(IF(InputsCS!$G$2="Pupil Numbers",INDEX(INDIRECT(InputsCS!$G$1),9,10),IF(InputsCS!$G$2="Pupil Percentages",INDEX(INDIRECT(InputsCS!$G$1),25,10),"")),"")</f>
        <v/>
      </c>
      <c r="O24" s="61" t="str">
        <f ca="1">IFERROR(IF(InputsCS!$G$2="Pupil Numbers",INDEX(INDIRECT(InputsCS!$G$1),9,11),IF(InputsCS!$G$2="Pupil Percentages",INDEX(INDIRECT(InputsCS!$G$1),25,11),"")),"")</f>
        <v/>
      </c>
      <c r="P24" s="61" t="str">
        <f ca="1">IFERROR(IF(InputsCS!$G$2="Pupil Numbers",INDEX(INDIRECT(InputsCS!$G$1),9,12),IF(InputsCS!$G$2="Pupil Percentages",INDEX(INDIRECT(InputsCS!$G$1),25,12),"")),"")</f>
        <v/>
      </c>
      <c r="Q24" s="61" t="str">
        <f ca="1">IFERROR(IF(InputsCS!$G$2="Pupil Numbers",INDEX(INDIRECT(InputsCS!$G$1),9,13),IF(InputsCS!$G$2="Pupil Percentages",INDEX(INDIRECT(InputsCS!$G$1),25,13),"")),"")</f>
        <v/>
      </c>
      <c r="R24" s="61" t="str">
        <f ca="1">IFERROR(IF(InputsCS!$G$2="Pupil Numbers",INDEX(INDIRECT(InputsCS!$G$1),9,14),IF(InputsCS!$G$2="Pupil Percentages",INDEX(INDIRECT(InputsCS!$G$1),25,14),"")),"")</f>
        <v/>
      </c>
      <c r="S24" s="61" t="str">
        <f ca="1">IFERROR(IF(InputsCS!$G$2="Pupil Numbers",INDEX(INDIRECT(InputsCS!$G$1),9,15),IF(InputsCS!$G$2="Pupil Percentages",INDEX(INDIRECT(InputsCS!$G$1),25,15),"")),"")</f>
        <v/>
      </c>
      <c r="T24" s="61" t="str">
        <f ca="1">IFERROR(IF(InputsCS!$G$2="Pupil Numbers",INDEX(INDIRECT(InputsCS!$G$1),9,16),IF(InputsCS!$G$2="Pupil Percentages",INDEX(INDIRECT(InputsCS!$G$1),25,16),"")),"")</f>
        <v/>
      </c>
      <c r="U24" s="61" t="str">
        <f ca="1">IFERROR(IF(InputsCS!$G$2="Pupil Numbers",INDEX(INDIRECT(InputsCS!$G$1),9,17),IF(InputsCS!$G$2="Pupil Percentages",INDEX(INDIRECT(InputsCS!$G$1),25,17),"")),"")</f>
        <v/>
      </c>
      <c r="V24" s="61" t="str">
        <f ca="1">IFERROR(IF(InputsCS!$G$2="Pupil Numbers",INDEX(INDIRECT(InputsCS!$G$1),9,18),IF(InputsCS!$G$2="Pupil Percentages",INDEX(INDIRECT(InputsCS!$G$1),25,18),"")),"")</f>
        <v/>
      </c>
      <c r="AD24" s="12"/>
      <c r="AF24" s="13"/>
      <c r="AG24" s="13"/>
      <c r="AH24" s="13"/>
      <c r="AI24" s="13"/>
      <c r="AJ24" s="13"/>
      <c r="AK24" s="13"/>
      <c r="AL24" s="13"/>
      <c r="AM24" s="13"/>
      <c r="AN24" s="13"/>
      <c r="AO24" s="13"/>
      <c r="AP24" s="13"/>
      <c r="AQ24" s="13"/>
      <c r="AR24" s="13"/>
      <c r="AS24" s="13"/>
      <c r="AT24" s="13"/>
      <c r="AU24" s="13"/>
      <c r="AV24" s="13"/>
      <c r="AW24" s="13"/>
      <c r="AX24" s="13"/>
      <c r="BC24" s="13"/>
      <c r="BD24" s="13"/>
      <c r="BE24" s="13"/>
      <c r="BF24" s="13"/>
      <c r="BG24" s="21"/>
      <c r="BH24" s="13"/>
      <c r="BI24" s="13"/>
      <c r="BJ24" s="13"/>
      <c r="BK24" s="13"/>
      <c r="BL24" s="13"/>
      <c r="BM24" s="13"/>
      <c r="BN24" s="13"/>
      <c r="BO24" s="13"/>
      <c r="BP24" s="13"/>
      <c r="BQ24" s="13"/>
      <c r="BR24" s="13"/>
      <c r="BS24" s="13"/>
      <c r="BT24" s="13"/>
      <c r="BU24" s="13"/>
      <c r="BV24" s="13"/>
      <c r="BW24" s="13"/>
      <c r="BX24" s="13"/>
      <c r="BY24" s="13"/>
      <c r="BZ24" s="13"/>
      <c r="CA24" s="13"/>
      <c r="CB24" s="13"/>
      <c r="CC24" s="13"/>
      <c r="CD24" s="13"/>
      <c r="CE24" s="13"/>
      <c r="CF24" s="13"/>
      <c r="CG24" s="13"/>
      <c r="CH24" s="13"/>
      <c r="CI24" s="13"/>
      <c r="CJ24" s="13"/>
      <c r="CK24" s="13"/>
      <c r="CL24" s="13"/>
      <c r="CM24" s="13"/>
      <c r="CN24" s="13"/>
      <c r="CO24" s="13"/>
      <c r="CP24" s="13"/>
      <c r="CQ24" s="13"/>
      <c r="CR24" s="13"/>
      <c r="CS24" s="13"/>
      <c r="CT24" s="13"/>
      <c r="CU24" s="13"/>
    </row>
    <row r="25" spans="3:99" ht="23.1" customHeight="1" x14ac:dyDescent="0.5">
      <c r="C25" s="120"/>
      <c r="D25" s="60" t="s">
        <v>9</v>
      </c>
      <c r="E25" s="61" t="str">
        <f ca="1">IFERROR(IF(InputsCS!$G$2="Pupil Numbers",INDEX(INDIRECT(InputsCS!$G$1),10,1),IF(InputsCS!$G$2="Pupil Percentages",INDEX(INDIRECT(InputsCS!$G$1),26,1),"")),"")</f>
        <v/>
      </c>
      <c r="F25" s="61" t="str">
        <f ca="1">IFERROR(IF(InputsCS!$G$2="Pupil Numbers",INDEX(INDIRECT(InputsCS!$G$1),10,2),IF(InputsCS!$G$2="Pupil Percentages",INDEX(INDIRECT(InputsCS!$G$1),26,2),"")),"")</f>
        <v/>
      </c>
      <c r="G25" s="61" t="str">
        <f ca="1">IFERROR(IF(InputsCS!$G$2="Pupil Numbers",INDEX(INDIRECT(InputsCS!$G$1),10,3),IF(InputsCS!$G$2="Pupil Percentages",INDEX(INDIRECT(InputsCS!$G$1),26,3),"")),"")</f>
        <v/>
      </c>
      <c r="H25" s="61" t="str">
        <f ca="1">IFERROR(IF(InputsCS!$G$2="Pupil Numbers",INDEX(INDIRECT(InputsCS!$G$1),10,4),IF(InputsCS!$G$2="Pupil Percentages",INDEX(INDIRECT(InputsCS!$G$1),26,4),"")),"")</f>
        <v/>
      </c>
      <c r="I25" s="61" t="str">
        <f ca="1">IFERROR(IF(InputsCS!$G$2="Pupil Numbers",INDEX(INDIRECT(InputsCS!$G$1),10,5),IF(InputsCS!$G$2="Pupil Percentages",INDEX(INDIRECT(InputsCS!$G$1),26,5),"")),"")</f>
        <v/>
      </c>
      <c r="J25" s="61" t="str">
        <f ca="1">IFERROR(IF(InputsCS!$G$2="Pupil Numbers",INDEX(INDIRECT(InputsCS!$G$1),10,6),IF(InputsCS!$G$2="Pupil Percentages",INDEX(INDIRECT(InputsCS!$G$1),26,6),"")),"")</f>
        <v/>
      </c>
      <c r="K25" s="61" t="str">
        <f ca="1">IFERROR(IF(InputsCS!$G$2="Pupil Numbers",INDEX(INDIRECT(InputsCS!$G$1),10,7),IF(InputsCS!$G$2="Pupil Percentages",INDEX(INDIRECT(InputsCS!$G$1),26,7),"")),"")</f>
        <v/>
      </c>
      <c r="L25" s="61" t="str">
        <f ca="1">IFERROR(IF(InputsCS!$G$2="Pupil Numbers",INDEX(INDIRECT(InputsCS!$G$1),10,8),IF(InputsCS!$G$2="Pupil Percentages",INDEX(INDIRECT(InputsCS!$G$1),26,8),"")),"")</f>
        <v/>
      </c>
      <c r="M25" s="61" t="str">
        <f ca="1">IFERROR(IF(InputsCS!$G$2="Pupil Numbers",INDEX(INDIRECT(InputsCS!$G$1),10,9),IF(InputsCS!$G$2="Pupil Percentages",INDEX(INDIRECT(InputsCS!$G$1),26,9),"")),"")</f>
        <v/>
      </c>
      <c r="N25" s="61" t="str">
        <f ca="1">IFERROR(IF(InputsCS!$G$2="Pupil Numbers",INDEX(INDIRECT(InputsCS!$G$1),10,10),IF(InputsCS!$G$2="Pupil Percentages",INDEX(INDIRECT(InputsCS!$G$1),26,10),"")),"")</f>
        <v/>
      </c>
      <c r="O25" s="61" t="str">
        <f ca="1">IFERROR(IF(InputsCS!$G$2="Pupil Numbers",INDEX(INDIRECT(InputsCS!$G$1),10,11),IF(InputsCS!$G$2="Pupil Percentages",INDEX(INDIRECT(InputsCS!$G$1),26,11),"")),"")</f>
        <v/>
      </c>
      <c r="P25" s="61" t="str">
        <f ca="1">IFERROR(IF(InputsCS!$G$2="Pupil Numbers",INDEX(INDIRECT(InputsCS!$G$1),10,12),IF(InputsCS!$G$2="Pupil Percentages",INDEX(INDIRECT(InputsCS!$G$1),26,12),"")),"")</f>
        <v/>
      </c>
      <c r="Q25" s="61" t="str">
        <f ca="1">IFERROR(IF(InputsCS!$G$2="Pupil Numbers",INDEX(INDIRECT(InputsCS!$G$1),10,13),IF(InputsCS!$G$2="Pupil Percentages",INDEX(INDIRECT(InputsCS!$G$1),26,13),"")),"")</f>
        <v/>
      </c>
      <c r="R25" s="61" t="str">
        <f ca="1">IFERROR(IF(InputsCS!$G$2="Pupil Numbers",INDEX(INDIRECT(InputsCS!$G$1),10,14),IF(InputsCS!$G$2="Pupil Percentages",INDEX(INDIRECT(InputsCS!$G$1),26,14),"")),"")</f>
        <v/>
      </c>
      <c r="S25" s="61" t="str">
        <f ca="1">IFERROR(IF(InputsCS!$G$2="Pupil Numbers",INDEX(INDIRECT(InputsCS!$G$1),10,15),IF(InputsCS!$G$2="Pupil Percentages",INDEX(INDIRECT(InputsCS!$G$1),26,15),"")),"")</f>
        <v/>
      </c>
      <c r="T25" s="61" t="str">
        <f ca="1">IFERROR(IF(InputsCS!$G$2="Pupil Numbers",INDEX(INDIRECT(InputsCS!$G$1),10,16),IF(InputsCS!$G$2="Pupil Percentages",INDEX(INDIRECT(InputsCS!$G$1),26,16),"")),"")</f>
        <v/>
      </c>
      <c r="U25" s="61" t="str">
        <f ca="1">IFERROR(IF(InputsCS!$G$2="Pupil Numbers",INDEX(INDIRECT(InputsCS!$G$1),10,17),IF(InputsCS!$G$2="Pupil Percentages",INDEX(INDIRECT(InputsCS!$G$1),26,17),"")),"")</f>
        <v/>
      </c>
      <c r="V25" s="61" t="str">
        <f ca="1">IFERROR(IF(InputsCS!$G$2="Pupil Numbers",INDEX(INDIRECT(InputsCS!$G$1),10,18),IF(InputsCS!$G$2="Pupil Percentages",INDEX(INDIRECT(InputsCS!$G$1),26,18),"")),"")</f>
        <v/>
      </c>
      <c r="AD25" s="12"/>
      <c r="AF25" s="13"/>
      <c r="AG25" s="13"/>
      <c r="AH25" s="13"/>
      <c r="AI25" s="13"/>
      <c r="AJ25" s="13"/>
      <c r="AK25" s="13"/>
      <c r="AL25" s="13"/>
      <c r="AM25" s="13"/>
      <c r="AN25" s="13"/>
      <c r="AO25" s="13"/>
      <c r="AP25" s="13"/>
      <c r="AQ25" s="13"/>
      <c r="AR25" s="13"/>
      <c r="AS25" s="13"/>
      <c r="AT25" s="13"/>
      <c r="AU25" s="13"/>
      <c r="AV25" s="13"/>
      <c r="AW25" s="13"/>
      <c r="AX25" s="13"/>
      <c r="BC25" s="13"/>
      <c r="BD25" s="13"/>
      <c r="BE25" s="13"/>
      <c r="BF25" s="13"/>
      <c r="BG25" s="21"/>
      <c r="BH25" s="13"/>
      <c r="BI25" s="13"/>
      <c r="BJ25" s="13"/>
      <c r="BK25" s="13"/>
      <c r="BL25" s="13"/>
      <c r="BM25" s="13"/>
      <c r="BN25" s="13"/>
      <c r="BO25" s="13"/>
      <c r="BP25" s="13"/>
      <c r="BQ25" s="13"/>
      <c r="BR25" s="13"/>
      <c r="BS25" s="13"/>
      <c r="BT25" s="13"/>
      <c r="BU25" s="13"/>
      <c r="BV25" s="13"/>
      <c r="BW25" s="13"/>
      <c r="BX25" s="13"/>
      <c r="BY25" s="13"/>
      <c r="BZ25" s="13"/>
      <c r="CA25" s="13"/>
      <c r="CB25" s="13"/>
      <c r="CC25" s="13"/>
      <c r="CD25" s="13"/>
      <c r="CE25" s="13"/>
      <c r="CF25" s="13"/>
      <c r="CG25" s="13"/>
      <c r="CH25" s="13"/>
      <c r="CI25" s="13"/>
      <c r="CJ25" s="13"/>
      <c r="CK25" s="13"/>
      <c r="CL25" s="13"/>
      <c r="CM25" s="13"/>
      <c r="CN25" s="13"/>
      <c r="CO25" s="13"/>
      <c r="CP25" s="13"/>
      <c r="CQ25" s="13"/>
      <c r="CR25" s="13"/>
      <c r="CS25" s="13"/>
      <c r="CT25" s="13"/>
      <c r="CU25" s="13"/>
    </row>
    <row r="26" spans="3:99" ht="23.1" customHeight="1" x14ac:dyDescent="0.5">
      <c r="C26" s="120"/>
      <c r="D26" s="60" t="s">
        <v>10</v>
      </c>
      <c r="E26" s="61" t="str">
        <f ca="1">IFERROR(IF(InputsCS!$G$2="Pupil Numbers",INDEX(INDIRECT(InputsCS!$G$1),11,1),IF(InputsCS!$G$2="Pupil Percentages",INDEX(INDIRECT(InputsCS!$G$1),27,1),"")),"")</f>
        <v/>
      </c>
      <c r="F26" s="61" t="str">
        <f ca="1">IFERROR(IF(InputsCS!$G$2="Pupil Numbers",INDEX(INDIRECT(InputsCS!$G$1),11,2),IF(InputsCS!$G$2="Pupil Percentages",INDEX(INDIRECT(InputsCS!$G$1),27,2),"")),"")</f>
        <v/>
      </c>
      <c r="G26" s="61" t="str">
        <f ca="1">IFERROR(IF(InputsCS!$G$2="Pupil Numbers",INDEX(INDIRECT(InputsCS!$G$1),11,3),IF(InputsCS!$G$2="Pupil Percentages",INDEX(INDIRECT(InputsCS!$G$1),27,3),"")),"")</f>
        <v/>
      </c>
      <c r="H26" s="61" t="str">
        <f ca="1">IFERROR(IF(InputsCS!$G$2="Pupil Numbers",INDEX(INDIRECT(InputsCS!$G$1),11,4),IF(InputsCS!$G$2="Pupil Percentages",INDEX(INDIRECT(InputsCS!$G$1),27,4),"")),"")</f>
        <v/>
      </c>
      <c r="I26" s="61" t="str">
        <f ca="1">IFERROR(IF(InputsCS!$G$2="Pupil Numbers",INDEX(INDIRECT(InputsCS!$G$1),11,5),IF(InputsCS!$G$2="Pupil Percentages",INDEX(INDIRECT(InputsCS!$G$1),27,5),"")),"")</f>
        <v/>
      </c>
      <c r="J26" s="61" t="str">
        <f ca="1">IFERROR(IF(InputsCS!$G$2="Pupil Numbers",INDEX(INDIRECT(InputsCS!$G$1),11,6),IF(InputsCS!$G$2="Pupil Percentages",INDEX(INDIRECT(InputsCS!$G$1),27,6),"")),"")</f>
        <v/>
      </c>
      <c r="K26" s="61" t="str">
        <f ca="1">IFERROR(IF(InputsCS!$G$2="Pupil Numbers",INDEX(INDIRECT(InputsCS!$G$1),11,7),IF(InputsCS!$G$2="Pupil Percentages",INDEX(INDIRECT(InputsCS!$G$1),27,7),"")),"")</f>
        <v/>
      </c>
      <c r="L26" s="61" t="str">
        <f ca="1">IFERROR(IF(InputsCS!$G$2="Pupil Numbers",INDEX(INDIRECT(InputsCS!$G$1),11,8),IF(InputsCS!$G$2="Pupil Percentages",INDEX(INDIRECT(InputsCS!$G$1),27,8),"")),"")</f>
        <v/>
      </c>
      <c r="M26" s="61" t="str">
        <f ca="1">IFERROR(IF(InputsCS!$G$2="Pupil Numbers",INDEX(INDIRECT(InputsCS!$G$1),11,9),IF(InputsCS!$G$2="Pupil Percentages",INDEX(INDIRECT(InputsCS!$G$1),27,9),"")),"")</f>
        <v/>
      </c>
      <c r="N26" s="61" t="str">
        <f ca="1">IFERROR(IF(InputsCS!$G$2="Pupil Numbers",INDEX(INDIRECT(InputsCS!$G$1),11,10),IF(InputsCS!$G$2="Pupil Percentages",INDEX(INDIRECT(InputsCS!$G$1),27,10),"")),"")</f>
        <v/>
      </c>
      <c r="O26" s="61" t="str">
        <f ca="1">IFERROR(IF(InputsCS!$G$2="Pupil Numbers",INDEX(INDIRECT(InputsCS!$G$1),11,11),IF(InputsCS!$G$2="Pupil Percentages",INDEX(INDIRECT(InputsCS!$G$1),27,11),"")),"")</f>
        <v/>
      </c>
      <c r="P26" s="61" t="str">
        <f ca="1">IFERROR(IF(InputsCS!$G$2="Pupil Numbers",INDEX(INDIRECT(InputsCS!$G$1),11,12),IF(InputsCS!$G$2="Pupil Percentages",INDEX(INDIRECT(InputsCS!$G$1),27,12),"")),"")</f>
        <v/>
      </c>
      <c r="Q26" s="61" t="str">
        <f ca="1">IFERROR(IF(InputsCS!$G$2="Pupil Numbers",INDEX(INDIRECT(InputsCS!$G$1),11,13),IF(InputsCS!$G$2="Pupil Percentages",INDEX(INDIRECT(InputsCS!$G$1),27,13),"")),"")</f>
        <v/>
      </c>
      <c r="R26" s="61" t="str">
        <f ca="1">IFERROR(IF(InputsCS!$G$2="Pupil Numbers",INDEX(INDIRECT(InputsCS!$G$1),11,14),IF(InputsCS!$G$2="Pupil Percentages",INDEX(INDIRECT(InputsCS!$G$1),27,14),"")),"")</f>
        <v/>
      </c>
      <c r="S26" s="61" t="str">
        <f ca="1">IFERROR(IF(InputsCS!$G$2="Pupil Numbers",INDEX(INDIRECT(InputsCS!$G$1),11,15),IF(InputsCS!$G$2="Pupil Percentages",INDEX(INDIRECT(InputsCS!$G$1),27,15),"")),"")</f>
        <v/>
      </c>
      <c r="T26" s="61" t="str">
        <f ca="1">IFERROR(IF(InputsCS!$G$2="Pupil Numbers",INDEX(INDIRECT(InputsCS!$G$1),11,16),IF(InputsCS!$G$2="Pupil Percentages",INDEX(INDIRECT(InputsCS!$G$1),27,16),"")),"")</f>
        <v/>
      </c>
      <c r="U26" s="61" t="str">
        <f ca="1">IFERROR(IF(InputsCS!$G$2="Pupil Numbers",INDEX(INDIRECT(InputsCS!$G$1),11,17),IF(InputsCS!$G$2="Pupil Percentages",INDEX(INDIRECT(InputsCS!$G$1),27,17),"")),"")</f>
        <v/>
      </c>
      <c r="V26" s="61" t="str">
        <f ca="1">IFERROR(IF(InputsCS!$G$2="Pupil Numbers",INDEX(INDIRECT(InputsCS!$G$1),11,18),IF(InputsCS!$G$2="Pupil Percentages",INDEX(INDIRECT(InputsCS!$G$1),27,18),"")),"")</f>
        <v/>
      </c>
      <c r="AD26" s="12"/>
      <c r="AF26" s="13"/>
      <c r="AG26" s="13"/>
      <c r="AH26" s="13"/>
      <c r="AI26" s="13"/>
      <c r="AJ26" s="13"/>
      <c r="AK26" s="13"/>
      <c r="AL26" s="13"/>
      <c r="AM26" s="13"/>
      <c r="AN26" s="13"/>
      <c r="AO26" s="13"/>
      <c r="AP26" s="13"/>
      <c r="AQ26" s="13"/>
      <c r="AR26" s="13"/>
      <c r="AS26" s="13"/>
      <c r="AT26" s="13"/>
      <c r="AU26" s="13"/>
      <c r="AV26" s="13"/>
      <c r="AW26" s="13"/>
      <c r="AX26" s="13"/>
      <c r="BC26" s="13"/>
      <c r="BD26" s="13"/>
      <c r="BE26" s="13"/>
      <c r="BF26" s="13"/>
      <c r="BG26" s="21"/>
      <c r="BH26" s="13"/>
      <c r="BI26" s="13"/>
      <c r="BJ26" s="13"/>
      <c r="BK26" s="13"/>
      <c r="BL26" s="13"/>
      <c r="BM26" s="13"/>
      <c r="BN26" s="13"/>
      <c r="BO26" s="13"/>
      <c r="BP26" s="13"/>
      <c r="BQ26" s="13"/>
      <c r="BR26" s="13"/>
      <c r="BS26" s="13"/>
      <c r="BT26" s="13"/>
      <c r="BU26" s="13"/>
      <c r="BV26" s="13"/>
      <c r="BW26" s="13"/>
      <c r="BX26" s="13"/>
      <c r="BY26" s="13"/>
      <c r="BZ26" s="13"/>
      <c r="CA26" s="13"/>
      <c r="CB26" s="13"/>
      <c r="CC26" s="13"/>
      <c r="CD26" s="13"/>
      <c r="CE26" s="13"/>
      <c r="CF26" s="13"/>
      <c r="CG26" s="13"/>
      <c r="CH26" s="13"/>
      <c r="CI26" s="13"/>
      <c r="CJ26" s="13"/>
      <c r="CK26" s="13"/>
      <c r="CL26" s="13"/>
      <c r="CM26" s="13"/>
      <c r="CN26" s="13"/>
      <c r="CO26" s="13"/>
      <c r="CP26" s="13"/>
      <c r="CQ26" s="13"/>
      <c r="CR26" s="13"/>
      <c r="CS26" s="13"/>
      <c r="CT26" s="13"/>
      <c r="CU26" s="13"/>
    </row>
    <row r="27" spans="3:99" ht="23.1" customHeight="1" x14ac:dyDescent="0.5">
      <c r="C27" s="121"/>
      <c r="D27" s="60" t="s">
        <v>11</v>
      </c>
      <c r="E27" s="61" t="str">
        <f ca="1">IFERROR(IF(InputsCS!$G$2="Pupil Numbers",INDEX(INDIRECT(InputsCS!$G$1),12,1),IF(InputsCS!$G$2="Pupil Percentages",INDEX(INDIRECT(InputsCS!$G$1),28,1),"")),"")</f>
        <v/>
      </c>
      <c r="F27" s="61" t="str">
        <f ca="1">IFERROR(IF(InputsCS!$G$2="Pupil Numbers",INDEX(INDIRECT(InputsCS!$G$1),12,2),IF(InputsCS!$G$2="Pupil Percentages",INDEX(INDIRECT(InputsCS!$G$1),28,2),"")),"")</f>
        <v/>
      </c>
      <c r="G27" s="61" t="str">
        <f ca="1">IFERROR(IF(InputsCS!$G$2="Pupil Numbers",INDEX(INDIRECT(InputsCS!$G$1),12,3),IF(InputsCS!$G$2="Pupil Percentages",INDEX(INDIRECT(InputsCS!$G$1),28,3),"")),"")</f>
        <v/>
      </c>
      <c r="H27" s="61" t="str">
        <f ca="1">IFERROR(IF(InputsCS!$G$2="Pupil Numbers",INDEX(INDIRECT(InputsCS!$G$1),12,4),IF(InputsCS!$G$2="Pupil Percentages",INDEX(INDIRECT(InputsCS!$G$1),28,4),"")),"")</f>
        <v/>
      </c>
      <c r="I27" s="61" t="str">
        <f ca="1">IFERROR(IF(InputsCS!$G$2="Pupil Numbers",INDEX(INDIRECT(InputsCS!$G$1),12,5),IF(InputsCS!$G$2="Pupil Percentages",INDEX(INDIRECT(InputsCS!$G$1),28,5),"")),"")</f>
        <v/>
      </c>
      <c r="J27" s="61" t="str">
        <f ca="1">IFERROR(IF(InputsCS!$G$2="Pupil Numbers",INDEX(INDIRECT(InputsCS!$G$1),12,6),IF(InputsCS!$G$2="Pupil Percentages",INDEX(INDIRECT(InputsCS!$G$1),28,6),"")),"")</f>
        <v/>
      </c>
      <c r="K27" s="61" t="str">
        <f ca="1">IFERROR(IF(InputsCS!$G$2="Pupil Numbers",INDEX(INDIRECT(InputsCS!$G$1),12,7),IF(InputsCS!$G$2="Pupil Percentages",INDEX(INDIRECT(InputsCS!$G$1),28,7),"")),"")</f>
        <v/>
      </c>
      <c r="L27" s="61" t="str">
        <f ca="1">IFERROR(IF(InputsCS!$G$2="Pupil Numbers",INDEX(INDIRECT(InputsCS!$G$1),12,8),IF(InputsCS!$G$2="Pupil Percentages",INDEX(INDIRECT(InputsCS!$G$1),28,8),"")),"")</f>
        <v/>
      </c>
      <c r="M27" s="61" t="str">
        <f ca="1">IFERROR(IF(InputsCS!$G$2="Pupil Numbers",INDEX(INDIRECT(InputsCS!$G$1),12,9),IF(InputsCS!$G$2="Pupil Percentages",INDEX(INDIRECT(InputsCS!$G$1),28,9),"")),"")</f>
        <v/>
      </c>
      <c r="N27" s="61" t="str">
        <f ca="1">IFERROR(IF(InputsCS!$G$2="Pupil Numbers",INDEX(INDIRECT(InputsCS!$G$1),12,10),IF(InputsCS!$G$2="Pupil Percentages",INDEX(INDIRECT(InputsCS!$G$1),28,10),"")),"")</f>
        <v/>
      </c>
      <c r="O27" s="61" t="str">
        <f ca="1">IFERROR(IF(InputsCS!$G$2="Pupil Numbers",INDEX(INDIRECT(InputsCS!$G$1),12,11),IF(InputsCS!$G$2="Pupil Percentages",INDEX(INDIRECT(InputsCS!$G$1),28,11),"")),"")</f>
        <v/>
      </c>
      <c r="P27" s="61" t="str">
        <f ca="1">IFERROR(IF(InputsCS!$G$2="Pupil Numbers",INDEX(INDIRECT(InputsCS!$G$1),12,12),IF(InputsCS!$G$2="Pupil Percentages",INDEX(INDIRECT(InputsCS!$G$1),28,12),"")),"")</f>
        <v/>
      </c>
      <c r="Q27" s="61" t="str">
        <f ca="1">IFERROR(IF(InputsCS!$G$2="Pupil Numbers",INDEX(INDIRECT(InputsCS!$G$1),12,13),IF(InputsCS!$G$2="Pupil Percentages",INDEX(INDIRECT(InputsCS!$G$1),28,13),"")),"")</f>
        <v/>
      </c>
      <c r="R27" s="61" t="str">
        <f ca="1">IFERROR(IF(InputsCS!$G$2="Pupil Numbers",INDEX(INDIRECT(InputsCS!$G$1),12,14),IF(InputsCS!$G$2="Pupil Percentages",INDEX(INDIRECT(InputsCS!$G$1),28,14),"")),"")</f>
        <v/>
      </c>
      <c r="S27" s="61" t="str">
        <f ca="1">IFERROR(IF(InputsCS!$G$2="Pupil Numbers",INDEX(INDIRECT(InputsCS!$G$1),12,15),IF(InputsCS!$G$2="Pupil Percentages",INDEX(INDIRECT(InputsCS!$G$1),28,15),"")),"")</f>
        <v/>
      </c>
      <c r="T27" s="61" t="str">
        <f ca="1">IFERROR(IF(InputsCS!$G$2="Pupil Numbers",INDEX(INDIRECT(InputsCS!$G$1),12,16),IF(InputsCS!$G$2="Pupil Percentages",INDEX(INDIRECT(InputsCS!$G$1),28,16),"")),"")</f>
        <v/>
      </c>
      <c r="U27" s="61" t="str">
        <f ca="1">IFERROR(IF(InputsCS!$G$2="Pupil Numbers",INDEX(INDIRECT(InputsCS!$G$1),12,17),IF(InputsCS!$G$2="Pupil Percentages",INDEX(INDIRECT(InputsCS!$G$1),28,17),"")),"")</f>
        <v/>
      </c>
      <c r="V27" s="61" t="str">
        <f ca="1">IFERROR(IF(InputsCS!$G$2="Pupil Numbers",INDEX(INDIRECT(InputsCS!$G$1),12,18),IF(InputsCS!$G$2="Pupil Percentages",INDEX(INDIRECT(InputsCS!$G$1),28,18),"")),"")</f>
        <v/>
      </c>
      <c r="AD27" s="12"/>
      <c r="AF27" s="13"/>
      <c r="AG27" s="13"/>
      <c r="AH27" s="13"/>
      <c r="AI27" s="13"/>
      <c r="AJ27" s="13"/>
      <c r="AK27" s="13"/>
      <c r="AL27" s="13"/>
      <c r="AM27" s="13"/>
      <c r="AN27" s="13"/>
      <c r="AO27" s="13"/>
      <c r="AP27" s="13"/>
      <c r="AQ27" s="13"/>
      <c r="AR27" s="13"/>
      <c r="AS27" s="13"/>
      <c r="AT27" s="13"/>
      <c r="AU27" s="13"/>
      <c r="AV27" s="13"/>
      <c r="AW27" s="13"/>
      <c r="AX27" s="13"/>
      <c r="BC27" s="13"/>
      <c r="BD27" s="13"/>
      <c r="BE27" s="13"/>
      <c r="BF27" s="13"/>
      <c r="BG27" s="21"/>
      <c r="BH27" s="13"/>
      <c r="BI27" s="13"/>
      <c r="BJ27" s="13"/>
      <c r="BK27" s="13"/>
      <c r="BL27" s="13"/>
      <c r="BM27" s="13"/>
      <c r="BN27" s="13"/>
      <c r="BO27" s="13"/>
      <c r="BP27" s="13"/>
      <c r="BQ27" s="13"/>
      <c r="BR27" s="13"/>
      <c r="BS27" s="13"/>
      <c r="BT27" s="13"/>
      <c r="BU27" s="13"/>
      <c r="BV27" s="13"/>
      <c r="BW27" s="13"/>
      <c r="BX27" s="13"/>
      <c r="BY27" s="13"/>
      <c r="BZ27" s="13"/>
      <c r="CA27" s="13"/>
      <c r="CB27" s="13"/>
      <c r="CC27" s="13"/>
      <c r="CD27" s="13"/>
      <c r="CE27" s="13"/>
      <c r="CF27" s="13"/>
      <c r="CG27" s="13"/>
      <c r="CH27" s="13"/>
      <c r="CI27" s="13"/>
      <c r="CJ27" s="13"/>
      <c r="CK27" s="13"/>
      <c r="CL27" s="13"/>
      <c r="CM27" s="13"/>
      <c r="CN27" s="13"/>
      <c r="CO27" s="13"/>
      <c r="CP27" s="13"/>
      <c r="CQ27" s="13"/>
      <c r="CR27" s="13"/>
      <c r="CS27" s="13"/>
      <c r="CT27" s="13"/>
      <c r="CU27" s="13"/>
    </row>
    <row r="28" spans="3:99" ht="15" x14ac:dyDescent="0.45">
      <c r="C28" s="10"/>
      <c r="D28" s="11"/>
      <c r="AD28" s="12"/>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c r="BE28" s="13"/>
      <c r="BF28" s="13"/>
      <c r="BG28" s="16"/>
      <c r="BH28" s="13"/>
      <c r="BI28" s="13"/>
      <c r="BJ28" s="13"/>
      <c r="BK28" s="13"/>
      <c r="BL28" s="13"/>
      <c r="BM28" s="13"/>
      <c r="BN28" s="13"/>
      <c r="BO28" s="13"/>
      <c r="BP28" s="13"/>
      <c r="BQ28" s="13"/>
      <c r="BR28" s="13"/>
      <c r="BS28" s="13"/>
      <c r="BT28" s="13"/>
      <c r="BU28" s="13"/>
      <c r="BV28" s="13"/>
      <c r="BW28" s="13"/>
      <c r="BX28" s="13"/>
      <c r="BY28" s="13"/>
      <c r="BZ28" s="13"/>
      <c r="CA28" s="13"/>
      <c r="CB28" s="13"/>
      <c r="CC28" s="13"/>
      <c r="CD28" s="13"/>
      <c r="CE28" s="13"/>
      <c r="CF28" s="13"/>
      <c r="CG28" s="13"/>
      <c r="CH28" s="13"/>
      <c r="CI28" s="13"/>
      <c r="CJ28" s="13"/>
      <c r="CK28" s="13"/>
      <c r="CL28" s="13"/>
      <c r="CM28" s="13"/>
      <c r="CN28" s="13"/>
      <c r="CO28" s="13"/>
      <c r="CP28" s="13"/>
      <c r="CQ28" s="13"/>
      <c r="CR28" s="13"/>
      <c r="CS28" s="13"/>
      <c r="CT28" s="13"/>
      <c r="CU28" s="13"/>
    </row>
    <row r="29" spans="3:99" ht="14.25" customHeight="1" x14ac:dyDescent="0.45">
      <c r="AD29" s="12"/>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c r="BG29" s="21"/>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3"/>
      <c r="CN29" s="13"/>
      <c r="CO29" s="13"/>
      <c r="CP29" s="13"/>
      <c r="CQ29" s="13"/>
      <c r="CR29" s="13"/>
      <c r="CS29" s="13"/>
      <c r="CT29" s="13"/>
      <c r="CU29" s="13"/>
    </row>
    <row r="30" spans="3:99" ht="14.25" customHeight="1" x14ac:dyDescent="0.45">
      <c r="AD30" s="12"/>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21"/>
      <c r="BH30" s="13"/>
      <c r="BI30" s="13"/>
      <c r="BJ30" s="13"/>
      <c r="BK30" s="13"/>
      <c r="BL30" s="13"/>
      <c r="BM30" s="13"/>
      <c r="BN30" s="13"/>
      <c r="BO30" s="13"/>
      <c r="BP30" s="13"/>
      <c r="BQ30" s="13"/>
      <c r="BR30" s="13"/>
      <c r="BS30" s="13"/>
      <c r="BT30" s="13"/>
      <c r="BU30" s="13"/>
      <c r="BV30" s="13"/>
      <c r="BW30" s="13"/>
      <c r="BX30" s="13"/>
      <c r="BY30" s="13"/>
      <c r="BZ30" s="13"/>
      <c r="CA30" s="13"/>
      <c r="CB30" s="13"/>
      <c r="CC30" s="13"/>
      <c r="CD30" s="13"/>
      <c r="CE30" s="13"/>
      <c r="CF30" s="13"/>
      <c r="CG30" s="13"/>
      <c r="CH30" s="13"/>
      <c r="CI30" s="13"/>
      <c r="CJ30" s="13"/>
      <c r="CK30" s="13"/>
      <c r="CL30" s="13"/>
      <c r="CM30" s="13"/>
      <c r="CN30" s="13"/>
      <c r="CO30" s="13"/>
      <c r="CP30" s="13"/>
      <c r="CQ30" s="13"/>
      <c r="CR30" s="13"/>
      <c r="CS30" s="13"/>
      <c r="CT30" s="13"/>
      <c r="CU30" s="13"/>
    </row>
    <row r="31" spans="3:99" ht="14.25" customHeight="1" x14ac:dyDescent="0.45">
      <c r="AD31" s="12"/>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21"/>
      <c r="BH31" s="13"/>
      <c r="BI31" s="13"/>
      <c r="BJ31" s="13"/>
      <c r="BK31" s="13"/>
      <c r="BL31" s="13"/>
      <c r="BM31" s="13"/>
      <c r="BN31" s="13"/>
      <c r="BO31" s="13"/>
      <c r="BP31" s="13"/>
      <c r="BQ31" s="13"/>
      <c r="BR31" s="13"/>
      <c r="BS31" s="13"/>
      <c r="BT31" s="13"/>
      <c r="BU31" s="13"/>
      <c r="BV31" s="13"/>
      <c r="BW31" s="13"/>
      <c r="BX31" s="13"/>
      <c r="BY31" s="13"/>
      <c r="BZ31" s="13"/>
      <c r="CA31" s="13"/>
      <c r="CB31" s="13"/>
      <c r="CC31" s="13"/>
      <c r="CD31" s="13"/>
      <c r="CE31" s="13"/>
      <c r="CF31" s="13"/>
      <c r="CG31" s="13"/>
      <c r="CH31" s="13"/>
      <c r="CI31" s="13"/>
      <c r="CJ31" s="13"/>
      <c r="CK31" s="13"/>
      <c r="CL31" s="13"/>
      <c r="CM31" s="13"/>
      <c r="CN31" s="13"/>
      <c r="CO31" s="13"/>
      <c r="CP31" s="13"/>
      <c r="CQ31" s="13"/>
      <c r="CR31" s="13"/>
      <c r="CS31" s="13"/>
      <c r="CT31" s="13"/>
      <c r="CU31" s="13"/>
    </row>
    <row r="32" spans="3:99" ht="14.25" customHeight="1" x14ac:dyDescent="0.5">
      <c r="C32" s="15"/>
      <c r="D32" s="15"/>
      <c r="E32" s="15"/>
      <c r="F32" s="15"/>
      <c r="G32" s="15"/>
      <c r="H32" s="15"/>
      <c r="I32" s="15"/>
      <c r="J32" s="15"/>
      <c r="K32" s="15"/>
      <c r="L32" s="15"/>
      <c r="M32" s="15"/>
      <c r="N32" s="15"/>
      <c r="O32" s="15"/>
      <c r="AD32" s="12"/>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21"/>
      <c r="BH32" s="13"/>
      <c r="BI32" s="13"/>
      <c r="BJ32" s="13"/>
      <c r="BK32" s="13"/>
      <c r="BL32" s="13"/>
      <c r="BM32" s="13"/>
      <c r="BN32" s="13"/>
      <c r="BO32" s="13"/>
      <c r="BP32" s="13"/>
      <c r="BQ32" s="13"/>
      <c r="BR32" s="13"/>
      <c r="BS32" s="13"/>
      <c r="BT32" s="13"/>
      <c r="BU32" s="13"/>
      <c r="BV32" s="13"/>
      <c r="BW32" s="13"/>
      <c r="BX32" s="13"/>
      <c r="BY32" s="13"/>
      <c r="BZ32" s="13"/>
      <c r="CA32" s="13"/>
      <c r="CB32" s="13"/>
      <c r="CC32" s="13"/>
      <c r="CD32" s="13"/>
      <c r="CE32" s="13"/>
      <c r="CF32" s="13"/>
      <c r="CG32" s="13"/>
      <c r="CH32" s="13"/>
      <c r="CI32" s="13"/>
      <c r="CJ32" s="13"/>
      <c r="CK32" s="13"/>
      <c r="CL32" s="13"/>
      <c r="CM32" s="13"/>
      <c r="CN32" s="13"/>
      <c r="CO32" s="13"/>
      <c r="CP32" s="13"/>
      <c r="CQ32" s="13"/>
      <c r="CR32" s="13"/>
      <c r="CS32" s="13"/>
      <c r="CT32" s="13"/>
      <c r="CU32" s="13"/>
    </row>
    <row r="33" spans="2:99" ht="17.25" customHeight="1" x14ac:dyDescent="0.5">
      <c r="C33" s="15"/>
      <c r="D33" s="15"/>
      <c r="E33" s="15"/>
      <c r="F33" s="15"/>
      <c r="G33" s="15"/>
      <c r="H33" s="15"/>
      <c r="I33" s="15"/>
      <c r="J33" s="15"/>
      <c r="K33" s="15"/>
      <c r="O33" s="15"/>
      <c r="AD33" s="12"/>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c r="BG33" s="21"/>
      <c r="BH33" s="13"/>
      <c r="BI33" s="13"/>
      <c r="BJ33" s="13"/>
      <c r="BK33" s="13"/>
      <c r="BL33" s="13"/>
      <c r="BM33" s="13"/>
      <c r="BN33" s="13"/>
      <c r="BO33" s="13"/>
      <c r="BP33" s="13"/>
      <c r="BQ33" s="13"/>
      <c r="BR33" s="13"/>
      <c r="BS33" s="13"/>
      <c r="BT33" s="13"/>
      <c r="BU33" s="13"/>
      <c r="BV33" s="13"/>
      <c r="BW33" s="13"/>
      <c r="BX33" s="13"/>
      <c r="BY33" s="13"/>
      <c r="BZ33" s="13"/>
      <c r="CA33" s="13"/>
      <c r="CB33" s="13"/>
      <c r="CC33" s="13"/>
      <c r="CD33" s="13"/>
      <c r="CE33" s="13"/>
      <c r="CF33" s="13"/>
      <c r="CG33" s="13"/>
      <c r="CH33" s="13"/>
      <c r="CI33" s="13"/>
      <c r="CJ33" s="13"/>
      <c r="CK33" s="13"/>
      <c r="CL33" s="13"/>
      <c r="CM33" s="13"/>
      <c r="CN33" s="13"/>
      <c r="CO33" s="13"/>
      <c r="CP33" s="13"/>
      <c r="CQ33" s="13"/>
      <c r="CR33" s="13"/>
      <c r="CS33" s="13"/>
      <c r="CT33" s="13"/>
      <c r="CU33" s="13"/>
    </row>
    <row r="34" spans="2:99" ht="14.25" customHeight="1" x14ac:dyDescent="0.45">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c r="BG34" s="21"/>
      <c r="BH34" s="13"/>
      <c r="BI34" s="13"/>
      <c r="BJ34" s="13"/>
      <c r="BK34" s="13"/>
      <c r="BL34" s="13"/>
      <c r="BM34" s="13"/>
      <c r="BN34" s="13"/>
      <c r="BO34" s="13"/>
      <c r="BP34" s="13"/>
      <c r="BQ34" s="13"/>
      <c r="BR34" s="13"/>
      <c r="BS34" s="13"/>
      <c r="BT34" s="13"/>
      <c r="BU34" s="13"/>
      <c r="BV34" s="13"/>
      <c r="BW34" s="13"/>
      <c r="BX34" s="13"/>
      <c r="BY34" s="13"/>
      <c r="BZ34" s="13"/>
      <c r="CA34" s="13"/>
      <c r="CB34" s="13"/>
      <c r="CC34" s="13"/>
      <c r="CD34" s="13"/>
      <c r="CE34" s="13"/>
      <c r="CF34" s="13"/>
      <c r="CG34" s="13"/>
      <c r="CH34" s="13"/>
      <c r="CI34" s="13"/>
      <c r="CJ34" s="13"/>
      <c r="CK34" s="13"/>
      <c r="CL34" s="13"/>
      <c r="CM34" s="13"/>
      <c r="CN34" s="13"/>
      <c r="CO34" s="13"/>
      <c r="CP34" s="13"/>
      <c r="CQ34" s="13"/>
      <c r="CR34" s="13"/>
      <c r="CS34" s="13"/>
      <c r="CT34" s="13"/>
      <c r="CU34" s="13"/>
    </row>
    <row r="35" spans="2:99" ht="23.85" customHeight="1" x14ac:dyDescent="0.5">
      <c r="B35" s="8" t="s">
        <v>52</v>
      </c>
      <c r="P35" s="15"/>
      <c r="Q35" s="15"/>
      <c r="R35" s="15"/>
      <c r="V35" s="15"/>
      <c r="W35" s="15"/>
      <c r="X35" s="15"/>
      <c r="Y35" s="15"/>
      <c r="Z35" s="15"/>
      <c r="AA35" s="15"/>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c r="BG35" s="21"/>
      <c r="BH35" s="13"/>
      <c r="BI35" s="13"/>
      <c r="BJ35" s="13"/>
      <c r="BK35" s="13"/>
      <c r="BL35" s="13"/>
      <c r="BM35" s="13"/>
      <c r="BN35" s="13"/>
      <c r="BO35" s="13"/>
      <c r="BP35" s="13"/>
      <c r="BQ35" s="13"/>
      <c r="BR35" s="13"/>
      <c r="BS35" s="13"/>
      <c r="BT35" s="13"/>
      <c r="BU35" s="13"/>
      <c r="BV35" s="13"/>
      <c r="BW35" s="13"/>
      <c r="BX35" s="13"/>
      <c r="BY35" s="13"/>
      <c r="BZ35" s="13"/>
      <c r="CA35" s="13"/>
      <c r="CB35" s="13"/>
      <c r="CC35" s="13"/>
      <c r="CD35" s="13"/>
      <c r="CE35" s="13"/>
      <c r="CF35" s="13"/>
      <c r="CG35" s="13"/>
      <c r="CH35" s="13"/>
      <c r="CI35" s="13"/>
      <c r="CJ35" s="13"/>
      <c r="CK35" s="13"/>
      <c r="CL35" s="13"/>
      <c r="CM35" s="13"/>
      <c r="CN35" s="13"/>
      <c r="CO35" s="13"/>
      <c r="CP35" s="13"/>
      <c r="CQ35" s="13"/>
      <c r="CR35" s="13"/>
      <c r="CS35" s="13"/>
      <c r="CT35" s="13"/>
      <c r="CU35" s="13"/>
    </row>
    <row r="36" spans="2:99" ht="14.25" customHeight="1" x14ac:dyDescent="0.45">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c r="BG36" s="21"/>
      <c r="BH36" s="13"/>
      <c r="BI36" s="13"/>
      <c r="BJ36" s="13"/>
      <c r="BK36" s="13"/>
      <c r="BL36" s="13"/>
      <c r="BM36" s="13"/>
      <c r="BN36" s="13"/>
      <c r="BO36" s="13"/>
      <c r="BP36" s="13"/>
      <c r="BQ36" s="13"/>
      <c r="BR36" s="13"/>
      <c r="BS36" s="13"/>
      <c r="BT36" s="13"/>
      <c r="BU36" s="13"/>
      <c r="BV36" s="13"/>
      <c r="BW36" s="13"/>
      <c r="BX36" s="13"/>
      <c r="BY36" s="13"/>
      <c r="BZ36" s="13"/>
      <c r="CA36" s="13"/>
      <c r="CB36" s="13"/>
      <c r="CC36" s="13"/>
      <c r="CD36" s="13"/>
      <c r="CE36" s="13"/>
      <c r="CF36" s="13"/>
      <c r="CG36" s="13"/>
      <c r="CH36" s="13"/>
      <c r="CI36" s="13"/>
      <c r="CJ36" s="13"/>
      <c r="CK36" s="13"/>
      <c r="CL36" s="13"/>
      <c r="CM36" s="13"/>
      <c r="CN36" s="13"/>
      <c r="CO36" s="13"/>
      <c r="CP36" s="13"/>
      <c r="CQ36" s="13"/>
      <c r="CR36" s="13"/>
      <c r="CS36" s="13"/>
      <c r="CT36" s="13"/>
      <c r="CU36" s="13"/>
    </row>
    <row r="37" spans="2:99" ht="23.85" customHeight="1" x14ac:dyDescent="0.5">
      <c r="B37" s="8" t="s">
        <v>53</v>
      </c>
      <c r="G37" s="15"/>
      <c r="Q37" s="1"/>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c r="BG37" s="21"/>
      <c r="BH37" s="13"/>
      <c r="BI37" s="13"/>
      <c r="BJ37" s="13"/>
      <c r="BK37" s="13"/>
      <c r="BL37" s="13"/>
      <c r="BM37" s="13"/>
      <c r="BN37" s="13"/>
      <c r="BO37" s="13"/>
      <c r="BP37" s="13"/>
      <c r="BQ37" s="13"/>
      <c r="BR37" s="13"/>
      <c r="BS37" s="13"/>
      <c r="BT37" s="13"/>
      <c r="BU37" s="13"/>
      <c r="BV37" s="13"/>
      <c r="BW37" s="13"/>
      <c r="BX37" s="13"/>
      <c r="BY37" s="13"/>
      <c r="BZ37" s="13"/>
      <c r="CA37" s="13"/>
      <c r="CB37" s="13"/>
      <c r="CC37" s="13"/>
      <c r="CD37" s="13"/>
      <c r="CE37" s="13"/>
      <c r="CF37" s="13"/>
      <c r="CG37" s="13"/>
      <c r="CH37" s="13"/>
      <c r="CI37" s="13"/>
      <c r="CJ37" s="13"/>
      <c r="CK37" s="13"/>
      <c r="CL37" s="13"/>
      <c r="CM37" s="13"/>
      <c r="CN37" s="13"/>
      <c r="CO37" s="13"/>
      <c r="CP37" s="13"/>
      <c r="CQ37" s="13"/>
      <c r="CR37" s="13"/>
      <c r="CS37" s="13"/>
      <c r="CT37" s="13"/>
      <c r="CU37" s="13"/>
    </row>
    <row r="38" spans="2:99" ht="14.25" customHeight="1" x14ac:dyDescent="0.45">
      <c r="Q38" s="1"/>
      <c r="AE38" s="14"/>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c r="BG38" s="21"/>
      <c r="BH38" s="13"/>
      <c r="BI38" s="13"/>
      <c r="BJ38" s="13"/>
      <c r="BK38" s="13"/>
      <c r="BL38" s="13"/>
      <c r="BM38" s="13"/>
      <c r="BN38" s="13"/>
      <c r="BO38" s="13"/>
      <c r="BP38" s="13"/>
      <c r="BQ38" s="13"/>
      <c r="BR38" s="13"/>
      <c r="BS38" s="13"/>
      <c r="BT38" s="13"/>
      <c r="BU38" s="13"/>
      <c r="BV38" s="13"/>
      <c r="BW38" s="13"/>
      <c r="BX38" s="13"/>
      <c r="BY38" s="13"/>
      <c r="BZ38" s="13"/>
      <c r="CA38" s="13"/>
      <c r="CB38" s="13"/>
      <c r="CC38" s="13"/>
      <c r="CD38" s="13"/>
      <c r="CE38" s="13"/>
      <c r="CF38" s="13"/>
      <c r="CG38" s="13"/>
      <c r="CH38" s="13"/>
      <c r="CI38" s="13"/>
      <c r="CJ38" s="13"/>
      <c r="CK38" s="13"/>
      <c r="CL38" s="13"/>
      <c r="CM38" s="13"/>
      <c r="CN38" s="13"/>
      <c r="CO38" s="13"/>
      <c r="CP38" s="13"/>
      <c r="CQ38" s="13"/>
      <c r="CR38" s="13"/>
      <c r="CS38" s="13"/>
      <c r="CT38" s="13"/>
      <c r="CU38" s="13"/>
    </row>
    <row r="39" spans="2:99" ht="23.85" customHeight="1" x14ac:dyDescent="0.45">
      <c r="B39" s="8" t="s">
        <v>57</v>
      </c>
      <c r="AE39" s="14"/>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c r="BE39" s="13"/>
      <c r="BF39" s="13"/>
      <c r="BG39" s="21"/>
      <c r="BH39" s="13"/>
      <c r="BI39" s="13"/>
      <c r="BJ39" s="13"/>
      <c r="BK39" s="13"/>
      <c r="BL39" s="13"/>
      <c r="BM39" s="13"/>
      <c r="BN39" s="13"/>
      <c r="BO39" s="13"/>
      <c r="BP39" s="13"/>
      <c r="BQ39" s="13"/>
      <c r="BR39" s="13"/>
      <c r="BS39" s="13"/>
      <c r="BT39" s="13"/>
      <c r="BU39" s="13"/>
      <c r="BV39" s="13"/>
      <c r="BW39" s="13"/>
      <c r="BX39" s="13"/>
      <c r="BY39" s="13"/>
      <c r="BZ39" s="13"/>
      <c r="CA39" s="13"/>
      <c r="CB39" s="13"/>
      <c r="CC39" s="13"/>
      <c r="CD39" s="13"/>
      <c r="CE39" s="13"/>
      <c r="CF39" s="13"/>
      <c r="CG39" s="13"/>
      <c r="CH39" s="13"/>
      <c r="CI39" s="13"/>
      <c r="CJ39" s="13"/>
      <c r="CK39" s="13"/>
      <c r="CL39" s="13"/>
      <c r="CM39" s="13"/>
      <c r="CN39" s="13"/>
      <c r="CO39" s="13"/>
      <c r="CP39" s="13"/>
      <c r="CQ39" s="13"/>
      <c r="CR39" s="13"/>
      <c r="CS39" s="13"/>
      <c r="CT39" s="13"/>
      <c r="CU39" s="13"/>
    </row>
    <row r="40" spans="2:99" ht="24" customHeight="1" x14ac:dyDescent="0.45">
      <c r="D40" s="5"/>
      <c r="E40" s="5"/>
      <c r="AM40" s="13"/>
      <c r="AN40" s="13"/>
      <c r="AO40" s="13"/>
      <c r="AP40" s="13"/>
      <c r="AQ40" s="13"/>
      <c r="AR40" s="13"/>
      <c r="AS40" s="13"/>
      <c r="AT40" s="13"/>
      <c r="AU40" s="13"/>
      <c r="AV40" s="13"/>
      <c r="AW40" s="13"/>
      <c r="AX40" s="13"/>
      <c r="AY40" s="13"/>
      <c r="AZ40" s="13"/>
      <c r="BA40" s="13"/>
      <c r="BB40" s="13"/>
      <c r="BC40" s="13"/>
      <c r="BD40" s="13"/>
      <c r="BE40" s="13"/>
      <c r="BF40" s="13"/>
      <c r="BG40" s="21"/>
      <c r="BH40" s="13"/>
      <c r="BI40" s="13"/>
      <c r="BJ40" s="13"/>
      <c r="BK40" s="13"/>
      <c r="BL40" s="13"/>
      <c r="BM40" s="13"/>
      <c r="BN40" s="13"/>
      <c r="BO40" s="13"/>
      <c r="BP40" s="13"/>
      <c r="BQ40" s="13"/>
      <c r="BR40" s="13"/>
      <c r="BS40" s="13"/>
      <c r="BT40" s="13"/>
      <c r="BU40" s="13"/>
      <c r="BV40" s="13"/>
      <c r="BW40" s="13"/>
      <c r="BX40" s="13"/>
      <c r="BY40" s="13"/>
      <c r="BZ40" s="13"/>
      <c r="CA40" s="13"/>
      <c r="CB40" s="13"/>
      <c r="CC40" s="13"/>
      <c r="CD40" s="13"/>
      <c r="CE40" s="13"/>
      <c r="CF40" s="13"/>
      <c r="CG40" s="13"/>
      <c r="CH40" s="13"/>
      <c r="CI40" s="13"/>
      <c r="CJ40" s="13"/>
      <c r="CK40" s="13"/>
      <c r="CL40" s="13"/>
      <c r="CM40" s="13"/>
      <c r="CN40" s="13"/>
      <c r="CO40" s="13"/>
      <c r="CP40" s="13"/>
      <c r="CQ40" s="13"/>
      <c r="CR40" s="13"/>
      <c r="CS40" s="13"/>
      <c r="CT40" s="13"/>
      <c r="CU40" s="13"/>
    </row>
    <row r="41" spans="2:99" ht="20.65" customHeight="1" x14ac:dyDescent="0.5">
      <c r="E41" s="5" t="str">
        <f>IF($AA$47="Gender","Female",IF($AA$47="Disadvantage","Disadvantaged",IF($AA$47="SEN","SEN",IF($AA$47="EAL","EAL",""))))&amp;" Pupils"</f>
        <v>Female Pupils</v>
      </c>
      <c r="F41" s="5"/>
      <c r="G41" s="19"/>
      <c r="H41" s="19"/>
      <c r="I41" s="19"/>
      <c r="J41" s="19"/>
      <c r="K41" s="19"/>
      <c r="L41" s="19"/>
      <c r="AE41" s="14"/>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21"/>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row>
    <row r="42" spans="2:99" ht="18" customHeight="1" x14ac:dyDescent="0.55000000000000004">
      <c r="C42" s="122" t="str">
        <f>IF(InputsCS!$I$2="Pupil Numbers","Pupil Numbers",IF(InputsCS!$I$2="Pupil Percentages","Pupil Percentages",""))</f>
        <v/>
      </c>
      <c r="D42" s="122"/>
      <c r="E42" s="58"/>
      <c r="F42" s="58"/>
      <c r="G42" s="58"/>
      <c r="H42" s="58"/>
      <c r="I42" s="58"/>
      <c r="J42" s="58"/>
      <c r="K42" s="58"/>
      <c r="L42" s="58"/>
      <c r="M42" s="58"/>
      <c r="N42" s="63"/>
      <c r="AN42" s="13"/>
      <c r="AO42" s="13"/>
      <c r="AP42" s="13"/>
      <c r="AQ42" s="13"/>
      <c r="AR42" s="13"/>
      <c r="AS42" s="13"/>
      <c r="AT42" s="13"/>
      <c r="AU42" s="13"/>
      <c r="AV42" s="13"/>
      <c r="AW42" s="13"/>
      <c r="AX42" s="13"/>
      <c r="AY42" s="13"/>
      <c r="AZ42" s="13"/>
      <c r="BA42" s="13"/>
      <c r="BB42" s="13"/>
      <c r="BC42" s="13"/>
      <c r="BD42" s="13"/>
      <c r="BE42" s="13"/>
      <c r="BF42" s="13"/>
      <c r="BG42" s="23"/>
      <c r="BH42" s="13"/>
      <c r="BI42" s="13"/>
      <c r="BJ42" s="13"/>
      <c r="BK42" s="13"/>
      <c r="BL42" s="13"/>
      <c r="BM42" s="13"/>
      <c r="BN42" s="13"/>
      <c r="BO42" s="13"/>
      <c r="BP42" s="13"/>
      <c r="BQ42" s="13"/>
      <c r="BR42" s="13"/>
      <c r="BS42" s="13"/>
      <c r="BT42" s="13"/>
      <c r="BU42" s="13"/>
      <c r="BV42" s="13"/>
      <c r="BW42" s="13"/>
      <c r="BX42" s="13"/>
      <c r="BY42" s="13"/>
      <c r="BZ42" s="13"/>
      <c r="CA42" s="13"/>
      <c r="CB42" s="13"/>
      <c r="CC42" s="13"/>
      <c r="CD42" s="13"/>
      <c r="CE42" s="13"/>
      <c r="CF42" s="13"/>
      <c r="CG42" s="13"/>
      <c r="CH42" s="13"/>
      <c r="CI42" s="13"/>
      <c r="CJ42" s="13"/>
      <c r="CK42" s="13"/>
      <c r="CL42" s="13"/>
      <c r="CM42" s="13"/>
      <c r="CN42" s="13"/>
      <c r="CO42" s="13"/>
      <c r="CP42" s="13"/>
      <c r="CQ42" s="13"/>
      <c r="CR42" s="13"/>
      <c r="CS42" s="13"/>
      <c r="CT42" s="13"/>
      <c r="CU42" s="13"/>
    </row>
    <row r="43" spans="2:99" ht="36" customHeight="1" x14ac:dyDescent="0.45">
      <c r="C43" s="122"/>
      <c r="D43" s="122"/>
      <c r="E43" s="93" t="s">
        <v>106</v>
      </c>
      <c r="F43" s="94"/>
      <c r="G43" s="94"/>
      <c r="H43" s="94"/>
      <c r="I43" s="95"/>
      <c r="J43" s="94"/>
      <c r="K43" s="94"/>
      <c r="L43" s="94"/>
      <c r="M43" s="94"/>
      <c r="N43" s="96"/>
      <c r="O43" s="96"/>
      <c r="P43" s="96"/>
      <c r="Q43" s="96"/>
      <c r="R43" s="96"/>
      <c r="S43" s="96"/>
      <c r="T43" s="96"/>
      <c r="U43" s="96"/>
      <c r="V43" s="97"/>
      <c r="AE43" s="13"/>
      <c r="AF43" s="13"/>
      <c r="AG43" s="13"/>
      <c r="AH43" s="13"/>
      <c r="AI43" s="13"/>
      <c r="AJ43" s="13"/>
      <c r="AK43" s="13"/>
      <c r="AL43" s="13"/>
      <c r="AM43" s="13"/>
      <c r="AN43" s="13"/>
      <c r="AO43" s="13"/>
      <c r="AP43" s="13"/>
      <c r="AQ43" s="13"/>
      <c r="AR43" s="13"/>
      <c r="AS43" s="13"/>
      <c r="AT43" s="13"/>
      <c r="AU43" s="13"/>
      <c r="AV43" s="13"/>
      <c r="AW43" s="13"/>
      <c r="AX43" s="13"/>
    </row>
    <row r="44" spans="2:99" ht="20.100000000000001" customHeight="1" x14ac:dyDescent="0.45">
      <c r="C44" s="123"/>
      <c r="D44" s="123"/>
      <c r="E44" s="98" t="s">
        <v>0</v>
      </c>
      <c r="F44" s="98">
        <v>11</v>
      </c>
      <c r="G44" s="98">
        <v>21</v>
      </c>
      <c r="H44" s="98">
        <v>22</v>
      </c>
      <c r="I44" s="98">
        <v>32</v>
      </c>
      <c r="J44" s="98">
        <v>33</v>
      </c>
      <c r="K44" s="98">
        <v>43</v>
      </c>
      <c r="L44" s="98">
        <v>44</v>
      </c>
      <c r="M44" s="98">
        <v>54</v>
      </c>
      <c r="N44" s="98">
        <v>55</v>
      </c>
      <c r="O44" s="98">
        <v>65</v>
      </c>
      <c r="P44" s="98">
        <v>66</v>
      </c>
      <c r="Q44" s="98">
        <v>76</v>
      </c>
      <c r="R44" s="98">
        <v>77</v>
      </c>
      <c r="S44" s="98">
        <v>87</v>
      </c>
      <c r="T44" s="98">
        <v>88</v>
      </c>
      <c r="U44" s="98">
        <v>98</v>
      </c>
      <c r="V44" s="98">
        <v>99</v>
      </c>
      <c r="X44" s="20"/>
      <c r="Y44" s="20"/>
      <c r="Z44" s="20"/>
      <c r="AA44" s="20"/>
      <c r="AB44" s="20"/>
      <c r="AC44" s="20"/>
      <c r="AE44" s="13"/>
      <c r="AF44" s="13"/>
      <c r="AG44" s="13"/>
      <c r="AH44" s="13"/>
      <c r="AI44" s="13"/>
      <c r="AJ44" s="13"/>
      <c r="AK44" s="13"/>
      <c r="AL44" s="13"/>
      <c r="AM44" s="13"/>
      <c r="AN44" s="13"/>
      <c r="AO44" s="13"/>
      <c r="AP44" s="13"/>
      <c r="AQ44" s="13"/>
      <c r="AR44" s="13"/>
      <c r="AS44" s="13"/>
      <c r="AT44" s="13"/>
      <c r="AU44" s="13"/>
      <c r="AV44" s="13"/>
      <c r="AW44" s="13"/>
      <c r="AX44" s="13"/>
    </row>
    <row r="45" spans="2:99" ht="23.1" customHeight="1" x14ac:dyDescent="0.5">
      <c r="C45" s="119" t="s">
        <v>13</v>
      </c>
      <c r="D45" s="60" t="s">
        <v>1</v>
      </c>
      <c r="E45" s="61" t="str">
        <f ca="1">IFERROR(IF(InputsCS!$I$1="Please Select","",IF(InputsCS!$I$2="Please Select","",IF(InputsCS!$I$1="","",IF(InputsCS!$I$2="","",IF(InputsCS!$I$2="Pupil Numbers",IF('KS2-4 Combined Science TMs'!$AA$47="Gender",INDEX(INDIRECT(InputsCS!$I$1),1,23),IF('KS2-4 Combined Science TMs'!$AA$47="disadvantage",INDEX(INDIRECT(InputsCS!$I$1),1,67),IF('KS2-4 Combined Science TMs'!$AA$47="sen",INDEX(INDIRECT(InputsCS!$I$1),1,111),IF('KS2-4 Combined Science TMs'!$AA$47="eal",INDEX(INDIRECT(InputsCS!$I$1),1,155),"")))),IF(InputsCS!$I$2="Pupil Percentages",IF('KS2-4 Combined Science TMs'!$AA$47="Gender",INDEX(INDIRECT(InputsCS!$I$1),17,23),IF('KS2-4 Combined Science TMs'!$AA$47="disadvantage",INDEX(INDIRECT(InputsCS!$I$1),17,67),IF('KS2-4 Combined Science TMs'!$AA$47="sen",INDEX(INDIRECT(InputsCS!$I$1),17,111),IF('KS2-4 Combined Science TMs'!$AA$47="eal",INDEX(INDIRECT(InputsCS!$I$1),17,155),"")))))))))),"")</f>
        <v/>
      </c>
      <c r="F45" s="61" t="str">
        <f ca="1">IFERROR(IF(InputsCS!$I$1="Please Select","",IF(InputsCS!$I$2="Please Select","",IF(InputsCS!$I$1="","",IF(InputsCS!$I$2="","",IF(InputsCS!$I$2="Pupil Numbers",IF('KS2-4 Combined Science TMs'!$AA$47="Gender",INDEX(INDIRECT(InputsCS!$I$1),1,24),IF('KS2-4 Combined Science TMs'!$AA$47="disadvantage",INDEX(INDIRECT(InputsCS!$I$1),1,68),IF('KS2-4 Combined Science TMs'!$AA$47="sen",INDEX(INDIRECT(InputsCS!$I$1),1,112),IF('KS2-4 Combined Science TMs'!$AA$47="eal",INDEX(INDIRECT(InputsCS!$I$1),1,156),"")))),IF(InputsCS!$I$2="Pupil Percentages",IF('KS2-4 Combined Science TMs'!$AA$47="Gender",INDEX(INDIRECT(InputsCS!$I$1),17,24),IF('KS2-4 Combined Science TMs'!$AA$47="disadvantage",INDEX(INDIRECT(InputsCS!$I$1),17,68),IF('KS2-4 Combined Science TMs'!$AA$47="sen",INDEX(INDIRECT(InputsCS!$I$1),17,112),IF('KS2-4 Combined Science TMs'!$AA$47="eal",INDEX(INDIRECT(InputsCS!$I$1),17,156),"")))))))))),"")</f>
        <v/>
      </c>
      <c r="G45" s="61" t="str">
        <f ca="1">IFERROR(IF(InputsCS!$I$1="Please Select","",IF(InputsCS!$I$2="Please Select","",IF(InputsCS!$I$1="","",IF(InputsCS!$I$2="","",IF(InputsCS!$I$2="Pupil Numbers",IF('KS2-4 Combined Science TMs'!$AA$47="Gender",INDEX(INDIRECT(InputsCS!$I$1),1,25),IF('KS2-4 Combined Science TMs'!$AA$47="disadvantage",INDEX(INDIRECT(InputsCS!$I$1),1,69),IF('KS2-4 Combined Science TMs'!$AA$47="sen",INDEX(INDIRECT(InputsCS!$I$1),1,113),IF('KS2-4 Combined Science TMs'!$AA$47="eal",INDEX(INDIRECT(InputsCS!$I$1),1,157),"")))),IF(InputsCS!$I$2="Pupil Percentages",IF('KS2-4 Combined Science TMs'!$AA$47="Gender",INDEX(INDIRECT(InputsCS!$I$1),17,25),IF('KS2-4 Combined Science TMs'!$AA$47="disadvantage",INDEX(INDIRECT(InputsCS!$I$1),17,69),IF('KS2-4 Combined Science TMs'!$AA$47="sen",INDEX(INDIRECT(InputsCS!$I$1),17,113),IF('KS2-4 Combined Science TMs'!$AA$47="eal",INDEX(INDIRECT(InputsCS!$I$1),17,157),"")))))))))),"")</f>
        <v/>
      </c>
      <c r="H45" s="61" t="str">
        <f ca="1">IFERROR(IF(InputsCS!$I$1="Please Select","",IF(InputsCS!$I$2="Please Select","",IF(InputsCS!$I$1="","",IF(InputsCS!$I$2="","",IF(InputsCS!$I$2="Pupil Numbers",IF('KS2-4 Combined Science TMs'!$AA$47="Gender",INDEX(INDIRECT(InputsCS!$I$1),1,26),IF('KS2-4 Combined Science TMs'!$AA$47="disadvantage",INDEX(INDIRECT(InputsCS!$I$1),1,70),IF('KS2-4 Combined Science TMs'!$AA$47="sen",INDEX(INDIRECT(InputsCS!$I$1),1,114),IF('KS2-4 Combined Science TMs'!$AA$47="eal",INDEX(INDIRECT(InputsCS!$I$1),1,158),"")))),IF(InputsCS!$I$2="Pupil Percentages",IF('KS2-4 Combined Science TMs'!$AA$47="Gender",INDEX(INDIRECT(InputsCS!$I$1),17,26),IF('KS2-4 Combined Science TMs'!$AA$47="disadvantage",INDEX(INDIRECT(InputsCS!$I$1),17,70),IF('KS2-4 Combined Science TMs'!$AA$47="sen",INDEX(INDIRECT(InputsCS!$I$1),17,114),IF('KS2-4 Combined Science TMs'!$AA$47="eal",INDEX(INDIRECT(InputsCS!$I$1),17,158),"")))))))))),"")</f>
        <v/>
      </c>
      <c r="I45" s="61" t="str">
        <f ca="1">IFERROR(IF(InputsCS!$I$1="Please Select","",IF(InputsCS!$I$2="Please Select","",IF(InputsCS!$I$1="","",IF(InputsCS!$I$2="","",IF(InputsCS!$I$2="Pupil Numbers",IF('KS2-4 Combined Science TMs'!$AA$47="Gender",INDEX(INDIRECT(InputsCS!$I$1),1,27),IF('KS2-4 Combined Science TMs'!$AA$47="disadvantage",INDEX(INDIRECT(InputsCS!$I$1),1,71),IF('KS2-4 Combined Science TMs'!$AA$47="sen",INDEX(INDIRECT(InputsCS!$I$1),1,115),IF('KS2-4 Combined Science TMs'!$AA$47="eal",INDEX(INDIRECT(InputsCS!$I$1),1,159),"")))),IF(InputsCS!$I$2="Pupil Percentages",IF('KS2-4 Combined Science TMs'!$AA$47="Gender",INDEX(INDIRECT(InputsCS!$I$1),17,27),IF('KS2-4 Combined Science TMs'!$AA$47="disadvantage",INDEX(INDIRECT(InputsCS!$I$1),17,71),IF('KS2-4 Combined Science TMs'!$AA$47="sen",INDEX(INDIRECT(InputsCS!$I$1),17,115),IF('KS2-4 Combined Science TMs'!$AA$47="eal",INDEX(INDIRECT(InputsCS!$I$1),17,159),"")))))))))),"")</f>
        <v/>
      </c>
      <c r="J45" s="61" t="str">
        <f ca="1">IFERROR(IF(InputsCS!$I$1="Please Select","",IF(InputsCS!$I$2="Please Select","",IF(InputsCS!$I$1="","",IF(InputsCS!$I$2="","",IF(InputsCS!$I$2="Pupil Numbers",IF('KS2-4 Combined Science TMs'!$AA$47="Gender",INDEX(INDIRECT(InputsCS!$I$1),1,28),IF('KS2-4 Combined Science TMs'!$AA$47="disadvantage",INDEX(INDIRECT(InputsCS!$I$1),1,72),IF('KS2-4 Combined Science TMs'!$AA$47="sen",INDEX(INDIRECT(InputsCS!$I$1),1,116),IF('KS2-4 Combined Science TMs'!$AA$47="eal",INDEX(INDIRECT(InputsCS!$I$1),1,160),"")))),IF(InputsCS!$I$2="Pupil Percentages",IF('KS2-4 Combined Science TMs'!$AA$47="Gender",INDEX(INDIRECT(InputsCS!$I$1),17,28),IF('KS2-4 Combined Science TMs'!$AA$47="disadvantage",INDEX(INDIRECT(InputsCS!$I$1),17,72),IF('KS2-4 Combined Science TMs'!$AA$47="sen",INDEX(INDIRECT(InputsCS!$I$1),17,116),IF('KS2-4 Combined Science TMs'!$AA$47="eal",INDEX(INDIRECT(InputsCS!$I$1),17,160),"")))))))))),"")</f>
        <v/>
      </c>
      <c r="K45" s="61" t="str">
        <f ca="1">IFERROR(IF(InputsCS!$I$1="Please Select","",IF(InputsCS!$I$2="Please Select","",IF(InputsCS!$I$1="","",IF(InputsCS!$I$2="","",IF(InputsCS!$I$2="Pupil Numbers",IF('KS2-4 Combined Science TMs'!$AA$47="Gender",INDEX(INDIRECT(InputsCS!$I$1),1,29),IF('KS2-4 Combined Science TMs'!$AA$47="disadvantage",INDEX(INDIRECT(InputsCS!$I$1),1,73),IF('KS2-4 Combined Science TMs'!$AA$47="sen",INDEX(INDIRECT(InputsCS!$I$1),1,117),IF('KS2-4 Combined Science TMs'!$AA$47="eal",INDEX(INDIRECT(InputsCS!$I$1),1,161),"")))),IF(InputsCS!$I$2="Pupil Percentages",IF('KS2-4 Combined Science TMs'!$AA$47="Gender",INDEX(INDIRECT(InputsCS!$I$1),17,29),IF('KS2-4 Combined Science TMs'!$AA$47="disadvantage",INDEX(INDIRECT(InputsCS!$I$1),17,73),IF('KS2-4 Combined Science TMs'!$AA$47="sen",INDEX(INDIRECT(InputsCS!$I$1),17,117),IF('KS2-4 Combined Science TMs'!$AA$47="eal",INDEX(INDIRECT(InputsCS!$I$1),17,161),"")))))))))),"")</f>
        <v/>
      </c>
      <c r="L45" s="61" t="str">
        <f ca="1">IFERROR(IF(InputsCS!$I$1="Please Select","",IF(InputsCS!$I$2="Please Select","",IF(InputsCS!$I$1="","",IF(InputsCS!$I$2="","",IF(InputsCS!$I$2="Pupil Numbers",IF('KS2-4 Combined Science TMs'!$AA$47="Gender",INDEX(INDIRECT(InputsCS!$I$1),1,30),IF('KS2-4 Combined Science TMs'!$AA$47="disadvantage",INDEX(INDIRECT(InputsCS!$I$1),1,74),IF('KS2-4 Combined Science TMs'!$AA$47="sen",INDEX(INDIRECT(InputsCS!$I$1),1,118),IF('KS2-4 Combined Science TMs'!$AA$47="eal",INDEX(INDIRECT(InputsCS!$I$1),1,162),"")))),IF(InputsCS!$I$2="Pupil Percentages",IF('KS2-4 Combined Science TMs'!$AA$47="Gender",INDEX(INDIRECT(InputsCS!$I$1),17,30),IF('KS2-4 Combined Science TMs'!$AA$47="disadvantage",INDEX(INDIRECT(InputsCS!$I$1),17,74),IF('KS2-4 Combined Science TMs'!$AA$47="sen",INDEX(INDIRECT(InputsCS!$I$1),17,118),IF('KS2-4 Combined Science TMs'!$AA$47="eal",INDEX(INDIRECT(InputsCS!$I$1),17,162),"")))))))))),"")</f>
        <v/>
      </c>
      <c r="M45" s="61" t="str">
        <f ca="1">IFERROR(IF(InputsCS!$I$1="Please Select","",IF(InputsCS!$I$2="Please Select","",IF(InputsCS!$I$1="","",IF(InputsCS!$I$2="","",IF(InputsCS!$I$2="Pupil Numbers",IF('KS2-4 Combined Science TMs'!$AA$47="Gender",INDEX(INDIRECT(InputsCS!$I$1),1,31),IF('KS2-4 Combined Science TMs'!$AA$47="disadvantage",INDEX(INDIRECT(InputsCS!$I$1),1,75),IF('KS2-4 Combined Science TMs'!$AA$47="sen",INDEX(INDIRECT(InputsCS!$I$1),1,119),IF('KS2-4 Combined Science TMs'!$AA$47="eal",INDEX(INDIRECT(InputsCS!$I$1),1,163),"")))),IF(InputsCS!$I$2="Pupil Percentages",IF('KS2-4 Combined Science TMs'!$AA$47="Gender",INDEX(INDIRECT(InputsCS!$I$1),17,31),IF('KS2-4 Combined Science TMs'!$AA$47="disadvantage",INDEX(INDIRECT(InputsCS!$I$1),17,75),IF('KS2-4 Combined Science TMs'!$AA$47="sen",INDEX(INDIRECT(InputsCS!$I$1),17,119),IF('KS2-4 Combined Science TMs'!$AA$47="eal",INDEX(INDIRECT(InputsCS!$I$1),17,163),"")))))))))),"")</f>
        <v/>
      </c>
      <c r="N45" s="61" t="str">
        <f ca="1">IFERROR(IF(InputsCS!$I$1="Please Select","",IF(InputsCS!$I$2="Please Select","",IF(InputsCS!$I$1="","",IF(InputsCS!$I$2="","",IF(InputsCS!$I$2="Pupil Numbers",IF('KS2-4 Combined Science TMs'!$AA$47="Gender",INDEX(INDIRECT(InputsCS!$I$1),1,32),IF('KS2-4 Combined Science TMs'!$AA$47="disadvantage",INDEX(INDIRECT(InputsCS!$I$1),1,76),IF('KS2-4 Combined Science TMs'!$AA$47="sen",INDEX(INDIRECT(InputsCS!$I$1),1,120),IF('KS2-4 Combined Science TMs'!$AA$47="eal",INDEX(INDIRECT(InputsCS!$I$1),1,164),"")))),IF(InputsCS!$I$2="Pupil Percentages",IF('KS2-4 Combined Science TMs'!$AA$47="Gender",INDEX(INDIRECT(InputsCS!$I$1),17,32),IF('KS2-4 Combined Science TMs'!$AA$47="disadvantage",INDEX(INDIRECT(InputsCS!$I$1),17,76),IF('KS2-4 Combined Science TMs'!$AA$47="sen",INDEX(INDIRECT(InputsCS!$I$1),17,120),IF('KS2-4 Combined Science TMs'!$AA$47="eal",INDEX(INDIRECT(InputsCS!$I$1),17,164),"")))))))))),"")</f>
        <v/>
      </c>
      <c r="O45" s="61" t="str">
        <f ca="1">IFERROR(IF(InputsCS!$I$1="Please Select","",IF(InputsCS!$I$2="Please Select","",IF(InputsCS!$I$1="","",IF(InputsCS!$I$2="","",IF(InputsCS!$I$2="Pupil Numbers",IF('KS2-4 Combined Science TMs'!$AA$47="Gender",INDEX(INDIRECT(InputsCS!$I$1),1,33),IF('KS2-4 Combined Science TMs'!$AA$47="disadvantage",INDEX(INDIRECT(InputsCS!$I$1),1,77),IF('KS2-4 Combined Science TMs'!$AA$47="sen",INDEX(INDIRECT(InputsCS!$I$1),1,121),IF('KS2-4 Combined Science TMs'!$AA$47="eal",INDEX(INDIRECT(InputsCS!$I$1),1,165),"")))),IF(InputsCS!$I$2="Pupil Percentages",IF('KS2-4 Combined Science TMs'!$AA$47="Gender",INDEX(INDIRECT(InputsCS!$I$1),17,33),IF('KS2-4 Combined Science TMs'!$AA$47="disadvantage",INDEX(INDIRECT(InputsCS!$I$1),17,77),IF('KS2-4 Combined Science TMs'!$AA$47="sen",INDEX(INDIRECT(InputsCS!$I$1),17,121),IF('KS2-4 Combined Science TMs'!$AA$47="eal",INDEX(INDIRECT(InputsCS!$I$1),17,165),"")))))))))),"")</f>
        <v/>
      </c>
      <c r="P45" s="61" t="str">
        <f ca="1">IFERROR(IF(InputsCS!$I$1="Please Select","",IF(InputsCS!$I$2="Please Select","",IF(InputsCS!$I$1="","",IF(InputsCS!$I$2="","",IF(InputsCS!$I$2="Pupil Numbers",IF('KS2-4 Combined Science TMs'!$AA$47="Gender",INDEX(INDIRECT(InputsCS!$I$1),1,34),IF('KS2-4 Combined Science TMs'!$AA$47="disadvantage",INDEX(INDIRECT(InputsCS!$I$1),1,78),IF('KS2-4 Combined Science TMs'!$AA$47="sen",INDEX(INDIRECT(InputsCS!$I$1),1,122),IF('KS2-4 Combined Science TMs'!$AA$47="eal",INDEX(INDIRECT(InputsCS!$I$1),1,166),"")))),IF(InputsCS!$I$2="Pupil Percentages",IF('KS2-4 Combined Science TMs'!$AA$47="Gender",INDEX(INDIRECT(InputsCS!$I$1),17,34),IF('KS2-4 Combined Science TMs'!$AA$47="disadvantage",INDEX(INDIRECT(InputsCS!$I$1),17,78),IF('KS2-4 Combined Science TMs'!$AA$47="sen",INDEX(INDIRECT(InputsCS!$I$1),17,122),IF('KS2-4 Combined Science TMs'!$AA$47="eal",INDEX(INDIRECT(InputsCS!$I$1),17,166),"")))))))))),"")</f>
        <v/>
      </c>
      <c r="Q45" s="61" t="str">
        <f ca="1">IFERROR(IF(InputsCS!$I$1="Please Select","",IF(InputsCS!$I$2="Please Select","",IF(InputsCS!$I$1="","",IF(InputsCS!$I$2="","",IF(InputsCS!$I$2="Pupil Numbers",IF('KS2-4 Combined Science TMs'!$AA$47="Gender",INDEX(INDIRECT(InputsCS!$I$1),1,35),IF('KS2-4 Combined Science TMs'!$AA$47="disadvantage",INDEX(INDIRECT(InputsCS!$I$1),1,79),IF('KS2-4 Combined Science TMs'!$AA$47="sen",INDEX(INDIRECT(InputsCS!$I$1),1,123),IF('KS2-4 Combined Science TMs'!$AA$47="eal",INDEX(INDIRECT(InputsCS!$I$1),1,167),"")))),IF(InputsCS!$I$2="Pupil Percentages",IF('KS2-4 Combined Science TMs'!$AA$47="Gender",INDEX(INDIRECT(InputsCS!$I$1),17,35),IF('KS2-4 Combined Science TMs'!$AA$47="disadvantage",INDEX(INDIRECT(InputsCS!$I$1),17,79),IF('KS2-4 Combined Science TMs'!$AA$47="sen",INDEX(INDIRECT(InputsCS!$I$1),17,123),IF('KS2-4 Combined Science TMs'!$AA$47="eal",INDEX(INDIRECT(InputsCS!$I$1),17,167),"")))))))))),"")</f>
        <v/>
      </c>
      <c r="R45" s="61" t="str">
        <f ca="1">IFERROR(IF(InputsCS!$I$1="Please Select","",IF(InputsCS!$I$2="Please Select","",IF(InputsCS!$I$1="","",IF(InputsCS!$I$2="","",IF(InputsCS!$I$2="Pupil Numbers",IF('KS2-4 Combined Science TMs'!$AA$47="Gender",INDEX(INDIRECT(InputsCS!$I$1),1,36),IF('KS2-4 Combined Science TMs'!$AA$47="disadvantage",INDEX(INDIRECT(InputsCS!$I$1),1,80),IF('KS2-4 Combined Science TMs'!$AA$47="sen",INDEX(INDIRECT(InputsCS!$I$1),1,124),IF('KS2-4 Combined Science TMs'!$AA$47="eal",INDEX(INDIRECT(InputsCS!$I$1),1,168),"")))),IF(InputsCS!$I$2="Pupil Percentages",IF('KS2-4 Combined Science TMs'!$AA$47="Gender",INDEX(INDIRECT(InputsCS!$I$1),17,36),IF('KS2-4 Combined Science TMs'!$AA$47="disadvantage",INDEX(INDIRECT(InputsCS!$I$1),17,80),IF('KS2-4 Combined Science TMs'!$AA$47="sen",INDEX(INDIRECT(InputsCS!$I$1),17,124),IF('KS2-4 Combined Science TMs'!$AA$47="eal",INDEX(INDIRECT(InputsCS!$I$1),17,168),"")))))))))),"")</f>
        <v/>
      </c>
      <c r="S45" s="61" t="str">
        <f ca="1">IFERROR(IF(InputsCS!$I$1="Please Select","",IF(InputsCS!$I$2="Please Select","",IF(InputsCS!$I$1="","",IF(InputsCS!$I$2="","",IF(InputsCS!$I$2="Pupil Numbers",IF('KS2-4 Combined Science TMs'!$AA$47="Gender",INDEX(INDIRECT(InputsCS!$I$1),1,37),IF('KS2-4 Combined Science TMs'!$AA$47="disadvantage",INDEX(INDIRECT(InputsCS!$I$1),1,81),IF('KS2-4 Combined Science TMs'!$AA$47="sen",INDEX(INDIRECT(InputsCS!$I$1),1,125),IF('KS2-4 Combined Science TMs'!$AA$47="eal",INDEX(INDIRECT(InputsCS!$I$1),1,169),"")))),IF(InputsCS!$I$2="Pupil Percentages",IF('KS2-4 Combined Science TMs'!$AA$47="Gender",INDEX(INDIRECT(InputsCS!$I$1),17,37),IF('KS2-4 Combined Science TMs'!$AA$47="disadvantage",INDEX(INDIRECT(InputsCS!$I$1),17,81),IF('KS2-4 Combined Science TMs'!$AA$47="sen",INDEX(INDIRECT(InputsCS!$I$1),17,125),IF('KS2-4 Combined Science TMs'!$AA$47="eal",INDEX(INDIRECT(InputsCS!$I$1),17,169),"")))))))))),"")</f>
        <v/>
      </c>
      <c r="T45" s="61" t="str">
        <f ca="1">IFERROR(IF(InputsCS!$I$1="Please Select","",IF(InputsCS!$I$2="Please Select","",IF(InputsCS!$I$1="","",IF(InputsCS!$I$2="","",IF(InputsCS!$I$2="Pupil Numbers",IF('KS2-4 Combined Science TMs'!$AA$47="Gender",INDEX(INDIRECT(InputsCS!$I$1),1,38),IF('KS2-4 Combined Science TMs'!$AA$47="disadvantage",INDEX(INDIRECT(InputsCS!$I$1),1,82),IF('KS2-4 Combined Science TMs'!$AA$47="sen",INDEX(INDIRECT(InputsCS!$I$1),1,126),IF('KS2-4 Combined Science TMs'!$AA$47="eal",INDEX(INDIRECT(InputsCS!$I$1),1,170),"")))),IF(InputsCS!$I$2="Pupil Percentages",IF('KS2-4 Combined Science TMs'!$AA$47="Gender",INDEX(INDIRECT(InputsCS!$I$1),17,38),IF('KS2-4 Combined Science TMs'!$AA$47="disadvantage",INDEX(INDIRECT(InputsCS!$I$1),17,82),IF('KS2-4 Combined Science TMs'!$AA$47="sen",INDEX(INDIRECT(InputsCS!$I$1),17,126),IF('KS2-4 Combined Science TMs'!$AA$47="eal",INDEX(INDIRECT(InputsCS!$I$1),17,170),"")))))))))),"")</f>
        <v/>
      </c>
      <c r="U45" s="61" t="str">
        <f ca="1">IFERROR(IF(InputsCS!$I$1="Please Select","",IF(InputsCS!$I$2="Please Select","",IF(InputsCS!$I$1="","",IF(InputsCS!$I$2="","",IF(InputsCS!$I$2="Pupil Numbers",IF('KS2-4 Combined Science TMs'!$AA$47="Gender",INDEX(INDIRECT(InputsCS!$I$1),1,39),IF('KS2-4 Combined Science TMs'!$AA$47="disadvantage",INDEX(INDIRECT(InputsCS!$I$1),1,83),IF('KS2-4 Combined Science TMs'!$AA$47="sen",INDEX(INDIRECT(InputsCS!$I$1),1,127),IF('KS2-4 Combined Science TMs'!$AA$47="eal",INDEX(INDIRECT(InputsCS!$I$1),1,171),"")))),IF(InputsCS!$I$2="Pupil Percentages",IF('KS2-4 Combined Science TMs'!$AA$47="Gender",INDEX(INDIRECT(InputsCS!$I$1),17,39),IF('KS2-4 Combined Science TMs'!$AA$47="disadvantage",INDEX(INDIRECT(InputsCS!$I$1),17,83),IF('KS2-4 Combined Science TMs'!$AA$47="sen",INDEX(INDIRECT(InputsCS!$I$1),17,127),IF('KS2-4 Combined Science TMs'!$AA$47="eal",INDEX(INDIRECT(InputsCS!$I$1),17,171),"")))))))))),"")</f>
        <v/>
      </c>
      <c r="V45" s="61" t="str">
        <f ca="1">IFERROR(IF(InputsCS!$I$1="Please Select","",IF(InputsCS!$I$2="Please Select","",IF(InputsCS!$I$1="","",IF(InputsCS!$I$2="","",IF(InputsCS!$I$2="Pupil Numbers",IF('KS2-4 Combined Science TMs'!$AA$47="Gender",INDEX(INDIRECT(InputsCS!$I$1),1,40),IF('KS2-4 Combined Science TMs'!$AA$47="disadvantage",INDEX(INDIRECT(InputsCS!$I$1),1,84),IF('KS2-4 Combined Science TMs'!$AA$47="sen",INDEX(INDIRECT(InputsCS!$I$1),1,128),IF('KS2-4 Combined Science TMs'!$AA$47="eal",INDEX(INDIRECT(InputsCS!$I$1),1,172),"")))),IF(InputsCS!$I$2="Pupil Percentages",IF('KS2-4 Combined Science TMs'!$AA$47="Gender",INDEX(INDIRECT(InputsCS!$I$1),17,40),IF('KS2-4 Combined Science TMs'!$AA$47="disadvantage",INDEX(INDIRECT(InputsCS!$I$1),17,84),IF('KS2-4 Combined Science TMs'!$AA$47="sen",INDEX(INDIRECT(InputsCS!$I$1),17,128),IF('KS2-4 Combined Science TMs'!$AA$47="eal",INDEX(INDIRECT(InputsCS!$I$1),17,172),"")))))))))),"")</f>
        <v/>
      </c>
      <c r="Z45" s="8" t="s">
        <v>118</v>
      </c>
    </row>
    <row r="46" spans="2:99" ht="23.1" customHeight="1" x14ac:dyDescent="0.5">
      <c r="C46" s="120"/>
      <c r="D46" s="60" t="s">
        <v>56</v>
      </c>
      <c r="E46" s="61" t="str">
        <f ca="1">IFERROR(IF(InputsCS!$I$1="Please Select","",IF(InputsCS!$I$2="Please Select","",IF(InputsCS!$I$1="","",IF(InputsCS!$I$2="","",IF(InputsCS!$I$2="Pupil Numbers",IF('KS2-4 Combined Science TMs'!$AA$47="Gender",INDEX(INDIRECT(InputsCS!$I$1),2,23),IF('KS2-4 Combined Science TMs'!$AA$47="disadvantage",INDEX(INDIRECT(InputsCS!$I$1),2,67),IF('KS2-4 Combined Science TMs'!$AA$47="sen",INDEX(INDIRECT(InputsCS!$I$1),2,111),IF('KS2-4 Combined Science TMs'!$AA$47="eal",INDEX(INDIRECT(InputsCS!$I$1),2,155),"")))),IF(InputsCS!$I$2="Pupil Percentages",IF('KS2-4 Combined Science TMs'!$AA$47="Gender",INDEX(INDIRECT(InputsCS!$I$1),18,23),IF('KS2-4 Combined Science TMs'!$AA$47="disadvantage",INDEX(INDIRECT(InputsCS!$I$1),18,67),IF('KS2-4 Combined Science TMs'!$AA$47="sen",INDEX(INDIRECT(InputsCS!$I$1),18,111),IF('KS2-4 Combined Science TMs'!$AA$47="eal",INDEX(INDIRECT(InputsCS!$I$1),18,155),"")))))))))),"")</f>
        <v/>
      </c>
      <c r="F46" s="61" t="str">
        <f ca="1">IFERROR(IF(InputsCS!$I$1="Please Select","",IF(InputsCS!$I$2="Please Select","",IF(InputsCS!$I$1="","",IF(InputsCS!$I$2="","",IF(InputsCS!$I$2="Pupil Numbers",IF('KS2-4 Combined Science TMs'!$AA$47="Gender",INDEX(INDIRECT(InputsCS!$I$1),2,24),IF('KS2-4 Combined Science TMs'!$AA$47="disadvantage",INDEX(INDIRECT(InputsCS!$I$1),2,68),IF('KS2-4 Combined Science TMs'!$AA$47="sen",INDEX(INDIRECT(InputsCS!$I$1),2,112),IF('KS2-4 Combined Science TMs'!$AA$47="eal",INDEX(INDIRECT(InputsCS!$I$1),2,156),"")))),IF(InputsCS!$I$2="Pupil Percentages",IF('KS2-4 Combined Science TMs'!$AA$47="Gender",INDEX(INDIRECT(InputsCS!$I$1),18,24),IF('KS2-4 Combined Science TMs'!$AA$47="disadvantage",INDEX(INDIRECT(InputsCS!$I$1),18,68),IF('KS2-4 Combined Science TMs'!$AA$47="sen",INDEX(INDIRECT(InputsCS!$I$1),18,112),IF('KS2-4 Combined Science TMs'!$AA$47="eal",INDEX(INDIRECT(InputsCS!$I$1),18,156),"")))))))))),"")</f>
        <v/>
      </c>
      <c r="G46" s="61" t="str">
        <f ca="1">IFERROR(IF(InputsCS!$I$1="Please Select","",IF(InputsCS!$I$2="Please Select","",IF(InputsCS!$I$1="","",IF(InputsCS!$I$2="","",IF(InputsCS!$I$2="Pupil Numbers",IF('KS2-4 Combined Science TMs'!$AA$47="Gender",INDEX(INDIRECT(InputsCS!$I$1),2,25),IF('KS2-4 Combined Science TMs'!$AA$47="disadvantage",INDEX(INDIRECT(InputsCS!$I$1),2,69),IF('KS2-4 Combined Science TMs'!$AA$47="sen",INDEX(INDIRECT(InputsCS!$I$1),2,113),IF('KS2-4 Combined Science TMs'!$AA$47="eal",INDEX(INDIRECT(InputsCS!$I$1),2,157),"")))),IF(InputsCS!$I$2="Pupil Percentages",IF('KS2-4 Combined Science TMs'!$AA$47="Gender",INDEX(INDIRECT(InputsCS!$I$1),18,25),IF('KS2-4 Combined Science TMs'!$AA$47="disadvantage",INDEX(INDIRECT(InputsCS!$I$1),18,69),IF('KS2-4 Combined Science TMs'!$AA$47="sen",INDEX(INDIRECT(InputsCS!$I$1),18,113),IF('KS2-4 Combined Science TMs'!$AA$47="eal",INDEX(INDIRECT(InputsCS!$I$1),18,157),"")))))))))),"")</f>
        <v/>
      </c>
      <c r="H46" s="61" t="str">
        <f ca="1">IFERROR(IF(InputsCS!$I$1="Please Select","",IF(InputsCS!$I$2="Please Select","",IF(InputsCS!$I$1="","",IF(InputsCS!$I$2="","",IF(InputsCS!$I$2="Pupil Numbers",IF('KS2-4 Combined Science TMs'!$AA$47="Gender",INDEX(INDIRECT(InputsCS!$I$1),2,26),IF('KS2-4 Combined Science TMs'!$AA$47="disadvantage",INDEX(INDIRECT(InputsCS!$I$1),2,70),IF('KS2-4 Combined Science TMs'!$AA$47="sen",INDEX(INDIRECT(InputsCS!$I$1),2,114),IF('KS2-4 Combined Science TMs'!$AA$47="eal",INDEX(INDIRECT(InputsCS!$I$1),2,158),"")))),IF(InputsCS!$I$2="Pupil Percentages",IF('KS2-4 Combined Science TMs'!$AA$47="Gender",INDEX(INDIRECT(InputsCS!$I$1),18,26),IF('KS2-4 Combined Science TMs'!$AA$47="disadvantage",INDEX(INDIRECT(InputsCS!$I$1),18,70),IF('KS2-4 Combined Science TMs'!$AA$47="sen",INDEX(INDIRECT(InputsCS!$I$1),18,114),IF('KS2-4 Combined Science TMs'!$AA$47="eal",INDEX(INDIRECT(InputsCS!$I$1),18,158),"")))))))))),"")</f>
        <v/>
      </c>
      <c r="I46" s="61" t="str">
        <f ca="1">IFERROR(IF(InputsCS!$I$1="Please Select","",IF(InputsCS!$I$2="Please Select","",IF(InputsCS!$I$1="","",IF(InputsCS!$I$2="","",IF(InputsCS!$I$2="Pupil Numbers",IF('KS2-4 Combined Science TMs'!$AA$47="Gender",INDEX(INDIRECT(InputsCS!$I$1),2,27),IF('KS2-4 Combined Science TMs'!$AA$47="disadvantage",INDEX(INDIRECT(InputsCS!$I$1),2,71),IF('KS2-4 Combined Science TMs'!$AA$47="sen",INDEX(INDIRECT(InputsCS!$I$1),2,115),IF('KS2-4 Combined Science TMs'!$AA$47="eal",INDEX(INDIRECT(InputsCS!$I$1),2,159),"")))),IF(InputsCS!$I$2="Pupil Percentages",IF('KS2-4 Combined Science TMs'!$AA$47="Gender",INDEX(INDIRECT(InputsCS!$I$1),18,27),IF('KS2-4 Combined Science TMs'!$AA$47="disadvantage",INDEX(INDIRECT(InputsCS!$I$1),18,71),IF('KS2-4 Combined Science TMs'!$AA$47="sen",INDEX(INDIRECT(InputsCS!$I$1),18,115),IF('KS2-4 Combined Science TMs'!$AA$47="eal",INDEX(INDIRECT(InputsCS!$I$1),18,159),"")))))))))),"")</f>
        <v/>
      </c>
      <c r="J46" s="61" t="str">
        <f ca="1">IFERROR(IF(InputsCS!$I$1="Please Select","",IF(InputsCS!$I$2="Please Select","",IF(InputsCS!$I$1="","",IF(InputsCS!$I$2="","",IF(InputsCS!$I$2="Pupil Numbers",IF('KS2-4 Combined Science TMs'!$AA$47="Gender",INDEX(INDIRECT(InputsCS!$I$1),2,28),IF('KS2-4 Combined Science TMs'!$AA$47="disadvantage",INDEX(INDIRECT(InputsCS!$I$1),2,72),IF('KS2-4 Combined Science TMs'!$AA$47="sen",INDEX(INDIRECT(InputsCS!$I$1),2,116),IF('KS2-4 Combined Science TMs'!$AA$47="eal",INDEX(INDIRECT(InputsCS!$I$1),2,160),"")))),IF(InputsCS!$I$2="Pupil Percentages",IF('KS2-4 Combined Science TMs'!$AA$47="Gender",INDEX(INDIRECT(InputsCS!$I$1),18,28),IF('KS2-4 Combined Science TMs'!$AA$47="disadvantage",INDEX(INDIRECT(InputsCS!$I$1),18,72),IF('KS2-4 Combined Science TMs'!$AA$47="sen",INDEX(INDIRECT(InputsCS!$I$1),18,116),IF('KS2-4 Combined Science TMs'!$AA$47="eal",INDEX(INDIRECT(InputsCS!$I$1),18,160),"")))))))))),"")</f>
        <v/>
      </c>
      <c r="K46" s="61" t="str">
        <f ca="1">IFERROR(IF(InputsCS!$I$1="Please Select","",IF(InputsCS!$I$2="Please Select","",IF(InputsCS!$I$1="","",IF(InputsCS!$I$2="","",IF(InputsCS!$I$2="Pupil Numbers",IF('KS2-4 Combined Science TMs'!$AA$47="Gender",INDEX(INDIRECT(InputsCS!$I$1),2,29),IF('KS2-4 Combined Science TMs'!$AA$47="disadvantage",INDEX(INDIRECT(InputsCS!$I$1),2,73),IF('KS2-4 Combined Science TMs'!$AA$47="sen",INDEX(INDIRECT(InputsCS!$I$1),2,117),IF('KS2-4 Combined Science TMs'!$AA$47="eal",INDEX(INDIRECT(InputsCS!$I$1),2,161),"")))),IF(InputsCS!$I$2="Pupil Percentages",IF('KS2-4 Combined Science TMs'!$AA$47="Gender",INDEX(INDIRECT(InputsCS!$I$1),18,29),IF('KS2-4 Combined Science TMs'!$AA$47="disadvantage",INDEX(INDIRECT(InputsCS!$I$1),18,73),IF('KS2-4 Combined Science TMs'!$AA$47="sen",INDEX(INDIRECT(InputsCS!$I$1),18,117),IF('KS2-4 Combined Science TMs'!$AA$47="eal",INDEX(INDIRECT(InputsCS!$I$1),18,161),"")))))))))),"")</f>
        <v/>
      </c>
      <c r="L46" s="61" t="str">
        <f ca="1">IFERROR(IF(InputsCS!$I$1="Please Select","",IF(InputsCS!$I$2="Please Select","",IF(InputsCS!$I$1="","",IF(InputsCS!$I$2="","",IF(InputsCS!$I$2="Pupil Numbers",IF('KS2-4 Combined Science TMs'!$AA$47="Gender",INDEX(INDIRECT(InputsCS!$I$1),2,30),IF('KS2-4 Combined Science TMs'!$AA$47="disadvantage",INDEX(INDIRECT(InputsCS!$I$1),2,74),IF('KS2-4 Combined Science TMs'!$AA$47="sen",INDEX(INDIRECT(InputsCS!$I$1),2,118),IF('KS2-4 Combined Science TMs'!$AA$47="eal",INDEX(INDIRECT(InputsCS!$I$1),2,162),"")))),IF(InputsCS!$I$2="Pupil Percentages",IF('KS2-4 Combined Science TMs'!$AA$47="Gender",INDEX(INDIRECT(InputsCS!$I$1),18,30),IF('KS2-4 Combined Science TMs'!$AA$47="disadvantage",INDEX(INDIRECT(InputsCS!$I$1),18,74),IF('KS2-4 Combined Science TMs'!$AA$47="sen",INDEX(INDIRECT(InputsCS!$I$1),18,118),IF('KS2-4 Combined Science TMs'!$AA$47="eal",INDEX(INDIRECT(InputsCS!$I$1),18,162),"")))))))))),"")</f>
        <v/>
      </c>
      <c r="M46" s="61" t="str">
        <f ca="1">IFERROR(IF(InputsCS!$I$1="Please Select","",IF(InputsCS!$I$2="Please Select","",IF(InputsCS!$I$1="","",IF(InputsCS!$I$2="","",IF(InputsCS!$I$2="Pupil Numbers",IF('KS2-4 Combined Science TMs'!$AA$47="Gender",INDEX(INDIRECT(InputsCS!$I$1),2,31),IF('KS2-4 Combined Science TMs'!$AA$47="disadvantage",INDEX(INDIRECT(InputsCS!$I$1),2,75),IF('KS2-4 Combined Science TMs'!$AA$47="sen",INDEX(INDIRECT(InputsCS!$I$1),2,119),IF('KS2-4 Combined Science TMs'!$AA$47="eal",INDEX(INDIRECT(InputsCS!$I$1),2,163),"")))),IF(InputsCS!$I$2="Pupil Percentages",IF('KS2-4 Combined Science TMs'!$AA$47="Gender",INDEX(INDIRECT(InputsCS!$I$1),18,31),IF('KS2-4 Combined Science TMs'!$AA$47="disadvantage",INDEX(INDIRECT(InputsCS!$I$1),18,75),IF('KS2-4 Combined Science TMs'!$AA$47="sen",INDEX(INDIRECT(InputsCS!$I$1),18,119),IF('KS2-4 Combined Science TMs'!$AA$47="eal",INDEX(INDIRECT(InputsCS!$I$1),18,163),"")))))))))),"")</f>
        <v/>
      </c>
      <c r="N46" s="61" t="str">
        <f ca="1">IFERROR(IF(InputsCS!$I$1="Please Select","",IF(InputsCS!$I$2="Please Select","",IF(InputsCS!$I$1="","",IF(InputsCS!$I$2="","",IF(InputsCS!$I$2="Pupil Numbers",IF('KS2-4 Combined Science TMs'!$AA$47="Gender",INDEX(INDIRECT(InputsCS!$I$1),2,32),IF('KS2-4 Combined Science TMs'!$AA$47="disadvantage",INDEX(INDIRECT(InputsCS!$I$1),2,76),IF('KS2-4 Combined Science TMs'!$AA$47="sen",INDEX(INDIRECT(InputsCS!$I$1),2,120),IF('KS2-4 Combined Science TMs'!$AA$47="eal",INDEX(INDIRECT(InputsCS!$I$1),2,164),"")))),IF(InputsCS!$I$2="Pupil Percentages",IF('KS2-4 Combined Science TMs'!$AA$47="Gender",INDEX(INDIRECT(InputsCS!$I$1),18,32),IF('KS2-4 Combined Science TMs'!$AA$47="disadvantage",INDEX(INDIRECT(InputsCS!$I$1),18,76),IF('KS2-4 Combined Science TMs'!$AA$47="sen",INDEX(INDIRECT(InputsCS!$I$1),18,120),IF('KS2-4 Combined Science TMs'!$AA$47="eal",INDEX(INDIRECT(InputsCS!$I$1),18,164),"")))))))))),"")</f>
        <v/>
      </c>
      <c r="O46" s="61" t="str">
        <f ca="1">IFERROR(IF(InputsCS!$I$1="Please Select","",IF(InputsCS!$I$2="Please Select","",IF(InputsCS!$I$1="","",IF(InputsCS!$I$2="","",IF(InputsCS!$I$2="Pupil Numbers",IF('KS2-4 Combined Science TMs'!$AA$47="Gender",INDEX(INDIRECT(InputsCS!$I$1),2,33),IF('KS2-4 Combined Science TMs'!$AA$47="disadvantage",INDEX(INDIRECT(InputsCS!$I$1),2,77),IF('KS2-4 Combined Science TMs'!$AA$47="sen",INDEX(INDIRECT(InputsCS!$I$1),2,121),IF('KS2-4 Combined Science TMs'!$AA$47="eal",INDEX(INDIRECT(InputsCS!$I$1),2,165),"")))),IF(InputsCS!$I$2="Pupil Percentages",IF('KS2-4 Combined Science TMs'!$AA$47="Gender",INDEX(INDIRECT(InputsCS!$I$1),18,33),IF('KS2-4 Combined Science TMs'!$AA$47="disadvantage",INDEX(INDIRECT(InputsCS!$I$1),18,77),IF('KS2-4 Combined Science TMs'!$AA$47="sen",INDEX(INDIRECT(InputsCS!$I$1),18,121),IF('KS2-4 Combined Science TMs'!$AA$47="eal",INDEX(INDIRECT(InputsCS!$I$1),18,165),"")))))))))),"")</f>
        <v/>
      </c>
      <c r="P46" s="61" t="str">
        <f ca="1">IFERROR(IF(InputsCS!$I$1="Please Select","",IF(InputsCS!$I$2="Please Select","",IF(InputsCS!$I$1="","",IF(InputsCS!$I$2="","",IF(InputsCS!$I$2="Pupil Numbers",IF('KS2-4 Combined Science TMs'!$AA$47="Gender",INDEX(INDIRECT(InputsCS!$I$1),2,34),IF('KS2-4 Combined Science TMs'!$AA$47="disadvantage",INDEX(INDIRECT(InputsCS!$I$1),2,78),IF('KS2-4 Combined Science TMs'!$AA$47="sen",INDEX(INDIRECT(InputsCS!$I$1),2,122),IF('KS2-4 Combined Science TMs'!$AA$47="eal",INDEX(INDIRECT(InputsCS!$I$1),2,166),"")))),IF(InputsCS!$I$2="Pupil Percentages",IF('KS2-4 Combined Science TMs'!$AA$47="Gender",INDEX(INDIRECT(InputsCS!$I$1),18,34),IF('KS2-4 Combined Science TMs'!$AA$47="disadvantage",INDEX(INDIRECT(InputsCS!$I$1),18,78),IF('KS2-4 Combined Science TMs'!$AA$47="sen",INDEX(INDIRECT(InputsCS!$I$1),18,122),IF('KS2-4 Combined Science TMs'!$AA$47="eal",INDEX(INDIRECT(InputsCS!$I$1),18,166),"")))))))))),"")</f>
        <v/>
      </c>
      <c r="Q46" s="61" t="str">
        <f ca="1">IFERROR(IF(InputsCS!$I$1="Please Select","",IF(InputsCS!$I$2="Please Select","",IF(InputsCS!$I$1="","",IF(InputsCS!$I$2="","",IF(InputsCS!$I$2="Pupil Numbers",IF('KS2-4 Combined Science TMs'!$AA$47="Gender",INDEX(INDIRECT(InputsCS!$I$1),2,35),IF('KS2-4 Combined Science TMs'!$AA$47="disadvantage",INDEX(INDIRECT(InputsCS!$I$1),2,79),IF('KS2-4 Combined Science TMs'!$AA$47="sen",INDEX(INDIRECT(InputsCS!$I$1),2,123),IF('KS2-4 Combined Science TMs'!$AA$47="eal",INDEX(INDIRECT(InputsCS!$I$1),2,167),"")))),IF(InputsCS!$I$2="Pupil Percentages",IF('KS2-4 Combined Science TMs'!$AA$47="Gender",INDEX(INDIRECT(InputsCS!$I$1),18,35),IF('KS2-4 Combined Science TMs'!$AA$47="disadvantage",INDEX(INDIRECT(InputsCS!$I$1),18,79),IF('KS2-4 Combined Science TMs'!$AA$47="sen",INDEX(INDIRECT(InputsCS!$I$1),18,123),IF('KS2-4 Combined Science TMs'!$AA$47="eal",INDEX(INDIRECT(InputsCS!$I$1),18,167),"")))))))))),"")</f>
        <v/>
      </c>
      <c r="R46" s="61" t="str">
        <f ca="1">IFERROR(IF(InputsCS!$I$1="Please Select","",IF(InputsCS!$I$2="Please Select","",IF(InputsCS!$I$1="","",IF(InputsCS!$I$2="","",IF(InputsCS!$I$2="Pupil Numbers",IF('KS2-4 Combined Science TMs'!$AA$47="Gender",INDEX(INDIRECT(InputsCS!$I$1),2,36),IF('KS2-4 Combined Science TMs'!$AA$47="disadvantage",INDEX(INDIRECT(InputsCS!$I$1),2,80),IF('KS2-4 Combined Science TMs'!$AA$47="sen",INDEX(INDIRECT(InputsCS!$I$1),2,124),IF('KS2-4 Combined Science TMs'!$AA$47="eal",INDEX(INDIRECT(InputsCS!$I$1),2,168),"")))),IF(InputsCS!$I$2="Pupil Percentages",IF('KS2-4 Combined Science TMs'!$AA$47="Gender",INDEX(INDIRECT(InputsCS!$I$1),18,36),IF('KS2-4 Combined Science TMs'!$AA$47="disadvantage",INDEX(INDIRECT(InputsCS!$I$1),18,80),IF('KS2-4 Combined Science TMs'!$AA$47="sen",INDEX(INDIRECT(InputsCS!$I$1),18,124),IF('KS2-4 Combined Science TMs'!$AA$47="eal",INDEX(INDIRECT(InputsCS!$I$1),18,168),"")))))))))),"")</f>
        <v/>
      </c>
      <c r="S46" s="61" t="str">
        <f ca="1">IFERROR(IF(InputsCS!$I$1="Please Select","",IF(InputsCS!$I$2="Please Select","",IF(InputsCS!$I$1="","",IF(InputsCS!$I$2="","",IF(InputsCS!$I$2="Pupil Numbers",IF('KS2-4 Combined Science TMs'!$AA$47="Gender",INDEX(INDIRECT(InputsCS!$I$1),2,37),IF('KS2-4 Combined Science TMs'!$AA$47="disadvantage",INDEX(INDIRECT(InputsCS!$I$1),2,81),IF('KS2-4 Combined Science TMs'!$AA$47="sen",INDEX(INDIRECT(InputsCS!$I$1),2,125),IF('KS2-4 Combined Science TMs'!$AA$47="eal",INDEX(INDIRECT(InputsCS!$I$1),2,169),"")))),IF(InputsCS!$I$2="Pupil Percentages",IF('KS2-4 Combined Science TMs'!$AA$47="Gender",INDEX(INDIRECT(InputsCS!$I$1),18,37),IF('KS2-4 Combined Science TMs'!$AA$47="disadvantage",INDEX(INDIRECT(InputsCS!$I$1),18,81),IF('KS2-4 Combined Science TMs'!$AA$47="sen",INDEX(INDIRECT(InputsCS!$I$1),18,125),IF('KS2-4 Combined Science TMs'!$AA$47="eal",INDEX(INDIRECT(InputsCS!$I$1),18,169),"")))))))))),"")</f>
        <v/>
      </c>
      <c r="T46" s="61" t="str">
        <f ca="1">IFERROR(IF(InputsCS!$I$1="Please Select","",IF(InputsCS!$I$2="Please Select","",IF(InputsCS!$I$1="","",IF(InputsCS!$I$2="","",IF(InputsCS!$I$2="Pupil Numbers",IF('KS2-4 Combined Science TMs'!$AA$47="Gender",INDEX(INDIRECT(InputsCS!$I$1),2,38),IF('KS2-4 Combined Science TMs'!$AA$47="disadvantage",INDEX(INDIRECT(InputsCS!$I$1),2,82),IF('KS2-4 Combined Science TMs'!$AA$47="sen",INDEX(INDIRECT(InputsCS!$I$1),2,126),IF('KS2-4 Combined Science TMs'!$AA$47="eal",INDEX(INDIRECT(InputsCS!$I$1),2,170),"")))),IF(InputsCS!$I$2="Pupil Percentages",IF('KS2-4 Combined Science TMs'!$AA$47="Gender",INDEX(INDIRECT(InputsCS!$I$1),18,38),IF('KS2-4 Combined Science TMs'!$AA$47="disadvantage",INDEX(INDIRECT(InputsCS!$I$1),18,82),IF('KS2-4 Combined Science TMs'!$AA$47="sen",INDEX(INDIRECT(InputsCS!$I$1),18,126),IF('KS2-4 Combined Science TMs'!$AA$47="eal",INDEX(INDIRECT(InputsCS!$I$1),18,170),"")))))))))),"")</f>
        <v/>
      </c>
      <c r="U46" s="61" t="str">
        <f ca="1">IFERROR(IF(InputsCS!$I$1="Please Select","",IF(InputsCS!$I$2="Please Select","",IF(InputsCS!$I$1="","",IF(InputsCS!$I$2="","",IF(InputsCS!$I$2="Pupil Numbers",IF('KS2-4 Combined Science TMs'!$AA$47="Gender",INDEX(INDIRECT(InputsCS!$I$1),2,39),IF('KS2-4 Combined Science TMs'!$AA$47="disadvantage",INDEX(INDIRECT(InputsCS!$I$1),2,83),IF('KS2-4 Combined Science TMs'!$AA$47="sen",INDEX(INDIRECT(InputsCS!$I$1),2,127),IF('KS2-4 Combined Science TMs'!$AA$47="eal",INDEX(INDIRECT(InputsCS!$I$1),2,171),"")))),IF(InputsCS!$I$2="Pupil Percentages",IF('KS2-4 Combined Science TMs'!$AA$47="Gender",INDEX(INDIRECT(InputsCS!$I$1),18,39),IF('KS2-4 Combined Science TMs'!$AA$47="disadvantage",INDEX(INDIRECT(InputsCS!$I$1),18,83),IF('KS2-4 Combined Science TMs'!$AA$47="sen",INDEX(INDIRECT(InputsCS!$I$1),18,127),IF('KS2-4 Combined Science TMs'!$AA$47="eal",INDEX(INDIRECT(InputsCS!$I$1),18,171),"")))))))))),"")</f>
        <v/>
      </c>
      <c r="V46" s="61" t="str">
        <f ca="1">IFERROR(IF(InputsCS!$I$1="Please Select","",IF(InputsCS!$I$2="Please Select","",IF(InputsCS!$I$1="","",IF(InputsCS!$I$2="","",IF(InputsCS!$I$2="Pupil Numbers",IF('KS2-4 Combined Science TMs'!$AA$47="Gender",INDEX(INDIRECT(InputsCS!$I$1),2,40),IF('KS2-4 Combined Science TMs'!$AA$47="disadvantage",INDEX(INDIRECT(InputsCS!$I$1),2,84),IF('KS2-4 Combined Science TMs'!$AA$47="sen",INDEX(INDIRECT(InputsCS!$I$1),2,128),IF('KS2-4 Combined Science TMs'!$AA$47="eal",INDEX(INDIRECT(InputsCS!$I$1),2,172),"")))),IF(InputsCS!$I$2="Pupil Percentages",IF('KS2-4 Combined Science TMs'!$AA$47="Gender",INDEX(INDIRECT(InputsCS!$I$1),18,40),IF('KS2-4 Combined Science TMs'!$AA$47="disadvantage",INDEX(INDIRECT(InputsCS!$I$1),18,84),IF('KS2-4 Combined Science TMs'!$AA$47="sen",INDEX(INDIRECT(InputsCS!$I$1),18,128),IF('KS2-4 Combined Science TMs'!$AA$47="eal",INDEX(INDIRECT(InputsCS!$I$1),18,172),"")))))))))),"")</f>
        <v/>
      </c>
      <c r="Z46" s="104"/>
      <c r="AA46" s="104"/>
      <c r="AB46" s="104"/>
      <c r="AC46" s="104"/>
      <c r="AD46" s="104"/>
      <c r="AE46" s="104"/>
      <c r="AF46" s="104"/>
      <c r="AG46" s="104"/>
      <c r="AH46" s="104"/>
      <c r="AI46" s="104"/>
      <c r="AJ46" s="104"/>
      <c r="AK46" s="104"/>
      <c r="AL46" s="13"/>
      <c r="AM46" s="13"/>
      <c r="AN46" s="13"/>
      <c r="AO46" s="13"/>
      <c r="AP46" s="13"/>
      <c r="AQ46" s="13"/>
      <c r="AR46" s="13"/>
      <c r="AS46" s="13"/>
      <c r="AT46" s="13"/>
      <c r="AU46" s="13"/>
      <c r="AV46" s="13"/>
      <c r="AW46" s="13"/>
      <c r="AX46" s="13"/>
      <c r="AY46" s="13"/>
      <c r="AZ46" s="13"/>
      <c r="BA46" s="13"/>
      <c r="BB46" s="13"/>
      <c r="BC46" s="13"/>
      <c r="BD46" s="13"/>
    </row>
    <row r="47" spans="2:99" ht="23.1" customHeight="1" x14ac:dyDescent="0.5">
      <c r="C47" s="120"/>
      <c r="D47" s="60" t="s">
        <v>2</v>
      </c>
      <c r="E47" s="61" t="str">
        <f ca="1">IFERROR(IF(InputsCS!$I$1="Please Select","",IF(InputsCS!$I$2="Please Select","",IF(InputsCS!$I$1="","",IF(InputsCS!$I$2="","",IF(InputsCS!$I$2="Pupil Numbers",IF('KS2-4 Combined Science TMs'!$AA$47="Gender",INDEX(INDIRECT(InputsCS!$I$1),3,23),IF('KS2-4 Combined Science TMs'!$AA$47="disadvantage",INDEX(INDIRECT(InputsCS!$I$1),3,67),IF('KS2-4 Combined Science TMs'!$AA$47="sen",INDEX(INDIRECT(InputsCS!$I$1),3,111),IF('KS2-4 Combined Science TMs'!$AA$47="eal",INDEX(INDIRECT(InputsCS!$I$1),3,155),"")))),IF(InputsCS!$I$2="Pupil Percentages",IF('KS2-4 Combined Science TMs'!$AA$47="Gender",INDEX(INDIRECT(InputsCS!$I$1),19,23),IF('KS2-4 Combined Science TMs'!$AA$47="disadvantage",INDEX(INDIRECT(InputsCS!$I$1),19,67),IF('KS2-4 Combined Science TMs'!$AA$47="sen",INDEX(INDIRECT(InputsCS!$I$1),19,111),IF('KS2-4 Combined Science TMs'!$AA$47="eal",INDEX(INDIRECT(InputsCS!$I$1),19,155),"")))))))))),"")</f>
        <v/>
      </c>
      <c r="F47" s="61" t="str">
        <f ca="1">IFERROR(IF(InputsCS!$I$1="Please Select","",IF(InputsCS!$I$2="Please Select","",IF(InputsCS!$I$1="","",IF(InputsCS!$I$2="","",IF(InputsCS!$I$2="Pupil Numbers",IF('KS2-4 Combined Science TMs'!$AA$47="Gender",INDEX(INDIRECT(InputsCS!$I$1),3,24),IF('KS2-4 Combined Science TMs'!$AA$47="disadvantage",INDEX(INDIRECT(InputsCS!$I$1),3,68),IF('KS2-4 Combined Science TMs'!$AA$47="sen",INDEX(INDIRECT(InputsCS!$I$1),3,112),IF('KS2-4 Combined Science TMs'!$AA$47="eal",INDEX(INDIRECT(InputsCS!$I$1),3,156),"")))),IF(InputsCS!$I$2="Pupil Percentages",IF('KS2-4 Combined Science TMs'!$AA$47="Gender",INDEX(INDIRECT(InputsCS!$I$1),19,24),IF('KS2-4 Combined Science TMs'!$AA$47="disadvantage",INDEX(INDIRECT(InputsCS!$I$1),19,68),IF('KS2-4 Combined Science TMs'!$AA$47="sen",INDEX(INDIRECT(InputsCS!$I$1),19,112),IF('KS2-4 Combined Science TMs'!$AA$47="eal",INDEX(INDIRECT(InputsCS!$I$1),19,156),"")))))))))),"")</f>
        <v/>
      </c>
      <c r="G47" s="61" t="str">
        <f ca="1">IFERROR(IF(InputsCS!$I$1="Please Select","",IF(InputsCS!$I$2="Please Select","",IF(InputsCS!$I$1="","",IF(InputsCS!$I$2="","",IF(InputsCS!$I$2="Pupil Numbers",IF('KS2-4 Combined Science TMs'!$AA$47="Gender",INDEX(INDIRECT(InputsCS!$I$1),3,25),IF('KS2-4 Combined Science TMs'!$AA$47="disadvantage",INDEX(INDIRECT(InputsCS!$I$1),3,69),IF('KS2-4 Combined Science TMs'!$AA$47="sen",INDEX(INDIRECT(InputsCS!$I$1),3,113),IF('KS2-4 Combined Science TMs'!$AA$47="eal",INDEX(INDIRECT(InputsCS!$I$1),3,157),"")))),IF(InputsCS!$I$2="Pupil Percentages",IF('KS2-4 Combined Science TMs'!$AA$47="Gender",INDEX(INDIRECT(InputsCS!$I$1),19,25),IF('KS2-4 Combined Science TMs'!$AA$47="disadvantage",INDEX(INDIRECT(InputsCS!$I$1),19,69),IF('KS2-4 Combined Science TMs'!$AA$47="sen",INDEX(INDIRECT(InputsCS!$I$1),19,113),IF('KS2-4 Combined Science TMs'!$AA$47="eal",INDEX(INDIRECT(InputsCS!$I$1),19,157),"")))))))))),"")</f>
        <v/>
      </c>
      <c r="H47" s="61" t="str">
        <f ca="1">IFERROR(IF(InputsCS!$I$1="Please Select","",IF(InputsCS!$I$2="Please Select","",IF(InputsCS!$I$1="","",IF(InputsCS!$I$2="","",IF(InputsCS!$I$2="Pupil Numbers",IF('KS2-4 Combined Science TMs'!$AA$47="Gender",INDEX(INDIRECT(InputsCS!$I$1),3,26),IF('KS2-4 Combined Science TMs'!$AA$47="disadvantage",INDEX(INDIRECT(InputsCS!$I$1),3,70),IF('KS2-4 Combined Science TMs'!$AA$47="sen",INDEX(INDIRECT(InputsCS!$I$1),3,114),IF('KS2-4 Combined Science TMs'!$AA$47="eal",INDEX(INDIRECT(InputsCS!$I$1),3,158),"")))),IF(InputsCS!$I$2="Pupil Percentages",IF('KS2-4 Combined Science TMs'!$AA$47="Gender",INDEX(INDIRECT(InputsCS!$I$1),19,26),IF('KS2-4 Combined Science TMs'!$AA$47="disadvantage",INDEX(INDIRECT(InputsCS!$I$1),19,70),IF('KS2-4 Combined Science TMs'!$AA$47="sen",INDEX(INDIRECT(InputsCS!$I$1),19,114),IF('KS2-4 Combined Science TMs'!$AA$47="eal",INDEX(INDIRECT(InputsCS!$I$1),19,158),"")))))))))),"")</f>
        <v/>
      </c>
      <c r="I47" s="61" t="str">
        <f ca="1">IFERROR(IF(InputsCS!$I$1="Please Select","",IF(InputsCS!$I$2="Please Select","",IF(InputsCS!$I$1="","",IF(InputsCS!$I$2="","",IF(InputsCS!$I$2="Pupil Numbers",IF('KS2-4 Combined Science TMs'!$AA$47="Gender",INDEX(INDIRECT(InputsCS!$I$1),3,27),IF('KS2-4 Combined Science TMs'!$AA$47="disadvantage",INDEX(INDIRECT(InputsCS!$I$1),3,71),IF('KS2-4 Combined Science TMs'!$AA$47="sen",INDEX(INDIRECT(InputsCS!$I$1),3,115),IF('KS2-4 Combined Science TMs'!$AA$47="eal",INDEX(INDIRECT(InputsCS!$I$1),3,159),"")))),IF(InputsCS!$I$2="Pupil Percentages",IF('KS2-4 Combined Science TMs'!$AA$47="Gender",INDEX(INDIRECT(InputsCS!$I$1),19,27),IF('KS2-4 Combined Science TMs'!$AA$47="disadvantage",INDEX(INDIRECT(InputsCS!$I$1),19,71),IF('KS2-4 Combined Science TMs'!$AA$47="sen",INDEX(INDIRECT(InputsCS!$I$1),19,115),IF('KS2-4 Combined Science TMs'!$AA$47="eal",INDEX(INDIRECT(InputsCS!$I$1),19,159),"")))))))))),"")</f>
        <v/>
      </c>
      <c r="J47" s="61" t="str">
        <f ca="1">IFERROR(IF(InputsCS!$I$1="Please Select","",IF(InputsCS!$I$2="Please Select","",IF(InputsCS!$I$1="","",IF(InputsCS!$I$2="","",IF(InputsCS!$I$2="Pupil Numbers",IF('KS2-4 Combined Science TMs'!$AA$47="Gender",INDEX(INDIRECT(InputsCS!$I$1),3,28),IF('KS2-4 Combined Science TMs'!$AA$47="disadvantage",INDEX(INDIRECT(InputsCS!$I$1),3,72),IF('KS2-4 Combined Science TMs'!$AA$47="sen",INDEX(INDIRECT(InputsCS!$I$1),3,116),IF('KS2-4 Combined Science TMs'!$AA$47="eal",INDEX(INDIRECT(InputsCS!$I$1),3,160),"")))),IF(InputsCS!$I$2="Pupil Percentages",IF('KS2-4 Combined Science TMs'!$AA$47="Gender",INDEX(INDIRECT(InputsCS!$I$1),19,28),IF('KS2-4 Combined Science TMs'!$AA$47="disadvantage",INDEX(INDIRECT(InputsCS!$I$1),19,72),IF('KS2-4 Combined Science TMs'!$AA$47="sen",INDEX(INDIRECT(InputsCS!$I$1),19,116),IF('KS2-4 Combined Science TMs'!$AA$47="eal",INDEX(INDIRECT(InputsCS!$I$1),19,160),"")))))))))),"")</f>
        <v/>
      </c>
      <c r="K47" s="61" t="str">
        <f ca="1">IFERROR(IF(InputsCS!$I$1="Please Select","",IF(InputsCS!$I$2="Please Select","",IF(InputsCS!$I$1="","",IF(InputsCS!$I$2="","",IF(InputsCS!$I$2="Pupil Numbers",IF('KS2-4 Combined Science TMs'!$AA$47="Gender",INDEX(INDIRECT(InputsCS!$I$1),3,29),IF('KS2-4 Combined Science TMs'!$AA$47="disadvantage",INDEX(INDIRECT(InputsCS!$I$1),3,73),IF('KS2-4 Combined Science TMs'!$AA$47="sen",INDEX(INDIRECT(InputsCS!$I$1),3,117),IF('KS2-4 Combined Science TMs'!$AA$47="eal",INDEX(INDIRECT(InputsCS!$I$1),3,161),"")))),IF(InputsCS!$I$2="Pupil Percentages",IF('KS2-4 Combined Science TMs'!$AA$47="Gender",INDEX(INDIRECT(InputsCS!$I$1),19,29),IF('KS2-4 Combined Science TMs'!$AA$47="disadvantage",INDEX(INDIRECT(InputsCS!$I$1),19,73),IF('KS2-4 Combined Science TMs'!$AA$47="sen",INDEX(INDIRECT(InputsCS!$I$1),19,117),IF('KS2-4 Combined Science TMs'!$AA$47="eal",INDEX(INDIRECT(InputsCS!$I$1),19,161),"")))))))))),"")</f>
        <v/>
      </c>
      <c r="L47" s="61" t="str">
        <f ca="1">IFERROR(IF(InputsCS!$I$1="Please Select","",IF(InputsCS!$I$2="Please Select","",IF(InputsCS!$I$1="","",IF(InputsCS!$I$2="","",IF(InputsCS!$I$2="Pupil Numbers",IF('KS2-4 Combined Science TMs'!$AA$47="Gender",INDEX(INDIRECT(InputsCS!$I$1),3,30),IF('KS2-4 Combined Science TMs'!$AA$47="disadvantage",INDEX(INDIRECT(InputsCS!$I$1),3,74),IF('KS2-4 Combined Science TMs'!$AA$47="sen",INDEX(INDIRECT(InputsCS!$I$1),3,118),IF('KS2-4 Combined Science TMs'!$AA$47="eal",INDEX(INDIRECT(InputsCS!$I$1),3,162),"")))),IF(InputsCS!$I$2="Pupil Percentages",IF('KS2-4 Combined Science TMs'!$AA$47="Gender",INDEX(INDIRECT(InputsCS!$I$1),19,30),IF('KS2-4 Combined Science TMs'!$AA$47="disadvantage",INDEX(INDIRECT(InputsCS!$I$1),19,74),IF('KS2-4 Combined Science TMs'!$AA$47="sen",INDEX(INDIRECT(InputsCS!$I$1),19,118),IF('KS2-4 Combined Science TMs'!$AA$47="eal",INDEX(INDIRECT(InputsCS!$I$1),19,162),"")))))))))),"")</f>
        <v/>
      </c>
      <c r="M47" s="61" t="str">
        <f ca="1">IFERROR(IF(InputsCS!$I$1="Please Select","",IF(InputsCS!$I$2="Please Select","",IF(InputsCS!$I$1="","",IF(InputsCS!$I$2="","",IF(InputsCS!$I$2="Pupil Numbers",IF('KS2-4 Combined Science TMs'!$AA$47="Gender",INDEX(INDIRECT(InputsCS!$I$1),3,31),IF('KS2-4 Combined Science TMs'!$AA$47="disadvantage",INDEX(INDIRECT(InputsCS!$I$1),3,75),IF('KS2-4 Combined Science TMs'!$AA$47="sen",INDEX(INDIRECT(InputsCS!$I$1),3,119),IF('KS2-4 Combined Science TMs'!$AA$47="eal",INDEX(INDIRECT(InputsCS!$I$1),3,163),"")))),IF(InputsCS!$I$2="Pupil Percentages",IF('KS2-4 Combined Science TMs'!$AA$47="Gender",INDEX(INDIRECT(InputsCS!$I$1),19,31),IF('KS2-4 Combined Science TMs'!$AA$47="disadvantage",INDEX(INDIRECT(InputsCS!$I$1),19,75),IF('KS2-4 Combined Science TMs'!$AA$47="sen",INDEX(INDIRECT(InputsCS!$I$1),19,119),IF('KS2-4 Combined Science TMs'!$AA$47="eal",INDEX(INDIRECT(InputsCS!$I$1),19,163),"")))))))))),"")</f>
        <v/>
      </c>
      <c r="N47" s="61" t="str">
        <f ca="1">IFERROR(IF(InputsCS!$I$1="Please Select","",IF(InputsCS!$I$2="Please Select","",IF(InputsCS!$I$1="","",IF(InputsCS!$I$2="","",IF(InputsCS!$I$2="Pupil Numbers",IF('KS2-4 Combined Science TMs'!$AA$47="Gender",INDEX(INDIRECT(InputsCS!$I$1),3,32),IF('KS2-4 Combined Science TMs'!$AA$47="disadvantage",INDEX(INDIRECT(InputsCS!$I$1),3,76),IF('KS2-4 Combined Science TMs'!$AA$47="sen",INDEX(INDIRECT(InputsCS!$I$1),3,120),IF('KS2-4 Combined Science TMs'!$AA$47="eal",INDEX(INDIRECT(InputsCS!$I$1),3,164),"")))),IF(InputsCS!$I$2="Pupil Percentages",IF('KS2-4 Combined Science TMs'!$AA$47="Gender",INDEX(INDIRECT(InputsCS!$I$1),19,32),IF('KS2-4 Combined Science TMs'!$AA$47="disadvantage",INDEX(INDIRECT(InputsCS!$I$1),19,76),IF('KS2-4 Combined Science TMs'!$AA$47="sen",INDEX(INDIRECT(InputsCS!$I$1),19,120),IF('KS2-4 Combined Science TMs'!$AA$47="eal",INDEX(INDIRECT(InputsCS!$I$1),19,164),"")))))))))),"")</f>
        <v/>
      </c>
      <c r="O47" s="61" t="str">
        <f ca="1">IFERROR(IF(InputsCS!$I$1="Please Select","",IF(InputsCS!$I$2="Please Select","",IF(InputsCS!$I$1="","",IF(InputsCS!$I$2="","",IF(InputsCS!$I$2="Pupil Numbers",IF('KS2-4 Combined Science TMs'!$AA$47="Gender",INDEX(INDIRECT(InputsCS!$I$1),3,33),IF('KS2-4 Combined Science TMs'!$AA$47="disadvantage",INDEX(INDIRECT(InputsCS!$I$1),3,77),IF('KS2-4 Combined Science TMs'!$AA$47="sen",INDEX(INDIRECT(InputsCS!$I$1),3,121),IF('KS2-4 Combined Science TMs'!$AA$47="eal",INDEX(INDIRECT(InputsCS!$I$1),3,165),"")))),IF(InputsCS!$I$2="Pupil Percentages",IF('KS2-4 Combined Science TMs'!$AA$47="Gender",INDEX(INDIRECT(InputsCS!$I$1),19,33),IF('KS2-4 Combined Science TMs'!$AA$47="disadvantage",INDEX(INDIRECT(InputsCS!$I$1),19,77),IF('KS2-4 Combined Science TMs'!$AA$47="sen",INDEX(INDIRECT(InputsCS!$I$1),19,121),IF('KS2-4 Combined Science TMs'!$AA$47="eal",INDEX(INDIRECT(InputsCS!$I$1),19,165),"")))))))))),"")</f>
        <v/>
      </c>
      <c r="P47" s="61" t="str">
        <f ca="1">IFERROR(IF(InputsCS!$I$1="Please Select","",IF(InputsCS!$I$2="Please Select","",IF(InputsCS!$I$1="","",IF(InputsCS!$I$2="","",IF(InputsCS!$I$2="Pupil Numbers",IF('KS2-4 Combined Science TMs'!$AA$47="Gender",INDEX(INDIRECT(InputsCS!$I$1),3,34),IF('KS2-4 Combined Science TMs'!$AA$47="disadvantage",INDEX(INDIRECT(InputsCS!$I$1),3,78),IF('KS2-4 Combined Science TMs'!$AA$47="sen",INDEX(INDIRECT(InputsCS!$I$1),3,122),IF('KS2-4 Combined Science TMs'!$AA$47="eal",INDEX(INDIRECT(InputsCS!$I$1),3,166),"")))),IF(InputsCS!$I$2="Pupil Percentages",IF('KS2-4 Combined Science TMs'!$AA$47="Gender",INDEX(INDIRECT(InputsCS!$I$1),19,34),IF('KS2-4 Combined Science TMs'!$AA$47="disadvantage",INDEX(INDIRECT(InputsCS!$I$1),19,78),IF('KS2-4 Combined Science TMs'!$AA$47="sen",INDEX(INDIRECT(InputsCS!$I$1),19,122),IF('KS2-4 Combined Science TMs'!$AA$47="eal",INDEX(INDIRECT(InputsCS!$I$1),19,166),"")))))))))),"")</f>
        <v/>
      </c>
      <c r="Q47" s="61" t="str">
        <f ca="1">IFERROR(IF(InputsCS!$I$1="Please Select","",IF(InputsCS!$I$2="Please Select","",IF(InputsCS!$I$1="","",IF(InputsCS!$I$2="","",IF(InputsCS!$I$2="Pupil Numbers",IF('KS2-4 Combined Science TMs'!$AA$47="Gender",INDEX(INDIRECT(InputsCS!$I$1),3,35),IF('KS2-4 Combined Science TMs'!$AA$47="disadvantage",INDEX(INDIRECT(InputsCS!$I$1),3,79),IF('KS2-4 Combined Science TMs'!$AA$47="sen",INDEX(INDIRECT(InputsCS!$I$1),3,123),IF('KS2-4 Combined Science TMs'!$AA$47="eal",INDEX(INDIRECT(InputsCS!$I$1),3,167),"")))),IF(InputsCS!$I$2="Pupil Percentages",IF('KS2-4 Combined Science TMs'!$AA$47="Gender",INDEX(INDIRECT(InputsCS!$I$1),19,35),IF('KS2-4 Combined Science TMs'!$AA$47="disadvantage",INDEX(INDIRECT(InputsCS!$I$1),19,79),IF('KS2-4 Combined Science TMs'!$AA$47="sen",INDEX(INDIRECT(InputsCS!$I$1),19,123),IF('KS2-4 Combined Science TMs'!$AA$47="eal",INDEX(INDIRECT(InputsCS!$I$1),19,167),"")))))))))),"")</f>
        <v/>
      </c>
      <c r="R47" s="61" t="str">
        <f ca="1">IFERROR(IF(InputsCS!$I$1="Please Select","",IF(InputsCS!$I$2="Please Select","",IF(InputsCS!$I$1="","",IF(InputsCS!$I$2="","",IF(InputsCS!$I$2="Pupil Numbers",IF('KS2-4 Combined Science TMs'!$AA$47="Gender",INDEX(INDIRECT(InputsCS!$I$1),3,36),IF('KS2-4 Combined Science TMs'!$AA$47="disadvantage",INDEX(INDIRECT(InputsCS!$I$1),3,80),IF('KS2-4 Combined Science TMs'!$AA$47="sen",INDEX(INDIRECT(InputsCS!$I$1),3,124),IF('KS2-4 Combined Science TMs'!$AA$47="eal",INDEX(INDIRECT(InputsCS!$I$1),3,168),"")))),IF(InputsCS!$I$2="Pupil Percentages",IF('KS2-4 Combined Science TMs'!$AA$47="Gender",INDEX(INDIRECT(InputsCS!$I$1),19,36),IF('KS2-4 Combined Science TMs'!$AA$47="disadvantage",INDEX(INDIRECT(InputsCS!$I$1),19,80),IF('KS2-4 Combined Science TMs'!$AA$47="sen",INDEX(INDIRECT(InputsCS!$I$1),19,124),IF('KS2-4 Combined Science TMs'!$AA$47="eal",INDEX(INDIRECT(InputsCS!$I$1),19,168),"")))))))))),"")</f>
        <v/>
      </c>
      <c r="S47" s="61" t="str">
        <f ca="1">IFERROR(IF(InputsCS!$I$1="Please Select","",IF(InputsCS!$I$2="Please Select","",IF(InputsCS!$I$1="","",IF(InputsCS!$I$2="","",IF(InputsCS!$I$2="Pupil Numbers",IF('KS2-4 Combined Science TMs'!$AA$47="Gender",INDEX(INDIRECT(InputsCS!$I$1),3,37),IF('KS2-4 Combined Science TMs'!$AA$47="disadvantage",INDEX(INDIRECT(InputsCS!$I$1),3,81),IF('KS2-4 Combined Science TMs'!$AA$47="sen",INDEX(INDIRECT(InputsCS!$I$1),3,125),IF('KS2-4 Combined Science TMs'!$AA$47="eal",INDEX(INDIRECT(InputsCS!$I$1),3,169),"")))),IF(InputsCS!$I$2="Pupil Percentages",IF('KS2-4 Combined Science TMs'!$AA$47="Gender",INDEX(INDIRECT(InputsCS!$I$1),19,37),IF('KS2-4 Combined Science TMs'!$AA$47="disadvantage",INDEX(INDIRECT(InputsCS!$I$1),19,81),IF('KS2-4 Combined Science TMs'!$AA$47="sen",INDEX(INDIRECT(InputsCS!$I$1),19,125),IF('KS2-4 Combined Science TMs'!$AA$47="eal",INDEX(INDIRECT(InputsCS!$I$1),19,169),"")))))))))),"")</f>
        <v/>
      </c>
      <c r="T47" s="61" t="str">
        <f ca="1">IFERROR(IF(InputsCS!$I$1="Please Select","",IF(InputsCS!$I$2="Please Select","",IF(InputsCS!$I$1="","",IF(InputsCS!$I$2="","",IF(InputsCS!$I$2="Pupil Numbers",IF('KS2-4 Combined Science TMs'!$AA$47="Gender",INDEX(INDIRECT(InputsCS!$I$1),3,38),IF('KS2-4 Combined Science TMs'!$AA$47="disadvantage",INDEX(INDIRECT(InputsCS!$I$1),3,82),IF('KS2-4 Combined Science TMs'!$AA$47="sen",INDEX(INDIRECT(InputsCS!$I$1),3,126),IF('KS2-4 Combined Science TMs'!$AA$47="eal",INDEX(INDIRECT(InputsCS!$I$1),3,170),"")))),IF(InputsCS!$I$2="Pupil Percentages",IF('KS2-4 Combined Science TMs'!$AA$47="Gender",INDEX(INDIRECT(InputsCS!$I$1),19,38),IF('KS2-4 Combined Science TMs'!$AA$47="disadvantage",INDEX(INDIRECT(InputsCS!$I$1),19,82),IF('KS2-4 Combined Science TMs'!$AA$47="sen",INDEX(INDIRECT(InputsCS!$I$1),19,126),IF('KS2-4 Combined Science TMs'!$AA$47="eal",INDEX(INDIRECT(InputsCS!$I$1),19,170),"")))))))))),"")</f>
        <v/>
      </c>
      <c r="U47" s="61" t="str">
        <f ca="1">IFERROR(IF(InputsCS!$I$1="Please Select","",IF(InputsCS!$I$2="Please Select","",IF(InputsCS!$I$1="","",IF(InputsCS!$I$2="","",IF(InputsCS!$I$2="Pupil Numbers",IF('KS2-4 Combined Science TMs'!$AA$47="Gender",INDEX(INDIRECT(InputsCS!$I$1),3,39),IF('KS2-4 Combined Science TMs'!$AA$47="disadvantage",INDEX(INDIRECT(InputsCS!$I$1),3,83),IF('KS2-4 Combined Science TMs'!$AA$47="sen",INDEX(INDIRECT(InputsCS!$I$1),3,127),IF('KS2-4 Combined Science TMs'!$AA$47="eal",INDEX(INDIRECT(InputsCS!$I$1),3,171),"")))),IF(InputsCS!$I$2="Pupil Percentages",IF('KS2-4 Combined Science TMs'!$AA$47="Gender",INDEX(INDIRECT(InputsCS!$I$1),19,39),IF('KS2-4 Combined Science TMs'!$AA$47="disadvantage",INDEX(INDIRECT(InputsCS!$I$1),19,83),IF('KS2-4 Combined Science TMs'!$AA$47="sen",INDEX(INDIRECT(InputsCS!$I$1),19,127),IF('KS2-4 Combined Science TMs'!$AA$47="eal",INDEX(INDIRECT(InputsCS!$I$1),19,171),"")))))))))),"")</f>
        <v/>
      </c>
      <c r="V47" s="61" t="str">
        <f ca="1">IFERROR(IF(InputsCS!$I$1="Please Select","",IF(InputsCS!$I$2="Please Select","",IF(InputsCS!$I$1="","",IF(InputsCS!$I$2="","",IF(InputsCS!$I$2="Pupil Numbers",IF('KS2-4 Combined Science TMs'!$AA$47="Gender",INDEX(INDIRECT(InputsCS!$I$1),3,40),IF('KS2-4 Combined Science TMs'!$AA$47="disadvantage",INDEX(INDIRECT(InputsCS!$I$1),3,84),IF('KS2-4 Combined Science TMs'!$AA$47="sen",INDEX(INDIRECT(InputsCS!$I$1),3,128),IF('KS2-4 Combined Science TMs'!$AA$47="eal",INDEX(INDIRECT(InputsCS!$I$1),3,172),"")))),IF(InputsCS!$I$2="Pupil Percentages",IF('KS2-4 Combined Science TMs'!$AA$47="Gender",INDEX(INDIRECT(InputsCS!$I$1),19,40),IF('KS2-4 Combined Science TMs'!$AA$47="disadvantage",INDEX(INDIRECT(InputsCS!$I$1),19,84),IF('KS2-4 Combined Science TMs'!$AA$47="sen",INDEX(INDIRECT(InputsCS!$I$1),19,128),IF('KS2-4 Combined Science TMs'!$AA$47="eal",INDEX(INDIRECT(InputsCS!$I$1),19,172),"")))))))))),"")</f>
        <v/>
      </c>
      <c r="AA47" s="116" t="str">
        <f>VLOOKUP(InputsCS!$R$1,InputsCS!$S$1:$T$4,2)</f>
        <v>Gender</v>
      </c>
      <c r="AB47" s="117"/>
      <c r="AC47" s="118"/>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row>
    <row r="48" spans="2:99" ht="23.1" customHeight="1" x14ac:dyDescent="0.5">
      <c r="C48" s="120"/>
      <c r="D48" s="60" t="s">
        <v>3</v>
      </c>
      <c r="E48" s="61" t="str">
        <f ca="1">IFERROR(IF(InputsCS!$I$1="Please Select","",IF(InputsCS!$I$2="Please Select","",IF(InputsCS!$I$1="","",IF(InputsCS!$I$2="","",IF(InputsCS!$I$2="Pupil Numbers",IF('KS2-4 Combined Science TMs'!$AA$47="Gender",INDEX(INDIRECT(InputsCS!$I$1),4,23),IF('KS2-4 Combined Science TMs'!$AA$47="disadvantage",INDEX(INDIRECT(InputsCS!$I$1),4,67),IF('KS2-4 Combined Science TMs'!$AA$47="sen",INDEX(INDIRECT(InputsCS!$I$1),4,111),IF('KS2-4 Combined Science TMs'!$AA$47="eal",INDEX(INDIRECT(InputsCS!$I$1),4,155),"")))),IF(InputsCS!$I$2="Pupil Percentages",IF('KS2-4 Combined Science TMs'!$AA$47="Gender",INDEX(INDIRECT(InputsCS!$I$1),20,23),IF('KS2-4 Combined Science TMs'!$AA$47="disadvantage",INDEX(INDIRECT(InputsCS!$I$1),20,67),IF('KS2-4 Combined Science TMs'!$AA$47="sen",INDEX(INDIRECT(InputsCS!$I$1),20,111),IF('KS2-4 Combined Science TMs'!$AA$47="eal",INDEX(INDIRECT(InputsCS!$I$1),20,155),"")))))))))),"")</f>
        <v/>
      </c>
      <c r="F48" s="61" t="str">
        <f ca="1">IFERROR(IF(InputsCS!$I$1="Please Select","",IF(InputsCS!$I$2="Please Select","",IF(InputsCS!$I$1="","",IF(InputsCS!$I$2="","",IF(InputsCS!$I$2="Pupil Numbers",IF('KS2-4 Combined Science TMs'!$AA$47="Gender",INDEX(INDIRECT(InputsCS!$I$1),4,24),IF('KS2-4 Combined Science TMs'!$AA$47="disadvantage",INDEX(INDIRECT(InputsCS!$I$1),4,68),IF('KS2-4 Combined Science TMs'!$AA$47="sen",INDEX(INDIRECT(InputsCS!$I$1),4,112),IF('KS2-4 Combined Science TMs'!$AA$47="eal",INDEX(INDIRECT(InputsCS!$I$1),4,156),"")))),IF(InputsCS!$I$2="Pupil Percentages",IF('KS2-4 Combined Science TMs'!$AA$47="Gender",INDEX(INDIRECT(InputsCS!$I$1),20,24),IF('KS2-4 Combined Science TMs'!$AA$47="disadvantage",INDEX(INDIRECT(InputsCS!$I$1),20,68),IF('KS2-4 Combined Science TMs'!$AA$47="sen",INDEX(INDIRECT(InputsCS!$I$1),20,112),IF('KS2-4 Combined Science TMs'!$AA$47="eal",INDEX(INDIRECT(InputsCS!$I$1),20,156),"")))))))))),"")</f>
        <v/>
      </c>
      <c r="G48" s="61" t="str">
        <f ca="1">IFERROR(IF(InputsCS!$I$1="Please Select","",IF(InputsCS!$I$2="Please Select","",IF(InputsCS!$I$1="","",IF(InputsCS!$I$2="","",IF(InputsCS!$I$2="Pupil Numbers",IF('KS2-4 Combined Science TMs'!$AA$47="Gender",INDEX(INDIRECT(InputsCS!$I$1),4,25),IF('KS2-4 Combined Science TMs'!$AA$47="disadvantage",INDEX(INDIRECT(InputsCS!$I$1),4,69),IF('KS2-4 Combined Science TMs'!$AA$47="sen",INDEX(INDIRECT(InputsCS!$I$1),4,113),IF('KS2-4 Combined Science TMs'!$AA$47="eal",INDEX(INDIRECT(InputsCS!$I$1),4,157),"")))),IF(InputsCS!$I$2="Pupil Percentages",IF('KS2-4 Combined Science TMs'!$AA$47="Gender",INDEX(INDIRECT(InputsCS!$I$1),20,25),IF('KS2-4 Combined Science TMs'!$AA$47="disadvantage",INDEX(INDIRECT(InputsCS!$I$1),20,69),IF('KS2-4 Combined Science TMs'!$AA$47="sen",INDEX(INDIRECT(InputsCS!$I$1),20,113),IF('KS2-4 Combined Science TMs'!$AA$47="eal",INDEX(INDIRECT(InputsCS!$I$1),20,157),"")))))))))),"")</f>
        <v/>
      </c>
      <c r="H48" s="61" t="str">
        <f ca="1">IFERROR(IF(InputsCS!$I$1="Please Select","",IF(InputsCS!$I$2="Please Select","",IF(InputsCS!$I$1="","",IF(InputsCS!$I$2="","",IF(InputsCS!$I$2="Pupil Numbers",IF('KS2-4 Combined Science TMs'!$AA$47="Gender",INDEX(INDIRECT(InputsCS!$I$1),4,26),IF('KS2-4 Combined Science TMs'!$AA$47="disadvantage",INDEX(INDIRECT(InputsCS!$I$1),4,70),IF('KS2-4 Combined Science TMs'!$AA$47="sen",INDEX(INDIRECT(InputsCS!$I$1),4,114),IF('KS2-4 Combined Science TMs'!$AA$47="eal",INDEX(INDIRECT(InputsCS!$I$1),4,158),"")))),IF(InputsCS!$I$2="Pupil Percentages",IF('KS2-4 Combined Science TMs'!$AA$47="Gender",INDEX(INDIRECT(InputsCS!$I$1),20,26),IF('KS2-4 Combined Science TMs'!$AA$47="disadvantage",INDEX(INDIRECT(InputsCS!$I$1),20,70),IF('KS2-4 Combined Science TMs'!$AA$47="sen",INDEX(INDIRECT(InputsCS!$I$1),20,114),IF('KS2-4 Combined Science TMs'!$AA$47="eal",INDEX(INDIRECT(InputsCS!$I$1),20,158),"")))))))))),"")</f>
        <v/>
      </c>
      <c r="I48" s="61" t="str">
        <f ca="1">IFERROR(IF(InputsCS!$I$1="Please Select","",IF(InputsCS!$I$2="Please Select","",IF(InputsCS!$I$1="","",IF(InputsCS!$I$2="","",IF(InputsCS!$I$2="Pupil Numbers",IF('KS2-4 Combined Science TMs'!$AA$47="Gender",INDEX(INDIRECT(InputsCS!$I$1),4,27),IF('KS2-4 Combined Science TMs'!$AA$47="disadvantage",INDEX(INDIRECT(InputsCS!$I$1),4,71),IF('KS2-4 Combined Science TMs'!$AA$47="sen",INDEX(INDIRECT(InputsCS!$I$1),4,115),IF('KS2-4 Combined Science TMs'!$AA$47="eal",INDEX(INDIRECT(InputsCS!$I$1),4,159),"")))),IF(InputsCS!$I$2="Pupil Percentages",IF('KS2-4 Combined Science TMs'!$AA$47="Gender",INDEX(INDIRECT(InputsCS!$I$1),20,27),IF('KS2-4 Combined Science TMs'!$AA$47="disadvantage",INDEX(INDIRECT(InputsCS!$I$1),20,71),IF('KS2-4 Combined Science TMs'!$AA$47="sen",INDEX(INDIRECT(InputsCS!$I$1),20,115),IF('KS2-4 Combined Science TMs'!$AA$47="eal",INDEX(INDIRECT(InputsCS!$I$1),20,159),"")))))))))),"")</f>
        <v/>
      </c>
      <c r="J48" s="61" t="str">
        <f ca="1">IFERROR(IF(InputsCS!$I$1="Please Select","",IF(InputsCS!$I$2="Please Select","",IF(InputsCS!$I$1="","",IF(InputsCS!$I$2="","",IF(InputsCS!$I$2="Pupil Numbers",IF('KS2-4 Combined Science TMs'!$AA$47="Gender",INDEX(INDIRECT(InputsCS!$I$1),4,28),IF('KS2-4 Combined Science TMs'!$AA$47="disadvantage",INDEX(INDIRECT(InputsCS!$I$1),4,72),IF('KS2-4 Combined Science TMs'!$AA$47="sen",INDEX(INDIRECT(InputsCS!$I$1),4,116),IF('KS2-4 Combined Science TMs'!$AA$47="eal",INDEX(INDIRECT(InputsCS!$I$1),4,160),"")))),IF(InputsCS!$I$2="Pupil Percentages",IF('KS2-4 Combined Science TMs'!$AA$47="Gender",INDEX(INDIRECT(InputsCS!$I$1),20,28),IF('KS2-4 Combined Science TMs'!$AA$47="disadvantage",INDEX(INDIRECT(InputsCS!$I$1),20,72),IF('KS2-4 Combined Science TMs'!$AA$47="sen",INDEX(INDIRECT(InputsCS!$I$1),20,116),IF('KS2-4 Combined Science TMs'!$AA$47="eal",INDEX(INDIRECT(InputsCS!$I$1),20,160),"")))))))))),"")</f>
        <v/>
      </c>
      <c r="K48" s="61" t="str">
        <f ca="1">IFERROR(IF(InputsCS!$I$1="Please Select","",IF(InputsCS!$I$2="Please Select","",IF(InputsCS!$I$1="","",IF(InputsCS!$I$2="","",IF(InputsCS!$I$2="Pupil Numbers",IF('KS2-4 Combined Science TMs'!$AA$47="Gender",INDEX(INDIRECT(InputsCS!$I$1),4,29),IF('KS2-4 Combined Science TMs'!$AA$47="disadvantage",INDEX(INDIRECT(InputsCS!$I$1),4,73),IF('KS2-4 Combined Science TMs'!$AA$47="sen",INDEX(INDIRECT(InputsCS!$I$1),4,117),IF('KS2-4 Combined Science TMs'!$AA$47="eal",INDEX(INDIRECT(InputsCS!$I$1),4,161),"")))),IF(InputsCS!$I$2="Pupil Percentages",IF('KS2-4 Combined Science TMs'!$AA$47="Gender",INDEX(INDIRECT(InputsCS!$I$1),20,29),IF('KS2-4 Combined Science TMs'!$AA$47="disadvantage",INDEX(INDIRECT(InputsCS!$I$1),20,73),IF('KS2-4 Combined Science TMs'!$AA$47="sen",INDEX(INDIRECT(InputsCS!$I$1),20,117),IF('KS2-4 Combined Science TMs'!$AA$47="eal",INDEX(INDIRECT(InputsCS!$I$1),20,161),"")))))))))),"")</f>
        <v/>
      </c>
      <c r="L48" s="61" t="str">
        <f ca="1">IFERROR(IF(InputsCS!$I$1="Please Select","",IF(InputsCS!$I$2="Please Select","",IF(InputsCS!$I$1="","",IF(InputsCS!$I$2="","",IF(InputsCS!$I$2="Pupil Numbers",IF('KS2-4 Combined Science TMs'!$AA$47="Gender",INDEX(INDIRECT(InputsCS!$I$1),4,30),IF('KS2-4 Combined Science TMs'!$AA$47="disadvantage",INDEX(INDIRECT(InputsCS!$I$1),4,74),IF('KS2-4 Combined Science TMs'!$AA$47="sen",INDEX(INDIRECT(InputsCS!$I$1),4,118),IF('KS2-4 Combined Science TMs'!$AA$47="eal",INDEX(INDIRECT(InputsCS!$I$1),4,162),"")))),IF(InputsCS!$I$2="Pupil Percentages",IF('KS2-4 Combined Science TMs'!$AA$47="Gender",INDEX(INDIRECT(InputsCS!$I$1),20,30),IF('KS2-4 Combined Science TMs'!$AA$47="disadvantage",INDEX(INDIRECT(InputsCS!$I$1),20,74),IF('KS2-4 Combined Science TMs'!$AA$47="sen",INDEX(INDIRECT(InputsCS!$I$1),20,118),IF('KS2-4 Combined Science TMs'!$AA$47="eal",INDEX(INDIRECT(InputsCS!$I$1),20,162),"")))))))))),"")</f>
        <v/>
      </c>
      <c r="M48" s="61" t="str">
        <f ca="1">IFERROR(IF(InputsCS!$I$1="Please Select","",IF(InputsCS!$I$2="Please Select","",IF(InputsCS!$I$1="","",IF(InputsCS!$I$2="","",IF(InputsCS!$I$2="Pupil Numbers",IF('KS2-4 Combined Science TMs'!$AA$47="Gender",INDEX(INDIRECT(InputsCS!$I$1),4,31),IF('KS2-4 Combined Science TMs'!$AA$47="disadvantage",INDEX(INDIRECT(InputsCS!$I$1),4,75),IF('KS2-4 Combined Science TMs'!$AA$47="sen",INDEX(INDIRECT(InputsCS!$I$1),4,119),IF('KS2-4 Combined Science TMs'!$AA$47="eal",INDEX(INDIRECT(InputsCS!$I$1),4,163),"")))),IF(InputsCS!$I$2="Pupil Percentages",IF('KS2-4 Combined Science TMs'!$AA$47="Gender",INDEX(INDIRECT(InputsCS!$I$1),20,31),IF('KS2-4 Combined Science TMs'!$AA$47="disadvantage",INDEX(INDIRECT(InputsCS!$I$1),20,75),IF('KS2-4 Combined Science TMs'!$AA$47="sen",INDEX(INDIRECT(InputsCS!$I$1),20,119),IF('KS2-4 Combined Science TMs'!$AA$47="eal",INDEX(INDIRECT(InputsCS!$I$1),20,163),"")))))))))),"")</f>
        <v/>
      </c>
      <c r="N48" s="61" t="str">
        <f ca="1">IFERROR(IF(InputsCS!$I$1="Please Select","",IF(InputsCS!$I$2="Please Select","",IF(InputsCS!$I$1="","",IF(InputsCS!$I$2="","",IF(InputsCS!$I$2="Pupil Numbers",IF('KS2-4 Combined Science TMs'!$AA$47="Gender",INDEX(INDIRECT(InputsCS!$I$1),4,32),IF('KS2-4 Combined Science TMs'!$AA$47="disadvantage",INDEX(INDIRECT(InputsCS!$I$1),4,76),IF('KS2-4 Combined Science TMs'!$AA$47="sen",INDEX(INDIRECT(InputsCS!$I$1),4,120),IF('KS2-4 Combined Science TMs'!$AA$47="eal",INDEX(INDIRECT(InputsCS!$I$1),4,164),"")))),IF(InputsCS!$I$2="Pupil Percentages",IF('KS2-4 Combined Science TMs'!$AA$47="Gender",INDEX(INDIRECT(InputsCS!$I$1),20,32),IF('KS2-4 Combined Science TMs'!$AA$47="disadvantage",INDEX(INDIRECT(InputsCS!$I$1),20,76),IF('KS2-4 Combined Science TMs'!$AA$47="sen",INDEX(INDIRECT(InputsCS!$I$1),20,120),IF('KS2-4 Combined Science TMs'!$AA$47="eal",INDEX(INDIRECT(InputsCS!$I$1),20,164),"")))))))))),"")</f>
        <v/>
      </c>
      <c r="O48" s="61" t="str">
        <f ca="1">IFERROR(IF(InputsCS!$I$1="Please Select","",IF(InputsCS!$I$2="Please Select","",IF(InputsCS!$I$1="","",IF(InputsCS!$I$2="","",IF(InputsCS!$I$2="Pupil Numbers",IF('KS2-4 Combined Science TMs'!$AA$47="Gender",INDEX(INDIRECT(InputsCS!$I$1),4,33),IF('KS2-4 Combined Science TMs'!$AA$47="disadvantage",INDEX(INDIRECT(InputsCS!$I$1),4,77),IF('KS2-4 Combined Science TMs'!$AA$47="sen",INDEX(INDIRECT(InputsCS!$I$1),4,121),IF('KS2-4 Combined Science TMs'!$AA$47="eal",INDEX(INDIRECT(InputsCS!$I$1),4,165),"")))),IF(InputsCS!$I$2="Pupil Percentages",IF('KS2-4 Combined Science TMs'!$AA$47="Gender",INDEX(INDIRECT(InputsCS!$I$1),20,33),IF('KS2-4 Combined Science TMs'!$AA$47="disadvantage",INDEX(INDIRECT(InputsCS!$I$1),20,77),IF('KS2-4 Combined Science TMs'!$AA$47="sen",INDEX(INDIRECT(InputsCS!$I$1),20,121),IF('KS2-4 Combined Science TMs'!$AA$47="eal",INDEX(INDIRECT(InputsCS!$I$1),20,165),"")))))))))),"")</f>
        <v/>
      </c>
      <c r="P48" s="61" t="str">
        <f ca="1">IFERROR(IF(InputsCS!$I$1="Please Select","",IF(InputsCS!$I$2="Please Select","",IF(InputsCS!$I$1="","",IF(InputsCS!$I$2="","",IF(InputsCS!$I$2="Pupil Numbers",IF('KS2-4 Combined Science TMs'!$AA$47="Gender",INDEX(INDIRECT(InputsCS!$I$1),4,34),IF('KS2-4 Combined Science TMs'!$AA$47="disadvantage",INDEX(INDIRECT(InputsCS!$I$1),4,78),IF('KS2-4 Combined Science TMs'!$AA$47="sen",INDEX(INDIRECT(InputsCS!$I$1),4,122),IF('KS2-4 Combined Science TMs'!$AA$47="eal",INDEX(INDIRECT(InputsCS!$I$1),4,166),"")))),IF(InputsCS!$I$2="Pupil Percentages",IF('KS2-4 Combined Science TMs'!$AA$47="Gender",INDEX(INDIRECT(InputsCS!$I$1),20,34),IF('KS2-4 Combined Science TMs'!$AA$47="disadvantage",INDEX(INDIRECT(InputsCS!$I$1),20,78),IF('KS2-4 Combined Science TMs'!$AA$47="sen",INDEX(INDIRECT(InputsCS!$I$1),20,122),IF('KS2-4 Combined Science TMs'!$AA$47="eal",INDEX(INDIRECT(InputsCS!$I$1),20,166),"")))))))))),"")</f>
        <v/>
      </c>
      <c r="Q48" s="61" t="str">
        <f ca="1">IFERROR(IF(InputsCS!$I$1="Please Select","",IF(InputsCS!$I$2="Please Select","",IF(InputsCS!$I$1="","",IF(InputsCS!$I$2="","",IF(InputsCS!$I$2="Pupil Numbers",IF('KS2-4 Combined Science TMs'!$AA$47="Gender",INDEX(INDIRECT(InputsCS!$I$1),4,35),IF('KS2-4 Combined Science TMs'!$AA$47="disadvantage",INDEX(INDIRECT(InputsCS!$I$1),4,79),IF('KS2-4 Combined Science TMs'!$AA$47="sen",INDEX(INDIRECT(InputsCS!$I$1),4,123),IF('KS2-4 Combined Science TMs'!$AA$47="eal",INDEX(INDIRECT(InputsCS!$I$1),4,167),"")))),IF(InputsCS!$I$2="Pupil Percentages",IF('KS2-4 Combined Science TMs'!$AA$47="Gender",INDEX(INDIRECT(InputsCS!$I$1),20,35),IF('KS2-4 Combined Science TMs'!$AA$47="disadvantage",INDEX(INDIRECT(InputsCS!$I$1),20,79),IF('KS2-4 Combined Science TMs'!$AA$47="sen",INDEX(INDIRECT(InputsCS!$I$1),20,123),IF('KS2-4 Combined Science TMs'!$AA$47="eal",INDEX(INDIRECT(InputsCS!$I$1),20,167),"")))))))))),"")</f>
        <v/>
      </c>
      <c r="R48" s="61" t="str">
        <f ca="1">IFERROR(IF(InputsCS!$I$1="Please Select","",IF(InputsCS!$I$2="Please Select","",IF(InputsCS!$I$1="","",IF(InputsCS!$I$2="","",IF(InputsCS!$I$2="Pupil Numbers",IF('KS2-4 Combined Science TMs'!$AA$47="Gender",INDEX(INDIRECT(InputsCS!$I$1),4,36),IF('KS2-4 Combined Science TMs'!$AA$47="disadvantage",INDEX(INDIRECT(InputsCS!$I$1),4,80),IF('KS2-4 Combined Science TMs'!$AA$47="sen",INDEX(INDIRECT(InputsCS!$I$1),4,124),IF('KS2-4 Combined Science TMs'!$AA$47="eal",INDEX(INDIRECT(InputsCS!$I$1),4,168),"")))),IF(InputsCS!$I$2="Pupil Percentages",IF('KS2-4 Combined Science TMs'!$AA$47="Gender",INDEX(INDIRECT(InputsCS!$I$1),20,36),IF('KS2-4 Combined Science TMs'!$AA$47="disadvantage",INDEX(INDIRECT(InputsCS!$I$1),20,80),IF('KS2-4 Combined Science TMs'!$AA$47="sen",INDEX(INDIRECT(InputsCS!$I$1),20,124),IF('KS2-4 Combined Science TMs'!$AA$47="eal",INDEX(INDIRECT(InputsCS!$I$1),20,168),"")))))))))),"")</f>
        <v/>
      </c>
      <c r="S48" s="61" t="str">
        <f ca="1">IFERROR(IF(InputsCS!$I$1="Please Select","",IF(InputsCS!$I$2="Please Select","",IF(InputsCS!$I$1="","",IF(InputsCS!$I$2="","",IF(InputsCS!$I$2="Pupil Numbers",IF('KS2-4 Combined Science TMs'!$AA$47="Gender",INDEX(INDIRECT(InputsCS!$I$1),4,37),IF('KS2-4 Combined Science TMs'!$AA$47="disadvantage",INDEX(INDIRECT(InputsCS!$I$1),4,81),IF('KS2-4 Combined Science TMs'!$AA$47="sen",INDEX(INDIRECT(InputsCS!$I$1),4,125),IF('KS2-4 Combined Science TMs'!$AA$47="eal",INDEX(INDIRECT(InputsCS!$I$1),4,169),"")))),IF(InputsCS!$I$2="Pupil Percentages",IF('KS2-4 Combined Science TMs'!$AA$47="Gender",INDEX(INDIRECT(InputsCS!$I$1),20,37),IF('KS2-4 Combined Science TMs'!$AA$47="disadvantage",INDEX(INDIRECT(InputsCS!$I$1),20,81),IF('KS2-4 Combined Science TMs'!$AA$47="sen",INDEX(INDIRECT(InputsCS!$I$1),20,125),IF('KS2-4 Combined Science TMs'!$AA$47="eal",INDEX(INDIRECT(InputsCS!$I$1),20,169),"")))))))))),"")</f>
        <v/>
      </c>
      <c r="T48" s="61" t="str">
        <f ca="1">IFERROR(IF(InputsCS!$I$1="Please Select","",IF(InputsCS!$I$2="Please Select","",IF(InputsCS!$I$1="","",IF(InputsCS!$I$2="","",IF(InputsCS!$I$2="Pupil Numbers",IF('KS2-4 Combined Science TMs'!$AA$47="Gender",INDEX(INDIRECT(InputsCS!$I$1),4,38),IF('KS2-4 Combined Science TMs'!$AA$47="disadvantage",INDEX(INDIRECT(InputsCS!$I$1),4,82),IF('KS2-4 Combined Science TMs'!$AA$47="sen",INDEX(INDIRECT(InputsCS!$I$1),4,126),IF('KS2-4 Combined Science TMs'!$AA$47="eal",INDEX(INDIRECT(InputsCS!$I$1),4,170),"")))),IF(InputsCS!$I$2="Pupil Percentages",IF('KS2-4 Combined Science TMs'!$AA$47="Gender",INDEX(INDIRECT(InputsCS!$I$1),20,38),IF('KS2-4 Combined Science TMs'!$AA$47="disadvantage",INDEX(INDIRECT(InputsCS!$I$1),20,82),IF('KS2-4 Combined Science TMs'!$AA$47="sen",INDEX(INDIRECT(InputsCS!$I$1),20,126),IF('KS2-4 Combined Science TMs'!$AA$47="eal",INDEX(INDIRECT(InputsCS!$I$1),20,170),"")))))))))),"")</f>
        <v/>
      </c>
      <c r="U48" s="61" t="str">
        <f ca="1">IFERROR(IF(InputsCS!$I$1="Please Select","",IF(InputsCS!$I$2="Please Select","",IF(InputsCS!$I$1="","",IF(InputsCS!$I$2="","",IF(InputsCS!$I$2="Pupil Numbers",IF('KS2-4 Combined Science TMs'!$AA$47="Gender",INDEX(INDIRECT(InputsCS!$I$1),4,39),IF('KS2-4 Combined Science TMs'!$AA$47="disadvantage",INDEX(INDIRECT(InputsCS!$I$1),4,83),IF('KS2-4 Combined Science TMs'!$AA$47="sen",INDEX(INDIRECT(InputsCS!$I$1),4,127),IF('KS2-4 Combined Science TMs'!$AA$47="eal",INDEX(INDIRECT(InputsCS!$I$1),4,171),"")))),IF(InputsCS!$I$2="Pupil Percentages",IF('KS2-4 Combined Science TMs'!$AA$47="Gender",INDEX(INDIRECT(InputsCS!$I$1),20,39),IF('KS2-4 Combined Science TMs'!$AA$47="disadvantage",INDEX(INDIRECT(InputsCS!$I$1),20,83),IF('KS2-4 Combined Science TMs'!$AA$47="sen",INDEX(INDIRECT(InputsCS!$I$1),20,127),IF('KS2-4 Combined Science TMs'!$AA$47="eal",INDEX(INDIRECT(InputsCS!$I$1),20,171),"")))))))))),"")</f>
        <v/>
      </c>
      <c r="V48" s="61" t="str">
        <f ca="1">IFERROR(IF(InputsCS!$I$1="Please Select","",IF(InputsCS!$I$2="Please Select","",IF(InputsCS!$I$1="","",IF(InputsCS!$I$2="","",IF(InputsCS!$I$2="Pupil Numbers",IF('KS2-4 Combined Science TMs'!$AA$47="Gender",INDEX(INDIRECT(InputsCS!$I$1),4,40),IF('KS2-4 Combined Science TMs'!$AA$47="disadvantage",INDEX(INDIRECT(InputsCS!$I$1),4,84),IF('KS2-4 Combined Science TMs'!$AA$47="sen",INDEX(INDIRECT(InputsCS!$I$1),4,128),IF('KS2-4 Combined Science TMs'!$AA$47="eal",INDEX(INDIRECT(InputsCS!$I$1),4,172),"")))),IF(InputsCS!$I$2="Pupil Percentages",IF('KS2-4 Combined Science TMs'!$AA$47="Gender",INDEX(INDIRECT(InputsCS!$I$1),20,40),IF('KS2-4 Combined Science TMs'!$AA$47="disadvantage",INDEX(INDIRECT(InputsCS!$I$1),20,84),IF('KS2-4 Combined Science TMs'!$AA$47="sen",INDEX(INDIRECT(InputsCS!$I$1),20,128),IF('KS2-4 Combined Science TMs'!$AA$47="eal",INDEX(INDIRECT(InputsCS!$I$1),20,172),"")))))))))),"")</f>
        <v/>
      </c>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row>
    <row r="49" spans="3:56" ht="23.1" customHeight="1" x14ac:dyDescent="0.5">
      <c r="C49" s="120"/>
      <c r="D49" s="60" t="s">
        <v>4</v>
      </c>
      <c r="E49" s="61" t="str">
        <f ca="1">IFERROR(IF(InputsCS!$I$1="Please Select","",IF(InputsCS!$I$2="Please Select","",IF(InputsCS!$I$1="","",IF(InputsCS!$I$2="","",IF(InputsCS!$I$2="Pupil Numbers",IF('KS2-4 Combined Science TMs'!$AA$47="Gender",INDEX(INDIRECT(InputsCS!$I$1),5,23),IF('KS2-4 Combined Science TMs'!$AA$47="disadvantage",INDEX(INDIRECT(InputsCS!$I$1),5,67),IF('KS2-4 Combined Science TMs'!$AA$47="sen",INDEX(INDIRECT(InputsCS!$I$1),5,111),IF('KS2-4 Combined Science TMs'!$AA$47="eal",INDEX(INDIRECT(InputsCS!$I$1),5,155),"")))),IF(InputsCS!$I$2="Pupil Percentages",IF('KS2-4 Combined Science TMs'!$AA$47="Gender",INDEX(INDIRECT(InputsCS!$I$1),21,23),IF('KS2-4 Combined Science TMs'!$AA$47="disadvantage",INDEX(INDIRECT(InputsCS!$I$1),21,67),IF('KS2-4 Combined Science TMs'!$AA$47="sen",INDEX(INDIRECT(InputsCS!$I$1),21,111),IF('KS2-4 Combined Science TMs'!$AA$47="eal",INDEX(INDIRECT(InputsCS!$I$1),21,155),"")))))))))),"")</f>
        <v/>
      </c>
      <c r="F49" s="61" t="str">
        <f ca="1">IFERROR(IF(InputsCS!$I$1="Please Select","",IF(InputsCS!$I$2="Please Select","",IF(InputsCS!$I$1="","",IF(InputsCS!$I$2="","",IF(InputsCS!$I$2="Pupil Numbers",IF('KS2-4 Combined Science TMs'!$AA$47="Gender",INDEX(INDIRECT(InputsCS!$I$1),5,24),IF('KS2-4 Combined Science TMs'!$AA$47="disadvantage",INDEX(INDIRECT(InputsCS!$I$1),5,68),IF('KS2-4 Combined Science TMs'!$AA$47="sen",INDEX(INDIRECT(InputsCS!$I$1),5,112),IF('KS2-4 Combined Science TMs'!$AA$47="eal",INDEX(INDIRECT(InputsCS!$I$1),5,156),"")))),IF(InputsCS!$I$2="Pupil Percentages",IF('KS2-4 Combined Science TMs'!$AA$47="Gender",INDEX(INDIRECT(InputsCS!$I$1),21,24),IF('KS2-4 Combined Science TMs'!$AA$47="disadvantage",INDEX(INDIRECT(InputsCS!$I$1),21,68),IF('KS2-4 Combined Science TMs'!$AA$47="sen",INDEX(INDIRECT(InputsCS!$I$1),21,112),IF('KS2-4 Combined Science TMs'!$AA$47="eal",INDEX(INDIRECT(InputsCS!$I$1),21,156),"")))))))))),"")</f>
        <v/>
      </c>
      <c r="G49" s="61" t="str">
        <f ca="1">IFERROR(IF(InputsCS!$I$1="Please Select","",IF(InputsCS!$I$2="Please Select","",IF(InputsCS!$I$1="","",IF(InputsCS!$I$2="","",IF(InputsCS!$I$2="Pupil Numbers",IF('KS2-4 Combined Science TMs'!$AA$47="Gender",INDEX(INDIRECT(InputsCS!$I$1),5,25),IF('KS2-4 Combined Science TMs'!$AA$47="disadvantage",INDEX(INDIRECT(InputsCS!$I$1),5,69),IF('KS2-4 Combined Science TMs'!$AA$47="sen",INDEX(INDIRECT(InputsCS!$I$1),5,113),IF('KS2-4 Combined Science TMs'!$AA$47="eal",INDEX(INDIRECT(InputsCS!$I$1),5,157),"")))),IF(InputsCS!$I$2="Pupil Percentages",IF('KS2-4 Combined Science TMs'!$AA$47="Gender",INDEX(INDIRECT(InputsCS!$I$1),21,25),IF('KS2-4 Combined Science TMs'!$AA$47="disadvantage",INDEX(INDIRECT(InputsCS!$I$1),21,69),IF('KS2-4 Combined Science TMs'!$AA$47="sen",INDEX(INDIRECT(InputsCS!$I$1),21,113),IF('KS2-4 Combined Science TMs'!$AA$47="eal",INDEX(INDIRECT(InputsCS!$I$1),21,157),"")))))))))),"")</f>
        <v/>
      </c>
      <c r="H49" s="61" t="str">
        <f ca="1">IFERROR(IF(InputsCS!$I$1="Please Select","",IF(InputsCS!$I$2="Please Select","",IF(InputsCS!$I$1="","",IF(InputsCS!$I$2="","",IF(InputsCS!$I$2="Pupil Numbers",IF('KS2-4 Combined Science TMs'!$AA$47="Gender",INDEX(INDIRECT(InputsCS!$I$1),5,26),IF('KS2-4 Combined Science TMs'!$AA$47="disadvantage",INDEX(INDIRECT(InputsCS!$I$1),5,70),IF('KS2-4 Combined Science TMs'!$AA$47="sen",INDEX(INDIRECT(InputsCS!$I$1),5,114),IF('KS2-4 Combined Science TMs'!$AA$47="eal",INDEX(INDIRECT(InputsCS!$I$1),5,158),"")))),IF(InputsCS!$I$2="Pupil Percentages",IF('KS2-4 Combined Science TMs'!$AA$47="Gender",INDEX(INDIRECT(InputsCS!$I$1),21,26),IF('KS2-4 Combined Science TMs'!$AA$47="disadvantage",INDEX(INDIRECT(InputsCS!$I$1),21,70),IF('KS2-4 Combined Science TMs'!$AA$47="sen",INDEX(INDIRECT(InputsCS!$I$1),21,114),IF('KS2-4 Combined Science TMs'!$AA$47="eal",INDEX(INDIRECT(InputsCS!$I$1),21,158),"")))))))))),"")</f>
        <v/>
      </c>
      <c r="I49" s="61" t="str">
        <f ca="1">IFERROR(IF(InputsCS!$I$1="Please Select","",IF(InputsCS!$I$2="Please Select","",IF(InputsCS!$I$1="","",IF(InputsCS!$I$2="","",IF(InputsCS!$I$2="Pupil Numbers",IF('KS2-4 Combined Science TMs'!$AA$47="Gender",INDEX(INDIRECT(InputsCS!$I$1),5,27),IF('KS2-4 Combined Science TMs'!$AA$47="disadvantage",INDEX(INDIRECT(InputsCS!$I$1),5,71),IF('KS2-4 Combined Science TMs'!$AA$47="sen",INDEX(INDIRECT(InputsCS!$I$1),5,115),IF('KS2-4 Combined Science TMs'!$AA$47="eal",INDEX(INDIRECT(InputsCS!$I$1),5,159),"")))),IF(InputsCS!$I$2="Pupil Percentages",IF('KS2-4 Combined Science TMs'!$AA$47="Gender",INDEX(INDIRECT(InputsCS!$I$1),21,27),IF('KS2-4 Combined Science TMs'!$AA$47="disadvantage",INDEX(INDIRECT(InputsCS!$I$1),21,71),IF('KS2-4 Combined Science TMs'!$AA$47="sen",INDEX(INDIRECT(InputsCS!$I$1),21,115),IF('KS2-4 Combined Science TMs'!$AA$47="eal",INDEX(INDIRECT(InputsCS!$I$1),21,159),"")))))))))),"")</f>
        <v/>
      </c>
      <c r="J49" s="61" t="str">
        <f ca="1">IFERROR(IF(InputsCS!$I$1="Please Select","",IF(InputsCS!$I$2="Please Select","",IF(InputsCS!$I$1="","",IF(InputsCS!$I$2="","",IF(InputsCS!$I$2="Pupil Numbers",IF('KS2-4 Combined Science TMs'!$AA$47="Gender",INDEX(INDIRECT(InputsCS!$I$1),5,28),IF('KS2-4 Combined Science TMs'!$AA$47="disadvantage",INDEX(INDIRECT(InputsCS!$I$1),5,72),IF('KS2-4 Combined Science TMs'!$AA$47="sen",INDEX(INDIRECT(InputsCS!$I$1),5,116),IF('KS2-4 Combined Science TMs'!$AA$47="eal",INDEX(INDIRECT(InputsCS!$I$1),5,160),"")))),IF(InputsCS!$I$2="Pupil Percentages",IF('KS2-4 Combined Science TMs'!$AA$47="Gender",INDEX(INDIRECT(InputsCS!$I$1),21,28),IF('KS2-4 Combined Science TMs'!$AA$47="disadvantage",INDEX(INDIRECT(InputsCS!$I$1),21,72),IF('KS2-4 Combined Science TMs'!$AA$47="sen",INDEX(INDIRECT(InputsCS!$I$1),21,116),IF('KS2-4 Combined Science TMs'!$AA$47="eal",INDEX(INDIRECT(InputsCS!$I$1),21,160),"")))))))))),"")</f>
        <v/>
      </c>
      <c r="K49" s="61" t="str">
        <f ca="1">IFERROR(IF(InputsCS!$I$1="Please Select","",IF(InputsCS!$I$2="Please Select","",IF(InputsCS!$I$1="","",IF(InputsCS!$I$2="","",IF(InputsCS!$I$2="Pupil Numbers",IF('KS2-4 Combined Science TMs'!$AA$47="Gender",INDEX(INDIRECT(InputsCS!$I$1),5,29),IF('KS2-4 Combined Science TMs'!$AA$47="disadvantage",INDEX(INDIRECT(InputsCS!$I$1),5,73),IF('KS2-4 Combined Science TMs'!$AA$47="sen",INDEX(INDIRECT(InputsCS!$I$1),5,117),IF('KS2-4 Combined Science TMs'!$AA$47="eal",INDEX(INDIRECT(InputsCS!$I$1),5,161),"")))),IF(InputsCS!$I$2="Pupil Percentages",IF('KS2-4 Combined Science TMs'!$AA$47="Gender",INDEX(INDIRECT(InputsCS!$I$1),21,29),IF('KS2-4 Combined Science TMs'!$AA$47="disadvantage",INDEX(INDIRECT(InputsCS!$I$1),21,73),IF('KS2-4 Combined Science TMs'!$AA$47="sen",INDEX(INDIRECT(InputsCS!$I$1),21,117),IF('KS2-4 Combined Science TMs'!$AA$47="eal",INDEX(INDIRECT(InputsCS!$I$1),21,161),"")))))))))),"")</f>
        <v/>
      </c>
      <c r="L49" s="61" t="str">
        <f ca="1">IFERROR(IF(InputsCS!$I$1="Please Select","",IF(InputsCS!$I$2="Please Select","",IF(InputsCS!$I$1="","",IF(InputsCS!$I$2="","",IF(InputsCS!$I$2="Pupil Numbers",IF('KS2-4 Combined Science TMs'!$AA$47="Gender",INDEX(INDIRECT(InputsCS!$I$1),5,30),IF('KS2-4 Combined Science TMs'!$AA$47="disadvantage",INDEX(INDIRECT(InputsCS!$I$1),5,74),IF('KS2-4 Combined Science TMs'!$AA$47="sen",INDEX(INDIRECT(InputsCS!$I$1),5,118),IF('KS2-4 Combined Science TMs'!$AA$47="eal",INDEX(INDIRECT(InputsCS!$I$1),5,162),"")))),IF(InputsCS!$I$2="Pupil Percentages",IF('KS2-4 Combined Science TMs'!$AA$47="Gender",INDEX(INDIRECT(InputsCS!$I$1),21,30),IF('KS2-4 Combined Science TMs'!$AA$47="disadvantage",INDEX(INDIRECT(InputsCS!$I$1),21,74),IF('KS2-4 Combined Science TMs'!$AA$47="sen",INDEX(INDIRECT(InputsCS!$I$1),21,118),IF('KS2-4 Combined Science TMs'!$AA$47="eal",INDEX(INDIRECT(InputsCS!$I$1),21,162),"")))))))))),"")</f>
        <v/>
      </c>
      <c r="M49" s="61" t="str">
        <f ca="1">IFERROR(IF(InputsCS!$I$1="Please Select","",IF(InputsCS!$I$2="Please Select","",IF(InputsCS!$I$1="","",IF(InputsCS!$I$2="","",IF(InputsCS!$I$2="Pupil Numbers",IF('KS2-4 Combined Science TMs'!$AA$47="Gender",INDEX(INDIRECT(InputsCS!$I$1),5,31),IF('KS2-4 Combined Science TMs'!$AA$47="disadvantage",INDEX(INDIRECT(InputsCS!$I$1),5,75),IF('KS2-4 Combined Science TMs'!$AA$47="sen",INDEX(INDIRECT(InputsCS!$I$1),5,119),IF('KS2-4 Combined Science TMs'!$AA$47="eal",INDEX(INDIRECT(InputsCS!$I$1),5,163),"")))),IF(InputsCS!$I$2="Pupil Percentages",IF('KS2-4 Combined Science TMs'!$AA$47="Gender",INDEX(INDIRECT(InputsCS!$I$1),21,31),IF('KS2-4 Combined Science TMs'!$AA$47="disadvantage",INDEX(INDIRECT(InputsCS!$I$1),21,75),IF('KS2-4 Combined Science TMs'!$AA$47="sen",INDEX(INDIRECT(InputsCS!$I$1),21,119),IF('KS2-4 Combined Science TMs'!$AA$47="eal",INDEX(INDIRECT(InputsCS!$I$1),21,163),"")))))))))),"")</f>
        <v/>
      </c>
      <c r="N49" s="61" t="str">
        <f ca="1">IFERROR(IF(InputsCS!$I$1="Please Select","",IF(InputsCS!$I$2="Please Select","",IF(InputsCS!$I$1="","",IF(InputsCS!$I$2="","",IF(InputsCS!$I$2="Pupil Numbers",IF('KS2-4 Combined Science TMs'!$AA$47="Gender",INDEX(INDIRECT(InputsCS!$I$1),5,32),IF('KS2-4 Combined Science TMs'!$AA$47="disadvantage",INDEX(INDIRECT(InputsCS!$I$1),5,76),IF('KS2-4 Combined Science TMs'!$AA$47="sen",INDEX(INDIRECT(InputsCS!$I$1),5,120),IF('KS2-4 Combined Science TMs'!$AA$47="eal",INDEX(INDIRECT(InputsCS!$I$1),5,164),"")))),IF(InputsCS!$I$2="Pupil Percentages",IF('KS2-4 Combined Science TMs'!$AA$47="Gender",INDEX(INDIRECT(InputsCS!$I$1),21,32),IF('KS2-4 Combined Science TMs'!$AA$47="disadvantage",INDEX(INDIRECT(InputsCS!$I$1),21,76),IF('KS2-4 Combined Science TMs'!$AA$47="sen",INDEX(INDIRECT(InputsCS!$I$1),21,120),IF('KS2-4 Combined Science TMs'!$AA$47="eal",INDEX(INDIRECT(InputsCS!$I$1),21,164),"")))))))))),"")</f>
        <v/>
      </c>
      <c r="O49" s="61" t="str">
        <f ca="1">IFERROR(IF(InputsCS!$I$1="Please Select","",IF(InputsCS!$I$2="Please Select","",IF(InputsCS!$I$1="","",IF(InputsCS!$I$2="","",IF(InputsCS!$I$2="Pupil Numbers",IF('KS2-4 Combined Science TMs'!$AA$47="Gender",INDEX(INDIRECT(InputsCS!$I$1),5,33),IF('KS2-4 Combined Science TMs'!$AA$47="disadvantage",INDEX(INDIRECT(InputsCS!$I$1),5,77),IF('KS2-4 Combined Science TMs'!$AA$47="sen",INDEX(INDIRECT(InputsCS!$I$1),5,121),IF('KS2-4 Combined Science TMs'!$AA$47="eal",INDEX(INDIRECT(InputsCS!$I$1),5,165),"")))),IF(InputsCS!$I$2="Pupil Percentages",IF('KS2-4 Combined Science TMs'!$AA$47="Gender",INDEX(INDIRECT(InputsCS!$I$1),21,33),IF('KS2-4 Combined Science TMs'!$AA$47="disadvantage",INDEX(INDIRECT(InputsCS!$I$1),21,77),IF('KS2-4 Combined Science TMs'!$AA$47="sen",INDEX(INDIRECT(InputsCS!$I$1),21,121),IF('KS2-4 Combined Science TMs'!$AA$47="eal",INDEX(INDIRECT(InputsCS!$I$1),21,165),"")))))))))),"")</f>
        <v/>
      </c>
      <c r="P49" s="61" t="str">
        <f ca="1">IFERROR(IF(InputsCS!$I$1="Please Select","",IF(InputsCS!$I$2="Please Select","",IF(InputsCS!$I$1="","",IF(InputsCS!$I$2="","",IF(InputsCS!$I$2="Pupil Numbers",IF('KS2-4 Combined Science TMs'!$AA$47="Gender",INDEX(INDIRECT(InputsCS!$I$1),5,34),IF('KS2-4 Combined Science TMs'!$AA$47="disadvantage",INDEX(INDIRECT(InputsCS!$I$1),5,78),IF('KS2-4 Combined Science TMs'!$AA$47="sen",INDEX(INDIRECT(InputsCS!$I$1),5,122),IF('KS2-4 Combined Science TMs'!$AA$47="eal",INDEX(INDIRECT(InputsCS!$I$1),5,166),"")))),IF(InputsCS!$I$2="Pupil Percentages",IF('KS2-4 Combined Science TMs'!$AA$47="Gender",INDEX(INDIRECT(InputsCS!$I$1),21,34),IF('KS2-4 Combined Science TMs'!$AA$47="disadvantage",INDEX(INDIRECT(InputsCS!$I$1),21,78),IF('KS2-4 Combined Science TMs'!$AA$47="sen",INDEX(INDIRECT(InputsCS!$I$1),21,122),IF('KS2-4 Combined Science TMs'!$AA$47="eal",INDEX(INDIRECT(InputsCS!$I$1),21,166),"")))))))))),"")</f>
        <v/>
      </c>
      <c r="Q49" s="61" t="str">
        <f ca="1">IFERROR(IF(InputsCS!$I$1="Please Select","",IF(InputsCS!$I$2="Please Select","",IF(InputsCS!$I$1="","",IF(InputsCS!$I$2="","",IF(InputsCS!$I$2="Pupil Numbers",IF('KS2-4 Combined Science TMs'!$AA$47="Gender",INDEX(INDIRECT(InputsCS!$I$1),5,35),IF('KS2-4 Combined Science TMs'!$AA$47="disadvantage",INDEX(INDIRECT(InputsCS!$I$1),5,79),IF('KS2-4 Combined Science TMs'!$AA$47="sen",INDEX(INDIRECT(InputsCS!$I$1),5,123),IF('KS2-4 Combined Science TMs'!$AA$47="eal",INDEX(INDIRECT(InputsCS!$I$1),5,167),"")))),IF(InputsCS!$I$2="Pupil Percentages",IF('KS2-4 Combined Science TMs'!$AA$47="Gender",INDEX(INDIRECT(InputsCS!$I$1),21,35),IF('KS2-4 Combined Science TMs'!$AA$47="disadvantage",INDEX(INDIRECT(InputsCS!$I$1),21,79),IF('KS2-4 Combined Science TMs'!$AA$47="sen",INDEX(INDIRECT(InputsCS!$I$1),21,123),IF('KS2-4 Combined Science TMs'!$AA$47="eal",INDEX(INDIRECT(InputsCS!$I$1),21,167),"")))))))))),"")</f>
        <v/>
      </c>
      <c r="R49" s="61" t="str">
        <f ca="1">IFERROR(IF(InputsCS!$I$1="Please Select","",IF(InputsCS!$I$2="Please Select","",IF(InputsCS!$I$1="","",IF(InputsCS!$I$2="","",IF(InputsCS!$I$2="Pupil Numbers",IF('KS2-4 Combined Science TMs'!$AA$47="Gender",INDEX(INDIRECT(InputsCS!$I$1),5,36),IF('KS2-4 Combined Science TMs'!$AA$47="disadvantage",INDEX(INDIRECT(InputsCS!$I$1),5,80),IF('KS2-4 Combined Science TMs'!$AA$47="sen",INDEX(INDIRECT(InputsCS!$I$1),5,124),IF('KS2-4 Combined Science TMs'!$AA$47="eal",INDEX(INDIRECT(InputsCS!$I$1),5,168),"")))),IF(InputsCS!$I$2="Pupil Percentages",IF('KS2-4 Combined Science TMs'!$AA$47="Gender",INDEX(INDIRECT(InputsCS!$I$1),21,36),IF('KS2-4 Combined Science TMs'!$AA$47="disadvantage",INDEX(INDIRECT(InputsCS!$I$1),21,80),IF('KS2-4 Combined Science TMs'!$AA$47="sen",INDEX(INDIRECT(InputsCS!$I$1),21,124),IF('KS2-4 Combined Science TMs'!$AA$47="eal",INDEX(INDIRECT(InputsCS!$I$1),21,168),"")))))))))),"")</f>
        <v/>
      </c>
      <c r="S49" s="61" t="str">
        <f ca="1">IFERROR(IF(InputsCS!$I$1="Please Select","",IF(InputsCS!$I$2="Please Select","",IF(InputsCS!$I$1="","",IF(InputsCS!$I$2="","",IF(InputsCS!$I$2="Pupil Numbers",IF('KS2-4 Combined Science TMs'!$AA$47="Gender",INDEX(INDIRECT(InputsCS!$I$1),5,37),IF('KS2-4 Combined Science TMs'!$AA$47="disadvantage",INDEX(INDIRECT(InputsCS!$I$1),5,81),IF('KS2-4 Combined Science TMs'!$AA$47="sen",INDEX(INDIRECT(InputsCS!$I$1),5,125),IF('KS2-4 Combined Science TMs'!$AA$47="eal",INDEX(INDIRECT(InputsCS!$I$1),5,169),"")))),IF(InputsCS!$I$2="Pupil Percentages",IF('KS2-4 Combined Science TMs'!$AA$47="Gender",INDEX(INDIRECT(InputsCS!$I$1),21,37),IF('KS2-4 Combined Science TMs'!$AA$47="disadvantage",INDEX(INDIRECT(InputsCS!$I$1),21,81),IF('KS2-4 Combined Science TMs'!$AA$47="sen",INDEX(INDIRECT(InputsCS!$I$1),21,125),IF('KS2-4 Combined Science TMs'!$AA$47="eal",INDEX(INDIRECT(InputsCS!$I$1),21,169),"")))))))))),"")</f>
        <v/>
      </c>
      <c r="T49" s="61" t="str">
        <f ca="1">IFERROR(IF(InputsCS!$I$1="Please Select","",IF(InputsCS!$I$2="Please Select","",IF(InputsCS!$I$1="","",IF(InputsCS!$I$2="","",IF(InputsCS!$I$2="Pupil Numbers",IF('KS2-4 Combined Science TMs'!$AA$47="Gender",INDEX(INDIRECT(InputsCS!$I$1),5,38),IF('KS2-4 Combined Science TMs'!$AA$47="disadvantage",INDEX(INDIRECT(InputsCS!$I$1),5,82),IF('KS2-4 Combined Science TMs'!$AA$47="sen",INDEX(INDIRECT(InputsCS!$I$1),5,126),IF('KS2-4 Combined Science TMs'!$AA$47="eal",INDEX(INDIRECT(InputsCS!$I$1),5,170),"")))),IF(InputsCS!$I$2="Pupil Percentages",IF('KS2-4 Combined Science TMs'!$AA$47="Gender",INDEX(INDIRECT(InputsCS!$I$1),21,38),IF('KS2-4 Combined Science TMs'!$AA$47="disadvantage",INDEX(INDIRECT(InputsCS!$I$1),21,82),IF('KS2-4 Combined Science TMs'!$AA$47="sen",INDEX(INDIRECT(InputsCS!$I$1),21,126),IF('KS2-4 Combined Science TMs'!$AA$47="eal",INDEX(INDIRECT(InputsCS!$I$1),21,170),"")))))))))),"")</f>
        <v/>
      </c>
      <c r="U49" s="61" t="str">
        <f ca="1">IFERROR(IF(InputsCS!$I$1="Please Select","",IF(InputsCS!$I$2="Please Select","",IF(InputsCS!$I$1="","",IF(InputsCS!$I$2="","",IF(InputsCS!$I$2="Pupil Numbers",IF('KS2-4 Combined Science TMs'!$AA$47="Gender",INDEX(INDIRECT(InputsCS!$I$1),5,39),IF('KS2-4 Combined Science TMs'!$AA$47="disadvantage",INDEX(INDIRECT(InputsCS!$I$1),5,83),IF('KS2-4 Combined Science TMs'!$AA$47="sen",INDEX(INDIRECT(InputsCS!$I$1),5,127),IF('KS2-4 Combined Science TMs'!$AA$47="eal",INDEX(INDIRECT(InputsCS!$I$1),5,171),"")))),IF(InputsCS!$I$2="Pupil Percentages",IF('KS2-4 Combined Science TMs'!$AA$47="Gender",INDEX(INDIRECT(InputsCS!$I$1),21,39),IF('KS2-4 Combined Science TMs'!$AA$47="disadvantage",INDEX(INDIRECT(InputsCS!$I$1),21,83),IF('KS2-4 Combined Science TMs'!$AA$47="sen",INDEX(INDIRECT(InputsCS!$I$1),21,127),IF('KS2-4 Combined Science TMs'!$AA$47="eal",INDEX(INDIRECT(InputsCS!$I$1),21,171),"")))))))))),"")</f>
        <v/>
      </c>
      <c r="V49" s="61" t="str">
        <f ca="1">IFERROR(IF(InputsCS!$I$1="Please Select","",IF(InputsCS!$I$2="Please Select","",IF(InputsCS!$I$1="","",IF(InputsCS!$I$2="","",IF(InputsCS!$I$2="Pupil Numbers",IF('KS2-4 Combined Science TMs'!$AA$47="Gender",INDEX(INDIRECT(InputsCS!$I$1),5,40),IF('KS2-4 Combined Science TMs'!$AA$47="disadvantage",INDEX(INDIRECT(InputsCS!$I$1),5,84),IF('KS2-4 Combined Science TMs'!$AA$47="sen",INDEX(INDIRECT(InputsCS!$I$1),5,128),IF('KS2-4 Combined Science TMs'!$AA$47="eal",INDEX(INDIRECT(InputsCS!$I$1),5,172),"")))),IF(InputsCS!$I$2="Pupil Percentages",IF('KS2-4 Combined Science TMs'!$AA$47="Gender",INDEX(INDIRECT(InputsCS!$I$1),21,40),IF('KS2-4 Combined Science TMs'!$AA$47="disadvantage",INDEX(INDIRECT(InputsCS!$I$1),21,84),IF('KS2-4 Combined Science TMs'!$AA$47="sen",INDEX(INDIRECT(InputsCS!$I$1),21,128),IF('KS2-4 Combined Science TMs'!$AA$47="eal",INDEX(INDIRECT(InputsCS!$I$1),21,172),"")))))))))),"")</f>
        <v/>
      </c>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row>
    <row r="50" spans="3:56" ht="23.1" customHeight="1" x14ac:dyDescent="0.5">
      <c r="C50" s="120"/>
      <c r="D50" s="60" t="s">
        <v>5</v>
      </c>
      <c r="E50" s="61" t="str">
        <f ca="1">IFERROR(IF(InputsCS!$I$1="Please Select","",IF(InputsCS!$I$2="Please Select","",IF(InputsCS!$I$1="","",IF(InputsCS!$I$2="","",IF(InputsCS!$I$2="Pupil Numbers",IF('KS2-4 Combined Science TMs'!$AA$47="Gender",INDEX(INDIRECT(InputsCS!$I$1),6,23),IF('KS2-4 Combined Science TMs'!$AA$47="disadvantage",INDEX(INDIRECT(InputsCS!$I$1),6,67),IF('KS2-4 Combined Science TMs'!$AA$47="sen",INDEX(INDIRECT(InputsCS!$I$1),6,111),IF('KS2-4 Combined Science TMs'!$AA$47="eal",INDEX(INDIRECT(InputsCS!$I$1),6,155),"")))),IF(InputsCS!$I$2="Pupil Percentages",IF('KS2-4 Combined Science TMs'!$AA$47="Gender",INDEX(INDIRECT(InputsCS!$I$1),22,23),IF('KS2-4 Combined Science TMs'!$AA$47="disadvantage",INDEX(INDIRECT(InputsCS!$I$1),22,67),IF('KS2-4 Combined Science TMs'!$AA$47="sen",INDEX(INDIRECT(InputsCS!$I$1),22,111),IF('KS2-4 Combined Science TMs'!$AA$47="eal",INDEX(INDIRECT(InputsCS!$I$1),22,155),"")))))))))),"")</f>
        <v/>
      </c>
      <c r="F50" s="61" t="str">
        <f ca="1">IFERROR(IF(InputsCS!$I$1="Please Select","",IF(InputsCS!$I$2="Please Select","",IF(InputsCS!$I$1="","",IF(InputsCS!$I$2="","",IF(InputsCS!$I$2="Pupil Numbers",IF('KS2-4 Combined Science TMs'!$AA$47="Gender",INDEX(INDIRECT(InputsCS!$I$1),6,24),IF('KS2-4 Combined Science TMs'!$AA$47="disadvantage",INDEX(INDIRECT(InputsCS!$I$1),6,68),IF('KS2-4 Combined Science TMs'!$AA$47="sen",INDEX(INDIRECT(InputsCS!$I$1),6,112),IF('KS2-4 Combined Science TMs'!$AA$47="eal",INDEX(INDIRECT(InputsCS!$I$1),6,156),"")))),IF(InputsCS!$I$2="Pupil Percentages",IF('KS2-4 Combined Science TMs'!$AA$47="Gender",INDEX(INDIRECT(InputsCS!$I$1),22,24),IF('KS2-4 Combined Science TMs'!$AA$47="disadvantage",INDEX(INDIRECT(InputsCS!$I$1),22,68),IF('KS2-4 Combined Science TMs'!$AA$47="sen",INDEX(INDIRECT(InputsCS!$I$1),22,112),IF('KS2-4 Combined Science TMs'!$AA$47="eal",INDEX(INDIRECT(InputsCS!$I$1),22,156),"")))))))))),"")</f>
        <v/>
      </c>
      <c r="G50" s="61" t="str">
        <f ca="1">IFERROR(IF(InputsCS!$I$1="Please Select","",IF(InputsCS!$I$2="Please Select","",IF(InputsCS!$I$1="","",IF(InputsCS!$I$2="","",IF(InputsCS!$I$2="Pupil Numbers",IF('KS2-4 Combined Science TMs'!$AA$47="Gender",INDEX(INDIRECT(InputsCS!$I$1),6,25),IF('KS2-4 Combined Science TMs'!$AA$47="disadvantage",INDEX(INDIRECT(InputsCS!$I$1),6,69),IF('KS2-4 Combined Science TMs'!$AA$47="sen",INDEX(INDIRECT(InputsCS!$I$1),6,113),IF('KS2-4 Combined Science TMs'!$AA$47="eal",INDEX(INDIRECT(InputsCS!$I$1),6,157),"")))),IF(InputsCS!$I$2="Pupil Percentages",IF('KS2-4 Combined Science TMs'!$AA$47="Gender",INDEX(INDIRECT(InputsCS!$I$1),22,25),IF('KS2-4 Combined Science TMs'!$AA$47="disadvantage",INDEX(INDIRECT(InputsCS!$I$1),22,69),IF('KS2-4 Combined Science TMs'!$AA$47="sen",INDEX(INDIRECT(InputsCS!$I$1),22,113),IF('KS2-4 Combined Science TMs'!$AA$47="eal",INDEX(INDIRECT(InputsCS!$I$1),22,157),"")))))))))),"")</f>
        <v/>
      </c>
      <c r="H50" s="61" t="str">
        <f ca="1">IFERROR(IF(InputsCS!$I$1="Please Select","",IF(InputsCS!$I$2="Please Select","",IF(InputsCS!$I$1="","",IF(InputsCS!$I$2="","",IF(InputsCS!$I$2="Pupil Numbers",IF('KS2-4 Combined Science TMs'!$AA$47="Gender",INDEX(INDIRECT(InputsCS!$I$1),6,26),IF('KS2-4 Combined Science TMs'!$AA$47="disadvantage",INDEX(INDIRECT(InputsCS!$I$1),6,70),IF('KS2-4 Combined Science TMs'!$AA$47="sen",INDEX(INDIRECT(InputsCS!$I$1),6,114),IF('KS2-4 Combined Science TMs'!$AA$47="eal",INDEX(INDIRECT(InputsCS!$I$1),6,158),"")))),IF(InputsCS!$I$2="Pupil Percentages",IF('KS2-4 Combined Science TMs'!$AA$47="Gender",INDEX(INDIRECT(InputsCS!$I$1),22,26),IF('KS2-4 Combined Science TMs'!$AA$47="disadvantage",INDEX(INDIRECT(InputsCS!$I$1),22,70),IF('KS2-4 Combined Science TMs'!$AA$47="sen",INDEX(INDIRECT(InputsCS!$I$1),22,114),IF('KS2-4 Combined Science TMs'!$AA$47="eal",INDEX(INDIRECT(InputsCS!$I$1),22,158),"")))))))))),"")</f>
        <v/>
      </c>
      <c r="I50" s="61" t="str">
        <f ca="1">IFERROR(IF(InputsCS!$I$1="Please Select","",IF(InputsCS!$I$2="Please Select","",IF(InputsCS!$I$1="","",IF(InputsCS!$I$2="","",IF(InputsCS!$I$2="Pupil Numbers",IF('KS2-4 Combined Science TMs'!$AA$47="Gender",INDEX(INDIRECT(InputsCS!$I$1),6,27),IF('KS2-4 Combined Science TMs'!$AA$47="disadvantage",INDEX(INDIRECT(InputsCS!$I$1),6,71),IF('KS2-4 Combined Science TMs'!$AA$47="sen",INDEX(INDIRECT(InputsCS!$I$1),6,115),IF('KS2-4 Combined Science TMs'!$AA$47="eal",INDEX(INDIRECT(InputsCS!$I$1),6,159),"")))),IF(InputsCS!$I$2="Pupil Percentages",IF('KS2-4 Combined Science TMs'!$AA$47="Gender",INDEX(INDIRECT(InputsCS!$I$1),22,27),IF('KS2-4 Combined Science TMs'!$AA$47="disadvantage",INDEX(INDIRECT(InputsCS!$I$1),22,71),IF('KS2-4 Combined Science TMs'!$AA$47="sen",INDEX(INDIRECT(InputsCS!$I$1),22,115),IF('KS2-4 Combined Science TMs'!$AA$47="eal",INDEX(INDIRECT(InputsCS!$I$1),22,159),"")))))))))),"")</f>
        <v/>
      </c>
      <c r="J50" s="61" t="str">
        <f ca="1">IFERROR(IF(InputsCS!$I$1="Please Select","",IF(InputsCS!$I$2="Please Select","",IF(InputsCS!$I$1="","",IF(InputsCS!$I$2="","",IF(InputsCS!$I$2="Pupil Numbers",IF('KS2-4 Combined Science TMs'!$AA$47="Gender",INDEX(INDIRECT(InputsCS!$I$1),6,28),IF('KS2-4 Combined Science TMs'!$AA$47="disadvantage",INDEX(INDIRECT(InputsCS!$I$1),6,72),IF('KS2-4 Combined Science TMs'!$AA$47="sen",INDEX(INDIRECT(InputsCS!$I$1),6,116),IF('KS2-4 Combined Science TMs'!$AA$47="eal",INDEX(INDIRECT(InputsCS!$I$1),6,160),"")))),IF(InputsCS!$I$2="Pupil Percentages",IF('KS2-4 Combined Science TMs'!$AA$47="Gender",INDEX(INDIRECT(InputsCS!$I$1),22,28),IF('KS2-4 Combined Science TMs'!$AA$47="disadvantage",INDEX(INDIRECT(InputsCS!$I$1),22,72),IF('KS2-4 Combined Science TMs'!$AA$47="sen",INDEX(INDIRECT(InputsCS!$I$1),22,116),IF('KS2-4 Combined Science TMs'!$AA$47="eal",INDEX(INDIRECT(InputsCS!$I$1),22,160),"")))))))))),"")</f>
        <v/>
      </c>
      <c r="K50" s="61" t="str">
        <f ca="1">IFERROR(IF(InputsCS!$I$1="Please Select","",IF(InputsCS!$I$2="Please Select","",IF(InputsCS!$I$1="","",IF(InputsCS!$I$2="","",IF(InputsCS!$I$2="Pupil Numbers",IF('KS2-4 Combined Science TMs'!$AA$47="Gender",INDEX(INDIRECT(InputsCS!$I$1),6,29),IF('KS2-4 Combined Science TMs'!$AA$47="disadvantage",INDEX(INDIRECT(InputsCS!$I$1),6,73),IF('KS2-4 Combined Science TMs'!$AA$47="sen",INDEX(INDIRECT(InputsCS!$I$1),6,117),IF('KS2-4 Combined Science TMs'!$AA$47="eal",INDEX(INDIRECT(InputsCS!$I$1),6,161),"")))),IF(InputsCS!$I$2="Pupil Percentages",IF('KS2-4 Combined Science TMs'!$AA$47="Gender",INDEX(INDIRECT(InputsCS!$I$1),22,29),IF('KS2-4 Combined Science TMs'!$AA$47="disadvantage",INDEX(INDIRECT(InputsCS!$I$1),22,73),IF('KS2-4 Combined Science TMs'!$AA$47="sen",INDEX(INDIRECT(InputsCS!$I$1),22,117),IF('KS2-4 Combined Science TMs'!$AA$47="eal",INDEX(INDIRECT(InputsCS!$I$1),22,161),"")))))))))),"")</f>
        <v/>
      </c>
      <c r="L50" s="61" t="str">
        <f ca="1">IFERROR(IF(InputsCS!$I$1="Please Select","",IF(InputsCS!$I$2="Please Select","",IF(InputsCS!$I$1="","",IF(InputsCS!$I$2="","",IF(InputsCS!$I$2="Pupil Numbers",IF('KS2-4 Combined Science TMs'!$AA$47="Gender",INDEX(INDIRECT(InputsCS!$I$1),6,30),IF('KS2-4 Combined Science TMs'!$AA$47="disadvantage",INDEX(INDIRECT(InputsCS!$I$1),6,74),IF('KS2-4 Combined Science TMs'!$AA$47="sen",INDEX(INDIRECT(InputsCS!$I$1),6,118),IF('KS2-4 Combined Science TMs'!$AA$47="eal",INDEX(INDIRECT(InputsCS!$I$1),6,162),"")))),IF(InputsCS!$I$2="Pupil Percentages",IF('KS2-4 Combined Science TMs'!$AA$47="Gender",INDEX(INDIRECT(InputsCS!$I$1),22,30),IF('KS2-4 Combined Science TMs'!$AA$47="disadvantage",INDEX(INDIRECT(InputsCS!$I$1),22,74),IF('KS2-4 Combined Science TMs'!$AA$47="sen",INDEX(INDIRECT(InputsCS!$I$1),22,118),IF('KS2-4 Combined Science TMs'!$AA$47="eal",INDEX(INDIRECT(InputsCS!$I$1),22,162),"")))))))))),"")</f>
        <v/>
      </c>
      <c r="M50" s="61" t="str">
        <f ca="1">IFERROR(IF(InputsCS!$I$1="Please Select","",IF(InputsCS!$I$2="Please Select","",IF(InputsCS!$I$1="","",IF(InputsCS!$I$2="","",IF(InputsCS!$I$2="Pupil Numbers",IF('KS2-4 Combined Science TMs'!$AA$47="Gender",INDEX(INDIRECT(InputsCS!$I$1),6,31),IF('KS2-4 Combined Science TMs'!$AA$47="disadvantage",INDEX(INDIRECT(InputsCS!$I$1),6,75),IF('KS2-4 Combined Science TMs'!$AA$47="sen",INDEX(INDIRECT(InputsCS!$I$1),6,119),IF('KS2-4 Combined Science TMs'!$AA$47="eal",INDEX(INDIRECT(InputsCS!$I$1),6,163),"")))),IF(InputsCS!$I$2="Pupil Percentages",IF('KS2-4 Combined Science TMs'!$AA$47="Gender",INDEX(INDIRECT(InputsCS!$I$1),22,31),IF('KS2-4 Combined Science TMs'!$AA$47="disadvantage",INDEX(INDIRECT(InputsCS!$I$1),22,75),IF('KS2-4 Combined Science TMs'!$AA$47="sen",INDEX(INDIRECT(InputsCS!$I$1),22,119),IF('KS2-4 Combined Science TMs'!$AA$47="eal",INDEX(INDIRECT(InputsCS!$I$1),22,163),"")))))))))),"")</f>
        <v/>
      </c>
      <c r="N50" s="61" t="str">
        <f ca="1">IFERROR(IF(InputsCS!$I$1="Please Select","",IF(InputsCS!$I$2="Please Select","",IF(InputsCS!$I$1="","",IF(InputsCS!$I$2="","",IF(InputsCS!$I$2="Pupil Numbers",IF('KS2-4 Combined Science TMs'!$AA$47="Gender",INDEX(INDIRECT(InputsCS!$I$1),6,32),IF('KS2-4 Combined Science TMs'!$AA$47="disadvantage",INDEX(INDIRECT(InputsCS!$I$1),6,76),IF('KS2-4 Combined Science TMs'!$AA$47="sen",INDEX(INDIRECT(InputsCS!$I$1),6,120),IF('KS2-4 Combined Science TMs'!$AA$47="eal",INDEX(INDIRECT(InputsCS!$I$1),6,164),"")))),IF(InputsCS!$I$2="Pupil Percentages",IF('KS2-4 Combined Science TMs'!$AA$47="Gender",INDEX(INDIRECT(InputsCS!$I$1),22,32),IF('KS2-4 Combined Science TMs'!$AA$47="disadvantage",INDEX(INDIRECT(InputsCS!$I$1),22,76),IF('KS2-4 Combined Science TMs'!$AA$47="sen",INDEX(INDIRECT(InputsCS!$I$1),22,120),IF('KS2-4 Combined Science TMs'!$AA$47="eal",INDEX(INDIRECT(InputsCS!$I$1),22,164),"")))))))))),"")</f>
        <v/>
      </c>
      <c r="O50" s="61" t="str">
        <f ca="1">IFERROR(IF(InputsCS!$I$1="Please Select","",IF(InputsCS!$I$2="Please Select","",IF(InputsCS!$I$1="","",IF(InputsCS!$I$2="","",IF(InputsCS!$I$2="Pupil Numbers",IF('KS2-4 Combined Science TMs'!$AA$47="Gender",INDEX(INDIRECT(InputsCS!$I$1),6,33),IF('KS2-4 Combined Science TMs'!$AA$47="disadvantage",INDEX(INDIRECT(InputsCS!$I$1),6,77),IF('KS2-4 Combined Science TMs'!$AA$47="sen",INDEX(INDIRECT(InputsCS!$I$1),6,121),IF('KS2-4 Combined Science TMs'!$AA$47="eal",INDEX(INDIRECT(InputsCS!$I$1),6,165),"")))),IF(InputsCS!$I$2="Pupil Percentages",IF('KS2-4 Combined Science TMs'!$AA$47="Gender",INDEX(INDIRECT(InputsCS!$I$1),22,33),IF('KS2-4 Combined Science TMs'!$AA$47="disadvantage",INDEX(INDIRECT(InputsCS!$I$1),22,77),IF('KS2-4 Combined Science TMs'!$AA$47="sen",INDEX(INDIRECT(InputsCS!$I$1),22,121),IF('KS2-4 Combined Science TMs'!$AA$47="eal",INDEX(INDIRECT(InputsCS!$I$1),22,165),"")))))))))),"")</f>
        <v/>
      </c>
      <c r="P50" s="61" t="str">
        <f ca="1">IFERROR(IF(InputsCS!$I$1="Please Select","",IF(InputsCS!$I$2="Please Select","",IF(InputsCS!$I$1="","",IF(InputsCS!$I$2="","",IF(InputsCS!$I$2="Pupil Numbers",IF('KS2-4 Combined Science TMs'!$AA$47="Gender",INDEX(INDIRECT(InputsCS!$I$1),6,34),IF('KS2-4 Combined Science TMs'!$AA$47="disadvantage",INDEX(INDIRECT(InputsCS!$I$1),6,78),IF('KS2-4 Combined Science TMs'!$AA$47="sen",INDEX(INDIRECT(InputsCS!$I$1),6,122),IF('KS2-4 Combined Science TMs'!$AA$47="eal",INDEX(INDIRECT(InputsCS!$I$1),6,166),"")))),IF(InputsCS!$I$2="Pupil Percentages",IF('KS2-4 Combined Science TMs'!$AA$47="Gender",INDEX(INDIRECT(InputsCS!$I$1),22,34),IF('KS2-4 Combined Science TMs'!$AA$47="disadvantage",INDEX(INDIRECT(InputsCS!$I$1),22,78),IF('KS2-4 Combined Science TMs'!$AA$47="sen",INDEX(INDIRECT(InputsCS!$I$1),22,122),IF('KS2-4 Combined Science TMs'!$AA$47="eal",INDEX(INDIRECT(InputsCS!$I$1),22,166),"")))))))))),"")</f>
        <v/>
      </c>
      <c r="Q50" s="61" t="str">
        <f ca="1">IFERROR(IF(InputsCS!$I$1="Please Select","",IF(InputsCS!$I$2="Please Select","",IF(InputsCS!$I$1="","",IF(InputsCS!$I$2="","",IF(InputsCS!$I$2="Pupil Numbers",IF('KS2-4 Combined Science TMs'!$AA$47="Gender",INDEX(INDIRECT(InputsCS!$I$1),6,35),IF('KS2-4 Combined Science TMs'!$AA$47="disadvantage",INDEX(INDIRECT(InputsCS!$I$1),6,79),IF('KS2-4 Combined Science TMs'!$AA$47="sen",INDEX(INDIRECT(InputsCS!$I$1),6,123),IF('KS2-4 Combined Science TMs'!$AA$47="eal",INDEX(INDIRECT(InputsCS!$I$1),6,167),"")))),IF(InputsCS!$I$2="Pupil Percentages",IF('KS2-4 Combined Science TMs'!$AA$47="Gender",INDEX(INDIRECT(InputsCS!$I$1),22,35),IF('KS2-4 Combined Science TMs'!$AA$47="disadvantage",INDEX(INDIRECT(InputsCS!$I$1),22,79),IF('KS2-4 Combined Science TMs'!$AA$47="sen",INDEX(INDIRECT(InputsCS!$I$1),22,123),IF('KS2-4 Combined Science TMs'!$AA$47="eal",INDEX(INDIRECT(InputsCS!$I$1),22,167),"")))))))))),"")</f>
        <v/>
      </c>
      <c r="R50" s="61" t="str">
        <f ca="1">IFERROR(IF(InputsCS!$I$1="Please Select","",IF(InputsCS!$I$2="Please Select","",IF(InputsCS!$I$1="","",IF(InputsCS!$I$2="","",IF(InputsCS!$I$2="Pupil Numbers",IF('KS2-4 Combined Science TMs'!$AA$47="Gender",INDEX(INDIRECT(InputsCS!$I$1),6,36),IF('KS2-4 Combined Science TMs'!$AA$47="disadvantage",INDEX(INDIRECT(InputsCS!$I$1),6,80),IF('KS2-4 Combined Science TMs'!$AA$47="sen",INDEX(INDIRECT(InputsCS!$I$1),6,124),IF('KS2-4 Combined Science TMs'!$AA$47="eal",INDEX(INDIRECT(InputsCS!$I$1),6,168),"")))),IF(InputsCS!$I$2="Pupil Percentages",IF('KS2-4 Combined Science TMs'!$AA$47="Gender",INDEX(INDIRECT(InputsCS!$I$1),22,36),IF('KS2-4 Combined Science TMs'!$AA$47="disadvantage",INDEX(INDIRECT(InputsCS!$I$1),22,80),IF('KS2-4 Combined Science TMs'!$AA$47="sen",INDEX(INDIRECT(InputsCS!$I$1),22,124),IF('KS2-4 Combined Science TMs'!$AA$47="eal",INDEX(INDIRECT(InputsCS!$I$1),22,168),"")))))))))),"")</f>
        <v/>
      </c>
      <c r="S50" s="61" t="str">
        <f ca="1">IFERROR(IF(InputsCS!$I$1="Please Select","",IF(InputsCS!$I$2="Please Select","",IF(InputsCS!$I$1="","",IF(InputsCS!$I$2="","",IF(InputsCS!$I$2="Pupil Numbers",IF('KS2-4 Combined Science TMs'!$AA$47="Gender",INDEX(INDIRECT(InputsCS!$I$1),6,37),IF('KS2-4 Combined Science TMs'!$AA$47="disadvantage",INDEX(INDIRECT(InputsCS!$I$1),6,81),IF('KS2-4 Combined Science TMs'!$AA$47="sen",INDEX(INDIRECT(InputsCS!$I$1),6,125),IF('KS2-4 Combined Science TMs'!$AA$47="eal",INDEX(INDIRECT(InputsCS!$I$1),6,169),"")))),IF(InputsCS!$I$2="Pupil Percentages",IF('KS2-4 Combined Science TMs'!$AA$47="Gender",INDEX(INDIRECT(InputsCS!$I$1),22,37),IF('KS2-4 Combined Science TMs'!$AA$47="disadvantage",INDEX(INDIRECT(InputsCS!$I$1),22,81),IF('KS2-4 Combined Science TMs'!$AA$47="sen",INDEX(INDIRECT(InputsCS!$I$1),22,125),IF('KS2-4 Combined Science TMs'!$AA$47="eal",INDEX(INDIRECT(InputsCS!$I$1),22,169),"")))))))))),"")</f>
        <v/>
      </c>
      <c r="T50" s="61" t="str">
        <f ca="1">IFERROR(IF(InputsCS!$I$1="Please Select","",IF(InputsCS!$I$2="Please Select","",IF(InputsCS!$I$1="","",IF(InputsCS!$I$2="","",IF(InputsCS!$I$2="Pupil Numbers",IF('KS2-4 Combined Science TMs'!$AA$47="Gender",INDEX(INDIRECT(InputsCS!$I$1),6,38),IF('KS2-4 Combined Science TMs'!$AA$47="disadvantage",INDEX(INDIRECT(InputsCS!$I$1),6,82),IF('KS2-4 Combined Science TMs'!$AA$47="sen",INDEX(INDIRECT(InputsCS!$I$1),6,126),IF('KS2-4 Combined Science TMs'!$AA$47="eal",INDEX(INDIRECT(InputsCS!$I$1),6,170),"")))),IF(InputsCS!$I$2="Pupil Percentages",IF('KS2-4 Combined Science TMs'!$AA$47="Gender",INDEX(INDIRECT(InputsCS!$I$1),22,38),IF('KS2-4 Combined Science TMs'!$AA$47="disadvantage",INDEX(INDIRECT(InputsCS!$I$1),22,82),IF('KS2-4 Combined Science TMs'!$AA$47="sen",INDEX(INDIRECT(InputsCS!$I$1),22,126),IF('KS2-4 Combined Science TMs'!$AA$47="eal",INDEX(INDIRECT(InputsCS!$I$1),22,170),"")))))))))),"")</f>
        <v/>
      </c>
      <c r="U50" s="61" t="str">
        <f ca="1">IFERROR(IF(InputsCS!$I$1="Please Select","",IF(InputsCS!$I$2="Please Select","",IF(InputsCS!$I$1="","",IF(InputsCS!$I$2="","",IF(InputsCS!$I$2="Pupil Numbers",IF('KS2-4 Combined Science TMs'!$AA$47="Gender",INDEX(INDIRECT(InputsCS!$I$1),6,39),IF('KS2-4 Combined Science TMs'!$AA$47="disadvantage",INDEX(INDIRECT(InputsCS!$I$1),6,83),IF('KS2-4 Combined Science TMs'!$AA$47="sen",INDEX(INDIRECT(InputsCS!$I$1),6,127),IF('KS2-4 Combined Science TMs'!$AA$47="eal",INDEX(INDIRECT(InputsCS!$I$1),6,171),"")))),IF(InputsCS!$I$2="Pupil Percentages",IF('KS2-4 Combined Science TMs'!$AA$47="Gender",INDEX(INDIRECT(InputsCS!$I$1),22,39),IF('KS2-4 Combined Science TMs'!$AA$47="disadvantage",INDEX(INDIRECT(InputsCS!$I$1),22,83),IF('KS2-4 Combined Science TMs'!$AA$47="sen",INDEX(INDIRECT(InputsCS!$I$1),22,127),IF('KS2-4 Combined Science TMs'!$AA$47="eal",INDEX(INDIRECT(InputsCS!$I$1),22,171),"")))))))))),"")</f>
        <v/>
      </c>
      <c r="V50" s="61" t="str">
        <f ca="1">IFERROR(IF(InputsCS!$I$1="Please Select","",IF(InputsCS!$I$2="Please Select","",IF(InputsCS!$I$1="","",IF(InputsCS!$I$2="","",IF(InputsCS!$I$2="Pupil Numbers",IF('KS2-4 Combined Science TMs'!$AA$47="Gender",INDEX(INDIRECT(InputsCS!$I$1),6,40),IF('KS2-4 Combined Science TMs'!$AA$47="disadvantage",INDEX(INDIRECT(InputsCS!$I$1),6,84),IF('KS2-4 Combined Science TMs'!$AA$47="sen",INDEX(INDIRECT(InputsCS!$I$1),6,128),IF('KS2-4 Combined Science TMs'!$AA$47="eal",INDEX(INDIRECT(InputsCS!$I$1),6,172),"")))),IF(InputsCS!$I$2="Pupil Percentages",IF('KS2-4 Combined Science TMs'!$AA$47="Gender",INDEX(INDIRECT(InputsCS!$I$1),22,40),IF('KS2-4 Combined Science TMs'!$AA$47="disadvantage",INDEX(INDIRECT(InputsCS!$I$1),22,84),IF('KS2-4 Combined Science TMs'!$AA$47="sen",INDEX(INDIRECT(InputsCS!$I$1),22,128),IF('KS2-4 Combined Science TMs'!$AA$47="eal",INDEX(INDIRECT(InputsCS!$I$1),22,172),"")))))))))),"")</f>
        <v/>
      </c>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row>
    <row r="51" spans="3:56" ht="23.1" customHeight="1" x14ac:dyDescent="0.5">
      <c r="C51" s="120"/>
      <c r="D51" s="60" t="s">
        <v>6</v>
      </c>
      <c r="E51" s="61" t="str">
        <f ca="1">IFERROR(IF(InputsCS!$I$1="Please Select","",IF(InputsCS!$I$2="Please Select","",IF(InputsCS!$I$1="","",IF(InputsCS!$I$2="","",IF(InputsCS!$I$2="Pupil Numbers",IF('KS2-4 Combined Science TMs'!$AA$47="Gender",INDEX(INDIRECT(InputsCS!$I$1),7,23),IF('KS2-4 Combined Science TMs'!$AA$47="disadvantage",INDEX(INDIRECT(InputsCS!$I$1),7,67),IF('KS2-4 Combined Science TMs'!$AA$47="sen",INDEX(INDIRECT(InputsCS!$I$1),7,111),IF('KS2-4 Combined Science TMs'!$AA$47="eal",INDEX(INDIRECT(InputsCS!$I$1),7,155),"")))),IF(InputsCS!$I$2="Pupil Percentages",IF('KS2-4 Combined Science TMs'!$AA$47="Gender",INDEX(INDIRECT(InputsCS!$I$1),23,23),IF('KS2-4 Combined Science TMs'!$AA$47="disadvantage",INDEX(INDIRECT(InputsCS!$I$1),23,67),IF('KS2-4 Combined Science TMs'!$AA$47="sen",INDEX(INDIRECT(InputsCS!$I$1),23,111),IF('KS2-4 Combined Science TMs'!$AA$47="eal",INDEX(INDIRECT(InputsCS!$I$1),23,155),"")))))))))),"")</f>
        <v/>
      </c>
      <c r="F51" s="61" t="str">
        <f ca="1">IFERROR(IF(InputsCS!$I$1="Please Select","",IF(InputsCS!$I$2="Please Select","",IF(InputsCS!$I$1="","",IF(InputsCS!$I$2="","",IF(InputsCS!$I$2="Pupil Numbers",IF('KS2-4 Combined Science TMs'!$AA$47="Gender",INDEX(INDIRECT(InputsCS!$I$1),7,24),IF('KS2-4 Combined Science TMs'!$AA$47="disadvantage",INDEX(INDIRECT(InputsCS!$I$1),7,68),IF('KS2-4 Combined Science TMs'!$AA$47="sen",INDEX(INDIRECT(InputsCS!$I$1),7,112),IF('KS2-4 Combined Science TMs'!$AA$47="eal",INDEX(INDIRECT(InputsCS!$I$1),7,156),"")))),IF(InputsCS!$I$2="Pupil Percentages",IF('KS2-4 Combined Science TMs'!$AA$47="Gender",INDEX(INDIRECT(InputsCS!$I$1),23,24),IF('KS2-4 Combined Science TMs'!$AA$47="disadvantage",INDEX(INDIRECT(InputsCS!$I$1),23,68),IF('KS2-4 Combined Science TMs'!$AA$47="sen",INDEX(INDIRECT(InputsCS!$I$1),23,112),IF('KS2-4 Combined Science TMs'!$AA$47="eal",INDEX(INDIRECT(InputsCS!$I$1),23,156),"")))))))))),"")</f>
        <v/>
      </c>
      <c r="G51" s="61" t="str">
        <f ca="1">IFERROR(IF(InputsCS!$I$1="Please Select","",IF(InputsCS!$I$2="Please Select","",IF(InputsCS!$I$1="","",IF(InputsCS!$I$2="","",IF(InputsCS!$I$2="Pupil Numbers",IF('KS2-4 Combined Science TMs'!$AA$47="Gender",INDEX(INDIRECT(InputsCS!$I$1),7,25),IF('KS2-4 Combined Science TMs'!$AA$47="disadvantage",INDEX(INDIRECT(InputsCS!$I$1),7,69),IF('KS2-4 Combined Science TMs'!$AA$47="sen",INDEX(INDIRECT(InputsCS!$I$1),7,113),IF('KS2-4 Combined Science TMs'!$AA$47="eal",INDEX(INDIRECT(InputsCS!$I$1),7,157),"")))),IF(InputsCS!$I$2="Pupil Percentages",IF('KS2-4 Combined Science TMs'!$AA$47="Gender",INDEX(INDIRECT(InputsCS!$I$1),23,25),IF('KS2-4 Combined Science TMs'!$AA$47="disadvantage",INDEX(INDIRECT(InputsCS!$I$1),23,69),IF('KS2-4 Combined Science TMs'!$AA$47="sen",INDEX(INDIRECT(InputsCS!$I$1),23,113),IF('KS2-4 Combined Science TMs'!$AA$47="eal",INDEX(INDIRECT(InputsCS!$I$1),23,157),"")))))))))),"")</f>
        <v/>
      </c>
      <c r="H51" s="61" t="str">
        <f ca="1">IFERROR(IF(InputsCS!$I$1="Please Select","",IF(InputsCS!$I$2="Please Select","",IF(InputsCS!$I$1="","",IF(InputsCS!$I$2="","",IF(InputsCS!$I$2="Pupil Numbers",IF('KS2-4 Combined Science TMs'!$AA$47="Gender",INDEX(INDIRECT(InputsCS!$I$1),7,26),IF('KS2-4 Combined Science TMs'!$AA$47="disadvantage",INDEX(INDIRECT(InputsCS!$I$1),7,70),IF('KS2-4 Combined Science TMs'!$AA$47="sen",INDEX(INDIRECT(InputsCS!$I$1),7,114),IF('KS2-4 Combined Science TMs'!$AA$47="eal",INDEX(INDIRECT(InputsCS!$I$1),7,158),"")))),IF(InputsCS!$I$2="Pupil Percentages",IF('KS2-4 Combined Science TMs'!$AA$47="Gender",INDEX(INDIRECT(InputsCS!$I$1),23,26),IF('KS2-4 Combined Science TMs'!$AA$47="disadvantage",INDEX(INDIRECT(InputsCS!$I$1),23,70),IF('KS2-4 Combined Science TMs'!$AA$47="sen",INDEX(INDIRECT(InputsCS!$I$1),23,114),IF('KS2-4 Combined Science TMs'!$AA$47="eal",INDEX(INDIRECT(InputsCS!$I$1),23,158),"")))))))))),"")</f>
        <v/>
      </c>
      <c r="I51" s="61" t="str">
        <f ca="1">IFERROR(IF(InputsCS!$I$1="Please Select","",IF(InputsCS!$I$2="Please Select","",IF(InputsCS!$I$1="","",IF(InputsCS!$I$2="","",IF(InputsCS!$I$2="Pupil Numbers",IF('KS2-4 Combined Science TMs'!$AA$47="Gender",INDEX(INDIRECT(InputsCS!$I$1),7,27),IF('KS2-4 Combined Science TMs'!$AA$47="disadvantage",INDEX(INDIRECT(InputsCS!$I$1),7,71),IF('KS2-4 Combined Science TMs'!$AA$47="sen",INDEX(INDIRECT(InputsCS!$I$1),7,115),IF('KS2-4 Combined Science TMs'!$AA$47="eal",INDEX(INDIRECT(InputsCS!$I$1),7,159),"")))),IF(InputsCS!$I$2="Pupil Percentages",IF('KS2-4 Combined Science TMs'!$AA$47="Gender",INDEX(INDIRECT(InputsCS!$I$1),23,27),IF('KS2-4 Combined Science TMs'!$AA$47="disadvantage",INDEX(INDIRECT(InputsCS!$I$1),23,71),IF('KS2-4 Combined Science TMs'!$AA$47="sen",INDEX(INDIRECT(InputsCS!$I$1),23,115),IF('KS2-4 Combined Science TMs'!$AA$47="eal",INDEX(INDIRECT(InputsCS!$I$1),23,159),"")))))))))),"")</f>
        <v/>
      </c>
      <c r="J51" s="61" t="str">
        <f ca="1">IFERROR(IF(InputsCS!$I$1="Please Select","",IF(InputsCS!$I$2="Please Select","",IF(InputsCS!$I$1="","",IF(InputsCS!$I$2="","",IF(InputsCS!$I$2="Pupil Numbers",IF('KS2-4 Combined Science TMs'!$AA$47="Gender",INDEX(INDIRECT(InputsCS!$I$1),7,28),IF('KS2-4 Combined Science TMs'!$AA$47="disadvantage",INDEX(INDIRECT(InputsCS!$I$1),7,72),IF('KS2-4 Combined Science TMs'!$AA$47="sen",INDEX(INDIRECT(InputsCS!$I$1),7,116),IF('KS2-4 Combined Science TMs'!$AA$47="eal",INDEX(INDIRECT(InputsCS!$I$1),7,160),"")))),IF(InputsCS!$I$2="Pupil Percentages",IF('KS2-4 Combined Science TMs'!$AA$47="Gender",INDEX(INDIRECT(InputsCS!$I$1),23,28),IF('KS2-4 Combined Science TMs'!$AA$47="disadvantage",INDEX(INDIRECT(InputsCS!$I$1),23,72),IF('KS2-4 Combined Science TMs'!$AA$47="sen",INDEX(INDIRECT(InputsCS!$I$1),23,116),IF('KS2-4 Combined Science TMs'!$AA$47="eal",INDEX(INDIRECT(InputsCS!$I$1),23,160),"")))))))))),"")</f>
        <v/>
      </c>
      <c r="K51" s="61" t="str">
        <f ca="1">IFERROR(IF(InputsCS!$I$1="Please Select","",IF(InputsCS!$I$2="Please Select","",IF(InputsCS!$I$1="","",IF(InputsCS!$I$2="","",IF(InputsCS!$I$2="Pupil Numbers",IF('KS2-4 Combined Science TMs'!$AA$47="Gender",INDEX(INDIRECT(InputsCS!$I$1),7,29),IF('KS2-4 Combined Science TMs'!$AA$47="disadvantage",INDEX(INDIRECT(InputsCS!$I$1),7,73),IF('KS2-4 Combined Science TMs'!$AA$47="sen",INDEX(INDIRECT(InputsCS!$I$1),7,117),IF('KS2-4 Combined Science TMs'!$AA$47="eal",INDEX(INDIRECT(InputsCS!$I$1),7,161),"")))),IF(InputsCS!$I$2="Pupil Percentages",IF('KS2-4 Combined Science TMs'!$AA$47="Gender",INDEX(INDIRECT(InputsCS!$I$1),23,29),IF('KS2-4 Combined Science TMs'!$AA$47="disadvantage",INDEX(INDIRECT(InputsCS!$I$1),23,73),IF('KS2-4 Combined Science TMs'!$AA$47="sen",INDEX(INDIRECT(InputsCS!$I$1),23,117),IF('KS2-4 Combined Science TMs'!$AA$47="eal",INDEX(INDIRECT(InputsCS!$I$1),23,161),"")))))))))),"")</f>
        <v/>
      </c>
      <c r="L51" s="61" t="str">
        <f ca="1">IFERROR(IF(InputsCS!$I$1="Please Select","",IF(InputsCS!$I$2="Please Select","",IF(InputsCS!$I$1="","",IF(InputsCS!$I$2="","",IF(InputsCS!$I$2="Pupil Numbers",IF('KS2-4 Combined Science TMs'!$AA$47="Gender",INDEX(INDIRECT(InputsCS!$I$1),7,30),IF('KS2-4 Combined Science TMs'!$AA$47="disadvantage",INDEX(INDIRECT(InputsCS!$I$1),7,74),IF('KS2-4 Combined Science TMs'!$AA$47="sen",INDEX(INDIRECT(InputsCS!$I$1),7,118),IF('KS2-4 Combined Science TMs'!$AA$47="eal",INDEX(INDIRECT(InputsCS!$I$1),7,162),"")))),IF(InputsCS!$I$2="Pupil Percentages",IF('KS2-4 Combined Science TMs'!$AA$47="Gender",INDEX(INDIRECT(InputsCS!$I$1),23,30),IF('KS2-4 Combined Science TMs'!$AA$47="disadvantage",INDEX(INDIRECT(InputsCS!$I$1),23,74),IF('KS2-4 Combined Science TMs'!$AA$47="sen",INDEX(INDIRECT(InputsCS!$I$1),23,118),IF('KS2-4 Combined Science TMs'!$AA$47="eal",INDEX(INDIRECT(InputsCS!$I$1),23,162),"")))))))))),"")</f>
        <v/>
      </c>
      <c r="M51" s="61" t="str">
        <f ca="1">IFERROR(IF(InputsCS!$I$1="Please Select","",IF(InputsCS!$I$2="Please Select","",IF(InputsCS!$I$1="","",IF(InputsCS!$I$2="","",IF(InputsCS!$I$2="Pupil Numbers",IF('KS2-4 Combined Science TMs'!$AA$47="Gender",INDEX(INDIRECT(InputsCS!$I$1),7,31),IF('KS2-4 Combined Science TMs'!$AA$47="disadvantage",INDEX(INDIRECT(InputsCS!$I$1),7,75),IF('KS2-4 Combined Science TMs'!$AA$47="sen",INDEX(INDIRECT(InputsCS!$I$1),7,119),IF('KS2-4 Combined Science TMs'!$AA$47="eal",INDEX(INDIRECT(InputsCS!$I$1),7,163),"")))),IF(InputsCS!$I$2="Pupil Percentages",IF('KS2-4 Combined Science TMs'!$AA$47="Gender",INDEX(INDIRECT(InputsCS!$I$1),23,31),IF('KS2-4 Combined Science TMs'!$AA$47="disadvantage",INDEX(INDIRECT(InputsCS!$I$1),23,75),IF('KS2-4 Combined Science TMs'!$AA$47="sen",INDEX(INDIRECT(InputsCS!$I$1),23,119),IF('KS2-4 Combined Science TMs'!$AA$47="eal",INDEX(INDIRECT(InputsCS!$I$1),23,163),"")))))))))),"")</f>
        <v/>
      </c>
      <c r="N51" s="61" t="str">
        <f ca="1">IFERROR(IF(InputsCS!$I$1="Please Select","",IF(InputsCS!$I$2="Please Select","",IF(InputsCS!$I$1="","",IF(InputsCS!$I$2="","",IF(InputsCS!$I$2="Pupil Numbers",IF('KS2-4 Combined Science TMs'!$AA$47="Gender",INDEX(INDIRECT(InputsCS!$I$1),7,32),IF('KS2-4 Combined Science TMs'!$AA$47="disadvantage",INDEX(INDIRECT(InputsCS!$I$1),7,76),IF('KS2-4 Combined Science TMs'!$AA$47="sen",INDEX(INDIRECT(InputsCS!$I$1),7,120),IF('KS2-4 Combined Science TMs'!$AA$47="eal",INDEX(INDIRECT(InputsCS!$I$1),7,164),"")))),IF(InputsCS!$I$2="Pupil Percentages",IF('KS2-4 Combined Science TMs'!$AA$47="Gender",INDEX(INDIRECT(InputsCS!$I$1),23,32),IF('KS2-4 Combined Science TMs'!$AA$47="disadvantage",INDEX(INDIRECT(InputsCS!$I$1),23,76),IF('KS2-4 Combined Science TMs'!$AA$47="sen",INDEX(INDIRECT(InputsCS!$I$1),23,120),IF('KS2-4 Combined Science TMs'!$AA$47="eal",INDEX(INDIRECT(InputsCS!$I$1),23,164),"")))))))))),"")</f>
        <v/>
      </c>
      <c r="O51" s="61" t="str">
        <f ca="1">IFERROR(IF(InputsCS!$I$1="Please Select","",IF(InputsCS!$I$2="Please Select","",IF(InputsCS!$I$1="","",IF(InputsCS!$I$2="","",IF(InputsCS!$I$2="Pupil Numbers",IF('KS2-4 Combined Science TMs'!$AA$47="Gender",INDEX(INDIRECT(InputsCS!$I$1),7,33),IF('KS2-4 Combined Science TMs'!$AA$47="disadvantage",INDEX(INDIRECT(InputsCS!$I$1),7,77),IF('KS2-4 Combined Science TMs'!$AA$47="sen",INDEX(INDIRECT(InputsCS!$I$1),7,121),IF('KS2-4 Combined Science TMs'!$AA$47="eal",INDEX(INDIRECT(InputsCS!$I$1),7,165),"")))),IF(InputsCS!$I$2="Pupil Percentages",IF('KS2-4 Combined Science TMs'!$AA$47="Gender",INDEX(INDIRECT(InputsCS!$I$1),23,33),IF('KS2-4 Combined Science TMs'!$AA$47="disadvantage",INDEX(INDIRECT(InputsCS!$I$1),23,77),IF('KS2-4 Combined Science TMs'!$AA$47="sen",INDEX(INDIRECT(InputsCS!$I$1),23,121),IF('KS2-4 Combined Science TMs'!$AA$47="eal",INDEX(INDIRECT(InputsCS!$I$1),23,165),"")))))))))),"")</f>
        <v/>
      </c>
      <c r="P51" s="61" t="str">
        <f ca="1">IFERROR(IF(InputsCS!$I$1="Please Select","",IF(InputsCS!$I$2="Please Select","",IF(InputsCS!$I$1="","",IF(InputsCS!$I$2="","",IF(InputsCS!$I$2="Pupil Numbers",IF('KS2-4 Combined Science TMs'!$AA$47="Gender",INDEX(INDIRECT(InputsCS!$I$1),7,34),IF('KS2-4 Combined Science TMs'!$AA$47="disadvantage",INDEX(INDIRECT(InputsCS!$I$1),7,78),IF('KS2-4 Combined Science TMs'!$AA$47="sen",INDEX(INDIRECT(InputsCS!$I$1),7,122),IF('KS2-4 Combined Science TMs'!$AA$47="eal",INDEX(INDIRECT(InputsCS!$I$1),7,166),"")))),IF(InputsCS!$I$2="Pupil Percentages",IF('KS2-4 Combined Science TMs'!$AA$47="Gender",INDEX(INDIRECT(InputsCS!$I$1),23,34),IF('KS2-4 Combined Science TMs'!$AA$47="disadvantage",INDEX(INDIRECT(InputsCS!$I$1),23,78),IF('KS2-4 Combined Science TMs'!$AA$47="sen",INDEX(INDIRECT(InputsCS!$I$1),23,122),IF('KS2-4 Combined Science TMs'!$AA$47="eal",INDEX(INDIRECT(InputsCS!$I$1),23,166),"")))))))))),"")</f>
        <v/>
      </c>
      <c r="Q51" s="61" t="str">
        <f ca="1">IFERROR(IF(InputsCS!$I$1="Please Select","",IF(InputsCS!$I$2="Please Select","",IF(InputsCS!$I$1="","",IF(InputsCS!$I$2="","",IF(InputsCS!$I$2="Pupil Numbers",IF('KS2-4 Combined Science TMs'!$AA$47="Gender",INDEX(INDIRECT(InputsCS!$I$1),7,35),IF('KS2-4 Combined Science TMs'!$AA$47="disadvantage",INDEX(INDIRECT(InputsCS!$I$1),7,79),IF('KS2-4 Combined Science TMs'!$AA$47="sen",INDEX(INDIRECT(InputsCS!$I$1),7,123),IF('KS2-4 Combined Science TMs'!$AA$47="eal",INDEX(INDIRECT(InputsCS!$I$1),7,167),"")))),IF(InputsCS!$I$2="Pupil Percentages",IF('KS2-4 Combined Science TMs'!$AA$47="Gender",INDEX(INDIRECT(InputsCS!$I$1),23,35),IF('KS2-4 Combined Science TMs'!$AA$47="disadvantage",INDEX(INDIRECT(InputsCS!$I$1),23,79),IF('KS2-4 Combined Science TMs'!$AA$47="sen",INDEX(INDIRECT(InputsCS!$I$1),23,123),IF('KS2-4 Combined Science TMs'!$AA$47="eal",INDEX(INDIRECT(InputsCS!$I$1),23,167),"")))))))))),"")</f>
        <v/>
      </c>
      <c r="R51" s="61" t="str">
        <f ca="1">IFERROR(IF(InputsCS!$I$1="Please Select","",IF(InputsCS!$I$2="Please Select","",IF(InputsCS!$I$1="","",IF(InputsCS!$I$2="","",IF(InputsCS!$I$2="Pupil Numbers",IF('KS2-4 Combined Science TMs'!$AA$47="Gender",INDEX(INDIRECT(InputsCS!$I$1),7,36),IF('KS2-4 Combined Science TMs'!$AA$47="disadvantage",INDEX(INDIRECT(InputsCS!$I$1),7,80),IF('KS2-4 Combined Science TMs'!$AA$47="sen",INDEX(INDIRECT(InputsCS!$I$1),7,124),IF('KS2-4 Combined Science TMs'!$AA$47="eal",INDEX(INDIRECT(InputsCS!$I$1),7,168),"")))),IF(InputsCS!$I$2="Pupil Percentages",IF('KS2-4 Combined Science TMs'!$AA$47="Gender",INDEX(INDIRECT(InputsCS!$I$1),23,36),IF('KS2-4 Combined Science TMs'!$AA$47="disadvantage",INDEX(INDIRECT(InputsCS!$I$1),23,80),IF('KS2-4 Combined Science TMs'!$AA$47="sen",INDEX(INDIRECT(InputsCS!$I$1),23,124),IF('KS2-4 Combined Science TMs'!$AA$47="eal",INDEX(INDIRECT(InputsCS!$I$1),23,168),"")))))))))),"")</f>
        <v/>
      </c>
      <c r="S51" s="61" t="str">
        <f ca="1">IFERROR(IF(InputsCS!$I$1="Please Select","",IF(InputsCS!$I$2="Please Select","",IF(InputsCS!$I$1="","",IF(InputsCS!$I$2="","",IF(InputsCS!$I$2="Pupil Numbers",IF('KS2-4 Combined Science TMs'!$AA$47="Gender",INDEX(INDIRECT(InputsCS!$I$1),7,37),IF('KS2-4 Combined Science TMs'!$AA$47="disadvantage",INDEX(INDIRECT(InputsCS!$I$1),7,81),IF('KS2-4 Combined Science TMs'!$AA$47="sen",INDEX(INDIRECT(InputsCS!$I$1),7,125),IF('KS2-4 Combined Science TMs'!$AA$47="eal",INDEX(INDIRECT(InputsCS!$I$1),7,169),"")))),IF(InputsCS!$I$2="Pupil Percentages",IF('KS2-4 Combined Science TMs'!$AA$47="Gender",INDEX(INDIRECT(InputsCS!$I$1),23,37),IF('KS2-4 Combined Science TMs'!$AA$47="disadvantage",INDEX(INDIRECT(InputsCS!$I$1),23,81),IF('KS2-4 Combined Science TMs'!$AA$47="sen",INDEX(INDIRECT(InputsCS!$I$1),23,125),IF('KS2-4 Combined Science TMs'!$AA$47="eal",INDEX(INDIRECT(InputsCS!$I$1),23,169),"")))))))))),"")</f>
        <v/>
      </c>
      <c r="T51" s="61" t="str">
        <f ca="1">IFERROR(IF(InputsCS!$I$1="Please Select","",IF(InputsCS!$I$2="Please Select","",IF(InputsCS!$I$1="","",IF(InputsCS!$I$2="","",IF(InputsCS!$I$2="Pupil Numbers",IF('KS2-4 Combined Science TMs'!$AA$47="Gender",INDEX(INDIRECT(InputsCS!$I$1),7,38),IF('KS2-4 Combined Science TMs'!$AA$47="disadvantage",INDEX(INDIRECT(InputsCS!$I$1),7,82),IF('KS2-4 Combined Science TMs'!$AA$47="sen",INDEX(INDIRECT(InputsCS!$I$1),7,126),IF('KS2-4 Combined Science TMs'!$AA$47="eal",INDEX(INDIRECT(InputsCS!$I$1),7,170),"")))),IF(InputsCS!$I$2="Pupil Percentages",IF('KS2-4 Combined Science TMs'!$AA$47="Gender",INDEX(INDIRECT(InputsCS!$I$1),23,38),IF('KS2-4 Combined Science TMs'!$AA$47="disadvantage",INDEX(INDIRECT(InputsCS!$I$1),23,82),IF('KS2-4 Combined Science TMs'!$AA$47="sen",INDEX(INDIRECT(InputsCS!$I$1),23,126),IF('KS2-4 Combined Science TMs'!$AA$47="eal",INDEX(INDIRECT(InputsCS!$I$1),23,170),"")))))))))),"")</f>
        <v/>
      </c>
      <c r="U51" s="61" t="str">
        <f ca="1">IFERROR(IF(InputsCS!$I$1="Please Select","",IF(InputsCS!$I$2="Please Select","",IF(InputsCS!$I$1="","",IF(InputsCS!$I$2="","",IF(InputsCS!$I$2="Pupil Numbers",IF('KS2-4 Combined Science TMs'!$AA$47="Gender",INDEX(INDIRECT(InputsCS!$I$1),7,39),IF('KS2-4 Combined Science TMs'!$AA$47="disadvantage",INDEX(INDIRECT(InputsCS!$I$1),7,83),IF('KS2-4 Combined Science TMs'!$AA$47="sen",INDEX(INDIRECT(InputsCS!$I$1),7,127),IF('KS2-4 Combined Science TMs'!$AA$47="eal",INDEX(INDIRECT(InputsCS!$I$1),7,171),"")))),IF(InputsCS!$I$2="Pupil Percentages",IF('KS2-4 Combined Science TMs'!$AA$47="Gender",INDEX(INDIRECT(InputsCS!$I$1),23,39),IF('KS2-4 Combined Science TMs'!$AA$47="disadvantage",INDEX(INDIRECT(InputsCS!$I$1),23,83),IF('KS2-4 Combined Science TMs'!$AA$47="sen",INDEX(INDIRECT(InputsCS!$I$1),23,127),IF('KS2-4 Combined Science TMs'!$AA$47="eal",INDEX(INDIRECT(InputsCS!$I$1),23,171),"")))))))))),"")</f>
        <v/>
      </c>
      <c r="V51" s="61" t="str">
        <f ca="1">IFERROR(IF(InputsCS!$I$1="Please Select","",IF(InputsCS!$I$2="Please Select","",IF(InputsCS!$I$1="","",IF(InputsCS!$I$2="","",IF(InputsCS!$I$2="Pupil Numbers",IF('KS2-4 Combined Science TMs'!$AA$47="Gender",INDEX(INDIRECT(InputsCS!$I$1),7,40),IF('KS2-4 Combined Science TMs'!$AA$47="disadvantage",INDEX(INDIRECT(InputsCS!$I$1),7,84),IF('KS2-4 Combined Science TMs'!$AA$47="sen",INDEX(INDIRECT(InputsCS!$I$1),7,128),IF('KS2-4 Combined Science TMs'!$AA$47="eal",INDEX(INDIRECT(InputsCS!$I$1),7,172),"")))),IF(InputsCS!$I$2="Pupil Percentages",IF('KS2-4 Combined Science TMs'!$AA$47="Gender",INDEX(INDIRECT(InputsCS!$I$1),23,40),IF('KS2-4 Combined Science TMs'!$AA$47="disadvantage",INDEX(INDIRECT(InputsCS!$I$1),23,84),IF('KS2-4 Combined Science TMs'!$AA$47="sen",INDEX(INDIRECT(InputsCS!$I$1),23,128),IF('KS2-4 Combined Science TMs'!$AA$47="eal",INDEX(INDIRECT(InputsCS!$I$1),23,172),"")))))))))),"")</f>
        <v/>
      </c>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row>
    <row r="52" spans="3:56" ht="23.1" customHeight="1" x14ac:dyDescent="0.5">
      <c r="C52" s="120"/>
      <c r="D52" s="60" t="s">
        <v>7</v>
      </c>
      <c r="E52" s="61" t="str">
        <f ca="1">IFERROR(IF(InputsCS!$I$1="Please Select","",IF(InputsCS!$I$2="Please Select","",IF(InputsCS!$I$1="","",IF(InputsCS!$I$2="","",IF(InputsCS!$I$2="Pupil Numbers",IF('KS2-4 Combined Science TMs'!$AA$47="Gender",INDEX(INDIRECT(InputsCS!$I$1),8,23),IF('KS2-4 Combined Science TMs'!$AA$47="disadvantage",INDEX(INDIRECT(InputsCS!$I$1),8,67),IF('KS2-4 Combined Science TMs'!$AA$47="sen",INDEX(INDIRECT(InputsCS!$I$1),8,111),IF('KS2-4 Combined Science TMs'!$AA$47="eal",INDEX(INDIRECT(InputsCS!$I$1),8,155),"")))),IF(InputsCS!$I$2="Pupil Percentages",IF('KS2-4 Combined Science TMs'!$AA$47="Gender",INDEX(INDIRECT(InputsCS!$I$1),24,23),IF('KS2-4 Combined Science TMs'!$AA$47="disadvantage",INDEX(INDIRECT(InputsCS!$I$1),24,67),IF('KS2-4 Combined Science TMs'!$AA$47="sen",INDEX(INDIRECT(InputsCS!$I$1),24,111),IF('KS2-4 Combined Science TMs'!$AA$47="eal",INDEX(INDIRECT(InputsCS!$I$1),24,155),"")))))))))),"")</f>
        <v/>
      </c>
      <c r="F52" s="61" t="str">
        <f ca="1">IFERROR(IF(InputsCS!$I$1="Please Select","",IF(InputsCS!$I$2="Please Select","",IF(InputsCS!$I$1="","",IF(InputsCS!$I$2="","",IF(InputsCS!$I$2="Pupil Numbers",IF('KS2-4 Combined Science TMs'!$AA$47="Gender",INDEX(INDIRECT(InputsCS!$I$1),8,24),IF('KS2-4 Combined Science TMs'!$AA$47="disadvantage",INDEX(INDIRECT(InputsCS!$I$1),8,68),IF('KS2-4 Combined Science TMs'!$AA$47="sen",INDEX(INDIRECT(InputsCS!$I$1),8,112),IF('KS2-4 Combined Science TMs'!$AA$47="eal",INDEX(INDIRECT(InputsCS!$I$1),8,156),"")))),IF(InputsCS!$I$2="Pupil Percentages",IF('KS2-4 Combined Science TMs'!$AA$47="Gender",INDEX(INDIRECT(InputsCS!$I$1),24,24),IF('KS2-4 Combined Science TMs'!$AA$47="disadvantage",INDEX(INDIRECT(InputsCS!$I$1),24,68),IF('KS2-4 Combined Science TMs'!$AA$47="sen",INDEX(INDIRECT(InputsCS!$I$1),24,112),IF('KS2-4 Combined Science TMs'!$AA$47="eal",INDEX(INDIRECT(InputsCS!$I$1),24,156),"")))))))))),"")</f>
        <v/>
      </c>
      <c r="G52" s="61" t="str">
        <f ca="1">IFERROR(IF(InputsCS!$I$1="Please Select","",IF(InputsCS!$I$2="Please Select","",IF(InputsCS!$I$1="","",IF(InputsCS!$I$2="","",IF(InputsCS!$I$2="Pupil Numbers",IF('KS2-4 Combined Science TMs'!$AA$47="Gender",INDEX(INDIRECT(InputsCS!$I$1),8,25),IF('KS2-4 Combined Science TMs'!$AA$47="disadvantage",INDEX(INDIRECT(InputsCS!$I$1),8,69),IF('KS2-4 Combined Science TMs'!$AA$47="sen",INDEX(INDIRECT(InputsCS!$I$1),8,113),IF('KS2-4 Combined Science TMs'!$AA$47="eal",INDEX(INDIRECT(InputsCS!$I$1),8,157),"")))),IF(InputsCS!$I$2="Pupil Percentages",IF('KS2-4 Combined Science TMs'!$AA$47="Gender",INDEX(INDIRECT(InputsCS!$I$1),24,25),IF('KS2-4 Combined Science TMs'!$AA$47="disadvantage",INDEX(INDIRECT(InputsCS!$I$1),24,69),IF('KS2-4 Combined Science TMs'!$AA$47="sen",INDEX(INDIRECT(InputsCS!$I$1),24,113),IF('KS2-4 Combined Science TMs'!$AA$47="eal",INDEX(INDIRECT(InputsCS!$I$1),24,157),"")))))))))),"")</f>
        <v/>
      </c>
      <c r="H52" s="61" t="str">
        <f ca="1">IFERROR(IF(InputsCS!$I$1="Please Select","",IF(InputsCS!$I$2="Please Select","",IF(InputsCS!$I$1="","",IF(InputsCS!$I$2="","",IF(InputsCS!$I$2="Pupil Numbers",IF('KS2-4 Combined Science TMs'!$AA$47="Gender",INDEX(INDIRECT(InputsCS!$I$1),8,26),IF('KS2-4 Combined Science TMs'!$AA$47="disadvantage",INDEX(INDIRECT(InputsCS!$I$1),8,70),IF('KS2-4 Combined Science TMs'!$AA$47="sen",INDEX(INDIRECT(InputsCS!$I$1),8,114),IF('KS2-4 Combined Science TMs'!$AA$47="eal",INDEX(INDIRECT(InputsCS!$I$1),8,158),"")))),IF(InputsCS!$I$2="Pupil Percentages",IF('KS2-4 Combined Science TMs'!$AA$47="Gender",INDEX(INDIRECT(InputsCS!$I$1),24,26),IF('KS2-4 Combined Science TMs'!$AA$47="disadvantage",INDEX(INDIRECT(InputsCS!$I$1),24,70),IF('KS2-4 Combined Science TMs'!$AA$47="sen",INDEX(INDIRECT(InputsCS!$I$1),24,114),IF('KS2-4 Combined Science TMs'!$AA$47="eal",INDEX(INDIRECT(InputsCS!$I$1),24,158),"")))))))))),"")</f>
        <v/>
      </c>
      <c r="I52" s="61" t="str">
        <f ca="1">IFERROR(IF(InputsCS!$I$1="Please Select","",IF(InputsCS!$I$2="Please Select","",IF(InputsCS!$I$1="","",IF(InputsCS!$I$2="","",IF(InputsCS!$I$2="Pupil Numbers",IF('KS2-4 Combined Science TMs'!$AA$47="Gender",INDEX(INDIRECT(InputsCS!$I$1),8,27),IF('KS2-4 Combined Science TMs'!$AA$47="disadvantage",INDEX(INDIRECT(InputsCS!$I$1),8,71),IF('KS2-4 Combined Science TMs'!$AA$47="sen",INDEX(INDIRECT(InputsCS!$I$1),8,115),IF('KS2-4 Combined Science TMs'!$AA$47="eal",INDEX(INDIRECT(InputsCS!$I$1),8,159),"")))),IF(InputsCS!$I$2="Pupil Percentages",IF('KS2-4 Combined Science TMs'!$AA$47="Gender",INDEX(INDIRECT(InputsCS!$I$1),24,27),IF('KS2-4 Combined Science TMs'!$AA$47="disadvantage",INDEX(INDIRECT(InputsCS!$I$1),24,71),IF('KS2-4 Combined Science TMs'!$AA$47="sen",INDEX(INDIRECT(InputsCS!$I$1),24,115),IF('KS2-4 Combined Science TMs'!$AA$47="eal",INDEX(INDIRECT(InputsCS!$I$1),24,159),"")))))))))),"")</f>
        <v/>
      </c>
      <c r="J52" s="61" t="str">
        <f ca="1">IFERROR(IF(InputsCS!$I$1="Please Select","",IF(InputsCS!$I$2="Please Select","",IF(InputsCS!$I$1="","",IF(InputsCS!$I$2="","",IF(InputsCS!$I$2="Pupil Numbers",IF('KS2-4 Combined Science TMs'!$AA$47="Gender",INDEX(INDIRECT(InputsCS!$I$1),8,28),IF('KS2-4 Combined Science TMs'!$AA$47="disadvantage",INDEX(INDIRECT(InputsCS!$I$1),8,72),IF('KS2-4 Combined Science TMs'!$AA$47="sen",INDEX(INDIRECT(InputsCS!$I$1),8,116),IF('KS2-4 Combined Science TMs'!$AA$47="eal",INDEX(INDIRECT(InputsCS!$I$1),8,160),"")))),IF(InputsCS!$I$2="Pupil Percentages",IF('KS2-4 Combined Science TMs'!$AA$47="Gender",INDEX(INDIRECT(InputsCS!$I$1),24,28),IF('KS2-4 Combined Science TMs'!$AA$47="disadvantage",INDEX(INDIRECT(InputsCS!$I$1),24,72),IF('KS2-4 Combined Science TMs'!$AA$47="sen",INDEX(INDIRECT(InputsCS!$I$1),24,116),IF('KS2-4 Combined Science TMs'!$AA$47="eal",INDEX(INDIRECT(InputsCS!$I$1),24,160),"")))))))))),"")</f>
        <v/>
      </c>
      <c r="K52" s="61" t="str">
        <f ca="1">IFERROR(IF(InputsCS!$I$1="Please Select","",IF(InputsCS!$I$2="Please Select","",IF(InputsCS!$I$1="","",IF(InputsCS!$I$2="","",IF(InputsCS!$I$2="Pupil Numbers",IF('KS2-4 Combined Science TMs'!$AA$47="Gender",INDEX(INDIRECT(InputsCS!$I$1),8,29),IF('KS2-4 Combined Science TMs'!$AA$47="disadvantage",INDEX(INDIRECT(InputsCS!$I$1),8,73),IF('KS2-4 Combined Science TMs'!$AA$47="sen",INDEX(INDIRECT(InputsCS!$I$1),8,117),IF('KS2-4 Combined Science TMs'!$AA$47="eal",INDEX(INDIRECT(InputsCS!$I$1),8,161),"")))),IF(InputsCS!$I$2="Pupil Percentages",IF('KS2-4 Combined Science TMs'!$AA$47="Gender",INDEX(INDIRECT(InputsCS!$I$1),24,29),IF('KS2-4 Combined Science TMs'!$AA$47="disadvantage",INDEX(INDIRECT(InputsCS!$I$1),24,73),IF('KS2-4 Combined Science TMs'!$AA$47="sen",INDEX(INDIRECT(InputsCS!$I$1),24,117),IF('KS2-4 Combined Science TMs'!$AA$47="eal",INDEX(INDIRECT(InputsCS!$I$1),24,161),"")))))))))),"")</f>
        <v/>
      </c>
      <c r="L52" s="61" t="str">
        <f ca="1">IFERROR(IF(InputsCS!$I$1="Please Select","",IF(InputsCS!$I$2="Please Select","",IF(InputsCS!$I$1="","",IF(InputsCS!$I$2="","",IF(InputsCS!$I$2="Pupil Numbers",IF('KS2-4 Combined Science TMs'!$AA$47="Gender",INDEX(INDIRECT(InputsCS!$I$1),8,30),IF('KS2-4 Combined Science TMs'!$AA$47="disadvantage",INDEX(INDIRECT(InputsCS!$I$1),8,74),IF('KS2-4 Combined Science TMs'!$AA$47="sen",INDEX(INDIRECT(InputsCS!$I$1),8,118),IF('KS2-4 Combined Science TMs'!$AA$47="eal",INDEX(INDIRECT(InputsCS!$I$1),8,162),"")))),IF(InputsCS!$I$2="Pupil Percentages",IF('KS2-4 Combined Science TMs'!$AA$47="Gender",INDEX(INDIRECT(InputsCS!$I$1),24,30),IF('KS2-4 Combined Science TMs'!$AA$47="disadvantage",INDEX(INDIRECT(InputsCS!$I$1),24,74),IF('KS2-4 Combined Science TMs'!$AA$47="sen",INDEX(INDIRECT(InputsCS!$I$1),24,118),IF('KS2-4 Combined Science TMs'!$AA$47="eal",INDEX(INDIRECT(InputsCS!$I$1),24,162),"")))))))))),"")</f>
        <v/>
      </c>
      <c r="M52" s="61" t="str">
        <f ca="1">IFERROR(IF(InputsCS!$I$1="Please Select","",IF(InputsCS!$I$2="Please Select","",IF(InputsCS!$I$1="","",IF(InputsCS!$I$2="","",IF(InputsCS!$I$2="Pupil Numbers",IF('KS2-4 Combined Science TMs'!$AA$47="Gender",INDEX(INDIRECT(InputsCS!$I$1),8,31),IF('KS2-4 Combined Science TMs'!$AA$47="disadvantage",INDEX(INDIRECT(InputsCS!$I$1),8,75),IF('KS2-4 Combined Science TMs'!$AA$47="sen",INDEX(INDIRECT(InputsCS!$I$1),8,119),IF('KS2-4 Combined Science TMs'!$AA$47="eal",INDEX(INDIRECT(InputsCS!$I$1),8,163),"")))),IF(InputsCS!$I$2="Pupil Percentages",IF('KS2-4 Combined Science TMs'!$AA$47="Gender",INDEX(INDIRECT(InputsCS!$I$1),24,31),IF('KS2-4 Combined Science TMs'!$AA$47="disadvantage",INDEX(INDIRECT(InputsCS!$I$1),24,75),IF('KS2-4 Combined Science TMs'!$AA$47="sen",INDEX(INDIRECT(InputsCS!$I$1),24,119),IF('KS2-4 Combined Science TMs'!$AA$47="eal",INDEX(INDIRECT(InputsCS!$I$1),24,163),"")))))))))),"")</f>
        <v/>
      </c>
      <c r="N52" s="61" t="str">
        <f ca="1">IFERROR(IF(InputsCS!$I$1="Please Select","",IF(InputsCS!$I$2="Please Select","",IF(InputsCS!$I$1="","",IF(InputsCS!$I$2="","",IF(InputsCS!$I$2="Pupil Numbers",IF('KS2-4 Combined Science TMs'!$AA$47="Gender",INDEX(INDIRECT(InputsCS!$I$1),8,32),IF('KS2-4 Combined Science TMs'!$AA$47="disadvantage",INDEX(INDIRECT(InputsCS!$I$1),8,76),IF('KS2-4 Combined Science TMs'!$AA$47="sen",INDEX(INDIRECT(InputsCS!$I$1),8,120),IF('KS2-4 Combined Science TMs'!$AA$47="eal",INDEX(INDIRECT(InputsCS!$I$1),8,164),"")))),IF(InputsCS!$I$2="Pupil Percentages",IF('KS2-4 Combined Science TMs'!$AA$47="Gender",INDEX(INDIRECT(InputsCS!$I$1),24,32),IF('KS2-4 Combined Science TMs'!$AA$47="disadvantage",INDEX(INDIRECT(InputsCS!$I$1),24,76),IF('KS2-4 Combined Science TMs'!$AA$47="sen",INDEX(INDIRECT(InputsCS!$I$1),24,120),IF('KS2-4 Combined Science TMs'!$AA$47="eal",INDEX(INDIRECT(InputsCS!$I$1),24,164),"")))))))))),"")</f>
        <v/>
      </c>
      <c r="O52" s="61" t="str">
        <f ca="1">IFERROR(IF(InputsCS!$I$1="Please Select","",IF(InputsCS!$I$2="Please Select","",IF(InputsCS!$I$1="","",IF(InputsCS!$I$2="","",IF(InputsCS!$I$2="Pupil Numbers",IF('KS2-4 Combined Science TMs'!$AA$47="Gender",INDEX(INDIRECT(InputsCS!$I$1),8,33),IF('KS2-4 Combined Science TMs'!$AA$47="disadvantage",INDEX(INDIRECT(InputsCS!$I$1),8,77),IF('KS2-4 Combined Science TMs'!$AA$47="sen",INDEX(INDIRECT(InputsCS!$I$1),8,121),IF('KS2-4 Combined Science TMs'!$AA$47="eal",INDEX(INDIRECT(InputsCS!$I$1),8,165),"")))),IF(InputsCS!$I$2="Pupil Percentages",IF('KS2-4 Combined Science TMs'!$AA$47="Gender",INDEX(INDIRECT(InputsCS!$I$1),24,33),IF('KS2-4 Combined Science TMs'!$AA$47="disadvantage",INDEX(INDIRECT(InputsCS!$I$1),24,77),IF('KS2-4 Combined Science TMs'!$AA$47="sen",INDEX(INDIRECT(InputsCS!$I$1),24,121),IF('KS2-4 Combined Science TMs'!$AA$47="eal",INDEX(INDIRECT(InputsCS!$I$1),24,165),"")))))))))),"")</f>
        <v/>
      </c>
      <c r="P52" s="61" t="str">
        <f ca="1">IFERROR(IF(InputsCS!$I$1="Please Select","",IF(InputsCS!$I$2="Please Select","",IF(InputsCS!$I$1="","",IF(InputsCS!$I$2="","",IF(InputsCS!$I$2="Pupil Numbers",IF('KS2-4 Combined Science TMs'!$AA$47="Gender",INDEX(INDIRECT(InputsCS!$I$1),8,34),IF('KS2-4 Combined Science TMs'!$AA$47="disadvantage",INDEX(INDIRECT(InputsCS!$I$1),8,78),IF('KS2-4 Combined Science TMs'!$AA$47="sen",INDEX(INDIRECT(InputsCS!$I$1),8,122),IF('KS2-4 Combined Science TMs'!$AA$47="eal",INDEX(INDIRECT(InputsCS!$I$1),8,166),"")))),IF(InputsCS!$I$2="Pupil Percentages",IF('KS2-4 Combined Science TMs'!$AA$47="Gender",INDEX(INDIRECT(InputsCS!$I$1),24,34),IF('KS2-4 Combined Science TMs'!$AA$47="disadvantage",INDEX(INDIRECT(InputsCS!$I$1),24,78),IF('KS2-4 Combined Science TMs'!$AA$47="sen",INDEX(INDIRECT(InputsCS!$I$1),24,122),IF('KS2-4 Combined Science TMs'!$AA$47="eal",INDEX(INDIRECT(InputsCS!$I$1),24,166),"")))))))))),"")</f>
        <v/>
      </c>
      <c r="Q52" s="61" t="str">
        <f ca="1">IFERROR(IF(InputsCS!$I$1="Please Select","",IF(InputsCS!$I$2="Please Select","",IF(InputsCS!$I$1="","",IF(InputsCS!$I$2="","",IF(InputsCS!$I$2="Pupil Numbers",IF('KS2-4 Combined Science TMs'!$AA$47="Gender",INDEX(INDIRECT(InputsCS!$I$1),8,35),IF('KS2-4 Combined Science TMs'!$AA$47="disadvantage",INDEX(INDIRECT(InputsCS!$I$1),8,79),IF('KS2-4 Combined Science TMs'!$AA$47="sen",INDEX(INDIRECT(InputsCS!$I$1),8,123),IF('KS2-4 Combined Science TMs'!$AA$47="eal",INDEX(INDIRECT(InputsCS!$I$1),8,167),"")))),IF(InputsCS!$I$2="Pupil Percentages",IF('KS2-4 Combined Science TMs'!$AA$47="Gender",INDEX(INDIRECT(InputsCS!$I$1),24,35),IF('KS2-4 Combined Science TMs'!$AA$47="disadvantage",INDEX(INDIRECT(InputsCS!$I$1),24,79),IF('KS2-4 Combined Science TMs'!$AA$47="sen",INDEX(INDIRECT(InputsCS!$I$1),24,123),IF('KS2-4 Combined Science TMs'!$AA$47="eal",INDEX(INDIRECT(InputsCS!$I$1),24,167),"")))))))))),"")</f>
        <v/>
      </c>
      <c r="R52" s="61" t="str">
        <f ca="1">IFERROR(IF(InputsCS!$I$1="Please Select","",IF(InputsCS!$I$2="Please Select","",IF(InputsCS!$I$1="","",IF(InputsCS!$I$2="","",IF(InputsCS!$I$2="Pupil Numbers",IF('KS2-4 Combined Science TMs'!$AA$47="Gender",INDEX(INDIRECT(InputsCS!$I$1),8,36),IF('KS2-4 Combined Science TMs'!$AA$47="disadvantage",INDEX(INDIRECT(InputsCS!$I$1),8,80),IF('KS2-4 Combined Science TMs'!$AA$47="sen",INDEX(INDIRECT(InputsCS!$I$1),8,124),IF('KS2-4 Combined Science TMs'!$AA$47="eal",INDEX(INDIRECT(InputsCS!$I$1),8,168),"")))),IF(InputsCS!$I$2="Pupil Percentages",IF('KS2-4 Combined Science TMs'!$AA$47="Gender",INDEX(INDIRECT(InputsCS!$I$1),24,36),IF('KS2-4 Combined Science TMs'!$AA$47="disadvantage",INDEX(INDIRECT(InputsCS!$I$1),24,80),IF('KS2-4 Combined Science TMs'!$AA$47="sen",INDEX(INDIRECT(InputsCS!$I$1),24,124),IF('KS2-4 Combined Science TMs'!$AA$47="eal",INDEX(INDIRECT(InputsCS!$I$1),24,168),"")))))))))),"")</f>
        <v/>
      </c>
      <c r="S52" s="61" t="str">
        <f ca="1">IFERROR(IF(InputsCS!$I$1="Please Select","",IF(InputsCS!$I$2="Please Select","",IF(InputsCS!$I$1="","",IF(InputsCS!$I$2="","",IF(InputsCS!$I$2="Pupil Numbers",IF('KS2-4 Combined Science TMs'!$AA$47="Gender",INDEX(INDIRECT(InputsCS!$I$1),8,37),IF('KS2-4 Combined Science TMs'!$AA$47="disadvantage",INDEX(INDIRECT(InputsCS!$I$1),8,81),IF('KS2-4 Combined Science TMs'!$AA$47="sen",INDEX(INDIRECT(InputsCS!$I$1),8,125),IF('KS2-4 Combined Science TMs'!$AA$47="eal",INDEX(INDIRECT(InputsCS!$I$1),8,169),"")))),IF(InputsCS!$I$2="Pupil Percentages",IF('KS2-4 Combined Science TMs'!$AA$47="Gender",INDEX(INDIRECT(InputsCS!$I$1),24,37),IF('KS2-4 Combined Science TMs'!$AA$47="disadvantage",INDEX(INDIRECT(InputsCS!$I$1),24,81),IF('KS2-4 Combined Science TMs'!$AA$47="sen",INDEX(INDIRECT(InputsCS!$I$1),24,125),IF('KS2-4 Combined Science TMs'!$AA$47="eal",INDEX(INDIRECT(InputsCS!$I$1),24,169),"")))))))))),"")</f>
        <v/>
      </c>
      <c r="T52" s="61" t="str">
        <f ca="1">IFERROR(IF(InputsCS!$I$1="Please Select","",IF(InputsCS!$I$2="Please Select","",IF(InputsCS!$I$1="","",IF(InputsCS!$I$2="","",IF(InputsCS!$I$2="Pupil Numbers",IF('KS2-4 Combined Science TMs'!$AA$47="Gender",INDEX(INDIRECT(InputsCS!$I$1),8,38),IF('KS2-4 Combined Science TMs'!$AA$47="disadvantage",INDEX(INDIRECT(InputsCS!$I$1),8,82),IF('KS2-4 Combined Science TMs'!$AA$47="sen",INDEX(INDIRECT(InputsCS!$I$1),8,126),IF('KS2-4 Combined Science TMs'!$AA$47="eal",INDEX(INDIRECT(InputsCS!$I$1),8,170),"")))),IF(InputsCS!$I$2="Pupil Percentages",IF('KS2-4 Combined Science TMs'!$AA$47="Gender",INDEX(INDIRECT(InputsCS!$I$1),24,38),IF('KS2-4 Combined Science TMs'!$AA$47="disadvantage",INDEX(INDIRECT(InputsCS!$I$1),24,82),IF('KS2-4 Combined Science TMs'!$AA$47="sen",INDEX(INDIRECT(InputsCS!$I$1),24,126),IF('KS2-4 Combined Science TMs'!$AA$47="eal",INDEX(INDIRECT(InputsCS!$I$1),24,170),"")))))))))),"")</f>
        <v/>
      </c>
      <c r="U52" s="61" t="str">
        <f ca="1">IFERROR(IF(InputsCS!$I$1="Please Select","",IF(InputsCS!$I$2="Please Select","",IF(InputsCS!$I$1="","",IF(InputsCS!$I$2="","",IF(InputsCS!$I$2="Pupil Numbers",IF('KS2-4 Combined Science TMs'!$AA$47="Gender",INDEX(INDIRECT(InputsCS!$I$1),8,39),IF('KS2-4 Combined Science TMs'!$AA$47="disadvantage",INDEX(INDIRECT(InputsCS!$I$1),8,83),IF('KS2-4 Combined Science TMs'!$AA$47="sen",INDEX(INDIRECT(InputsCS!$I$1),8,127),IF('KS2-4 Combined Science TMs'!$AA$47="eal",INDEX(INDIRECT(InputsCS!$I$1),8,171),"")))),IF(InputsCS!$I$2="Pupil Percentages",IF('KS2-4 Combined Science TMs'!$AA$47="Gender",INDEX(INDIRECT(InputsCS!$I$1),24,39),IF('KS2-4 Combined Science TMs'!$AA$47="disadvantage",INDEX(INDIRECT(InputsCS!$I$1),24,83),IF('KS2-4 Combined Science TMs'!$AA$47="sen",INDEX(INDIRECT(InputsCS!$I$1),24,127),IF('KS2-4 Combined Science TMs'!$AA$47="eal",INDEX(INDIRECT(InputsCS!$I$1),24,171),"")))))))))),"")</f>
        <v/>
      </c>
      <c r="V52" s="61" t="str">
        <f ca="1">IFERROR(IF(InputsCS!$I$1="Please Select","",IF(InputsCS!$I$2="Please Select","",IF(InputsCS!$I$1="","",IF(InputsCS!$I$2="","",IF(InputsCS!$I$2="Pupil Numbers",IF('KS2-4 Combined Science TMs'!$AA$47="Gender",INDEX(INDIRECT(InputsCS!$I$1),8,40),IF('KS2-4 Combined Science TMs'!$AA$47="disadvantage",INDEX(INDIRECT(InputsCS!$I$1),8,84),IF('KS2-4 Combined Science TMs'!$AA$47="sen",INDEX(INDIRECT(InputsCS!$I$1),8,128),IF('KS2-4 Combined Science TMs'!$AA$47="eal",INDEX(INDIRECT(InputsCS!$I$1),8,172),"")))),IF(InputsCS!$I$2="Pupil Percentages",IF('KS2-4 Combined Science TMs'!$AA$47="Gender",INDEX(INDIRECT(InputsCS!$I$1),24,40),IF('KS2-4 Combined Science TMs'!$AA$47="disadvantage",INDEX(INDIRECT(InputsCS!$I$1),24,84),IF('KS2-4 Combined Science TMs'!$AA$47="sen",INDEX(INDIRECT(InputsCS!$I$1),24,128),IF('KS2-4 Combined Science TMs'!$AA$47="eal",INDEX(INDIRECT(InputsCS!$I$1),24,172),"")))))))))),"")</f>
        <v/>
      </c>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row>
    <row r="53" spans="3:56" ht="23.1" customHeight="1" x14ac:dyDescent="0.5">
      <c r="C53" s="120"/>
      <c r="D53" s="60" t="s">
        <v>8</v>
      </c>
      <c r="E53" s="61" t="str">
        <f ca="1">IFERROR(IF(InputsCS!$I$1="Please Select","",IF(InputsCS!$I$2="Please Select","",IF(InputsCS!$I$1="","",IF(InputsCS!$I$2="","",IF(InputsCS!$I$2="Pupil Numbers",IF('KS2-4 Combined Science TMs'!$AA$47="Gender",INDEX(INDIRECT(InputsCS!$I$1),9,23),IF('KS2-4 Combined Science TMs'!$AA$47="disadvantage",INDEX(INDIRECT(InputsCS!$I$1),9,67),IF('KS2-4 Combined Science TMs'!$AA$47="sen",INDEX(INDIRECT(InputsCS!$I$1),9,111),IF('KS2-4 Combined Science TMs'!$AA$47="eal",INDEX(INDIRECT(InputsCS!$I$1),9,155),"")))),IF(InputsCS!$I$2="Pupil Percentages",IF('KS2-4 Combined Science TMs'!$AA$47="Gender",INDEX(INDIRECT(InputsCS!$I$1),25,23),IF('KS2-4 Combined Science TMs'!$AA$47="disadvantage",INDEX(INDIRECT(InputsCS!$I$1),25,67),IF('KS2-4 Combined Science TMs'!$AA$47="sen",INDEX(INDIRECT(InputsCS!$I$1),25,111),IF('KS2-4 Combined Science TMs'!$AA$47="eal",INDEX(INDIRECT(InputsCS!$I$1),25,155),"")))))))))),"")</f>
        <v/>
      </c>
      <c r="F53" s="61" t="str">
        <f ca="1">IFERROR(IF(InputsCS!$I$1="Please Select","",IF(InputsCS!$I$2="Please Select","",IF(InputsCS!$I$1="","",IF(InputsCS!$I$2="","",IF(InputsCS!$I$2="Pupil Numbers",IF('KS2-4 Combined Science TMs'!$AA$47="Gender",INDEX(INDIRECT(InputsCS!$I$1),9,24),IF('KS2-4 Combined Science TMs'!$AA$47="disadvantage",INDEX(INDIRECT(InputsCS!$I$1),9,68),IF('KS2-4 Combined Science TMs'!$AA$47="sen",INDEX(INDIRECT(InputsCS!$I$1),9,112),IF('KS2-4 Combined Science TMs'!$AA$47="eal",INDEX(INDIRECT(InputsCS!$I$1),9,156),"")))),IF(InputsCS!$I$2="Pupil Percentages",IF('KS2-4 Combined Science TMs'!$AA$47="Gender",INDEX(INDIRECT(InputsCS!$I$1),25,24),IF('KS2-4 Combined Science TMs'!$AA$47="disadvantage",INDEX(INDIRECT(InputsCS!$I$1),25,68),IF('KS2-4 Combined Science TMs'!$AA$47="sen",INDEX(INDIRECT(InputsCS!$I$1),25,112),IF('KS2-4 Combined Science TMs'!$AA$47="eal",INDEX(INDIRECT(InputsCS!$I$1),25,156),"")))))))))),"")</f>
        <v/>
      </c>
      <c r="G53" s="61" t="str">
        <f ca="1">IFERROR(IF(InputsCS!$I$1="Please Select","",IF(InputsCS!$I$2="Please Select","",IF(InputsCS!$I$1="","",IF(InputsCS!$I$2="","",IF(InputsCS!$I$2="Pupil Numbers",IF('KS2-4 Combined Science TMs'!$AA$47="Gender",INDEX(INDIRECT(InputsCS!$I$1),9,25),IF('KS2-4 Combined Science TMs'!$AA$47="disadvantage",INDEX(INDIRECT(InputsCS!$I$1),9,69),IF('KS2-4 Combined Science TMs'!$AA$47="sen",INDEX(INDIRECT(InputsCS!$I$1),9,113),IF('KS2-4 Combined Science TMs'!$AA$47="eal",INDEX(INDIRECT(InputsCS!$I$1),9,157),"")))),IF(InputsCS!$I$2="Pupil Percentages",IF('KS2-4 Combined Science TMs'!$AA$47="Gender",INDEX(INDIRECT(InputsCS!$I$1),25,25),IF('KS2-4 Combined Science TMs'!$AA$47="disadvantage",INDEX(INDIRECT(InputsCS!$I$1),25,69),IF('KS2-4 Combined Science TMs'!$AA$47="sen",INDEX(INDIRECT(InputsCS!$I$1),25,113),IF('KS2-4 Combined Science TMs'!$AA$47="eal",INDEX(INDIRECT(InputsCS!$I$1),25,157),"")))))))))),"")</f>
        <v/>
      </c>
      <c r="H53" s="61" t="str">
        <f ca="1">IFERROR(IF(InputsCS!$I$1="Please Select","",IF(InputsCS!$I$2="Please Select","",IF(InputsCS!$I$1="","",IF(InputsCS!$I$2="","",IF(InputsCS!$I$2="Pupil Numbers",IF('KS2-4 Combined Science TMs'!$AA$47="Gender",INDEX(INDIRECT(InputsCS!$I$1),9,26),IF('KS2-4 Combined Science TMs'!$AA$47="disadvantage",INDEX(INDIRECT(InputsCS!$I$1),9,70),IF('KS2-4 Combined Science TMs'!$AA$47="sen",INDEX(INDIRECT(InputsCS!$I$1),9,114),IF('KS2-4 Combined Science TMs'!$AA$47="eal",INDEX(INDIRECT(InputsCS!$I$1),9,158),"")))),IF(InputsCS!$I$2="Pupil Percentages",IF('KS2-4 Combined Science TMs'!$AA$47="Gender",INDEX(INDIRECT(InputsCS!$I$1),25,26),IF('KS2-4 Combined Science TMs'!$AA$47="disadvantage",INDEX(INDIRECT(InputsCS!$I$1),25,70),IF('KS2-4 Combined Science TMs'!$AA$47="sen",INDEX(INDIRECT(InputsCS!$I$1),25,114),IF('KS2-4 Combined Science TMs'!$AA$47="eal",INDEX(INDIRECT(InputsCS!$I$1),25,158),"")))))))))),"")</f>
        <v/>
      </c>
      <c r="I53" s="61" t="str">
        <f ca="1">IFERROR(IF(InputsCS!$I$1="Please Select","",IF(InputsCS!$I$2="Please Select","",IF(InputsCS!$I$1="","",IF(InputsCS!$I$2="","",IF(InputsCS!$I$2="Pupil Numbers",IF('KS2-4 Combined Science TMs'!$AA$47="Gender",INDEX(INDIRECT(InputsCS!$I$1),9,27),IF('KS2-4 Combined Science TMs'!$AA$47="disadvantage",INDEX(INDIRECT(InputsCS!$I$1),9,71),IF('KS2-4 Combined Science TMs'!$AA$47="sen",INDEX(INDIRECT(InputsCS!$I$1),9,115),IF('KS2-4 Combined Science TMs'!$AA$47="eal",INDEX(INDIRECT(InputsCS!$I$1),9,159),"")))),IF(InputsCS!$I$2="Pupil Percentages",IF('KS2-4 Combined Science TMs'!$AA$47="Gender",INDEX(INDIRECT(InputsCS!$I$1),25,27),IF('KS2-4 Combined Science TMs'!$AA$47="disadvantage",INDEX(INDIRECT(InputsCS!$I$1),25,71),IF('KS2-4 Combined Science TMs'!$AA$47="sen",INDEX(INDIRECT(InputsCS!$I$1),25,115),IF('KS2-4 Combined Science TMs'!$AA$47="eal",INDEX(INDIRECT(InputsCS!$I$1),25,159),"")))))))))),"")</f>
        <v/>
      </c>
      <c r="J53" s="61" t="str">
        <f ca="1">IFERROR(IF(InputsCS!$I$1="Please Select","",IF(InputsCS!$I$2="Please Select","",IF(InputsCS!$I$1="","",IF(InputsCS!$I$2="","",IF(InputsCS!$I$2="Pupil Numbers",IF('KS2-4 Combined Science TMs'!$AA$47="Gender",INDEX(INDIRECT(InputsCS!$I$1),9,28),IF('KS2-4 Combined Science TMs'!$AA$47="disadvantage",INDEX(INDIRECT(InputsCS!$I$1),9,72),IF('KS2-4 Combined Science TMs'!$AA$47="sen",INDEX(INDIRECT(InputsCS!$I$1),9,116),IF('KS2-4 Combined Science TMs'!$AA$47="eal",INDEX(INDIRECT(InputsCS!$I$1),9,160),"")))),IF(InputsCS!$I$2="Pupil Percentages",IF('KS2-4 Combined Science TMs'!$AA$47="Gender",INDEX(INDIRECT(InputsCS!$I$1),25,28),IF('KS2-4 Combined Science TMs'!$AA$47="disadvantage",INDEX(INDIRECT(InputsCS!$I$1),25,72),IF('KS2-4 Combined Science TMs'!$AA$47="sen",INDEX(INDIRECT(InputsCS!$I$1),25,116),IF('KS2-4 Combined Science TMs'!$AA$47="eal",INDEX(INDIRECT(InputsCS!$I$1),25,160),"")))))))))),"")</f>
        <v/>
      </c>
      <c r="K53" s="61" t="str">
        <f ca="1">IFERROR(IF(InputsCS!$I$1="Please Select","",IF(InputsCS!$I$2="Please Select","",IF(InputsCS!$I$1="","",IF(InputsCS!$I$2="","",IF(InputsCS!$I$2="Pupil Numbers",IF('KS2-4 Combined Science TMs'!$AA$47="Gender",INDEX(INDIRECT(InputsCS!$I$1),9,29),IF('KS2-4 Combined Science TMs'!$AA$47="disadvantage",INDEX(INDIRECT(InputsCS!$I$1),9,73),IF('KS2-4 Combined Science TMs'!$AA$47="sen",INDEX(INDIRECT(InputsCS!$I$1),9,117),IF('KS2-4 Combined Science TMs'!$AA$47="eal",INDEX(INDIRECT(InputsCS!$I$1),9,161),"")))),IF(InputsCS!$I$2="Pupil Percentages",IF('KS2-4 Combined Science TMs'!$AA$47="Gender",INDEX(INDIRECT(InputsCS!$I$1),25,29),IF('KS2-4 Combined Science TMs'!$AA$47="disadvantage",INDEX(INDIRECT(InputsCS!$I$1),25,73),IF('KS2-4 Combined Science TMs'!$AA$47="sen",INDEX(INDIRECT(InputsCS!$I$1),25,117),IF('KS2-4 Combined Science TMs'!$AA$47="eal",INDEX(INDIRECT(InputsCS!$I$1),25,161),"")))))))))),"")</f>
        <v/>
      </c>
      <c r="L53" s="61" t="str">
        <f ca="1">IFERROR(IF(InputsCS!$I$1="Please Select","",IF(InputsCS!$I$2="Please Select","",IF(InputsCS!$I$1="","",IF(InputsCS!$I$2="","",IF(InputsCS!$I$2="Pupil Numbers",IF('KS2-4 Combined Science TMs'!$AA$47="Gender",INDEX(INDIRECT(InputsCS!$I$1),9,30),IF('KS2-4 Combined Science TMs'!$AA$47="disadvantage",INDEX(INDIRECT(InputsCS!$I$1),9,74),IF('KS2-4 Combined Science TMs'!$AA$47="sen",INDEX(INDIRECT(InputsCS!$I$1),9,118),IF('KS2-4 Combined Science TMs'!$AA$47="eal",INDEX(INDIRECT(InputsCS!$I$1),9,162),"")))),IF(InputsCS!$I$2="Pupil Percentages",IF('KS2-4 Combined Science TMs'!$AA$47="Gender",INDEX(INDIRECT(InputsCS!$I$1),25,30),IF('KS2-4 Combined Science TMs'!$AA$47="disadvantage",INDEX(INDIRECT(InputsCS!$I$1),25,74),IF('KS2-4 Combined Science TMs'!$AA$47="sen",INDEX(INDIRECT(InputsCS!$I$1),25,118),IF('KS2-4 Combined Science TMs'!$AA$47="eal",INDEX(INDIRECT(InputsCS!$I$1),25,162),"")))))))))),"")</f>
        <v/>
      </c>
      <c r="M53" s="61" t="str">
        <f ca="1">IFERROR(IF(InputsCS!$I$1="Please Select","",IF(InputsCS!$I$2="Please Select","",IF(InputsCS!$I$1="","",IF(InputsCS!$I$2="","",IF(InputsCS!$I$2="Pupil Numbers",IF('KS2-4 Combined Science TMs'!$AA$47="Gender",INDEX(INDIRECT(InputsCS!$I$1),9,31),IF('KS2-4 Combined Science TMs'!$AA$47="disadvantage",INDEX(INDIRECT(InputsCS!$I$1),9,75),IF('KS2-4 Combined Science TMs'!$AA$47="sen",INDEX(INDIRECT(InputsCS!$I$1),9,119),IF('KS2-4 Combined Science TMs'!$AA$47="eal",INDEX(INDIRECT(InputsCS!$I$1),9,163),"")))),IF(InputsCS!$I$2="Pupil Percentages",IF('KS2-4 Combined Science TMs'!$AA$47="Gender",INDEX(INDIRECT(InputsCS!$I$1),25,31),IF('KS2-4 Combined Science TMs'!$AA$47="disadvantage",INDEX(INDIRECT(InputsCS!$I$1),25,75),IF('KS2-4 Combined Science TMs'!$AA$47="sen",INDEX(INDIRECT(InputsCS!$I$1),25,119),IF('KS2-4 Combined Science TMs'!$AA$47="eal",INDEX(INDIRECT(InputsCS!$I$1),25,163),"")))))))))),"")</f>
        <v/>
      </c>
      <c r="N53" s="61" t="str">
        <f ca="1">IFERROR(IF(InputsCS!$I$1="Please Select","",IF(InputsCS!$I$2="Please Select","",IF(InputsCS!$I$1="","",IF(InputsCS!$I$2="","",IF(InputsCS!$I$2="Pupil Numbers",IF('KS2-4 Combined Science TMs'!$AA$47="Gender",INDEX(INDIRECT(InputsCS!$I$1),9,32),IF('KS2-4 Combined Science TMs'!$AA$47="disadvantage",INDEX(INDIRECT(InputsCS!$I$1),9,76),IF('KS2-4 Combined Science TMs'!$AA$47="sen",INDEX(INDIRECT(InputsCS!$I$1),9,120),IF('KS2-4 Combined Science TMs'!$AA$47="eal",INDEX(INDIRECT(InputsCS!$I$1),9,164),"")))),IF(InputsCS!$I$2="Pupil Percentages",IF('KS2-4 Combined Science TMs'!$AA$47="Gender",INDEX(INDIRECT(InputsCS!$I$1),25,32),IF('KS2-4 Combined Science TMs'!$AA$47="disadvantage",INDEX(INDIRECT(InputsCS!$I$1),25,76),IF('KS2-4 Combined Science TMs'!$AA$47="sen",INDEX(INDIRECT(InputsCS!$I$1),25,120),IF('KS2-4 Combined Science TMs'!$AA$47="eal",INDEX(INDIRECT(InputsCS!$I$1),25,164),"")))))))))),"")</f>
        <v/>
      </c>
      <c r="O53" s="61" t="str">
        <f ca="1">IFERROR(IF(InputsCS!$I$1="Please Select","",IF(InputsCS!$I$2="Please Select","",IF(InputsCS!$I$1="","",IF(InputsCS!$I$2="","",IF(InputsCS!$I$2="Pupil Numbers",IF('KS2-4 Combined Science TMs'!$AA$47="Gender",INDEX(INDIRECT(InputsCS!$I$1),9,33),IF('KS2-4 Combined Science TMs'!$AA$47="disadvantage",INDEX(INDIRECT(InputsCS!$I$1),9,77),IF('KS2-4 Combined Science TMs'!$AA$47="sen",INDEX(INDIRECT(InputsCS!$I$1),9,121),IF('KS2-4 Combined Science TMs'!$AA$47="eal",INDEX(INDIRECT(InputsCS!$I$1),9,165),"")))),IF(InputsCS!$I$2="Pupil Percentages",IF('KS2-4 Combined Science TMs'!$AA$47="Gender",INDEX(INDIRECT(InputsCS!$I$1),25,33),IF('KS2-4 Combined Science TMs'!$AA$47="disadvantage",INDEX(INDIRECT(InputsCS!$I$1),25,77),IF('KS2-4 Combined Science TMs'!$AA$47="sen",INDEX(INDIRECT(InputsCS!$I$1),25,121),IF('KS2-4 Combined Science TMs'!$AA$47="eal",INDEX(INDIRECT(InputsCS!$I$1),25,165),"")))))))))),"")</f>
        <v/>
      </c>
      <c r="P53" s="61" t="str">
        <f ca="1">IFERROR(IF(InputsCS!$I$1="Please Select","",IF(InputsCS!$I$2="Please Select","",IF(InputsCS!$I$1="","",IF(InputsCS!$I$2="","",IF(InputsCS!$I$2="Pupil Numbers",IF('KS2-4 Combined Science TMs'!$AA$47="Gender",INDEX(INDIRECT(InputsCS!$I$1),9,34),IF('KS2-4 Combined Science TMs'!$AA$47="disadvantage",INDEX(INDIRECT(InputsCS!$I$1),9,78),IF('KS2-4 Combined Science TMs'!$AA$47="sen",INDEX(INDIRECT(InputsCS!$I$1),9,122),IF('KS2-4 Combined Science TMs'!$AA$47="eal",INDEX(INDIRECT(InputsCS!$I$1),9,166),"")))),IF(InputsCS!$I$2="Pupil Percentages",IF('KS2-4 Combined Science TMs'!$AA$47="Gender",INDEX(INDIRECT(InputsCS!$I$1),25,34),IF('KS2-4 Combined Science TMs'!$AA$47="disadvantage",INDEX(INDIRECT(InputsCS!$I$1),25,78),IF('KS2-4 Combined Science TMs'!$AA$47="sen",INDEX(INDIRECT(InputsCS!$I$1),25,122),IF('KS2-4 Combined Science TMs'!$AA$47="eal",INDEX(INDIRECT(InputsCS!$I$1),25,166),"")))))))))),"")</f>
        <v/>
      </c>
      <c r="Q53" s="61" t="str">
        <f ca="1">IFERROR(IF(InputsCS!$I$1="Please Select","",IF(InputsCS!$I$2="Please Select","",IF(InputsCS!$I$1="","",IF(InputsCS!$I$2="","",IF(InputsCS!$I$2="Pupil Numbers",IF('KS2-4 Combined Science TMs'!$AA$47="Gender",INDEX(INDIRECT(InputsCS!$I$1),9,35),IF('KS2-4 Combined Science TMs'!$AA$47="disadvantage",INDEX(INDIRECT(InputsCS!$I$1),9,79),IF('KS2-4 Combined Science TMs'!$AA$47="sen",INDEX(INDIRECT(InputsCS!$I$1),9,123),IF('KS2-4 Combined Science TMs'!$AA$47="eal",INDEX(INDIRECT(InputsCS!$I$1),9,167),"")))),IF(InputsCS!$I$2="Pupil Percentages",IF('KS2-4 Combined Science TMs'!$AA$47="Gender",INDEX(INDIRECT(InputsCS!$I$1),25,35),IF('KS2-4 Combined Science TMs'!$AA$47="disadvantage",INDEX(INDIRECT(InputsCS!$I$1),25,79),IF('KS2-4 Combined Science TMs'!$AA$47="sen",INDEX(INDIRECT(InputsCS!$I$1),25,123),IF('KS2-4 Combined Science TMs'!$AA$47="eal",INDEX(INDIRECT(InputsCS!$I$1),25,167),"")))))))))),"")</f>
        <v/>
      </c>
      <c r="R53" s="61" t="str">
        <f ca="1">IFERROR(IF(InputsCS!$I$1="Please Select","",IF(InputsCS!$I$2="Please Select","",IF(InputsCS!$I$1="","",IF(InputsCS!$I$2="","",IF(InputsCS!$I$2="Pupil Numbers",IF('KS2-4 Combined Science TMs'!$AA$47="Gender",INDEX(INDIRECT(InputsCS!$I$1),9,36),IF('KS2-4 Combined Science TMs'!$AA$47="disadvantage",INDEX(INDIRECT(InputsCS!$I$1),9,80),IF('KS2-4 Combined Science TMs'!$AA$47="sen",INDEX(INDIRECT(InputsCS!$I$1),9,124),IF('KS2-4 Combined Science TMs'!$AA$47="eal",INDEX(INDIRECT(InputsCS!$I$1),9,168),"")))),IF(InputsCS!$I$2="Pupil Percentages",IF('KS2-4 Combined Science TMs'!$AA$47="Gender",INDEX(INDIRECT(InputsCS!$I$1),25,36),IF('KS2-4 Combined Science TMs'!$AA$47="disadvantage",INDEX(INDIRECT(InputsCS!$I$1),25,80),IF('KS2-4 Combined Science TMs'!$AA$47="sen",INDEX(INDIRECT(InputsCS!$I$1),25,124),IF('KS2-4 Combined Science TMs'!$AA$47="eal",INDEX(INDIRECT(InputsCS!$I$1),25,168),"")))))))))),"")</f>
        <v/>
      </c>
      <c r="S53" s="61" t="str">
        <f ca="1">IFERROR(IF(InputsCS!$I$1="Please Select","",IF(InputsCS!$I$2="Please Select","",IF(InputsCS!$I$1="","",IF(InputsCS!$I$2="","",IF(InputsCS!$I$2="Pupil Numbers",IF('KS2-4 Combined Science TMs'!$AA$47="Gender",INDEX(INDIRECT(InputsCS!$I$1),9,37),IF('KS2-4 Combined Science TMs'!$AA$47="disadvantage",INDEX(INDIRECT(InputsCS!$I$1),9,81),IF('KS2-4 Combined Science TMs'!$AA$47="sen",INDEX(INDIRECT(InputsCS!$I$1),9,125),IF('KS2-4 Combined Science TMs'!$AA$47="eal",INDEX(INDIRECT(InputsCS!$I$1),9,169),"")))),IF(InputsCS!$I$2="Pupil Percentages",IF('KS2-4 Combined Science TMs'!$AA$47="Gender",INDEX(INDIRECT(InputsCS!$I$1),25,37),IF('KS2-4 Combined Science TMs'!$AA$47="disadvantage",INDEX(INDIRECT(InputsCS!$I$1),25,81),IF('KS2-4 Combined Science TMs'!$AA$47="sen",INDEX(INDIRECT(InputsCS!$I$1),25,125),IF('KS2-4 Combined Science TMs'!$AA$47="eal",INDEX(INDIRECT(InputsCS!$I$1),25,169),"")))))))))),"")</f>
        <v/>
      </c>
      <c r="T53" s="61" t="str">
        <f ca="1">IFERROR(IF(InputsCS!$I$1="Please Select","",IF(InputsCS!$I$2="Please Select","",IF(InputsCS!$I$1="","",IF(InputsCS!$I$2="","",IF(InputsCS!$I$2="Pupil Numbers",IF('KS2-4 Combined Science TMs'!$AA$47="Gender",INDEX(INDIRECT(InputsCS!$I$1),9,38),IF('KS2-4 Combined Science TMs'!$AA$47="disadvantage",INDEX(INDIRECT(InputsCS!$I$1),9,82),IF('KS2-4 Combined Science TMs'!$AA$47="sen",INDEX(INDIRECT(InputsCS!$I$1),9,126),IF('KS2-4 Combined Science TMs'!$AA$47="eal",INDEX(INDIRECT(InputsCS!$I$1),9,170),"")))),IF(InputsCS!$I$2="Pupil Percentages",IF('KS2-4 Combined Science TMs'!$AA$47="Gender",INDEX(INDIRECT(InputsCS!$I$1),25,38),IF('KS2-4 Combined Science TMs'!$AA$47="disadvantage",INDEX(INDIRECT(InputsCS!$I$1),25,82),IF('KS2-4 Combined Science TMs'!$AA$47="sen",INDEX(INDIRECT(InputsCS!$I$1),25,126),IF('KS2-4 Combined Science TMs'!$AA$47="eal",INDEX(INDIRECT(InputsCS!$I$1),25,170),"")))))))))),"")</f>
        <v/>
      </c>
      <c r="U53" s="61" t="str">
        <f ca="1">IFERROR(IF(InputsCS!$I$1="Please Select","",IF(InputsCS!$I$2="Please Select","",IF(InputsCS!$I$1="","",IF(InputsCS!$I$2="","",IF(InputsCS!$I$2="Pupil Numbers",IF('KS2-4 Combined Science TMs'!$AA$47="Gender",INDEX(INDIRECT(InputsCS!$I$1),9,39),IF('KS2-4 Combined Science TMs'!$AA$47="disadvantage",INDEX(INDIRECT(InputsCS!$I$1),9,83),IF('KS2-4 Combined Science TMs'!$AA$47="sen",INDEX(INDIRECT(InputsCS!$I$1),9,127),IF('KS2-4 Combined Science TMs'!$AA$47="eal",INDEX(INDIRECT(InputsCS!$I$1),9,171),"")))),IF(InputsCS!$I$2="Pupil Percentages",IF('KS2-4 Combined Science TMs'!$AA$47="Gender",INDEX(INDIRECT(InputsCS!$I$1),25,39),IF('KS2-4 Combined Science TMs'!$AA$47="disadvantage",INDEX(INDIRECT(InputsCS!$I$1),25,83),IF('KS2-4 Combined Science TMs'!$AA$47="sen",INDEX(INDIRECT(InputsCS!$I$1),25,127),IF('KS2-4 Combined Science TMs'!$AA$47="eal",INDEX(INDIRECT(InputsCS!$I$1),25,171),"")))))))))),"")</f>
        <v/>
      </c>
      <c r="V53" s="61" t="str">
        <f ca="1">IFERROR(IF(InputsCS!$I$1="Please Select","",IF(InputsCS!$I$2="Please Select","",IF(InputsCS!$I$1="","",IF(InputsCS!$I$2="","",IF(InputsCS!$I$2="Pupil Numbers",IF('KS2-4 Combined Science TMs'!$AA$47="Gender",INDEX(INDIRECT(InputsCS!$I$1),9,40),IF('KS2-4 Combined Science TMs'!$AA$47="disadvantage",INDEX(INDIRECT(InputsCS!$I$1),9,84),IF('KS2-4 Combined Science TMs'!$AA$47="sen",INDEX(INDIRECT(InputsCS!$I$1),9,128),IF('KS2-4 Combined Science TMs'!$AA$47="eal",INDEX(INDIRECT(InputsCS!$I$1),9,172),"")))),IF(InputsCS!$I$2="Pupil Percentages",IF('KS2-4 Combined Science TMs'!$AA$47="Gender",INDEX(INDIRECT(InputsCS!$I$1),25,40),IF('KS2-4 Combined Science TMs'!$AA$47="disadvantage",INDEX(INDIRECT(InputsCS!$I$1),25,84),IF('KS2-4 Combined Science TMs'!$AA$47="sen",INDEX(INDIRECT(InputsCS!$I$1),25,128),IF('KS2-4 Combined Science TMs'!$AA$47="eal",INDEX(INDIRECT(InputsCS!$I$1),25,172),"")))))))))),"")</f>
        <v/>
      </c>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row>
    <row r="54" spans="3:56" ht="23.1" customHeight="1" x14ac:dyDescent="0.5">
      <c r="C54" s="120"/>
      <c r="D54" s="60" t="s">
        <v>9</v>
      </c>
      <c r="E54" s="61" t="str">
        <f ca="1">IFERROR(IF(InputsCS!$I$1="Please Select","",IF(InputsCS!$I$2="Please Select","",IF(InputsCS!$I$1="","",IF(InputsCS!$I$2="","",IF(InputsCS!$I$2="Pupil Numbers",IF('KS2-4 Combined Science TMs'!$AA$47="Gender",INDEX(INDIRECT(InputsCS!$I$1),10,23),IF('KS2-4 Combined Science TMs'!$AA$47="disadvantage",INDEX(INDIRECT(InputsCS!$I$1),10,67),IF('KS2-4 Combined Science TMs'!$AA$47="sen",INDEX(INDIRECT(InputsCS!$I$1),10,111),IF('KS2-4 Combined Science TMs'!$AA$47="eal",INDEX(INDIRECT(InputsCS!$I$1),10,155),"")))),IF(InputsCS!$I$2="Pupil Percentages",IF('KS2-4 Combined Science TMs'!$AA$47="Gender",INDEX(INDIRECT(InputsCS!$I$1),26,23),IF('KS2-4 Combined Science TMs'!$AA$47="disadvantage",INDEX(INDIRECT(InputsCS!$I$1),26,67),IF('KS2-4 Combined Science TMs'!$AA$47="sen",INDEX(INDIRECT(InputsCS!$I$1),26,111),IF('KS2-4 Combined Science TMs'!$AA$47="eal",INDEX(INDIRECT(InputsCS!$I$1),26,155),"")))))))))),"")</f>
        <v/>
      </c>
      <c r="F54" s="61" t="str">
        <f ca="1">IFERROR(IF(InputsCS!$I$1="Please Select","",IF(InputsCS!$I$2="Please Select","",IF(InputsCS!$I$1="","",IF(InputsCS!$I$2="","",IF(InputsCS!$I$2="Pupil Numbers",IF('KS2-4 Combined Science TMs'!$AA$47="Gender",INDEX(INDIRECT(InputsCS!$I$1),10,24),IF('KS2-4 Combined Science TMs'!$AA$47="disadvantage",INDEX(INDIRECT(InputsCS!$I$1),10,68),IF('KS2-4 Combined Science TMs'!$AA$47="sen",INDEX(INDIRECT(InputsCS!$I$1),10,112),IF('KS2-4 Combined Science TMs'!$AA$47="eal",INDEX(INDIRECT(InputsCS!$I$1),10,156),"")))),IF(InputsCS!$I$2="Pupil Percentages",IF('KS2-4 Combined Science TMs'!$AA$47="Gender",INDEX(INDIRECT(InputsCS!$I$1),26,24),IF('KS2-4 Combined Science TMs'!$AA$47="disadvantage",INDEX(INDIRECT(InputsCS!$I$1),26,68),IF('KS2-4 Combined Science TMs'!$AA$47="sen",INDEX(INDIRECT(InputsCS!$I$1),26,112),IF('KS2-4 Combined Science TMs'!$AA$47="eal",INDEX(INDIRECT(InputsCS!$I$1),26,156),"")))))))))),"")</f>
        <v/>
      </c>
      <c r="G54" s="61" t="str">
        <f ca="1">IFERROR(IF(InputsCS!$I$1="Please Select","",IF(InputsCS!$I$2="Please Select","",IF(InputsCS!$I$1="","",IF(InputsCS!$I$2="","",IF(InputsCS!$I$2="Pupil Numbers",IF('KS2-4 Combined Science TMs'!$AA$47="Gender",INDEX(INDIRECT(InputsCS!$I$1),10,25),IF('KS2-4 Combined Science TMs'!$AA$47="disadvantage",INDEX(INDIRECT(InputsCS!$I$1),10,69),IF('KS2-4 Combined Science TMs'!$AA$47="sen",INDEX(INDIRECT(InputsCS!$I$1),10,113),IF('KS2-4 Combined Science TMs'!$AA$47="eal",INDEX(INDIRECT(InputsCS!$I$1),10,157),"")))),IF(InputsCS!$I$2="Pupil Percentages",IF('KS2-4 Combined Science TMs'!$AA$47="Gender",INDEX(INDIRECT(InputsCS!$I$1),26,25),IF('KS2-4 Combined Science TMs'!$AA$47="disadvantage",INDEX(INDIRECT(InputsCS!$I$1),26,69),IF('KS2-4 Combined Science TMs'!$AA$47="sen",INDEX(INDIRECT(InputsCS!$I$1),26,113),IF('KS2-4 Combined Science TMs'!$AA$47="eal",INDEX(INDIRECT(InputsCS!$I$1),26,157),"")))))))))),"")</f>
        <v/>
      </c>
      <c r="H54" s="61" t="str">
        <f ca="1">IFERROR(IF(InputsCS!$I$1="Please Select","",IF(InputsCS!$I$2="Please Select","",IF(InputsCS!$I$1="","",IF(InputsCS!$I$2="","",IF(InputsCS!$I$2="Pupil Numbers",IF('KS2-4 Combined Science TMs'!$AA$47="Gender",INDEX(INDIRECT(InputsCS!$I$1),10,26),IF('KS2-4 Combined Science TMs'!$AA$47="disadvantage",INDEX(INDIRECT(InputsCS!$I$1),10,70),IF('KS2-4 Combined Science TMs'!$AA$47="sen",INDEX(INDIRECT(InputsCS!$I$1),10,114),IF('KS2-4 Combined Science TMs'!$AA$47="eal",INDEX(INDIRECT(InputsCS!$I$1),10,158),"")))),IF(InputsCS!$I$2="Pupil Percentages",IF('KS2-4 Combined Science TMs'!$AA$47="Gender",INDEX(INDIRECT(InputsCS!$I$1),26,26),IF('KS2-4 Combined Science TMs'!$AA$47="disadvantage",INDEX(INDIRECT(InputsCS!$I$1),26,70),IF('KS2-4 Combined Science TMs'!$AA$47="sen",INDEX(INDIRECT(InputsCS!$I$1),26,114),IF('KS2-4 Combined Science TMs'!$AA$47="eal",INDEX(INDIRECT(InputsCS!$I$1),26,158),"")))))))))),"")</f>
        <v/>
      </c>
      <c r="I54" s="61" t="str">
        <f ca="1">IFERROR(IF(InputsCS!$I$1="Please Select","",IF(InputsCS!$I$2="Please Select","",IF(InputsCS!$I$1="","",IF(InputsCS!$I$2="","",IF(InputsCS!$I$2="Pupil Numbers",IF('KS2-4 Combined Science TMs'!$AA$47="Gender",INDEX(INDIRECT(InputsCS!$I$1),10,27),IF('KS2-4 Combined Science TMs'!$AA$47="disadvantage",INDEX(INDIRECT(InputsCS!$I$1),10,71),IF('KS2-4 Combined Science TMs'!$AA$47="sen",INDEX(INDIRECT(InputsCS!$I$1),10,115),IF('KS2-4 Combined Science TMs'!$AA$47="eal",INDEX(INDIRECT(InputsCS!$I$1),10,159),"")))),IF(InputsCS!$I$2="Pupil Percentages",IF('KS2-4 Combined Science TMs'!$AA$47="Gender",INDEX(INDIRECT(InputsCS!$I$1),26,27),IF('KS2-4 Combined Science TMs'!$AA$47="disadvantage",INDEX(INDIRECT(InputsCS!$I$1),26,71),IF('KS2-4 Combined Science TMs'!$AA$47="sen",INDEX(INDIRECT(InputsCS!$I$1),26,115),IF('KS2-4 Combined Science TMs'!$AA$47="eal",INDEX(INDIRECT(InputsCS!$I$1),26,159),"")))))))))),"")</f>
        <v/>
      </c>
      <c r="J54" s="61" t="str">
        <f ca="1">IFERROR(IF(InputsCS!$I$1="Please Select","",IF(InputsCS!$I$2="Please Select","",IF(InputsCS!$I$1="","",IF(InputsCS!$I$2="","",IF(InputsCS!$I$2="Pupil Numbers",IF('KS2-4 Combined Science TMs'!$AA$47="Gender",INDEX(INDIRECT(InputsCS!$I$1),10,28),IF('KS2-4 Combined Science TMs'!$AA$47="disadvantage",INDEX(INDIRECT(InputsCS!$I$1),10,72),IF('KS2-4 Combined Science TMs'!$AA$47="sen",INDEX(INDIRECT(InputsCS!$I$1),10,116),IF('KS2-4 Combined Science TMs'!$AA$47="eal",INDEX(INDIRECT(InputsCS!$I$1),10,160),"")))),IF(InputsCS!$I$2="Pupil Percentages",IF('KS2-4 Combined Science TMs'!$AA$47="Gender",INDEX(INDIRECT(InputsCS!$I$1),26,28),IF('KS2-4 Combined Science TMs'!$AA$47="disadvantage",INDEX(INDIRECT(InputsCS!$I$1),26,72),IF('KS2-4 Combined Science TMs'!$AA$47="sen",INDEX(INDIRECT(InputsCS!$I$1),26,116),IF('KS2-4 Combined Science TMs'!$AA$47="eal",INDEX(INDIRECT(InputsCS!$I$1),26,160),"")))))))))),"")</f>
        <v/>
      </c>
      <c r="K54" s="61" t="str">
        <f ca="1">IFERROR(IF(InputsCS!$I$1="Please Select","",IF(InputsCS!$I$2="Please Select","",IF(InputsCS!$I$1="","",IF(InputsCS!$I$2="","",IF(InputsCS!$I$2="Pupil Numbers",IF('KS2-4 Combined Science TMs'!$AA$47="Gender",INDEX(INDIRECT(InputsCS!$I$1),10,29),IF('KS2-4 Combined Science TMs'!$AA$47="disadvantage",INDEX(INDIRECT(InputsCS!$I$1),10,73),IF('KS2-4 Combined Science TMs'!$AA$47="sen",INDEX(INDIRECT(InputsCS!$I$1),10,117),IF('KS2-4 Combined Science TMs'!$AA$47="eal",INDEX(INDIRECT(InputsCS!$I$1),10,161),"")))),IF(InputsCS!$I$2="Pupil Percentages",IF('KS2-4 Combined Science TMs'!$AA$47="Gender",INDEX(INDIRECT(InputsCS!$I$1),26,29),IF('KS2-4 Combined Science TMs'!$AA$47="disadvantage",INDEX(INDIRECT(InputsCS!$I$1),26,73),IF('KS2-4 Combined Science TMs'!$AA$47="sen",INDEX(INDIRECT(InputsCS!$I$1),26,117),IF('KS2-4 Combined Science TMs'!$AA$47="eal",INDEX(INDIRECT(InputsCS!$I$1),26,161),"")))))))))),"")</f>
        <v/>
      </c>
      <c r="L54" s="61" t="str">
        <f ca="1">IFERROR(IF(InputsCS!$I$1="Please Select","",IF(InputsCS!$I$2="Please Select","",IF(InputsCS!$I$1="","",IF(InputsCS!$I$2="","",IF(InputsCS!$I$2="Pupil Numbers",IF('KS2-4 Combined Science TMs'!$AA$47="Gender",INDEX(INDIRECT(InputsCS!$I$1),10,30),IF('KS2-4 Combined Science TMs'!$AA$47="disadvantage",INDEX(INDIRECT(InputsCS!$I$1),10,74),IF('KS2-4 Combined Science TMs'!$AA$47="sen",INDEX(INDIRECT(InputsCS!$I$1),10,118),IF('KS2-4 Combined Science TMs'!$AA$47="eal",INDEX(INDIRECT(InputsCS!$I$1),10,162),"")))),IF(InputsCS!$I$2="Pupil Percentages",IF('KS2-4 Combined Science TMs'!$AA$47="Gender",INDEX(INDIRECT(InputsCS!$I$1),26,30),IF('KS2-4 Combined Science TMs'!$AA$47="disadvantage",INDEX(INDIRECT(InputsCS!$I$1),26,74),IF('KS2-4 Combined Science TMs'!$AA$47="sen",INDEX(INDIRECT(InputsCS!$I$1),26,118),IF('KS2-4 Combined Science TMs'!$AA$47="eal",INDEX(INDIRECT(InputsCS!$I$1),26,162),"")))))))))),"")</f>
        <v/>
      </c>
      <c r="M54" s="61" t="str">
        <f ca="1">IFERROR(IF(InputsCS!$I$1="Please Select","",IF(InputsCS!$I$2="Please Select","",IF(InputsCS!$I$1="","",IF(InputsCS!$I$2="","",IF(InputsCS!$I$2="Pupil Numbers",IF('KS2-4 Combined Science TMs'!$AA$47="Gender",INDEX(INDIRECT(InputsCS!$I$1),10,31),IF('KS2-4 Combined Science TMs'!$AA$47="disadvantage",INDEX(INDIRECT(InputsCS!$I$1),10,75),IF('KS2-4 Combined Science TMs'!$AA$47="sen",INDEX(INDIRECT(InputsCS!$I$1),10,119),IF('KS2-4 Combined Science TMs'!$AA$47="eal",INDEX(INDIRECT(InputsCS!$I$1),10,163),"")))),IF(InputsCS!$I$2="Pupil Percentages",IF('KS2-4 Combined Science TMs'!$AA$47="Gender",INDEX(INDIRECT(InputsCS!$I$1),26,31),IF('KS2-4 Combined Science TMs'!$AA$47="disadvantage",INDEX(INDIRECT(InputsCS!$I$1),26,75),IF('KS2-4 Combined Science TMs'!$AA$47="sen",INDEX(INDIRECT(InputsCS!$I$1),26,119),IF('KS2-4 Combined Science TMs'!$AA$47="eal",INDEX(INDIRECT(InputsCS!$I$1),26,163),"")))))))))),"")</f>
        <v/>
      </c>
      <c r="N54" s="61" t="str">
        <f ca="1">IFERROR(IF(InputsCS!$I$1="Please Select","",IF(InputsCS!$I$2="Please Select","",IF(InputsCS!$I$1="","",IF(InputsCS!$I$2="","",IF(InputsCS!$I$2="Pupil Numbers",IF('KS2-4 Combined Science TMs'!$AA$47="Gender",INDEX(INDIRECT(InputsCS!$I$1),10,32),IF('KS2-4 Combined Science TMs'!$AA$47="disadvantage",INDEX(INDIRECT(InputsCS!$I$1),10,76),IF('KS2-4 Combined Science TMs'!$AA$47="sen",INDEX(INDIRECT(InputsCS!$I$1),10,120),IF('KS2-4 Combined Science TMs'!$AA$47="eal",INDEX(INDIRECT(InputsCS!$I$1),10,164),"")))),IF(InputsCS!$I$2="Pupil Percentages",IF('KS2-4 Combined Science TMs'!$AA$47="Gender",INDEX(INDIRECT(InputsCS!$I$1),26,32),IF('KS2-4 Combined Science TMs'!$AA$47="disadvantage",INDEX(INDIRECT(InputsCS!$I$1),26,76),IF('KS2-4 Combined Science TMs'!$AA$47="sen",INDEX(INDIRECT(InputsCS!$I$1),26,120),IF('KS2-4 Combined Science TMs'!$AA$47="eal",INDEX(INDIRECT(InputsCS!$I$1),26,164),"")))))))))),"")</f>
        <v/>
      </c>
      <c r="O54" s="61" t="str">
        <f ca="1">IFERROR(IF(InputsCS!$I$1="Please Select","",IF(InputsCS!$I$2="Please Select","",IF(InputsCS!$I$1="","",IF(InputsCS!$I$2="","",IF(InputsCS!$I$2="Pupil Numbers",IF('KS2-4 Combined Science TMs'!$AA$47="Gender",INDEX(INDIRECT(InputsCS!$I$1),10,33),IF('KS2-4 Combined Science TMs'!$AA$47="disadvantage",INDEX(INDIRECT(InputsCS!$I$1),10,77),IF('KS2-4 Combined Science TMs'!$AA$47="sen",INDEX(INDIRECT(InputsCS!$I$1),10,121),IF('KS2-4 Combined Science TMs'!$AA$47="eal",INDEX(INDIRECT(InputsCS!$I$1),10,165),"")))),IF(InputsCS!$I$2="Pupil Percentages",IF('KS2-4 Combined Science TMs'!$AA$47="Gender",INDEX(INDIRECT(InputsCS!$I$1),26,33),IF('KS2-4 Combined Science TMs'!$AA$47="disadvantage",INDEX(INDIRECT(InputsCS!$I$1),26,77),IF('KS2-4 Combined Science TMs'!$AA$47="sen",INDEX(INDIRECT(InputsCS!$I$1),26,121),IF('KS2-4 Combined Science TMs'!$AA$47="eal",INDEX(INDIRECT(InputsCS!$I$1),26,165),"")))))))))),"")</f>
        <v/>
      </c>
      <c r="P54" s="61" t="str">
        <f ca="1">IFERROR(IF(InputsCS!$I$1="Please Select","",IF(InputsCS!$I$2="Please Select","",IF(InputsCS!$I$1="","",IF(InputsCS!$I$2="","",IF(InputsCS!$I$2="Pupil Numbers",IF('KS2-4 Combined Science TMs'!$AA$47="Gender",INDEX(INDIRECT(InputsCS!$I$1),10,34),IF('KS2-4 Combined Science TMs'!$AA$47="disadvantage",INDEX(INDIRECT(InputsCS!$I$1),10,78),IF('KS2-4 Combined Science TMs'!$AA$47="sen",INDEX(INDIRECT(InputsCS!$I$1),10,122),IF('KS2-4 Combined Science TMs'!$AA$47="eal",INDEX(INDIRECT(InputsCS!$I$1),10,166),"")))),IF(InputsCS!$I$2="Pupil Percentages",IF('KS2-4 Combined Science TMs'!$AA$47="Gender",INDEX(INDIRECT(InputsCS!$I$1),26,34),IF('KS2-4 Combined Science TMs'!$AA$47="disadvantage",INDEX(INDIRECT(InputsCS!$I$1),26,78),IF('KS2-4 Combined Science TMs'!$AA$47="sen",INDEX(INDIRECT(InputsCS!$I$1),26,122),IF('KS2-4 Combined Science TMs'!$AA$47="eal",INDEX(INDIRECT(InputsCS!$I$1),26,166),"")))))))))),"")</f>
        <v/>
      </c>
      <c r="Q54" s="61" t="str">
        <f ca="1">IFERROR(IF(InputsCS!$I$1="Please Select","",IF(InputsCS!$I$2="Please Select","",IF(InputsCS!$I$1="","",IF(InputsCS!$I$2="","",IF(InputsCS!$I$2="Pupil Numbers",IF('KS2-4 Combined Science TMs'!$AA$47="Gender",INDEX(INDIRECT(InputsCS!$I$1),10,35),IF('KS2-4 Combined Science TMs'!$AA$47="disadvantage",INDEX(INDIRECT(InputsCS!$I$1),10,79),IF('KS2-4 Combined Science TMs'!$AA$47="sen",INDEX(INDIRECT(InputsCS!$I$1),10,123),IF('KS2-4 Combined Science TMs'!$AA$47="eal",INDEX(INDIRECT(InputsCS!$I$1),10,167),"")))),IF(InputsCS!$I$2="Pupil Percentages",IF('KS2-4 Combined Science TMs'!$AA$47="Gender",INDEX(INDIRECT(InputsCS!$I$1),26,35),IF('KS2-4 Combined Science TMs'!$AA$47="disadvantage",INDEX(INDIRECT(InputsCS!$I$1),26,79),IF('KS2-4 Combined Science TMs'!$AA$47="sen",INDEX(INDIRECT(InputsCS!$I$1),26,123),IF('KS2-4 Combined Science TMs'!$AA$47="eal",INDEX(INDIRECT(InputsCS!$I$1),26,167),"")))))))))),"")</f>
        <v/>
      </c>
      <c r="R54" s="61" t="str">
        <f ca="1">IFERROR(IF(InputsCS!$I$1="Please Select","",IF(InputsCS!$I$2="Please Select","",IF(InputsCS!$I$1="","",IF(InputsCS!$I$2="","",IF(InputsCS!$I$2="Pupil Numbers",IF('KS2-4 Combined Science TMs'!$AA$47="Gender",INDEX(INDIRECT(InputsCS!$I$1),10,36),IF('KS2-4 Combined Science TMs'!$AA$47="disadvantage",INDEX(INDIRECT(InputsCS!$I$1),10,80),IF('KS2-4 Combined Science TMs'!$AA$47="sen",INDEX(INDIRECT(InputsCS!$I$1),10,124),IF('KS2-4 Combined Science TMs'!$AA$47="eal",INDEX(INDIRECT(InputsCS!$I$1),10,168),"")))),IF(InputsCS!$I$2="Pupil Percentages",IF('KS2-4 Combined Science TMs'!$AA$47="Gender",INDEX(INDIRECT(InputsCS!$I$1),26,36),IF('KS2-4 Combined Science TMs'!$AA$47="disadvantage",INDEX(INDIRECT(InputsCS!$I$1),26,80),IF('KS2-4 Combined Science TMs'!$AA$47="sen",INDEX(INDIRECT(InputsCS!$I$1),26,124),IF('KS2-4 Combined Science TMs'!$AA$47="eal",INDEX(INDIRECT(InputsCS!$I$1),26,168),"")))))))))),"")</f>
        <v/>
      </c>
      <c r="S54" s="61" t="str">
        <f ca="1">IFERROR(IF(InputsCS!$I$1="Please Select","",IF(InputsCS!$I$2="Please Select","",IF(InputsCS!$I$1="","",IF(InputsCS!$I$2="","",IF(InputsCS!$I$2="Pupil Numbers",IF('KS2-4 Combined Science TMs'!$AA$47="Gender",INDEX(INDIRECT(InputsCS!$I$1),10,37),IF('KS2-4 Combined Science TMs'!$AA$47="disadvantage",INDEX(INDIRECT(InputsCS!$I$1),10,81),IF('KS2-4 Combined Science TMs'!$AA$47="sen",INDEX(INDIRECT(InputsCS!$I$1),10,125),IF('KS2-4 Combined Science TMs'!$AA$47="eal",INDEX(INDIRECT(InputsCS!$I$1),10,169),"")))),IF(InputsCS!$I$2="Pupil Percentages",IF('KS2-4 Combined Science TMs'!$AA$47="Gender",INDEX(INDIRECT(InputsCS!$I$1),26,37),IF('KS2-4 Combined Science TMs'!$AA$47="disadvantage",INDEX(INDIRECT(InputsCS!$I$1),26,81),IF('KS2-4 Combined Science TMs'!$AA$47="sen",INDEX(INDIRECT(InputsCS!$I$1),26,125),IF('KS2-4 Combined Science TMs'!$AA$47="eal",INDEX(INDIRECT(InputsCS!$I$1),26,169),"")))))))))),"")</f>
        <v/>
      </c>
      <c r="T54" s="61" t="str">
        <f ca="1">IFERROR(IF(InputsCS!$I$1="Please Select","",IF(InputsCS!$I$2="Please Select","",IF(InputsCS!$I$1="","",IF(InputsCS!$I$2="","",IF(InputsCS!$I$2="Pupil Numbers",IF('KS2-4 Combined Science TMs'!$AA$47="Gender",INDEX(INDIRECT(InputsCS!$I$1),10,38),IF('KS2-4 Combined Science TMs'!$AA$47="disadvantage",INDEX(INDIRECT(InputsCS!$I$1),10,82),IF('KS2-4 Combined Science TMs'!$AA$47="sen",INDEX(INDIRECT(InputsCS!$I$1),10,126),IF('KS2-4 Combined Science TMs'!$AA$47="eal",INDEX(INDIRECT(InputsCS!$I$1),10,170),"")))),IF(InputsCS!$I$2="Pupil Percentages",IF('KS2-4 Combined Science TMs'!$AA$47="Gender",INDEX(INDIRECT(InputsCS!$I$1),26,38),IF('KS2-4 Combined Science TMs'!$AA$47="disadvantage",INDEX(INDIRECT(InputsCS!$I$1),26,82),IF('KS2-4 Combined Science TMs'!$AA$47="sen",INDEX(INDIRECT(InputsCS!$I$1),26,126),IF('KS2-4 Combined Science TMs'!$AA$47="eal",INDEX(INDIRECT(InputsCS!$I$1),26,170),"")))))))))),"")</f>
        <v/>
      </c>
      <c r="U54" s="61" t="str">
        <f ca="1">IFERROR(IF(InputsCS!$I$1="Please Select","",IF(InputsCS!$I$2="Please Select","",IF(InputsCS!$I$1="","",IF(InputsCS!$I$2="","",IF(InputsCS!$I$2="Pupil Numbers",IF('KS2-4 Combined Science TMs'!$AA$47="Gender",INDEX(INDIRECT(InputsCS!$I$1),10,39),IF('KS2-4 Combined Science TMs'!$AA$47="disadvantage",INDEX(INDIRECT(InputsCS!$I$1),10,83),IF('KS2-4 Combined Science TMs'!$AA$47="sen",INDEX(INDIRECT(InputsCS!$I$1),10,127),IF('KS2-4 Combined Science TMs'!$AA$47="eal",INDEX(INDIRECT(InputsCS!$I$1),10,171),"")))),IF(InputsCS!$I$2="Pupil Percentages",IF('KS2-4 Combined Science TMs'!$AA$47="Gender",INDEX(INDIRECT(InputsCS!$I$1),26,39),IF('KS2-4 Combined Science TMs'!$AA$47="disadvantage",INDEX(INDIRECT(InputsCS!$I$1),26,83),IF('KS2-4 Combined Science TMs'!$AA$47="sen",INDEX(INDIRECT(InputsCS!$I$1),26,127),IF('KS2-4 Combined Science TMs'!$AA$47="eal",INDEX(INDIRECT(InputsCS!$I$1),26,171),"")))))))))),"")</f>
        <v/>
      </c>
      <c r="V54" s="61" t="str">
        <f ca="1">IFERROR(IF(InputsCS!$I$1="Please Select","",IF(InputsCS!$I$2="Please Select","",IF(InputsCS!$I$1="","",IF(InputsCS!$I$2="","",IF(InputsCS!$I$2="Pupil Numbers",IF('KS2-4 Combined Science TMs'!$AA$47="Gender",INDEX(INDIRECT(InputsCS!$I$1),10,40),IF('KS2-4 Combined Science TMs'!$AA$47="disadvantage",INDEX(INDIRECT(InputsCS!$I$1),10,84),IF('KS2-4 Combined Science TMs'!$AA$47="sen",INDEX(INDIRECT(InputsCS!$I$1),10,128),IF('KS2-4 Combined Science TMs'!$AA$47="eal",INDEX(INDIRECT(InputsCS!$I$1),10,172),"")))),IF(InputsCS!$I$2="Pupil Percentages",IF('KS2-4 Combined Science TMs'!$AA$47="Gender",INDEX(INDIRECT(InputsCS!$I$1),26,40),IF('KS2-4 Combined Science TMs'!$AA$47="disadvantage",INDEX(INDIRECT(InputsCS!$I$1),26,84),IF('KS2-4 Combined Science TMs'!$AA$47="sen",INDEX(INDIRECT(InputsCS!$I$1),26,128),IF('KS2-4 Combined Science TMs'!$AA$47="eal",INDEX(INDIRECT(InputsCS!$I$1),26,172),"")))))))))),"")</f>
        <v/>
      </c>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row>
    <row r="55" spans="3:56" ht="23.1" customHeight="1" x14ac:dyDescent="0.5">
      <c r="C55" s="120"/>
      <c r="D55" s="60" t="s">
        <v>10</v>
      </c>
      <c r="E55" s="61" t="str">
        <f ca="1">IFERROR(IF(InputsCS!$I$1="Please Select","",IF(InputsCS!$I$2="Please Select","",IF(InputsCS!$I$1="","",IF(InputsCS!$I$2="","",IF(InputsCS!$I$2="Pupil Numbers",IF('KS2-4 Combined Science TMs'!$AA$47="Gender",INDEX(INDIRECT(InputsCS!$I$1),11,23),IF('KS2-4 Combined Science TMs'!$AA$47="disadvantage",INDEX(INDIRECT(InputsCS!$I$1),11,67),IF('KS2-4 Combined Science TMs'!$AA$47="sen",INDEX(INDIRECT(InputsCS!$I$1),11,111),IF('KS2-4 Combined Science TMs'!$AA$47="eal",INDEX(INDIRECT(InputsCS!$I$1),11,155),"")))),IF(InputsCS!$I$2="Pupil Percentages",IF('KS2-4 Combined Science TMs'!$AA$47="Gender",INDEX(INDIRECT(InputsCS!$I$1),27,23),IF('KS2-4 Combined Science TMs'!$AA$47="disadvantage",INDEX(INDIRECT(InputsCS!$I$1),27,67),IF('KS2-4 Combined Science TMs'!$AA$47="sen",INDEX(INDIRECT(InputsCS!$I$1),27,111),IF('KS2-4 Combined Science TMs'!$AA$47="eal",INDEX(INDIRECT(InputsCS!$I$1),27,155),"")))))))))),"")</f>
        <v/>
      </c>
      <c r="F55" s="61" t="str">
        <f ca="1">IFERROR(IF(InputsCS!$I$1="Please Select","",IF(InputsCS!$I$2="Please Select","",IF(InputsCS!$I$1="","",IF(InputsCS!$I$2="","",IF(InputsCS!$I$2="Pupil Numbers",IF('KS2-4 Combined Science TMs'!$AA$47="Gender",INDEX(INDIRECT(InputsCS!$I$1),11,24),IF('KS2-4 Combined Science TMs'!$AA$47="disadvantage",INDEX(INDIRECT(InputsCS!$I$1),11,68),IF('KS2-4 Combined Science TMs'!$AA$47="sen",INDEX(INDIRECT(InputsCS!$I$1),11,112),IF('KS2-4 Combined Science TMs'!$AA$47="eal",INDEX(INDIRECT(InputsCS!$I$1),11,156),"")))),IF(InputsCS!$I$2="Pupil Percentages",IF('KS2-4 Combined Science TMs'!$AA$47="Gender",INDEX(INDIRECT(InputsCS!$I$1),27,24),IF('KS2-4 Combined Science TMs'!$AA$47="disadvantage",INDEX(INDIRECT(InputsCS!$I$1),27,68),IF('KS2-4 Combined Science TMs'!$AA$47="sen",INDEX(INDIRECT(InputsCS!$I$1),27,112),IF('KS2-4 Combined Science TMs'!$AA$47="eal",INDEX(INDIRECT(InputsCS!$I$1),27,156),"")))))))))),"")</f>
        <v/>
      </c>
      <c r="G55" s="61" t="str">
        <f ca="1">IFERROR(IF(InputsCS!$I$1="Please Select","",IF(InputsCS!$I$2="Please Select","",IF(InputsCS!$I$1="","",IF(InputsCS!$I$2="","",IF(InputsCS!$I$2="Pupil Numbers",IF('KS2-4 Combined Science TMs'!$AA$47="Gender",INDEX(INDIRECT(InputsCS!$I$1),11,25),IF('KS2-4 Combined Science TMs'!$AA$47="disadvantage",INDEX(INDIRECT(InputsCS!$I$1),11,69),IF('KS2-4 Combined Science TMs'!$AA$47="sen",INDEX(INDIRECT(InputsCS!$I$1),11,113),IF('KS2-4 Combined Science TMs'!$AA$47="eal",INDEX(INDIRECT(InputsCS!$I$1),11,157),"")))),IF(InputsCS!$I$2="Pupil Percentages",IF('KS2-4 Combined Science TMs'!$AA$47="Gender",INDEX(INDIRECT(InputsCS!$I$1),27,25),IF('KS2-4 Combined Science TMs'!$AA$47="disadvantage",INDEX(INDIRECT(InputsCS!$I$1),27,69),IF('KS2-4 Combined Science TMs'!$AA$47="sen",INDEX(INDIRECT(InputsCS!$I$1),27,113),IF('KS2-4 Combined Science TMs'!$AA$47="eal",INDEX(INDIRECT(InputsCS!$I$1),27,157),"")))))))))),"")</f>
        <v/>
      </c>
      <c r="H55" s="61" t="str">
        <f ca="1">IFERROR(IF(InputsCS!$I$1="Please Select","",IF(InputsCS!$I$2="Please Select","",IF(InputsCS!$I$1="","",IF(InputsCS!$I$2="","",IF(InputsCS!$I$2="Pupil Numbers",IF('KS2-4 Combined Science TMs'!$AA$47="Gender",INDEX(INDIRECT(InputsCS!$I$1),11,26),IF('KS2-4 Combined Science TMs'!$AA$47="disadvantage",INDEX(INDIRECT(InputsCS!$I$1),11,70),IF('KS2-4 Combined Science TMs'!$AA$47="sen",INDEX(INDIRECT(InputsCS!$I$1),11,114),IF('KS2-4 Combined Science TMs'!$AA$47="eal",INDEX(INDIRECT(InputsCS!$I$1),11,158),"")))),IF(InputsCS!$I$2="Pupil Percentages",IF('KS2-4 Combined Science TMs'!$AA$47="Gender",INDEX(INDIRECT(InputsCS!$I$1),27,26),IF('KS2-4 Combined Science TMs'!$AA$47="disadvantage",INDEX(INDIRECT(InputsCS!$I$1),27,70),IF('KS2-4 Combined Science TMs'!$AA$47="sen",INDEX(INDIRECT(InputsCS!$I$1),27,114),IF('KS2-4 Combined Science TMs'!$AA$47="eal",INDEX(INDIRECT(InputsCS!$I$1),27,158),"")))))))))),"")</f>
        <v/>
      </c>
      <c r="I55" s="61" t="str">
        <f ca="1">IFERROR(IF(InputsCS!$I$1="Please Select","",IF(InputsCS!$I$2="Please Select","",IF(InputsCS!$I$1="","",IF(InputsCS!$I$2="","",IF(InputsCS!$I$2="Pupil Numbers",IF('KS2-4 Combined Science TMs'!$AA$47="Gender",INDEX(INDIRECT(InputsCS!$I$1),11,27),IF('KS2-4 Combined Science TMs'!$AA$47="disadvantage",INDEX(INDIRECT(InputsCS!$I$1),11,71),IF('KS2-4 Combined Science TMs'!$AA$47="sen",INDEX(INDIRECT(InputsCS!$I$1),11,115),IF('KS2-4 Combined Science TMs'!$AA$47="eal",INDEX(INDIRECT(InputsCS!$I$1),11,159),"")))),IF(InputsCS!$I$2="Pupil Percentages",IF('KS2-4 Combined Science TMs'!$AA$47="Gender",INDEX(INDIRECT(InputsCS!$I$1),27,27),IF('KS2-4 Combined Science TMs'!$AA$47="disadvantage",INDEX(INDIRECT(InputsCS!$I$1),27,71),IF('KS2-4 Combined Science TMs'!$AA$47="sen",INDEX(INDIRECT(InputsCS!$I$1),27,115),IF('KS2-4 Combined Science TMs'!$AA$47="eal",INDEX(INDIRECT(InputsCS!$I$1),27,159),"")))))))))),"")</f>
        <v/>
      </c>
      <c r="J55" s="61" t="str">
        <f ca="1">IFERROR(IF(InputsCS!$I$1="Please Select","",IF(InputsCS!$I$2="Please Select","",IF(InputsCS!$I$1="","",IF(InputsCS!$I$2="","",IF(InputsCS!$I$2="Pupil Numbers",IF('KS2-4 Combined Science TMs'!$AA$47="Gender",INDEX(INDIRECT(InputsCS!$I$1),11,28),IF('KS2-4 Combined Science TMs'!$AA$47="disadvantage",INDEX(INDIRECT(InputsCS!$I$1),11,72),IF('KS2-4 Combined Science TMs'!$AA$47="sen",INDEX(INDIRECT(InputsCS!$I$1),11,116),IF('KS2-4 Combined Science TMs'!$AA$47="eal",INDEX(INDIRECT(InputsCS!$I$1),11,160),"")))),IF(InputsCS!$I$2="Pupil Percentages",IF('KS2-4 Combined Science TMs'!$AA$47="Gender",INDEX(INDIRECT(InputsCS!$I$1),27,28),IF('KS2-4 Combined Science TMs'!$AA$47="disadvantage",INDEX(INDIRECT(InputsCS!$I$1),27,72),IF('KS2-4 Combined Science TMs'!$AA$47="sen",INDEX(INDIRECT(InputsCS!$I$1),27,116),IF('KS2-4 Combined Science TMs'!$AA$47="eal",INDEX(INDIRECT(InputsCS!$I$1),27,160),"")))))))))),"")</f>
        <v/>
      </c>
      <c r="K55" s="61" t="str">
        <f ca="1">IFERROR(IF(InputsCS!$I$1="Please Select","",IF(InputsCS!$I$2="Please Select","",IF(InputsCS!$I$1="","",IF(InputsCS!$I$2="","",IF(InputsCS!$I$2="Pupil Numbers",IF('KS2-4 Combined Science TMs'!$AA$47="Gender",INDEX(INDIRECT(InputsCS!$I$1),11,29),IF('KS2-4 Combined Science TMs'!$AA$47="disadvantage",INDEX(INDIRECT(InputsCS!$I$1),11,73),IF('KS2-4 Combined Science TMs'!$AA$47="sen",INDEX(INDIRECT(InputsCS!$I$1),11,117),IF('KS2-4 Combined Science TMs'!$AA$47="eal",INDEX(INDIRECT(InputsCS!$I$1),11,161),"")))),IF(InputsCS!$I$2="Pupil Percentages",IF('KS2-4 Combined Science TMs'!$AA$47="Gender",INDEX(INDIRECT(InputsCS!$I$1),27,29),IF('KS2-4 Combined Science TMs'!$AA$47="disadvantage",INDEX(INDIRECT(InputsCS!$I$1),27,73),IF('KS2-4 Combined Science TMs'!$AA$47="sen",INDEX(INDIRECT(InputsCS!$I$1),27,117),IF('KS2-4 Combined Science TMs'!$AA$47="eal",INDEX(INDIRECT(InputsCS!$I$1),27,161),"")))))))))),"")</f>
        <v/>
      </c>
      <c r="L55" s="61" t="str">
        <f ca="1">IFERROR(IF(InputsCS!$I$1="Please Select","",IF(InputsCS!$I$2="Please Select","",IF(InputsCS!$I$1="","",IF(InputsCS!$I$2="","",IF(InputsCS!$I$2="Pupil Numbers",IF('KS2-4 Combined Science TMs'!$AA$47="Gender",INDEX(INDIRECT(InputsCS!$I$1),11,30),IF('KS2-4 Combined Science TMs'!$AA$47="disadvantage",INDEX(INDIRECT(InputsCS!$I$1),11,74),IF('KS2-4 Combined Science TMs'!$AA$47="sen",INDEX(INDIRECT(InputsCS!$I$1),11,118),IF('KS2-4 Combined Science TMs'!$AA$47="eal",INDEX(INDIRECT(InputsCS!$I$1),11,162),"")))),IF(InputsCS!$I$2="Pupil Percentages",IF('KS2-4 Combined Science TMs'!$AA$47="Gender",INDEX(INDIRECT(InputsCS!$I$1),27,30),IF('KS2-4 Combined Science TMs'!$AA$47="disadvantage",INDEX(INDIRECT(InputsCS!$I$1),27,74),IF('KS2-4 Combined Science TMs'!$AA$47="sen",INDEX(INDIRECT(InputsCS!$I$1),27,118),IF('KS2-4 Combined Science TMs'!$AA$47="eal",INDEX(INDIRECT(InputsCS!$I$1),27,162),"")))))))))),"")</f>
        <v/>
      </c>
      <c r="M55" s="61" t="str">
        <f ca="1">IFERROR(IF(InputsCS!$I$1="Please Select","",IF(InputsCS!$I$2="Please Select","",IF(InputsCS!$I$1="","",IF(InputsCS!$I$2="","",IF(InputsCS!$I$2="Pupil Numbers",IF('KS2-4 Combined Science TMs'!$AA$47="Gender",INDEX(INDIRECT(InputsCS!$I$1),11,31),IF('KS2-4 Combined Science TMs'!$AA$47="disadvantage",INDEX(INDIRECT(InputsCS!$I$1),11,75),IF('KS2-4 Combined Science TMs'!$AA$47="sen",INDEX(INDIRECT(InputsCS!$I$1),11,119),IF('KS2-4 Combined Science TMs'!$AA$47="eal",INDEX(INDIRECT(InputsCS!$I$1),11,163),"")))),IF(InputsCS!$I$2="Pupil Percentages",IF('KS2-4 Combined Science TMs'!$AA$47="Gender",INDEX(INDIRECT(InputsCS!$I$1),27,31),IF('KS2-4 Combined Science TMs'!$AA$47="disadvantage",INDEX(INDIRECT(InputsCS!$I$1),27,75),IF('KS2-4 Combined Science TMs'!$AA$47="sen",INDEX(INDIRECT(InputsCS!$I$1),27,119),IF('KS2-4 Combined Science TMs'!$AA$47="eal",INDEX(INDIRECT(InputsCS!$I$1),27,163),"")))))))))),"")</f>
        <v/>
      </c>
      <c r="N55" s="61" t="str">
        <f ca="1">IFERROR(IF(InputsCS!$I$1="Please Select","",IF(InputsCS!$I$2="Please Select","",IF(InputsCS!$I$1="","",IF(InputsCS!$I$2="","",IF(InputsCS!$I$2="Pupil Numbers",IF('KS2-4 Combined Science TMs'!$AA$47="Gender",INDEX(INDIRECT(InputsCS!$I$1),11,32),IF('KS2-4 Combined Science TMs'!$AA$47="disadvantage",INDEX(INDIRECT(InputsCS!$I$1),11,76),IF('KS2-4 Combined Science TMs'!$AA$47="sen",INDEX(INDIRECT(InputsCS!$I$1),11,120),IF('KS2-4 Combined Science TMs'!$AA$47="eal",INDEX(INDIRECT(InputsCS!$I$1),11,164),"")))),IF(InputsCS!$I$2="Pupil Percentages",IF('KS2-4 Combined Science TMs'!$AA$47="Gender",INDEX(INDIRECT(InputsCS!$I$1),27,32),IF('KS2-4 Combined Science TMs'!$AA$47="disadvantage",INDEX(INDIRECT(InputsCS!$I$1),27,76),IF('KS2-4 Combined Science TMs'!$AA$47="sen",INDEX(INDIRECT(InputsCS!$I$1),27,120),IF('KS2-4 Combined Science TMs'!$AA$47="eal",INDEX(INDIRECT(InputsCS!$I$1),27,164),"")))))))))),"")</f>
        <v/>
      </c>
      <c r="O55" s="61" t="str">
        <f ca="1">IFERROR(IF(InputsCS!$I$1="Please Select","",IF(InputsCS!$I$2="Please Select","",IF(InputsCS!$I$1="","",IF(InputsCS!$I$2="","",IF(InputsCS!$I$2="Pupil Numbers",IF('KS2-4 Combined Science TMs'!$AA$47="Gender",INDEX(INDIRECT(InputsCS!$I$1),11,33),IF('KS2-4 Combined Science TMs'!$AA$47="disadvantage",INDEX(INDIRECT(InputsCS!$I$1),11,77),IF('KS2-4 Combined Science TMs'!$AA$47="sen",INDEX(INDIRECT(InputsCS!$I$1),11,121),IF('KS2-4 Combined Science TMs'!$AA$47="eal",INDEX(INDIRECT(InputsCS!$I$1),11,165),"")))),IF(InputsCS!$I$2="Pupil Percentages",IF('KS2-4 Combined Science TMs'!$AA$47="Gender",INDEX(INDIRECT(InputsCS!$I$1),27,33),IF('KS2-4 Combined Science TMs'!$AA$47="disadvantage",INDEX(INDIRECT(InputsCS!$I$1),27,77),IF('KS2-4 Combined Science TMs'!$AA$47="sen",INDEX(INDIRECT(InputsCS!$I$1),27,121),IF('KS2-4 Combined Science TMs'!$AA$47="eal",INDEX(INDIRECT(InputsCS!$I$1),27,165),"")))))))))),"")</f>
        <v/>
      </c>
      <c r="P55" s="61" t="str">
        <f ca="1">IFERROR(IF(InputsCS!$I$1="Please Select","",IF(InputsCS!$I$2="Please Select","",IF(InputsCS!$I$1="","",IF(InputsCS!$I$2="","",IF(InputsCS!$I$2="Pupil Numbers",IF('KS2-4 Combined Science TMs'!$AA$47="Gender",INDEX(INDIRECT(InputsCS!$I$1),11,34),IF('KS2-4 Combined Science TMs'!$AA$47="disadvantage",INDEX(INDIRECT(InputsCS!$I$1),11,78),IF('KS2-4 Combined Science TMs'!$AA$47="sen",INDEX(INDIRECT(InputsCS!$I$1),11,122),IF('KS2-4 Combined Science TMs'!$AA$47="eal",INDEX(INDIRECT(InputsCS!$I$1),11,166),"")))),IF(InputsCS!$I$2="Pupil Percentages",IF('KS2-4 Combined Science TMs'!$AA$47="Gender",INDEX(INDIRECT(InputsCS!$I$1),27,34),IF('KS2-4 Combined Science TMs'!$AA$47="disadvantage",INDEX(INDIRECT(InputsCS!$I$1),27,78),IF('KS2-4 Combined Science TMs'!$AA$47="sen",INDEX(INDIRECT(InputsCS!$I$1),27,122),IF('KS2-4 Combined Science TMs'!$AA$47="eal",INDEX(INDIRECT(InputsCS!$I$1),27,166),"")))))))))),"")</f>
        <v/>
      </c>
      <c r="Q55" s="61" t="str">
        <f ca="1">IFERROR(IF(InputsCS!$I$1="Please Select","",IF(InputsCS!$I$2="Please Select","",IF(InputsCS!$I$1="","",IF(InputsCS!$I$2="","",IF(InputsCS!$I$2="Pupil Numbers",IF('KS2-4 Combined Science TMs'!$AA$47="Gender",INDEX(INDIRECT(InputsCS!$I$1),11,35),IF('KS2-4 Combined Science TMs'!$AA$47="disadvantage",INDEX(INDIRECT(InputsCS!$I$1),11,79),IF('KS2-4 Combined Science TMs'!$AA$47="sen",INDEX(INDIRECT(InputsCS!$I$1),11,123),IF('KS2-4 Combined Science TMs'!$AA$47="eal",INDEX(INDIRECT(InputsCS!$I$1),11,167),"")))),IF(InputsCS!$I$2="Pupil Percentages",IF('KS2-4 Combined Science TMs'!$AA$47="Gender",INDEX(INDIRECT(InputsCS!$I$1),27,35),IF('KS2-4 Combined Science TMs'!$AA$47="disadvantage",INDEX(INDIRECT(InputsCS!$I$1),27,79),IF('KS2-4 Combined Science TMs'!$AA$47="sen",INDEX(INDIRECT(InputsCS!$I$1),27,123),IF('KS2-4 Combined Science TMs'!$AA$47="eal",INDEX(INDIRECT(InputsCS!$I$1),27,167),"")))))))))),"")</f>
        <v/>
      </c>
      <c r="R55" s="61" t="str">
        <f ca="1">IFERROR(IF(InputsCS!$I$1="Please Select","",IF(InputsCS!$I$2="Please Select","",IF(InputsCS!$I$1="","",IF(InputsCS!$I$2="","",IF(InputsCS!$I$2="Pupil Numbers",IF('KS2-4 Combined Science TMs'!$AA$47="Gender",INDEX(INDIRECT(InputsCS!$I$1),11,36),IF('KS2-4 Combined Science TMs'!$AA$47="disadvantage",INDEX(INDIRECT(InputsCS!$I$1),11,80),IF('KS2-4 Combined Science TMs'!$AA$47="sen",INDEX(INDIRECT(InputsCS!$I$1),11,124),IF('KS2-4 Combined Science TMs'!$AA$47="eal",INDEX(INDIRECT(InputsCS!$I$1),11,168),"")))),IF(InputsCS!$I$2="Pupil Percentages",IF('KS2-4 Combined Science TMs'!$AA$47="Gender",INDEX(INDIRECT(InputsCS!$I$1),27,36),IF('KS2-4 Combined Science TMs'!$AA$47="disadvantage",INDEX(INDIRECT(InputsCS!$I$1),27,80),IF('KS2-4 Combined Science TMs'!$AA$47="sen",INDEX(INDIRECT(InputsCS!$I$1),27,124),IF('KS2-4 Combined Science TMs'!$AA$47="eal",INDEX(INDIRECT(InputsCS!$I$1),27,168),"")))))))))),"")</f>
        <v/>
      </c>
      <c r="S55" s="61" t="str">
        <f ca="1">IFERROR(IF(InputsCS!$I$1="Please Select","",IF(InputsCS!$I$2="Please Select","",IF(InputsCS!$I$1="","",IF(InputsCS!$I$2="","",IF(InputsCS!$I$2="Pupil Numbers",IF('KS2-4 Combined Science TMs'!$AA$47="Gender",INDEX(INDIRECT(InputsCS!$I$1),11,37),IF('KS2-4 Combined Science TMs'!$AA$47="disadvantage",INDEX(INDIRECT(InputsCS!$I$1),11,81),IF('KS2-4 Combined Science TMs'!$AA$47="sen",INDEX(INDIRECT(InputsCS!$I$1),11,125),IF('KS2-4 Combined Science TMs'!$AA$47="eal",INDEX(INDIRECT(InputsCS!$I$1),11,169),"")))),IF(InputsCS!$I$2="Pupil Percentages",IF('KS2-4 Combined Science TMs'!$AA$47="Gender",INDEX(INDIRECT(InputsCS!$I$1),27,37),IF('KS2-4 Combined Science TMs'!$AA$47="disadvantage",INDEX(INDIRECT(InputsCS!$I$1),27,81),IF('KS2-4 Combined Science TMs'!$AA$47="sen",INDEX(INDIRECT(InputsCS!$I$1),27,125),IF('KS2-4 Combined Science TMs'!$AA$47="eal",INDEX(INDIRECT(InputsCS!$I$1),27,169),"")))))))))),"")</f>
        <v/>
      </c>
      <c r="T55" s="61" t="str">
        <f ca="1">IFERROR(IF(InputsCS!$I$1="Please Select","",IF(InputsCS!$I$2="Please Select","",IF(InputsCS!$I$1="","",IF(InputsCS!$I$2="","",IF(InputsCS!$I$2="Pupil Numbers",IF('KS2-4 Combined Science TMs'!$AA$47="Gender",INDEX(INDIRECT(InputsCS!$I$1),11,38),IF('KS2-4 Combined Science TMs'!$AA$47="disadvantage",INDEX(INDIRECT(InputsCS!$I$1),11,82),IF('KS2-4 Combined Science TMs'!$AA$47="sen",INDEX(INDIRECT(InputsCS!$I$1),11,126),IF('KS2-4 Combined Science TMs'!$AA$47="eal",INDEX(INDIRECT(InputsCS!$I$1),11,170),"")))),IF(InputsCS!$I$2="Pupil Percentages",IF('KS2-4 Combined Science TMs'!$AA$47="Gender",INDEX(INDIRECT(InputsCS!$I$1),27,38),IF('KS2-4 Combined Science TMs'!$AA$47="disadvantage",INDEX(INDIRECT(InputsCS!$I$1),27,82),IF('KS2-4 Combined Science TMs'!$AA$47="sen",INDEX(INDIRECT(InputsCS!$I$1),27,126),IF('KS2-4 Combined Science TMs'!$AA$47="eal",INDEX(INDIRECT(InputsCS!$I$1),27,170),"")))))))))),"")</f>
        <v/>
      </c>
      <c r="U55" s="61" t="str">
        <f ca="1">IFERROR(IF(InputsCS!$I$1="Please Select","",IF(InputsCS!$I$2="Please Select","",IF(InputsCS!$I$1="","",IF(InputsCS!$I$2="","",IF(InputsCS!$I$2="Pupil Numbers",IF('KS2-4 Combined Science TMs'!$AA$47="Gender",INDEX(INDIRECT(InputsCS!$I$1),11,39),IF('KS2-4 Combined Science TMs'!$AA$47="disadvantage",INDEX(INDIRECT(InputsCS!$I$1),11,83),IF('KS2-4 Combined Science TMs'!$AA$47="sen",INDEX(INDIRECT(InputsCS!$I$1),11,127),IF('KS2-4 Combined Science TMs'!$AA$47="eal",INDEX(INDIRECT(InputsCS!$I$1),11,171),"")))),IF(InputsCS!$I$2="Pupil Percentages",IF('KS2-4 Combined Science TMs'!$AA$47="Gender",INDEX(INDIRECT(InputsCS!$I$1),27,39),IF('KS2-4 Combined Science TMs'!$AA$47="disadvantage",INDEX(INDIRECT(InputsCS!$I$1),27,83),IF('KS2-4 Combined Science TMs'!$AA$47="sen",INDEX(INDIRECT(InputsCS!$I$1),27,127),IF('KS2-4 Combined Science TMs'!$AA$47="eal",INDEX(INDIRECT(InputsCS!$I$1),27,171),"")))))))))),"")</f>
        <v/>
      </c>
      <c r="V55" s="61" t="str">
        <f ca="1">IFERROR(IF(InputsCS!$I$1="Please Select","",IF(InputsCS!$I$2="Please Select","",IF(InputsCS!$I$1="","",IF(InputsCS!$I$2="","",IF(InputsCS!$I$2="Pupil Numbers",IF('KS2-4 Combined Science TMs'!$AA$47="Gender",INDEX(INDIRECT(InputsCS!$I$1),11,40),IF('KS2-4 Combined Science TMs'!$AA$47="disadvantage",INDEX(INDIRECT(InputsCS!$I$1),11,84),IF('KS2-4 Combined Science TMs'!$AA$47="sen",INDEX(INDIRECT(InputsCS!$I$1),11,128),IF('KS2-4 Combined Science TMs'!$AA$47="eal",INDEX(INDIRECT(InputsCS!$I$1),11,172),"")))),IF(InputsCS!$I$2="Pupil Percentages",IF('KS2-4 Combined Science TMs'!$AA$47="Gender",INDEX(INDIRECT(InputsCS!$I$1),27,40),IF('KS2-4 Combined Science TMs'!$AA$47="disadvantage",INDEX(INDIRECT(InputsCS!$I$1),27,84),IF('KS2-4 Combined Science TMs'!$AA$47="sen",INDEX(INDIRECT(InputsCS!$I$1),27,128),IF('KS2-4 Combined Science TMs'!$AA$47="eal",INDEX(INDIRECT(InputsCS!$I$1),27,172),"")))))))))),"")</f>
        <v/>
      </c>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row>
    <row r="56" spans="3:56" ht="23.1" customHeight="1" x14ac:dyDescent="0.5">
      <c r="C56" s="121"/>
      <c r="D56" s="60" t="s">
        <v>11</v>
      </c>
      <c r="E56" s="61" t="str">
        <f ca="1">IFERROR(IF(InputsCS!$I$1="Please Select","",IF(InputsCS!$I$2="Please Select","",IF(InputsCS!$I$1="","",IF(InputsCS!$I$2="","",IF(InputsCS!$I$2="Pupil Numbers",IF('KS2-4 Combined Science TMs'!$AA$47="Gender",INDEX(INDIRECT(InputsCS!$I$1),12,23),IF('KS2-4 Combined Science TMs'!$AA$47="disadvantage",INDEX(INDIRECT(InputsCS!$I$1),12,67),IF('KS2-4 Combined Science TMs'!$AA$47="sen",INDEX(INDIRECT(InputsCS!$I$1),12,111),IF('KS2-4 Combined Science TMs'!$AA$47="eal",INDEX(INDIRECT(InputsCS!$I$1),12,155),"")))),IF(InputsCS!$I$2="Pupil Percentages",IF('KS2-4 Combined Science TMs'!$AA$47="Gender",INDEX(INDIRECT(InputsCS!$I$1),28,23),IF('KS2-4 Combined Science TMs'!$AA$47="disadvantage",INDEX(INDIRECT(InputsCS!$I$1),28,67),IF('KS2-4 Combined Science TMs'!$AA$47="sen",INDEX(INDIRECT(InputsCS!$I$1),28,111),IF('KS2-4 Combined Science TMs'!$AA$47="eal",INDEX(INDIRECT(InputsCS!$I$1),28,155),"")))))))))),"")</f>
        <v/>
      </c>
      <c r="F56" s="61" t="str">
        <f ca="1">IFERROR(IF(InputsCS!$I$1="Please Select","",IF(InputsCS!$I$2="Please Select","",IF(InputsCS!$I$1="","",IF(InputsCS!$I$2="","",IF(InputsCS!$I$2="Pupil Numbers",IF('KS2-4 Combined Science TMs'!$AA$47="Gender",INDEX(INDIRECT(InputsCS!$I$1),12,24),IF('KS2-4 Combined Science TMs'!$AA$47="disadvantage",INDEX(INDIRECT(InputsCS!$I$1),12,68),IF('KS2-4 Combined Science TMs'!$AA$47="sen",INDEX(INDIRECT(InputsCS!$I$1),12,112),IF('KS2-4 Combined Science TMs'!$AA$47="eal",INDEX(INDIRECT(InputsCS!$I$1),12,156),"")))),IF(InputsCS!$I$2="Pupil Percentages",IF('KS2-4 Combined Science TMs'!$AA$47="Gender",INDEX(INDIRECT(InputsCS!$I$1),28,24),IF('KS2-4 Combined Science TMs'!$AA$47="disadvantage",INDEX(INDIRECT(InputsCS!$I$1),28,68),IF('KS2-4 Combined Science TMs'!$AA$47="sen",INDEX(INDIRECT(InputsCS!$I$1),28,112),IF('KS2-4 Combined Science TMs'!$AA$47="eal",INDEX(INDIRECT(InputsCS!$I$1),28,156),"")))))))))),"")</f>
        <v/>
      </c>
      <c r="G56" s="61" t="str">
        <f ca="1">IFERROR(IF(InputsCS!$I$1="Please Select","",IF(InputsCS!$I$2="Please Select","",IF(InputsCS!$I$1="","",IF(InputsCS!$I$2="","",IF(InputsCS!$I$2="Pupil Numbers",IF('KS2-4 Combined Science TMs'!$AA$47="Gender",INDEX(INDIRECT(InputsCS!$I$1),12,25),IF('KS2-4 Combined Science TMs'!$AA$47="disadvantage",INDEX(INDIRECT(InputsCS!$I$1),12,69),IF('KS2-4 Combined Science TMs'!$AA$47="sen",INDEX(INDIRECT(InputsCS!$I$1),12,113),IF('KS2-4 Combined Science TMs'!$AA$47="eal",INDEX(INDIRECT(InputsCS!$I$1),12,157),"")))),IF(InputsCS!$I$2="Pupil Percentages",IF('KS2-4 Combined Science TMs'!$AA$47="Gender",INDEX(INDIRECT(InputsCS!$I$1),28,25),IF('KS2-4 Combined Science TMs'!$AA$47="disadvantage",INDEX(INDIRECT(InputsCS!$I$1),28,69),IF('KS2-4 Combined Science TMs'!$AA$47="sen",INDEX(INDIRECT(InputsCS!$I$1),28,113),IF('KS2-4 Combined Science TMs'!$AA$47="eal",INDEX(INDIRECT(InputsCS!$I$1),28,157),"")))))))))),"")</f>
        <v/>
      </c>
      <c r="H56" s="61" t="str">
        <f ca="1">IFERROR(IF(InputsCS!$I$1="Please Select","",IF(InputsCS!$I$2="Please Select","",IF(InputsCS!$I$1="","",IF(InputsCS!$I$2="","",IF(InputsCS!$I$2="Pupil Numbers",IF('KS2-4 Combined Science TMs'!$AA$47="Gender",INDEX(INDIRECT(InputsCS!$I$1),12,26),IF('KS2-4 Combined Science TMs'!$AA$47="disadvantage",INDEX(INDIRECT(InputsCS!$I$1),12,70),IF('KS2-4 Combined Science TMs'!$AA$47="sen",INDEX(INDIRECT(InputsCS!$I$1),12,114),IF('KS2-4 Combined Science TMs'!$AA$47="eal",INDEX(INDIRECT(InputsCS!$I$1),12,158),"")))),IF(InputsCS!$I$2="Pupil Percentages",IF('KS2-4 Combined Science TMs'!$AA$47="Gender",INDEX(INDIRECT(InputsCS!$I$1),28,26),IF('KS2-4 Combined Science TMs'!$AA$47="disadvantage",INDEX(INDIRECT(InputsCS!$I$1),28,70),IF('KS2-4 Combined Science TMs'!$AA$47="sen",INDEX(INDIRECT(InputsCS!$I$1),28,114),IF('KS2-4 Combined Science TMs'!$AA$47="eal",INDEX(INDIRECT(InputsCS!$I$1),28,158),"")))))))))),"")</f>
        <v/>
      </c>
      <c r="I56" s="61" t="str">
        <f ca="1">IFERROR(IF(InputsCS!$I$1="Please Select","",IF(InputsCS!$I$2="Please Select","",IF(InputsCS!$I$1="","",IF(InputsCS!$I$2="","",IF(InputsCS!$I$2="Pupil Numbers",IF('KS2-4 Combined Science TMs'!$AA$47="Gender",INDEX(INDIRECT(InputsCS!$I$1),12,27),IF('KS2-4 Combined Science TMs'!$AA$47="disadvantage",INDEX(INDIRECT(InputsCS!$I$1),12,71),IF('KS2-4 Combined Science TMs'!$AA$47="sen",INDEX(INDIRECT(InputsCS!$I$1),12,115),IF('KS2-4 Combined Science TMs'!$AA$47="eal",INDEX(INDIRECT(InputsCS!$I$1),12,159),"")))),IF(InputsCS!$I$2="Pupil Percentages",IF('KS2-4 Combined Science TMs'!$AA$47="Gender",INDEX(INDIRECT(InputsCS!$I$1),28,27),IF('KS2-4 Combined Science TMs'!$AA$47="disadvantage",INDEX(INDIRECT(InputsCS!$I$1),28,71),IF('KS2-4 Combined Science TMs'!$AA$47="sen",INDEX(INDIRECT(InputsCS!$I$1),28,115),IF('KS2-4 Combined Science TMs'!$AA$47="eal",INDEX(INDIRECT(InputsCS!$I$1),28,159),"")))))))))),"")</f>
        <v/>
      </c>
      <c r="J56" s="61" t="str">
        <f ca="1">IFERROR(IF(InputsCS!$I$1="Please Select","",IF(InputsCS!$I$2="Please Select","",IF(InputsCS!$I$1="","",IF(InputsCS!$I$2="","",IF(InputsCS!$I$2="Pupil Numbers",IF('KS2-4 Combined Science TMs'!$AA$47="Gender",INDEX(INDIRECT(InputsCS!$I$1),12,28),IF('KS2-4 Combined Science TMs'!$AA$47="disadvantage",INDEX(INDIRECT(InputsCS!$I$1),12,72),IF('KS2-4 Combined Science TMs'!$AA$47="sen",INDEX(INDIRECT(InputsCS!$I$1),12,116),IF('KS2-4 Combined Science TMs'!$AA$47="eal",INDEX(INDIRECT(InputsCS!$I$1),12,160),"")))),IF(InputsCS!$I$2="Pupil Percentages",IF('KS2-4 Combined Science TMs'!$AA$47="Gender",INDEX(INDIRECT(InputsCS!$I$1),28,28),IF('KS2-4 Combined Science TMs'!$AA$47="disadvantage",INDEX(INDIRECT(InputsCS!$I$1),28,72),IF('KS2-4 Combined Science TMs'!$AA$47="sen",INDEX(INDIRECT(InputsCS!$I$1),28,116),IF('KS2-4 Combined Science TMs'!$AA$47="eal",INDEX(INDIRECT(InputsCS!$I$1),28,160),"")))))))))),"")</f>
        <v/>
      </c>
      <c r="K56" s="61" t="str">
        <f ca="1">IFERROR(IF(InputsCS!$I$1="Please Select","",IF(InputsCS!$I$2="Please Select","",IF(InputsCS!$I$1="","",IF(InputsCS!$I$2="","",IF(InputsCS!$I$2="Pupil Numbers",IF('KS2-4 Combined Science TMs'!$AA$47="Gender",INDEX(INDIRECT(InputsCS!$I$1),12,29),IF('KS2-4 Combined Science TMs'!$AA$47="disadvantage",INDEX(INDIRECT(InputsCS!$I$1),12,73),IF('KS2-4 Combined Science TMs'!$AA$47="sen",INDEX(INDIRECT(InputsCS!$I$1),12,117),IF('KS2-4 Combined Science TMs'!$AA$47="eal",INDEX(INDIRECT(InputsCS!$I$1),12,161),"")))),IF(InputsCS!$I$2="Pupil Percentages",IF('KS2-4 Combined Science TMs'!$AA$47="Gender",INDEX(INDIRECT(InputsCS!$I$1),28,29),IF('KS2-4 Combined Science TMs'!$AA$47="disadvantage",INDEX(INDIRECT(InputsCS!$I$1),28,73),IF('KS2-4 Combined Science TMs'!$AA$47="sen",INDEX(INDIRECT(InputsCS!$I$1),28,117),IF('KS2-4 Combined Science TMs'!$AA$47="eal",INDEX(INDIRECT(InputsCS!$I$1),28,161),"")))))))))),"")</f>
        <v/>
      </c>
      <c r="L56" s="61" t="str">
        <f ca="1">IFERROR(IF(InputsCS!$I$1="Please Select","",IF(InputsCS!$I$2="Please Select","",IF(InputsCS!$I$1="","",IF(InputsCS!$I$2="","",IF(InputsCS!$I$2="Pupil Numbers",IF('KS2-4 Combined Science TMs'!$AA$47="Gender",INDEX(INDIRECT(InputsCS!$I$1),12,30),IF('KS2-4 Combined Science TMs'!$AA$47="disadvantage",INDEX(INDIRECT(InputsCS!$I$1),12,74),IF('KS2-4 Combined Science TMs'!$AA$47="sen",INDEX(INDIRECT(InputsCS!$I$1),12,118),IF('KS2-4 Combined Science TMs'!$AA$47="eal",INDEX(INDIRECT(InputsCS!$I$1),12,162),"")))),IF(InputsCS!$I$2="Pupil Percentages",IF('KS2-4 Combined Science TMs'!$AA$47="Gender",INDEX(INDIRECT(InputsCS!$I$1),28,30),IF('KS2-4 Combined Science TMs'!$AA$47="disadvantage",INDEX(INDIRECT(InputsCS!$I$1),28,74),IF('KS2-4 Combined Science TMs'!$AA$47="sen",INDEX(INDIRECT(InputsCS!$I$1),28,118),IF('KS2-4 Combined Science TMs'!$AA$47="eal",INDEX(INDIRECT(InputsCS!$I$1),28,162),"")))))))))),"")</f>
        <v/>
      </c>
      <c r="M56" s="61" t="str">
        <f ca="1">IFERROR(IF(InputsCS!$I$1="Please Select","",IF(InputsCS!$I$2="Please Select","",IF(InputsCS!$I$1="","",IF(InputsCS!$I$2="","",IF(InputsCS!$I$2="Pupil Numbers",IF('KS2-4 Combined Science TMs'!$AA$47="Gender",INDEX(INDIRECT(InputsCS!$I$1),12,31),IF('KS2-4 Combined Science TMs'!$AA$47="disadvantage",INDEX(INDIRECT(InputsCS!$I$1),12,75),IF('KS2-4 Combined Science TMs'!$AA$47="sen",INDEX(INDIRECT(InputsCS!$I$1),12,119),IF('KS2-4 Combined Science TMs'!$AA$47="eal",INDEX(INDIRECT(InputsCS!$I$1),12,163),"")))),IF(InputsCS!$I$2="Pupil Percentages",IF('KS2-4 Combined Science TMs'!$AA$47="Gender",INDEX(INDIRECT(InputsCS!$I$1),28,31),IF('KS2-4 Combined Science TMs'!$AA$47="disadvantage",INDEX(INDIRECT(InputsCS!$I$1),28,75),IF('KS2-4 Combined Science TMs'!$AA$47="sen",INDEX(INDIRECT(InputsCS!$I$1),28,119),IF('KS2-4 Combined Science TMs'!$AA$47="eal",INDEX(INDIRECT(InputsCS!$I$1),28,163),"")))))))))),"")</f>
        <v/>
      </c>
      <c r="N56" s="61" t="str">
        <f ca="1">IFERROR(IF(InputsCS!$I$1="Please Select","",IF(InputsCS!$I$2="Please Select","",IF(InputsCS!$I$1="","",IF(InputsCS!$I$2="","",IF(InputsCS!$I$2="Pupil Numbers",IF('KS2-4 Combined Science TMs'!$AA$47="Gender",INDEX(INDIRECT(InputsCS!$I$1),12,32),IF('KS2-4 Combined Science TMs'!$AA$47="disadvantage",INDEX(INDIRECT(InputsCS!$I$1),12,76),IF('KS2-4 Combined Science TMs'!$AA$47="sen",INDEX(INDIRECT(InputsCS!$I$1),12,120),IF('KS2-4 Combined Science TMs'!$AA$47="eal",INDEX(INDIRECT(InputsCS!$I$1),12,164),"")))),IF(InputsCS!$I$2="Pupil Percentages",IF('KS2-4 Combined Science TMs'!$AA$47="Gender",INDEX(INDIRECT(InputsCS!$I$1),28,32),IF('KS2-4 Combined Science TMs'!$AA$47="disadvantage",INDEX(INDIRECT(InputsCS!$I$1),28,76),IF('KS2-4 Combined Science TMs'!$AA$47="sen",INDEX(INDIRECT(InputsCS!$I$1),28,120),IF('KS2-4 Combined Science TMs'!$AA$47="eal",INDEX(INDIRECT(InputsCS!$I$1),28,164),"")))))))))),"")</f>
        <v/>
      </c>
      <c r="O56" s="61" t="str">
        <f ca="1">IFERROR(IF(InputsCS!$I$1="Please Select","",IF(InputsCS!$I$2="Please Select","",IF(InputsCS!$I$1="","",IF(InputsCS!$I$2="","",IF(InputsCS!$I$2="Pupil Numbers",IF('KS2-4 Combined Science TMs'!$AA$47="Gender",INDEX(INDIRECT(InputsCS!$I$1),12,33),IF('KS2-4 Combined Science TMs'!$AA$47="disadvantage",INDEX(INDIRECT(InputsCS!$I$1),12,77),IF('KS2-4 Combined Science TMs'!$AA$47="sen",INDEX(INDIRECT(InputsCS!$I$1),12,121),IF('KS2-4 Combined Science TMs'!$AA$47="eal",INDEX(INDIRECT(InputsCS!$I$1),12,165),"")))),IF(InputsCS!$I$2="Pupil Percentages",IF('KS2-4 Combined Science TMs'!$AA$47="Gender",INDEX(INDIRECT(InputsCS!$I$1),28,33),IF('KS2-4 Combined Science TMs'!$AA$47="disadvantage",INDEX(INDIRECT(InputsCS!$I$1),28,77),IF('KS2-4 Combined Science TMs'!$AA$47="sen",INDEX(INDIRECT(InputsCS!$I$1),28,121),IF('KS2-4 Combined Science TMs'!$AA$47="eal",INDEX(INDIRECT(InputsCS!$I$1),28,165),"")))))))))),"")</f>
        <v/>
      </c>
      <c r="P56" s="61" t="str">
        <f ca="1">IFERROR(IF(InputsCS!$I$1="Please Select","",IF(InputsCS!$I$2="Please Select","",IF(InputsCS!$I$1="","",IF(InputsCS!$I$2="","",IF(InputsCS!$I$2="Pupil Numbers",IF('KS2-4 Combined Science TMs'!$AA$47="Gender",INDEX(INDIRECT(InputsCS!$I$1),12,34),IF('KS2-4 Combined Science TMs'!$AA$47="disadvantage",INDEX(INDIRECT(InputsCS!$I$1),12,78),IF('KS2-4 Combined Science TMs'!$AA$47="sen",INDEX(INDIRECT(InputsCS!$I$1),12,122),IF('KS2-4 Combined Science TMs'!$AA$47="eal",INDEX(INDIRECT(InputsCS!$I$1),12,166),"")))),IF(InputsCS!$I$2="Pupil Percentages",IF('KS2-4 Combined Science TMs'!$AA$47="Gender",INDEX(INDIRECT(InputsCS!$I$1),28,34),IF('KS2-4 Combined Science TMs'!$AA$47="disadvantage",INDEX(INDIRECT(InputsCS!$I$1),28,78),IF('KS2-4 Combined Science TMs'!$AA$47="sen",INDEX(INDIRECT(InputsCS!$I$1),28,122),IF('KS2-4 Combined Science TMs'!$AA$47="eal",INDEX(INDIRECT(InputsCS!$I$1),28,166),"")))))))))),"")</f>
        <v/>
      </c>
      <c r="Q56" s="61" t="str">
        <f ca="1">IFERROR(IF(InputsCS!$I$1="Please Select","",IF(InputsCS!$I$2="Please Select","",IF(InputsCS!$I$1="","",IF(InputsCS!$I$2="","",IF(InputsCS!$I$2="Pupil Numbers",IF('KS2-4 Combined Science TMs'!$AA$47="Gender",INDEX(INDIRECT(InputsCS!$I$1),12,35),IF('KS2-4 Combined Science TMs'!$AA$47="disadvantage",INDEX(INDIRECT(InputsCS!$I$1),12,79),IF('KS2-4 Combined Science TMs'!$AA$47="sen",INDEX(INDIRECT(InputsCS!$I$1),12,123),IF('KS2-4 Combined Science TMs'!$AA$47="eal",INDEX(INDIRECT(InputsCS!$I$1),12,167),"")))),IF(InputsCS!$I$2="Pupil Percentages",IF('KS2-4 Combined Science TMs'!$AA$47="Gender",INDEX(INDIRECT(InputsCS!$I$1),28,35),IF('KS2-4 Combined Science TMs'!$AA$47="disadvantage",INDEX(INDIRECT(InputsCS!$I$1),28,79),IF('KS2-4 Combined Science TMs'!$AA$47="sen",INDEX(INDIRECT(InputsCS!$I$1),28,123),IF('KS2-4 Combined Science TMs'!$AA$47="eal",INDEX(INDIRECT(InputsCS!$I$1),28,167),"")))))))))),"")</f>
        <v/>
      </c>
      <c r="R56" s="61" t="str">
        <f ca="1">IFERROR(IF(InputsCS!$I$1="Please Select","",IF(InputsCS!$I$2="Please Select","",IF(InputsCS!$I$1="","",IF(InputsCS!$I$2="","",IF(InputsCS!$I$2="Pupil Numbers",IF('KS2-4 Combined Science TMs'!$AA$47="Gender",INDEX(INDIRECT(InputsCS!$I$1),12,36),IF('KS2-4 Combined Science TMs'!$AA$47="disadvantage",INDEX(INDIRECT(InputsCS!$I$1),12,80),IF('KS2-4 Combined Science TMs'!$AA$47="sen",INDEX(INDIRECT(InputsCS!$I$1),12,124),IF('KS2-4 Combined Science TMs'!$AA$47="eal",INDEX(INDIRECT(InputsCS!$I$1),12,168),"")))),IF(InputsCS!$I$2="Pupil Percentages",IF('KS2-4 Combined Science TMs'!$AA$47="Gender",INDEX(INDIRECT(InputsCS!$I$1),28,36),IF('KS2-4 Combined Science TMs'!$AA$47="disadvantage",INDEX(INDIRECT(InputsCS!$I$1),28,80),IF('KS2-4 Combined Science TMs'!$AA$47="sen",INDEX(INDIRECT(InputsCS!$I$1),28,124),IF('KS2-4 Combined Science TMs'!$AA$47="eal",INDEX(INDIRECT(InputsCS!$I$1),28,168),"")))))))))),"")</f>
        <v/>
      </c>
      <c r="S56" s="61" t="str">
        <f ca="1">IFERROR(IF(InputsCS!$I$1="Please Select","",IF(InputsCS!$I$2="Please Select","",IF(InputsCS!$I$1="","",IF(InputsCS!$I$2="","",IF(InputsCS!$I$2="Pupil Numbers",IF('KS2-4 Combined Science TMs'!$AA$47="Gender",INDEX(INDIRECT(InputsCS!$I$1),12,37),IF('KS2-4 Combined Science TMs'!$AA$47="disadvantage",INDEX(INDIRECT(InputsCS!$I$1),12,81),IF('KS2-4 Combined Science TMs'!$AA$47="sen",INDEX(INDIRECT(InputsCS!$I$1),12,125),IF('KS2-4 Combined Science TMs'!$AA$47="eal",INDEX(INDIRECT(InputsCS!$I$1),12,169),"")))),IF(InputsCS!$I$2="Pupil Percentages",IF('KS2-4 Combined Science TMs'!$AA$47="Gender",INDEX(INDIRECT(InputsCS!$I$1),28,37),IF('KS2-4 Combined Science TMs'!$AA$47="disadvantage",INDEX(INDIRECT(InputsCS!$I$1),28,81),IF('KS2-4 Combined Science TMs'!$AA$47="sen",INDEX(INDIRECT(InputsCS!$I$1),28,125),IF('KS2-4 Combined Science TMs'!$AA$47="eal",INDEX(INDIRECT(InputsCS!$I$1),28,169),"")))))))))),"")</f>
        <v/>
      </c>
      <c r="T56" s="61" t="str">
        <f ca="1">IFERROR(IF(InputsCS!$I$1="Please Select","",IF(InputsCS!$I$2="Please Select","",IF(InputsCS!$I$1="","",IF(InputsCS!$I$2="","",IF(InputsCS!$I$2="Pupil Numbers",IF('KS2-4 Combined Science TMs'!$AA$47="Gender",INDEX(INDIRECT(InputsCS!$I$1),12,38),IF('KS2-4 Combined Science TMs'!$AA$47="disadvantage",INDEX(INDIRECT(InputsCS!$I$1),12,82),IF('KS2-4 Combined Science TMs'!$AA$47="sen",INDEX(INDIRECT(InputsCS!$I$1),12,126),IF('KS2-4 Combined Science TMs'!$AA$47="eal",INDEX(INDIRECT(InputsCS!$I$1),12,170),"")))),IF(InputsCS!$I$2="Pupil Percentages",IF('KS2-4 Combined Science TMs'!$AA$47="Gender",INDEX(INDIRECT(InputsCS!$I$1),28,38),IF('KS2-4 Combined Science TMs'!$AA$47="disadvantage",INDEX(INDIRECT(InputsCS!$I$1),28,82),IF('KS2-4 Combined Science TMs'!$AA$47="sen",INDEX(INDIRECT(InputsCS!$I$1),28,126),IF('KS2-4 Combined Science TMs'!$AA$47="eal",INDEX(INDIRECT(InputsCS!$I$1),28,170),"")))))))))),"")</f>
        <v/>
      </c>
      <c r="U56" s="61" t="str">
        <f ca="1">IFERROR(IF(InputsCS!$I$1="Please Select","",IF(InputsCS!$I$2="Please Select","",IF(InputsCS!$I$1="","",IF(InputsCS!$I$2="","",IF(InputsCS!$I$2="Pupil Numbers",IF('KS2-4 Combined Science TMs'!$AA$47="Gender",INDEX(INDIRECT(InputsCS!$I$1),12,39),IF('KS2-4 Combined Science TMs'!$AA$47="disadvantage",INDEX(INDIRECT(InputsCS!$I$1),12,83),IF('KS2-4 Combined Science TMs'!$AA$47="sen",INDEX(INDIRECT(InputsCS!$I$1),12,127),IF('KS2-4 Combined Science TMs'!$AA$47="eal",INDEX(INDIRECT(InputsCS!$I$1),12,171),"")))),IF(InputsCS!$I$2="Pupil Percentages",IF('KS2-4 Combined Science TMs'!$AA$47="Gender",INDEX(INDIRECT(InputsCS!$I$1),28,39),IF('KS2-4 Combined Science TMs'!$AA$47="disadvantage",INDEX(INDIRECT(InputsCS!$I$1),28,83),IF('KS2-4 Combined Science TMs'!$AA$47="sen",INDEX(INDIRECT(InputsCS!$I$1),28,127),IF('KS2-4 Combined Science TMs'!$AA$47="eal",INDEX(INDIRECT(InputsCS!$I$1),28,171),"")))))))))),"")</f>
        <v/>
      </c>
      <c r="V56" s="61" t="str">
        <f ca="1">IFERROR(IF(InputsCS!$I$1="Please Select","",IF(InputsCS!$I$2="Please Select","",IF(InputsCS!$I$1="","",IF(InputsCS!$I$2="","",IF(InputsCS!$I$2="Pupil Numbers",IF('KS2-4 Combined Science TMs'!$AA$47="Gender",INDEX(INDIRECT(InputsCS!$I$1),12,40),IF('KS2-4 Combined Science TMs'!$AA$47="disadvantage",INDEX(INDIRECT(InputsCS!$I$1),12,84),IF('KS2-4 Combined Science TMs'!$AA$47="sen",INDEX(INDIRECT(InputsCS!$I$1),12,128),IF('KS2-4 Combined Science TMs'!$AA$47="eal",INDEX(INDIRECT(InputsCS!$I$1),12,172),"")))),IF(InputsCS!$I$2="Pupil Percentages",IF('KS2-4 Combined Science TMs'!$AA$47="Gender",INDEX(INDIRECT(InputsCS!$I$1),28,40),IF('KS2-4 Combined Science TMs'!$AA$47="disadvantage",INDEX(INDIRECT(InputsCS!$I$1),28,84),IF('KS2-4 Combined Science TMs'!$AA$47="sen",INDEX(INDIRECT(InputsCS!$I$1),28,128),IF('KS2-4 Combined Science TMs'!$AA$47="eal",INDEX(INDIRECT(InputsCS!$I$1),28,172),"")))))))))),"")</f>
        <v/>
      </c>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row>
    <row r="57" spans="3:56" ht="17.25" customHeight="1" x14ac:dyDescent="0.5">
      <c r="P57" s="15"/>
      <c r="Q57" s="15"/>
      <c r="R57" s="15"/>
      <c r="S57" s="15"/>
      <c r="T57" s="15"/>
      <c r="U57" s="15"/>
      <c r="V57" s="15"/>
      <c r="W57" s="15"/>
      <c r="X57" s="15"/>
      <c r="Y57" s="15"/>
      <c r="Z57" s="15"/>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row>
    <row r="58" spans="3:56" ht="14.25" customHeight="1" x14ac:dyDescent="0.5">
      <c r="P58" s="15"/>
      <c r="Q58" s="15"/>
      <c r="R58" s="15"/>
      <c r="S58" s="15"/>
      <c r="T58" s="15"/>
      <c r="U58" s="15"/>
      <c r="V58" s="15"/>
      <c r="W58" s="15"/>
      <c r="X58" s="15"/>
      <c r="Y58" s="15"/>
      <c r="Z58" s="15"/>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row>
    <row r="59" spans="3:56" ht="20.65" customHeight="1" x14ac:dyDescent="0.5">
      <c r="D59" s="5"/>
      <c r="E59" s="5" t="str">
        <f>IF($AA$47="Gender","Male",IF($AA$47="Disadvantage","Non-disadvantaged",IF($AA$47="SEN","Non-SEN",IF($AA$47="EAL","Non-EAL",""))))&amp;" Pupils"</f>
        <v>Male Pupils</v>
      </c>
      <c r="F59" s="5"/>
      <c r="P59" s="15"/>
      <c r="Q59" s="15"/>
      <c r="R59" s="15"/>
      <c r="S59" s="15"/>
      <c r="T59" s="15"/>
      <c r="U59" s="15"/>
      <c r="V59" s="15"/>
      <c r="W59" s="15"/>
      <c r="X59" s="15"/>
      <c r="Y59" s="15"/>
      <c r="Z59" s="15"/>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row>
    <row r="60" spans="3:56" ht="18" customHeight="1" x14ac:dyDescent="0.55000000000000004">
      <c r="C60" s="122" t="str">
        <f>IF(InputsCS!$I$2="Pupil Numbers","Pupil Numbers",IF(InputsCS!$I$2="Pupil Percentages","Pupil Percentages",""))</f>
        <v/>
      </c>
      <c r="D60" s="122"/>
      <c r="E60" s="58"/>
      <c r="F60" s="58"/>
      <c r="G60" s="58"/>
      <c r="H60" s="58"/>
      <c r="I60" s="58"/>
      <c r="J60" s="58"/>
      <c r="K60" s="58"/>
      <c r="L60" s="58"/>
      <c r="M60" s="58"/>
      <c r="N60" s="6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row>
    <row r="61" spans="3:56" ht="36" customHeight="1" x14ac:dyDescent="0.45">
      <c r="C61" s="122"/>
      <c r="D61" s="122"/>
      <c r="E61" s="93" t="s">
        <v>106</v>
      </c>
      <c r="F61" s="94"/>
      <c r="G61" s="94"/>
      <c r="H61" s="94"/>
      <c r="I61" s="95"/>
      <c r="J61" s="94"/>
      <c r="K61" s="94"/>
      <c r="L61" s="94"/>
      <c r="M61" s="94"/>
      <c r="N61" s="96"/>
      <c r="O61" s="96"/>
      <c r="P61" s="96"/>
      <c r="Q61" s="96"/>
      <c r="R61" s="96"/>
      <c r="S61" s="96"/>
      <c r="T61" s="96"/>
      <c r="U61" s="96"/>
      <c r="V61" s="97"/>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row>
    <row r="62" spans="3:56" ht="20.100000000000001" customHeight="1" x14ac:dyDescent="0.45">
      <c r="C62" s="123"/>
      <c r="D62" s="123"/>
      <c r="E62" s="98" t="s">
        <v>0</v>
      </c>
      <c r="F62" s="98">
        <v>11</v>
      </c>
      <c r="G62" s="98">
        <v>21</v>
      </c>
      <c r="H62" s="98">
        <v>22</v>
      </c>
      <c r="I62" s="98">
        <v>32</v>
      </c>
      <c r="J62" s="98">
        <v>33</v>
      </c>
      <c r="K62" s="98">
        <v>43</v>
      </c>
      <c r="L62" s="98">
        <v>44</v>
      </c>
      <c r="M62" s="98">
        <v>54</v>
      </c>
      <c r="N62" s="98">
        <v>55</v>
      </c>
      <c r="O62" s="98">
        <v>65</v>
      </c>
      <c r="P62" s="98">
        <v>66</v>
      </c>
      <c r="Q62" s="98">
        <v>76</v>
      </c>
      <c r="R62" s="98">
        <v>77</v>
      </c>
      <c r="S62" s="98">
        <v>87</v>
      </c>
      <c r="T62" s="98">
        <v>88</v>
      </c>
      <c r="U62" s="98">
        <v>98</v>
      </c>
      <c r="V62" s="98">
        <v>99</v>
      </c>
      <c r="AD62" s="12"/>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row>
    <row r="63" spans="3:56" ht="23.1" customHeight="1" x14ac:dyDescent="0.5">
      <c r="C63" s="119" t="s">
        <v>13</v>
      </c>
      <c r="D63" s="60" t="s">
        <v>1</v>
      </c>
      <c r="E63" s="61" t="str">
        <f ca="1">IFERROR(IF(InputsCS!$I$1="Please Select","",IF(InputsCS!$I$2="Please Select","",IF(InputsCS!$I$1="","",IF(InputsCS!$I$2="","",IF(InputsCS!$I$2="Pupil Numbers",IF('KS2-4 Combined Science TMs'!$AA$47="Gender",INDEX(INDIRECT(InputsCS!$I$1),1,45),IF('KS2-4 Combined Science TMs'!$AA$47="disadvantage",INDEX(INDIRECT(InputsCS!$I$1),1,89),IF('KS2-4 Combined Science TMs'!$AA$47="sen",INDEX(INDIRECT(InputsCS!$I$1),1,133),IF('KS2-4 Combined Science TMs'!$AA$47="eal",INDEX(INDIRECT(InputsCS!$I$1),1,177),"")))),IF(InputsCS!$I$2="Pupil Percentages",IF('KS2-4 Combined Science TMs'!$AA$47="Gender",INDEX(INDIRECT(InputsCS!$I$1),17,45),IF('KS2-4 Combined Science TMs'!$AA$47="disadvantage",INDEX(INDIRECT(InputsCS!$I$1),17,89),IF('KS2-4 Combined Science TMs'!$AA$47="sen",INDEX(INDIRECT(InputsCS!$I$1),17,133),IF('KS2-4 Combined Science TMs'!$AA$47="eal",INDEX(INDIRECT(InputsCS!$I$1),17,177),"")))))))))),"")</f>
        <v/>
      </c>
      <c r="F63" s="61" t="str">
        <f ca="1">IFERROR(IF(InputsCS!$I$1="Please Select","",IF(InputsCS!$I$2="Please Select","",IF(InputsCS!$I$1="","",IF(InputsCS!$I$2="","",IF(InputsCS!$I$2="Pupil Numbers",IF('KS2-4 Combined Science TMs'!$AA$47="Gender",INDEX(INDIRECT(InputsCS!$I$1),1,46),IF('KS2-4 Combined Science TMs'!$AA$47="disadvantage",INDEX(INDIRECT(InputsCS!$I$1),1,90),IF('KS2-4 Combined Science TMs'!$AA$47="sen",INDEX(INDIRECT(InputsCS!$I$1),1,134),IF('KS2-4 Combined Science TMs'!$AA$47="eal",INDEX(INDIRECT(InputsCS!$I$1),1,178),"")))),IF(InputsCS!$I$2="Pupil Percentages",IF('KS2-4 Combined Science TMs'!$AA$47="Gender",INDEX(INDIRECT(InputsCS!$I$1),17,46),IF('KS2-4 Combined Science TMs'!$AA$47="disadvantage",INDEX(INDIRECT(InputsCS!$I$1),17,90),IF('KS2-4 Combined Science TMs'!$AA$47="sen",INDEX(INDIRECT(InputsCS!$I$1),17,134),IF('KS2-4 Combined Science TMs'!$AA$47="eal",INDEX(INDIRECT(InputsCS!$I$1),17,178),"")))))))))),"")</f>
        <v/>
      </c>
      <c r="G63" s="61" t="str">
        <f ca="1">IFERROR(IF(InputsCS!$I$1="Please Select","",IF(InputsCS!$I$2="Please Select","",IF(InputsCS!$I$1="","",IF(InputsCS!$I$2="","",IF(InputsCS!$I$2="Pupil Numbers",IF('KS2-4 Combined Science TMs'!$AA$47="Gender",INDEX(INDIRECT(InputsCS!$I$1),1,47),IF('KS2-4 Combined Science TMs'!$AA$47="disadvantage",INDEX(INDIRECT(InputsCS!$I$1),1,91),IF('KS2-4 Combined Science TMs'!$AA$47="sen",INDEX(INDIRECT(InputsCS!$I$1),1,135),IF('KS2-4 Combined Science TMs'!$AA$47="eal",INDEX(INDIRECT(InputsCS!$I$1),1,179),"")))),IF(InputsCS!$I$2="Pupil Percentages",IF('KS2-4 Combined Science TMs'!$AA$47="Gender",INDEX(INDIRECT(InputsCS!$I$1),17,47),IF('KS2-4 Combined Science TMs'!$AA$47="disadvantage",INDEX(INDIRECT(InputsCS!$I$1),17,91),IF('KS2-4 Combined Science TMs'!$AA$47="sen",INDEX(INDIRECT(InputsCS!$I$1),17,135),IF('KS2-4 Combined Science TMs'!$AA$47="eal",INDEX(INDIRECT(InputsCS!$I$1),17,179),"")))))))))),"")</f>
        <v/>
      </c>
      <c r="H63" s="61" t="str">
        <f ca="1">IFERROR(IF(InputsCS!$I$1="Please Select","",IF(InputsCS!$I$2="Please Select","",IF(InputsCS!$I$1="","",IF(InputsCS!$I$2="","",IF(InputsCS!$I$2="Pupil Numbers",IF('KS2-4 Combined Science TMs'!$AA$47="Gender",INDEX(INDIRECT(InputsCS!$I$1),1,48),IF('KS2-4 Combined Science TMs'!$AA$47="disadvantage",INDEX(INDIRECT(InputsCS!$I$1),1,92),IF('KS2-4 Combined Science TMs'!$AA$47="sen",INDEX(INDIRECT(InputsCS!$I$1),1,136),IF('KS2-4 Combined Science TMs'!$AA$47="eal",INDEX(INDIRECT(InputsCS!$I$1),1,180),"")))),IF(InputsCS!$I$2="Pupil Percentages",IF('KS2-4 Combined Science TMs'!$AA$47="Gender",INDEX(INDIRECT(InputsCS!$I$1),17,48),IF('KS2-4 Combined Science TMs'!$AA$47="disadvantage",INDEX(INDIRECT(InputsCS!$I$1),17,92),IF('KS2-4 Combined Science TMs'!$AA$47="sen",INDEX(INDIRECT(InputsCS!$I$1),17,136),IF('KS2-4 Combined Science TMs'!$AA$47="eal",INDEX(INDIRECT(InputsCS!$I$1),17,180),"")))))))))),"")</f>
        <v/>
      </c>
      <c r="I63" s="61" t="str">
        <f ca="1">IFERROR(IF(InputsCS!$I$1="Please Select","",IF(InputsCS!$I$2="Please Select","",IF(InputsCS!$I$1="","",IF(InputsCS!$I$2="","",IF(InputsCS!$I$2="Pupil Numbers",IF('KS2-4 Combined Science TMs'!$AA$47="Gender",INDEX(INDIRECT(InputsCS!$I$1),1,49),IF('KS2-4 Combined Science TMs'!$AA$47="disadvantage",INDEX(INDIRECT(InputsCS!$I$1),1,93),IF('KS2-4 Combined Science TMs'!$AA$47="sen",INDEX(INDIRECT(InputsCS!$I$1),1,137),IF('KS2-4 Combined Science TMs'!$AA$47="eal",INDEX(INDIRECT(InputsCS!$I$1),1,181),"")))),IF(InputsCS!$I$2="Pupil Percentages",IF('KS2-4 Combined Science TMs'!$AA$47="Gender",INDEX(INDIRECT(InputsCS!$I$1),17,49),IF('KS2-4 Combined Science TMs'!$AA$47="disadvantage",INDEX(INDIRECT(InputsCS!$I$1),17,93),IF('KS2-4 Combined Science TMs'!$AA$47="sen",INDEX(INDIRECT(InputsCS!$I$1),17,137),IF('KS2-4 Combined Science TMs'!$AA$47="eal",INDEX(INDIRECT(InputsCS!$I$1),17,181),"")))))))))),"")</f>
        <v/>
      </c>
      <c r="J63" s="61" t="str">
        <f ca="1">IFERROR(IF(InputsCS!$I$1="Please Select","",IF(InputsCS!$I$2="Please Select","",IF(InputsCS!$I$1="","",IF(InputsCS!$I$2="","",IF(InputsCS!$I$2="Pupil Numbers",IF('KS2-4 Combined Science TMs'!$AA$47="Gender",INDEX(INDIRECT(InputsCS!$I$1),1,50),IF('KS2-4 Combined Science TMs'!$AA$47="disadvantage",INDEX(INDIRECT(InputsCS!$I$1),1,94),IF('KS2-4 Combined Science TMs'!$AA$47="sen",INDEX(INDIRECT(InputsCS!$I$1),1,138),IF('KS2-4 Combined Science TMs'!$AA$47="eal",INDEX(INDIRECT(InputsCS!$I$1),1,182),"")))),IF(InputsCS!$I$2="Pupil Percentages",IF('KS2-4 Combined Science TMs'!$AA$47="Gender",INDEX(INDIRECT(InputsCS!$I$1),17,50),IF('KS2-4 Combined Science TMs'!$AA$47="disadvantage",INDEX(INDIRECT(InputsCS!$I$1),17,94),IF('KS2-4 Combined Science TMs'!$AA$47="sen",INDEX(INDIRECT(InputsCS!$I$1),17,138),IF('KS2-4 Combined Science TMs'!$AA$47="eal",INDEX(INDIRECT(InputsCS!$I$1),17,182),"")))))))))),"")</f>
        <v/>
      </c>
      <c r="K63" s="61" t="str">
        <f ca="1">IFERROR(IF(InputsCS!$I$1="Please Select","",IF(InputsCS!$I$2="Please Select","",IF(InputsCS!$I$1="","",IF(InputsCS!$I$2="","",IF(InputsCS!$I$2="Pupil Numbers",IF('KS2-4 Combined Science TMs'!$AA$47="Gender",INDEX(INDIRECT(InputsCS!$I$1),1,51),IF('KS2-4 Combined Science TMs'!$AA$47="disadvantage",INDEX(INDIRECT(InputsCS!$I$1),1,95),IF('KS2-4 Combined Science TMs'!$AA$47="sen",INDEX(INDIRECT(InputsCS!$I$1),1,139),IF('KS2-4 Combined Science TMs'!$AA$47="eal",INDEX(INDIRECT(InputsCS!$I$1),1,183),"")))),IF(InputsCS!$I$2="Pupil Percentages",IF('KS2-4 Combined Science TMs'!$AA$47="Gender",INDEX(INDIRECT(InputsCS!$I$1),17,51),IF('KS2-4 Combined Science TMs'!$AA$47="disadvantage",INDEX(INDIRECT(InputsCS!$I$1),17,95),IF('KS2-4 Combined Science TMs'!$AA$47="sen",INDEX(INDIRECT(InputsCS!$I$1),17,139),IF('KS2-4 Combined Science TMs'!$AA$47="eal",INDEX(INDIRECT(InputsCS!$I$1),17,183),"")))))))))),"")</f>
        <v/>
      </c>
      <c r="L63" s="61" t="str">
        <f ca="1">IFERROR(IF(InputsCS!$I$1="Please Select","",IF(InputsCS!$I$2="Please Select","",IF(InputsCS!$I$1="","",IF(InputsCS!$I$2="","",IF(InputsCS!$I$2="Pupil Numbers",IF('KS2-4 Combined Science TMs'!$AA$47="Gender",INDEX(INDIRECT(InputsCS!$I$1),1,52),IF('KS2-4 Combined Science TMs'!$AA$47="disadvantage",INDEX(INDIRECT(InputsCS!$I$1),1,96),IF('KS2-4 Combined Science TMs'!$AA$47="sen",INDEX(INDIRECT(InputsCS!$I$1),1,140),IF('KS2-4 Combined Science TMs'!$AA$47="eal",INDEX(INDIRECT(InputsCS!$I$1),1,184),"")))),IF(InputsCS!$I$2="Pupil Percentages",IF('KS2-4 Combined Science TMs'!$AA$47="Gender",INDEX(INDIRECT(InputsCS!$I$1),17,52),IF('KS2-4 Combined Science TMs'!$AA$47="disadvantage",INDEX(INDIRECT(InputsCS!$I$1),17,96),IF('KS2-4 Combined Science TMs'!$AA$47="sen",INDEX(INDIRECT(InputsCS!$I$1),17,140),IF('KS2-4 Combined Science TMs'!$AA$47="eal",INDEX(INDIRECT(InputsCS!$I$1),17,184),"")))))))))),"")</f>
        <v/>
      </c>
      <c r="M63" s="61" t="str">
        <f ca="1">IFERROR(IF(InputsCS!$I$1="Please Select","",IF(InputsCS!$I$2="Please Select","",IF(InputsCS!$I$1="","",IF(InputsCS!$I$2="","",IF(InputsCS!$I$2="Pupil Numbers",IF('KS2-4 Combined Science TMs'!$AA$47="Gender",INDEX(INDIRECT(InputsCS!$I$1),1,53),IF('KS2-4 Combined Science TMs'!$AA$47="disadvantage",INDEX(INDIRECT(InputsCS!$I$1),1,97),IF('KS2-4 Combined Science TMs'!$AA$47="sen",INDEX(INDIRECT(InputsCS!$I$1),1,141),IF('KS2-4 Combined Science TMs'!$AA$47="eal",INDEX(INDIRECT(InputsCS!$I$1),1,185),"")))),IF(InputsCS!$I$2="Pupil Percentages",IF('KS2-4 Combined Science TMs'!$AA$47="Gender",INDEX(INDIRECT(InputsCS!$I$1),17,53),IF('KS2-4 Combined Science TMs'!$AA$47="disadvantage",INDEX(INDIRECT(InputsCS!$I$1),17,97),IF('KS2-4 Combined Science TMs'!$AA$47="sen",INDEX(INDIRECT(InputsCS!$I$1),17,141),IF('KS2-4 Combined Science TMs'!$AA$47="eal",INDEX(INDIRECT(InputsCS!$I$1),17,185),"")))))))))),"")</f>
        <v/>
      </c>
      <c r="N63" s="61" t="str">
        <f ca="1">IFERROR(IF(InputsCS!$I$1="Please Select","",IF(InputsCS!$I$2="Please Select","",IF(InputsCS!$I$1="","",IF(InputsCS!$I$2="","",IF(InputsCS!$I$2="Pupil Numbers",IF('KS2-4 Combined Science TMs'!$AA$47="Gender",INDEX(INDIRECT(InputsCS!$I$1),1,54),IF('KS2-4 Combined Science TMs'!$AA$47="disadvantage",INDEX(INDIRECT(InputsCS!$I$1),1,98),IF('KS2-4 Combined Science TMs'!$AA$47="sen",INDEX(INDIRECT(InputsCS!$I$1),1,142),IF('KS2-4 Combined Science TMs'!$AA$47="eal",INDEX(INDIRECT(InputsCS!$I$1),1,186),"")))),IF(InputsCS!$I$2="Pupil Percentages",IF('KS2-4 Combined Science TMs'!$AA$47="Gender",INDEX(INDIRECT(InputsCS!$I$1),17,54),IF('KS2-4 Combined Science TMs'!$AA$47="disadvantage",INDEX(INDIRECT(InputsCS!$I$1),17,98),IF('KS2-4 Combined Science TMs'!$AA$47="sen",INDEX(INDIRECT(InputsCS!$I$1),17,142),IF('KS2-4 Combined Science TMs'!$AA$47="eal",INDEX(INDIRECT(InputsCS!$I$1),17,186),"")))))))))),"")</f>
        <v/>
      </c>
      <c r="O63" s="61" t="str">
        <f ca="1">IFERROR(IF(InputsCS!$I$1="Please Select","",IF(InputsCS!$I$2="Please Select","",IF(InputsCS!$I$1="","",IF(InputsCS!$I$2="","",IF(InputsCS!$I$2="Pupil Numbers",IF('KS2-4 Combined Science TMs'!$AA$47="Gender",INDEX(INDIRECT(InputsCS!$I$1),1,55),IF('KS2-4 Combined Science TMs'!$AA$47="disadvantage",INDEX(INDIRECT(InputsCS!$I$1),1,99),IF('KS2-4 Combined Science TMs'!$AA$47="sen",INDEX(INDIRECT(InputsCS!$I$1),1,143),IF('KS2-4 Combined Science TMs'!$AA$47="eal",INDEX(INDIRECT(InputsCS!$I$1),1,187),"")))),IF(InputsCS!$I$2="Pupil Percentages",IF('KS2-4 Combined Science TMs'!$AA$47="Gender",INDEX(INDIRECT(InputsCS!$I$1),17,55),IF('KS2-4 Combined Science TMs'!$AA$47="disadvantage",INDEX(INDIRECT(InputsCS!$I$1),17,99),IF('KS2-4 Combined Science TMs'!$AA$47="sen",INDEX(INDIRECT(InputsCS!$I$1),17,143),IF('KS2-4 Combined Science TMs'!$AA$47="eal",INDEX(INDIRECT(InputsCS!$I$1),17,187),"")))))))))),"")</f>
        <v/>
      </c>
      <c r="P63" s="61" t="str">
        <f ca="1">IFERROR(IF(InputsCS!$I$1="Please Select","",IF(InputsCS!$I$2="Please Select","",IF(InputsCS!$I$1="","",IF(InputsCS!$I$2="","",IF(InputsCS!$I$2="Pupil Numbers",IF('KS2-4 Combined Science TMs'!$AA$47="Gender",INDEX(INDIRECT(InputsCS!$I$1),1,56),IF('KS2-4 Combined Science TMs'!$AA$47="disadvantage",INDEX(INDIRECT(InputsCS!$I$1),1,100),IF('KS2-4 Combined Science TMs'!$AA$47="sen",INDEX(INDIRECT(InputsCS!$I$1),1,144),IF('KS2-4 Combined Science TMs'!$AA$47="eal",INDEX(INDIRECT(InputsCS!$I$1),1,188),"")))),IF(InputsCS!$I$2="Pupil Percentages",IF('KS2-4 Combined Science TMs'!$AA$47="Gender",INDEX(INDIRECT(InputsCS!$I$1),17,56),IF('KS2-4 Combined Science TMs'!$AA$47="disadvantage",INDEX(INDIRECT(InputsCS!$I$1),17,100),IF('KS2-4 Combined Science TMs'!$AA$47="sen",INDEX(INDIRECT(InputsCS!$I$1),17,144),IF('KS2-4 Combined Science TMs'!$AA$47="eal",INDEX(INDIRECT(InputsCS!$I$1),17,188),"")))))))))),"")</f>
        <v/>
      </c>
      <c r="Q63" s="61" t="str">
        <f ca="1">IFERROR(IF(InputsCS!$I$1="Please Select","",IF(InputsCS!$I$2="Please Select","",IF(InputsCS!$I$1="","",IF(InputsCS!$I$2="","",IF(InputsCS!$I$2="Pupil Numbers",IF('KS2-4 Combined Science TMs'!$AA$47="Gender",INDEX(INDIRECT(InputsCS!$I$1),1,57),IF('KS2-4 Combined Science TMs'!$AA$47="disadvantage",INDEX(INDIRECT(InputsCS!$I$1),1,101),IF('KS2-4 Combined Science TMs'!$AA$47="sen",INDEX(INDIRECT(InputsCS!$I$1),1,145),IF('KS2-4 Combined Science TMs'!$AA$47="eal",INDEX(INDIRECT(InputsCS!$I$1),1,189),"")))),IF(InputsCS!$I$2="Pupil Percentages",IF('KS2-4 Combined Science TMs'!$AA$47="Gender",INDEX(INDIRECT(InputsCS!$I$1),17,57),IF('KS2-4 Combined Science TMs'!$AA$47="disadvantage",INDEX(INDIRECT(InputsCS!$I$1),17,101),IF('KS2-4 Combined Science TMs'!$AA$47="sen",INDEX(INDIRECT(InputsCS!$I$1),17,145),IF('KS2-4 Combined Science TMs'!$AA$47="eal",INDEX(INDIRECT(InputsCS!$I$1),17,189),"")))))))))),"")</f>
        <v/>
      </c>
      <c r="R63" s="61" t="str">
        <f ca="1">IFERROR(IF(InputsCS!$I$1="Please Select","",IF(InputsCS!$I$2="Please Select","",IF(InputsCS!$I$1="","",IF(InputsCS!$I$2="","",IF(InputsCS!$I$2="Pupil Numbers",IF('KS2-4 Combined Science TMs'!$AA$47="Gender",INDEX(INDIRECT(InputsCS!$I$1),1,58),IF('KS2-4 Combined Science TMs'!$AA$47="disadvantage",INDEX(INDIRECT(InputsCS!$I$1),1,102),IF('KS2-4 Combined Science TMs'!$AA$47="sen",INDEX(INDIRECT(InputsCS!$I$1),1,146),IF('KS2-4 Combined Science TMs'!$AA$47="eal",INDEX(INDIRECT(InputsCS!$I$1),1,190),"")))),IF(InputsCS!$I$2="Pupil Percentages",IF('KS2-4 Combined Science TMs'!$AA$47="Gender",INDEX(INDIRECT(InputsCS!$I$1),17,58),IF('KS2-4 Combined Science TMs'!$AA$47="disadvantage",INDEX(INDIRECT(InputsCS!$I$1),17,102),IF('KS2-4 Combined Science TMs'!$AA$47="sen",INDEX(INDIRECT(InputsCS!$I$1),17,146),IF('KS2-4 Combined Science TMs'!$AA$47="eal",INDEX(INDIRECT(InputsCS!$I$1),17,190),"")))))))))),"")</f>
        <v/>
      </c>
      <c r="S63" s="61" t="str">
        <f ca="1">IFERROR(IF(InputsCS!$I$1="Please Select","",IF(InputsCS!$I$2="Please Select","",IF(InputsCS!$I$1="","",IF(InputsCS!$I$2="","",IF(InputsCS!$I$2="Pupil Numbers",IF('KS2-4 Combined Science TMs'!$AA$47="Gender",INDEX(INDIRECT(InputsCS!$I$1),1,59),IF('KS2-4 Combined Science TMs'!$AA$47="disadvantage",INDEX(INDIRECT(InputsCS!$I$1),1,103),IF('KS2-4 Combined Science TMs'!$AA$47="sen",INDEX(INDIRECT(InputsCS!$I$1),1,147),IF('KS2-4 Combined Science TMs'!$AA$47="eal",INDEX(INDIRECT(InputsCS!$I$1),1,191),"")))),IF(InputsCS!$I$2="Pupil Percentages",IF('KS2-4 Combined Science TMs'!$AA$47="Gender",INDEX(INDIRECT(InputsCS!$I$1),17,59),IF('KS2-4 Combined Science TMs'!$AA$47="disadvantage",INDEX(INDIRECT(InputsCS!$I$1),17,103),IF('KS2-4 Combined Science TMs'!$AA$47="sen",INDEX(INDIRECT(InputsCS!$I$1),17,147),IF('KS2-4 Combined Science TMs'!$AA$47="eal",INDEX(INDIRECT(InputsCS!$I$1),17,191),"")))))))))),"")</f>
        <v/>
      </c>
      <c r="T63" s="61" t="str">
        <f ca="1">IFERROR(IF(InputsCS!$I$1="Please Select","",IF(InputsCS!$I$2="Please Select","",IF(InputsCS!$I$1="","",IF(InputsCS!$I$2="","",IF(InputsCS!$I$2="Pupil Numbers",IF('KS2-4 Combined Science TMs'!$AA$47="Gender",INDEX(INDIRECT(InputsCS!$I$1),1,60),IF('KS2-4 Combined Science TMs'!$AA$47="disadvantage",INDEX(INDIRECT(InputsCS!$I$1),1,104),IF('KS2-4 Combined Science TMs'!$AA$47="sen",INDEX(INDIRECT(InputsCS!$I$1),1,148),IF('KS2-4 Combined Science TMs'!$AA$47="eal",INDEX(INDIRECT(InputsCS!$I$1),1,192),"")))),IF(InputsCS!$I$2="Pupil Percentages",IF('KS2-4 Combined Science TMs'!$AA$47="Gender",INDEX(INDIRECT(InputsCS!$I$1),17,60),IF('KS2-4 Combined Science TMs'!$AA$47="disadvantage",INDEX(INDIRECT(InputsCS!$I$1),17,104),IF('KS2-4 Combined Science TMs'!$AA$47="sen",INDEX(INDIRECT(InputsCS!$I$1),17,148),IF('KS2-4 Combined Science TMs'!$AA$47="eal",INDEX(INDIRECT(InputsCS!$I$1),17,192),"")))))))))),"")</f>
        <v/>
      </c>
      <c r="U63" s="61" t="str">
        <f ca="1">IFERROR(IF(InputsCS!$I$1="Please Select","",IF(InputsCS!$I$2="Please Select","",IF(InputsCS!$I$1="","",IF(InputsCS!$I$2="","",IF(InputsCS!$I$2="Pupil Numbers",IF('KS2-4 Combined Science TMs'!$AA$47="Gender",INDEX(INDIRECT(InputsCS!$I$1),1,61),IF('KS2-4 Combined Science TMs'!$AA$47="disadvantage",INDEX(INDIRECT(InputsCS!$I$1),1,105),IF('KS2-4 Combined Science TMs'!$AA$47="sen",INDEX(INDIRECT(InputsCS!$I$1),1,149),IF('KS2-4 Combined Science TMs'!$AA$47="eal",INDEX(INDIRECT(InputsCS!$I$1),1,193),"")))),IF(InputsCS!$I$2="Pupil Percentages",IF('KS2-4 Combined Science TMs'!$AA$47="Gender",INDEX(INDIRECT(InputsCS!$I$1),17,61),IF('KS2-4 Combined Science TMs'!$AA$47="disadvantage",INDEX(INDIRECT(InputsCS!$I$1),17,105),IF('KS2-4 Combined Science TMs'!$AA$47="sen",INDEX(INDIRECT(InputsCS!$I$1),17,149),IF('KS2-4 Combined Science TMs'!$AA$47="eal",INDEX(INDIRECT(InputsCS!$I$1),17,193),"")))))))))),"")</f>
        <v/>
      </c>
      <c r="V63" s="61" t="str">
        <f ca="1">IFERROR(IF(InputsCS!$I$1="Please Select","",IF(InputsCS!$I$2="Please Select","",IF(InputsCS!$I$1="","",IF(InputsCS!$I$2="","",IF(InputsCS!$I$2="Pupil Numbers",IF('KS2-4 Combined Science TMs'!$AA$47="Gender",INDEX(INDIRECT(InputsCS!$I$1),1,62),IF('KS2-4 Combined Science TMs'!$AA$47="disadvantage",INDEX(INDIRECT(InputsCS!$I$1),1,106),IF('KS2-4 Combined Science TMs'!$AA$47="sen",INDEX(INDIRECT(InputsCS!$I$1),1,150),IF('KS2-4 Combined Science TMs'!$AA$47="eal",INDEX(INDIRECT(InputsCS!$I$1),1,194),"")))),IF(InputsCS!$I$2="Pupil Percentages",IF('KS2-4 Combined Science TMs'!$AA$47="Gender",INDEX(INDIRECT(InputsCS!$I$1),17,62),IF('KS2-4 Combined Science TMs'!$AA$47="disadvantage",INDEX(INDIRECT(InputsCS!$I$1),17,106),IF('KS2-4 Combined Science TMs'!$AA$47="sen",INDEX(INDIRECT(InputsCS!$I$1),17,150),IF('KS2-4 Combined Science TMs'!$AA$47="eal",INDEX(INDIRECT(InputsCS!$I$1),17,194),"")))))))))),"")</f>
        <v/>
      </c>
      <c r="AD63" s="12"/>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row>
    <row r="64" spans="3:56" ht="23.1" customHeight="1" x14ac:dyDescent="0.5">
      <c r="C64" s="120"/>
      <c r="D64" s="60" t="s">
        <v>56</v>
      </c>
      <c r="E64" s="61" t="str">
        <f ca="1">IFERROR(IF(InputsCS!$I$1="Please Select","",IF(InputsCS!$I$2="Please Select","",IF(InputsCS!$I$1="","",IF(InputsCS!$I$2="","",IF(InputsCS!$I$2="Pupil Numbers",IF('KS2-4 Combined Science TMs'!$AA$47="Gender",INDEX(INDIRECT(InputsCS!$I$1),2,45),IF('KS2-4 Combined Science TMs'!$AA$47="disadvantage",INDEX(INDIRECT(InputsCS!$I$1),2,89),IF('KS2-4 Combined Science TMs'!$AA$47="sen",INDEX(INDIRECT(InputsCS!$I$1),2,133),IF('KS2-4 Combined Science TMs'!$AA$47="eal",INDEX(INDIRECT(InputsCS!$I$1),2,177),"")))),IF(InputsCS!$I$2="Pupil Percentages",IF('KS2-4 Combined Science TMs'!$AA$47="Gender",INDEX(INDIRECT(InputsCS!$I$1),18,45),IF('KS2-4 Combined Science TMs'!$AA$47="disadvantage",INDEX(INDIRECT(InputsCS!$I$1),18,89),IF('KS2-4 Combined Science TMs'!$AA$47="sen",INDEX(INDIRECT(InputsCS!$I$1),18,133),IF('KS2-4 Combined Science TMs'!$AA$47="eal",INDEX(INDIRECT(InputsCS!$I$1),18,177),"")))))))))),"")</f>
        <v/>
      </c>
      <c r="F64" s="61" t="str">
        <f ca="1">IFERROR(IF(InputsCS!$I$1="Please Select","",IF(InputsCS!$I$2="Please Select","",IF(InputsCS!$I$1="","",IF(InputsCS!$I$2="","",IF(InputsCS!$I$2="Pupil Numbers",IF('KS2-4 Combined Science TMs'!$AA$47="Gender",INDEX(INDIRECT(InputsCS!$I$1),2,46),IF('KS2-4 Combined Science TMs'!$AA$47="disadvantage",INDEX(INDIRECT(InputsCS!$I$1),2,90),IF('KS2-4 Combined Science TMs'!$AA$47="sen",INDEX(INDIRECT(InputsCS!$I$1),2,134),IF('KS2-4 Combined Science TMs'!$AA$47="eal",INDEX(INDIRECT(InputsCS!$I$1),2,178),"")))),IF(InputsCS!$I$2="Pupil Percentages",IF('KS2-4 Combined Science TMs'!$AA$47="Gender",INDEX(INDIRECT(InputsCS!$I$1),18,46),IF('KS2-4 Combined Science TMs'!$AA$47="disadvantage",INDEX(INDIRECT(InputsCS!$I$1),18,90),IF('KS2-4 Combined Science TMs'!$AA$47="sen",INDEX(INDIRECT(InputsCS!$I$1),18,134),IF('KS2-4 Combined Science TMs'!$AA$47="eal",INDEX(INDIRECT(InputsCS!$I$1),18,178),"")))))))))),"")</f>
        <v/>
      </c>
      <c r="G64" s="61" t="str">
        <f ca="1">IFERROR(IF(InputsCS!$I$1="Please Select","",IF(InputsCS!$I$2="Please Select","",IF(InputsCS!$I$1="","",IF(InputsCS!$I$2="","",IF(InputsCS!$I$2="Pupil Numbers",IF('KS2-4 Combined Science TMs'!$AA$47="Gender",INDEX(INDIRECT(InputsCS!$I$1),2,47),IF('KS2-4 Combined Science TMs'!$AA$47="disadvantage",INDEX(INDIRECT(InputsCS!$I$1),2,91),IF('KS2-4 Combined Science TMs'!$AA$47="sen",INDEX(INDIRECT(InputsCS!$I$1),2,135),IF('KS2-4 Combined Science TMs'!$AA$47="eal",INDEX(INDIRECT(InputsCS!$I$1),2,179),"")))),IF(InputsCS!$I$2="Pupil Percentages",IF('KS2-4 Combined Science TMs'!$AA$47="Gender",INDEX(INDIRECT(InputsCS!$I$1),18,47),IF('KS2-4 Combined Science TMs'!$AA$47="disadvantage",INDEX(INDIRECT(InputsCS!$I$1),18,91),IF('KS2-4 Combined Science TMs'!$AA$47="sen",INDEX(INDIRECT(InputsCS!$I$1),18,135),IF('KS2-4 Combined Science TMs'!$AA$47="eal",INDEX(INDIRECT(InputsCS!$I$1),18,179),"")))))))))),"")</f>
        <v/>
      </c>
      <c r="H64" s="61" t="str">
        <f ca="1">IFERROR(IF(InputsCS!$I$1="Please Select","",IF(InputsCS!$I$2="Please Select","",IF(InputsCS!$I$1="","",IF(InputsCS!$I$2="","",IF(InputsCS!$I$2="Pupil Numbers",IF('KS2-4 Combined Science TMs'!$AA$47="Gender",INDEX(INDIRECT(InputsCS!$I$1),2,48),IF('KS2-4 Combined Science TMs'!$AA$47="disadvantage",INDEX(INDIRECT(InputsCS!$I$1),2,92),IF('KS2-4 Combined Science TMs'!$AA$47="sen",INDEX(INDIRECT(InputsCS!$I$1),2,136),IF('KS2-4 Combined Science TMs'!$AA$47="eal",INDEX(INDIRECT(InputsCS!$I$1),2,180),"")))),IF(InputsCS!$I$2="Pupil Percentages",IF('KS2-4 Combined Science TMs'!$AA$47="Gender",INDEX(INDIRECT(InputsCS!$I$1),18,48),IF('KS2-4 Combined Science TMs'!$AA$47="disadvantage",INDEX(INDIRECT(InputsCS!$I$1),18,92),IF('KS2-4 Combined Science TMs'!$AA$47="sen",INDEX(INDIRECT(InputsCS!$I$1),18,136),IF('KS2-4 Combined Science TMs'!$AA$47="eal",INDEX(INDIRECT(InputsCS!$I$1),18,180),"")))))))))),"")</f>
        <v/>
      </c>
      <c r="I64" s="61" t="str">
        <f ca="1">IFERROR(IF(InputsCS!$I$1="Please Select","",IF(InputsCS!$I$2="Please Select","",IF(InputsCS!$I$1="","",IF(InputsCS!$I$2="","",IF(InputsCS!$I$2="Pupil Numbers",IF('KS2-4 Combined Science TMs'!$AA$47="Gender",INDEX(INDIRECT(InputsCS!$I$1),2,49),IF('KS2-4 Combined Science TMs'!$AA$47="disadvantage",INDEX(INDIRECT(InputsCS!$I$1),2,93),IF('KS2-4 Combined Science TMs'!$AA$47="sen",INDEX(INDIRECT(InputsCS!$I$1),2,137),IF('KS2-4 Combined Science TMs'!$AA$47="eal",INDEX(INDIRECT(InputsCS!$I$1),2,181),"")))),IF(InputsCS!$I$2="Pupil Percentages",IF('KS2-4 Combined Science TMs'!$AA$47="Gender",INDEX(INDIRECT(InputsCS!$I$1),18,49),IF('KS2-4 Combined Science TMs'!$AA$47="disadvantage",INDEX(INDIRECT(InputsCS!$I$1),18,93),IF('KS2-4 Combined Science TMs'!$AA$47="sen",INDEX(INDIRECT(InputsCS!$I$1),18,137),IF('KS2-4 Combined Science TMs'!$AA$47="eal",INDEX(INDIRECT(InputsCS!$I$1),18,181),"")))))))))),"")</f>
        <v/>
      </c>
      <c r="J64" s="61" t="str">
        <f ca="1">IFERROR(IF(InputsCS!$I$1="Please Select","",IF(InputsCS!$I$2="Please Select","",IF(InputsCS!$I$1="","",IF(InputsCS!$I$2="","",IF(InputsCS!$I$2="Pupil Numbers",IF('KS2-4 Combined Science TMs'!$AA$47="Gender",INDEX(INDIRECT(InputsCS!$I$1),2,50),IF('KS2-4 Combined Science TMs'!$AA$47="disadvantage",INDEX(INDIRECT(InputsCS!$I$1),2,94),IF('KS2-4 Combined Science TMs'!$AA$47="sen",INDEX(INDIRECT(InputsCS!$I$1),2,138),IF('KS2-4 Combined Science TMs'!$AA$47="eal",INDEX(INDIRECT(InputsCS!$I$1),2,182),"")))),IF(InputsCS!$I$2="Pupil Percentages",IF('KS2-4 Combined Science TMs'!$AA$47="Gender",INDEX(INDIRECT(InputsCS!$I$1),18,50),IF('KS2-4 Combined Science TMs'!$AA$47="disadvantage",INDEX(INDIRECT(InputsCS!$I$1),18,94),IF('KS2-4 Combined Science TMs'!$AA$47="sen",INDEX(INDIRECT(InputsCS!$I$1),18,138),IF('KS2-4 Combined Science TMs'!$AA$47="eal",INDEX(INDIRECT(InputsCS!$I$1),18,182),"")))))))))),"")</f>
        <v/>
      </c>
      <c r="K64" s="61" t="str">
        <f ca="1">IFERROR(IF(InputsCS!$I$1="Please Select","",IF(InputsCS!$I$2="Please Select","",IF(InputsCS!$I$1="","",IF(InputsCS!$I$2="","",IF(InputsCS!$I$2="Pupil Numbers",IF('KS2-4 Combined Science TMs'!$AA$47="Gender",INDEX(INDIRECT(InputsCS!$I$1),2,51),IF('KS2-4 Combined Science TMs'!$AA$47="disadvantage",INDEX(INDIRECT(InputsCS!$I$1),2,95),IF('KS2-4 Combined Science TMs'!$AA$47="sen",INDEX(INDIRECT(InputsCS!$I$1),2,139),IF('KS2-4 Combined Science TMs'!$AA$47="eal",INDEX(INDIRECT(InputsCS!$I$1),2,183),"")))),IF(InputsCS!$I$2="Pupil Percentages",IF('KS2-4 Combined Science TMs'!$AA$47="Gender",INDEX(INDIRECT(InputsCS!$I$1),18,51),IF('KS2-4 Combined Science TMs'!$AA$47="disadvantage",INDEX(INDIRECT(InputsCS!$I$1),18,95),IF('KS2-4 Combined Science TMs'!$AA$47="sen",INDEX(INDIRECT(InputsCS!$I$1),18,139),IF('KS2-4 Combined Science TMs'!$AA$47="eal",INDEX(INDIRECT(InputsCS!$I$1),18,183),"")))))))))),"")</f>
        <v/>
      </c>
      <c r="L64" s="61" t="str">
        <f ca="1">IFERROR(IF(InputsCS!$I$1="Please Select","",IF(InputsCS!$I$2="Please Select","",IF(InputsCS!$I$1="","",IF(InputsCS!$I$2="","",IF(InputsCS!$I$2="Pupil Numbers",IF('KS2-4 Combined Science TMs'!$AA$47="Gender",INDEX(INDIRECT(InputsCS!$I$1),2,52),IF('KS2-4 Combined Science TMs'!$AA$47="disadvantage",INDEX(INDIRECT(InputsCS!$I$1),2,96),IF('KS2-4 Combined Science TMs'!$AA$47="sen",INDEX(INDIRECT(InputsCS!$I$1),2,140),IF('KS2-4 Combined Science TMs'!$AA$47="eal",INDEX(INDIRECT(InputsCS!$I$1),2,184),"")))),IF(InputsCS!$I$2="Pupil Percentages",IF('KS2-4 Combined Science TMs'!$AA$47="Gender",INDEX(INDIRECT(InputsCS!$I$1),18,52),IF('KS2-4 Combined Science TMs'!$AA$47="disadvantage",INDEX(INDIRECT(InputsCS!$I$1),18,96),IF('KS2-4 Combined Science TMs'!$AA$47="sen",INDEX(INDIRECT(InputsCS!$I$1),18,140),IF('KS2-4 Combined Science TMs'!$AA$47="eal",INDEX(INDIRECT(InputsCS!$I$1),18,184),"")))))))))),"")</f>
        <v/>
      </c>
      <c r="M64" s="61" t="str">
        <f ca="1">IFERROR(IF(InputsCS!$I$1="Please Select","",IF(InputsCS!$I$2="Please Select","",IF(InputsCS!$I$1="","",IF(InputsCS!$I$2="","",IF(InputsCS!$I$2="Pupil Numbers",IF('KS2-4 Combined Science TMs'!$AA$47="Gender",INDEX(INDIRECT(InputsCS!$I$1),2,53),IF('KS2-4 Combined Science TMs'!$AA$47="disadvantage",INDEX(INDIRECT(InputsCS!$I$1),2,97),IF('KS2-4 Combined Science TMs'!$AA$47="sen",INDEX(INDIRECT(InputsCS!$I$1),2,141),IF('KS2-4 Combined Science TMs'!$AA$47="eal",INDEX(INDIRECT(InputsCS!$I$1),2,185),"")))),IF(InputsCS!$I$2="Pupil Percentages",IF('KS2-4 Combined Science TMs'!$AA$47="Gender",INDEX(INDIRECT(InputsCS!$I$1),18,53),IF('KS2-4 Combined Science TMs'!$AA$47="disadvantage",INDEX(INDIRECT(InputsCS!$I$1),18,97),IF('KS2-4 Combined Science TMs'!$AA$47="sen",INDEX(INDIRECT(InputsCS!$I$1),18,141),IF('KS2-4 Combined Science TMs'!$AA$47="eal",INDEX(INDIRECT(InputsCS!$I$1),18,185),"")))))))))),"")</f>
        <v/>
      </c>
      <c r="N64" s="61" t="str">
        <f ca="1">IFERROR(IF(InputsCS!$I$1="Please Select","",IF(InputsCS!$I$2="Please Select","",IF(InputsCS!$I$1="","",IF(InputsCS!$I$2="","",IF(InputsCS!$I$2="Pupil Numbers",IF('KS2-4 Combined Science TMs'!$AA$47="Gender",INDEX(INDIRECT(InputsCS!$I$1),2,54),IF('KS2-4 Combined Science TMs'!$AA$47="disadvantage",INDEX(INDIRECT(InputsCS!$I$1),2,98),IF('KS2-4 Combined Science TMs'!$AA$47="sen",INDEX(INDIRECT(InputsCS!$I$1),2,142),IF('KS2-4 Combined Science TMs'!$AA$47="eal",INDEX(INDIRECT(InputsCS!$I$1),2,186),"")))),IF(InputsCS!$I$2="Pupil Percentages",IF('KS2-4 Combined Science TMs'!$AA$47="Gender",INDEX(INDIRECT(InputsCS!$I$1),18,54),IF('KS2-4 Combined Science TMs'!$AA$47="disadvantage",INDEX(INDIRECT(InputsCS!$I$1),18,98),IF('KS2-4 Combined Science TMs'!$AA$47="sen",INDEX(INDIRECT(InputsCS!$I$1),18,142),IF('KS2-4 Combined Science TMs'!$AA$47="eal",INDEX(INDIRECT(InputsCS!$I$1),18,186),"")))))))))),"")</f>
        <v/>
      </c>
      <c r="O64" s="61" t="str">
        <f ca="1">IFERROR(IF(InputsCS!$I$1="Please Select","",IF(InputsCS!$I$2="Please Select","",IF(InputsCS!$I$1="","",IF(InputsCS!$I$2="","",IF(InputsCS!$I$2="Pupil Numbers",IF('KS2-4 Combined Science TMs'!$AA$47="Gender",INDEX(INDIRECT(InputsCS!$I$1),2,55),IF('KS2-4 Combined Science TMs'!$AA$47="disadvantage",INDEX(INDIRECT(InputsCS!$I$1),2,99),IF('KS2-4 Combined Science TMs'!$AA$47="sen",INDEX(INDIRECT(InputsCS!$I$1),2,143),IF('KS2-4 Combined Science TMs'!$AA$47="eal",INDEX(INDIRECT(InputsCS!$I$1),2,187),"")))),IF(InputsCS!$I$2="Pupil Percentages",IF('KS2-4 Combined Science TMs'!$AA$47="Gender",INDEX(INDIRECT(InputsCS!$I$1),18,55),IF('KS2-4 Combined Science TMs'!$AA$47="disadvantage",INDEX(INDIRECT(InputsCS!$I$1),18,99),IF('KS2-4 Combined Science TMs'!$AA$47="sen",INDEX(INDIRECT(InputsCS!$I$1),18,143),IF('KS2-4 Combined Science TMs'!$AA$47="eal",INDEX(INDIRECT(InputsCS!$I$1),18,187),"")))))))))),"")</f>
        <v/>
      </c>
      <c r="P64" s="61" t="str">
        <f ca="1">IFERROR(IF(InputsCS!$I$1="Please Select","",IF(InputsCS!$I$2="Please Select","",IF(InputsCS!$I$1="","",IF(InputsCS!$I$2="","",IF(InputsCS!$I$2="Pupil Numbers",IF('KS2-4 Combined Science TMs'!$AA$47="Gender",INDEX(INDIRECT(InputsCS!$I$1),2,56),IF('KS2-4 Combined Science TMs'!$AA$47="disadvantage",INDEX(INDIRECT(InputsCS!$I$1),2,100),IF('KS2-4 Combined Science TMs'!$AA$47="sen",INDEX(INDIRECT(InputsCS!$I$1),2,144),IF('KS2-4 Combined Science TMs'!$AA$47="eal",INDEX(INDIRECT(InputsCS!$I$1),2,188),"")))),IF(InputsCS!$I$2="Pupil Percentages",IF('KS2-4 Combined Science TMs'!$AA$47="Gender",INDEX(INDIRECT(InputsCS!$I$1),18,56),IF('KS2-4 Combined Science TMs'!$AA$47="disadvantage",INDEX(INDIRECT(InputsCS!$I$1),18,100),IF('KS2-4 Combined Science TMs'!$AA$47="sen",INDEX(INDIRECT(InputsCS!$I$1),18,144),IF('KS2-4 Combined Science TMs'!$AA$47="eal",INDEX(INDIRECT(InputsCS!$I$1),18,188),"")))))))))),"")</f>
        <v/>
      </c>
      <c r="Q64" s="61" t="str">
        <f ca="1">IFERROR(IF(InputsCS!$I$1="Please Select","",IF(InputsCS!$I$2="Please Select","",IF(InputsCS!$I$1="","",IF(InputsCS!$I$2="","",IF(InputsCS!$I$2="Pupil Numbers",IF('KS2-4 Combined Science TMs'!$AA$47="Gender",INDEX(INDIRECT(InputsCS!$I$1),2,57),IF('KS2-4 Combined Science TMs'!$AA$47="disadvantage",INDEX(INDIRECT(InputsCS!$I$1),2,101),IF('KS2-4 Combined Science TMs'!$AA$47="sen",INDEX(INDIRECT(InputsCS!$I$1),2,145),IF('KS2-4 Combined Science TMs'!$AA$47="eal",INDEX(INDIRECT(InputsCS!$I$1),2,189),"")))),IF(InputsCS!$I$2="Pupil Percentages",IF('KS2-4 Combined Science TMs'!$AA$47="Gender",INDEX(INDIRECT(InputsCS!$I$1),18,57),IF('KS2-4 Combined Science TMs'!$AA$47="disadvantage",INDEX(INDIRECT(InputsCS!$I$1),18,101),IF('KS2-4 Combined Science TMs'!$AA$47="sen",INDEX(INDIRECT(InputsCS!$I$1),18,145),IF('KS2-4 Combined Science TMs'!$AA$47="eal",INDEX(INDIRECT(InputsCS!$I$1),18,189),"")))))))))),"")</f>
        <v/>
      </c>
      <c r="R64" s="61" t="str">
        <f ca="1">IFERROR(IF(InputsCS!$I$1="Please Select","",IF(InputsCS!$I$2="Please Select","",IF(InputsCS!$I$1="","",IF(InputsCS!$I$2="","",IF(InputsCS!$I$2="Pupil Numbers",IF('KS2-4 Combined Science TMs'!$AA$47="Gender",INDEX(INDIRECT(InputsCS!$I$1),2,58),IF('KS2-4 Combined Science TMs'!$AA$47="disadvantage",INDEX(INDIRECT(InputsCS!$I$1),2,102),IF('KS2-4 Combined Science TMs'!$AA$47="sen",INDEX(INDIRECT(InputsCS!$I$1),2,146),IF('KS2-4 Combined Science TMs'!$AA$47="eal",INDEX(INDIRECT(InputsCS!$I$1),2,190),"")))),IF(InputsCS!$I$2="Pupil Percentages",IF('KS2-4 Combined Science TMs'!$AA$47="Gender",INDEX(INDIRECT(InputsCS!$I$1),18,58),IF('KS2-4 Combined Science TMs'!$AA$47="disadvantage",INDEX(INDIRECT(InputsCS!$I$1),18,102),IF('KS2-4 Combined Science TMs'!$AA$47="sen",INDEX(INDIRECT(InputsCS!$I$1),18,146),IF('KS2-4 Combined Science TMs'!$AA$47="eal",INDEX(INDIRECT(InputsCS!$I$1),18,190),"")))))))))),"")</f>
        <v/>
      </c>
      <c r="S64" s="61" t="str">
        <f ca="1">IFERROR(IF(InputsCS!$I$1="Please Select","",IF(InputsCS!$I$2="Please Select","",IF(InputsCS!$I$1="","",IF(InputsCS!$I$2="","",IF(InputsCS!$I$2="Pupil Numbers",IF('KS2-4 Combined Science TMs'!$AA$47="Gender",INDEX(INDIRECT(InputsCS!$I$1),2,59),IF('KS2-4 Combined Science TMs'!$AA$47="disadvantage",INDEX(INDIRECT(InputsCS!$I$1),2,103),IF('KS2-4 Combined Science TMs'!$AA$47="sen",INDEX(INDIRECT(InputsCS!$I$1),2,147),IF('KS2-4 Combined Science TMs'!$AA$47="eal",INDEX(INDIRECT(InputsCS!$I$1),2,191),"")))),IF(InputsCS!$I$2="Pupil Percentages",IF('KS2-4 Combined Science TMs'!$AA$47="Gender",INDEX(INDIRECT(InputsCS!$I$1),18,59),IF('KS2-4 Combined Science TMs'!$AA$47="disadvantage",INDEX(INDIRECT(InputsCS!$I$1),18,103),IF('KS2-4 Combined Science TMs'!$AA$47="sen",INDEX(INDIRECT(InputsCS!$I$1),18,147),IF('KS2-4 Combined Science TMs'!$AA$47="eal",INDEX(INDIRECT(InputsCS!$I$1),18,191),"")))))))))),"")</f>
        <v/>
      </c>
      <c r="T64" s="61" t="str">
        <f ca="1">IFERROR(IF(InputsCS!$I$1="Please Select","",IF(InputsCS!$I$2="Please Select","",IF(InputsCS!$I$1="","",IF(InputsCS!$I$2="","",IF(InputsCS!$I$2="Pupil Numbers",IF('KS2-4 Combined Science TMs'!$AA$47="Gender",INDEX(INDIRECT(InputsCS!$I$1),2,60),IF('KS2-4 Combined Science TMs'!$AA$47="disadvantage",INDEX(INDIRECT(InputsCS!$I$1),2,104),IF('KS2-4 Combined Science TMs'!$AA$47="sen",INDEX(INDIRECT(InputsCS!$I$1),2,148),IF('KS2-4 Combined Science TMs'!$AA$47="eal",INDEX(INDIRECT(InputsCS!$I$1),2,192),"")))),IF(InputsCS!$I$2="Pupil Percentages",IF('KS2-4 Combined Science TMs'!$AA$47="Gender",INDEX(INDIRECT(InputsCS!$I$1),18,60),IF('KS2-4 Combined Science TMs'!$AA$47="disadvantage",INDEX(INDIRECT(InputsCS!$I$1),18,104),IF('KS2-4 Combined Science TMs'!$AA$47="sen",INDEX(INDIRECT(InputsCS!$I$1),18,148),IF('KS2-4 Combined Science TMs'!$AA$47="eal",INDEX(INDIRECT(InputsCS!$I$1),18,192),"")))))))))),"")</f>
        <v/>
      </c>
      <c r="U64" s="61" t="str">
        <f ca="1">IFERROR(IF(InputsCS!$I$1="Please Select","",IF(InputsCS!$I$2="Please Select","",IF(InputsCS!$I$1="","",IF(InputsCS!$I$2="","",IF(InputsCS!$I$2="Pupil Numbers",IF('KS2-4 Combined Science TMs'!$AA$47="Gender",INDEX(INDIRECT(InputsCS!$I$1),2,61),IF('KS2-4 Combined Science TMs'!$AA$47="disadvantage",INDEX(INDIRECT(InputsCS!$I$1),2,105),IF('KS2-4 Combined Science TMs'!$AA$47="sen",INDEX(INDIRECT(InputsCS!$I$1),2,149),IF('KS2-4 Combined Science TMs'!$AA$47="eal",INDEX(INDIRECT(InputsCS!$I$1),2,193),"")))),IF(InputsCS!$I$2="Pupil Percentages",IF('KS2-4 Combined Science TMs'!$AA$47="Gender",INDEX(INDIRECT(InputsCS!$I$1),18,61),IF('KS2-4 Combined Science TMs'!$AA$47="disadvantage",INDEX(INDIRECT(InputsCS!$I$1),18,105),IF('KS2-4 Combined Science TMs'!$AA$47="sen",INDEX(INDIRECT(InputsCS!$I$1),18,149),IF('KS2-4 Combined Science TMs'!$AA$47="eal",INDEX(INDIRECT(InputsCS!$I$1),18,193),"")))))))))),"")</f>
        <v/>
      </c>
      <c r="V64" s="61" t="str">
        <f ca="1">IFERROR(IF(InputsCS!$I$1="Please Select","",IF(InputsCS!$I$2="Please Select","",IF(InputsCS!$I$1="","",IF(InputsCS!$I$2="","",IF(InputsCS!$I$2="Pupil Numbers",IF('KS2-4 Combined Science TMs'!$AA$47="Gender",INDEX(INDIRECT(InputsCS!$I$1),2,62),IF('KS2-4 Combined Science TMs'!$AA$47="disadvantage",INDEX(INDIRECT(InputsCS!$I$1),2,106),IF('KS2-4 Combined Science TMs'!$AA$47="sen",INDEX(INDIRECT(InputsCS!$I$1),2,150),IF('KS2-4 Combined Science TMs'!$AA$47="eal",INDEX(INDIRECT(InputsCS!$I$1),2,194),"")))),IF(InputsCS!$I$2="Pupil Percentages",IF('KS2-4 Combined Science TMs'!$AA$47="Gender",INDEX(INDIRECT(InputsCS!$I$1),18,62),IF('KS2-4 Combined Science TMs'!$AA$47="disadvantage",INDEX(INDIRECT(InputsCS!$I$1),18,106),IF('KS2-4 Combined Science TMs'!$AA$47="sen",INDEX(INDIRECT(InputsCS!$I$1),18,150),IF('KS2-4 Combined Science TMs'!$AA$47="eal",INDEX(INDIRECT(InputsCS!$I$1),18,194),"")))))))))),"")</f>
        <v/>
      </c>
      <c r="AD64" s="12"/>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row>
    <row r="65" spans="3:56" ht="23.1" customHeight="1" x14ac:dyDescent="0.5">
      <c r="C65" s="120"/>
      <c r="D65" s="60" t="s">
        <v>2</v>
      </c>
      <c r="E65" s="61" t="str">
        <f ca="1">IFERROR(IF(InputsCS!$I$1="Please Select","",IF(InputsCS!$I$2="Please Select","",IF(InputsCS!$I$1="","",IF(InputsCS!$I$2="","",IF(InputsCS!$I$2="Pupil Numbers",IF('KS2-4 Combined Science TMs'!$AA$47="Gender",INDEX(INDIRECT(InputsCS!$I$1),3,45),IF('KS2-4 Combined Science TMs'!$AA$47="disadvantage",INDEX(INDIRECT(InputsCS!$I$1),3,89),IF('KS2-4 Combined Science TMs'!$AA$47="sen",INDEX(INDIRECT(InputsCS!$I$1),3,133),IF('KS2-4 Combined Science TMs'!$AA$47="eal",INDEX(INDIRECT(InputsCS!$I$1),3,177),"")))),IF(InputsCS!$I$2="Pupil Percentages",IF('KS2-4 Combined Science TMs'!$AA$47="Gender",INDEX(INDIRECT(InputsCS!$I$1),19,45),IF('KS2-4 Combined Science TMs'!$AA$47="disadvantage",INDEX(INDIRECT(InputsCS!$I$1),19,89),IF('KS2-4 Combined Science TMs'!$AA$47="sen",INDEX(INDIRECT(InputsCS!$I$1),19,133),IF('KS2-4 Combined Science TMs'!$AA$47="eal",INDEX(INDIRECT(InputsCS!$I$1),19,177),"")))))))))),"")</f>
        <v/>
      </c>
      <c r="F65" s="61" t="str">
        <f ca="1">IFERROR(IF(InputsCS!$I$1="Please Select","",IF(InputsCS!$I$2="Please Select","",IF(InputsCS!$I$1="","",IF(InputsCS!$I$2="","",IF(InputsCS!$I$2="Pupil Numbers",IF('KS2-4 Combined Science TMs'!$AA$47="Gender",INDEX(INDIRECT(InputsCS!$I$1),3,46),IF('KS2-4 Combined Science TMs'!$AA$47="disadvantage",INDEX(INDIRECT(InputsCS!$I$1),3,90),IF('KS2-4 Combined Science TMs'!$AA$47="sen",INDEX(INDIRECT(InputsCS!$I$1),3,134),IF('KS2-4 Combined Science TMs'!$AA$47="eal",INDEX(INDIRECT(InputsCS!$I$1),3,178),"")))),IF(InputsCS!$I$2="Pupil Percentages",IF('KS2-4 Combined Science TMs'!$AA$47="Gender",INDEX(INDIRECT(InputsCS!$I$1),19,46),IF('KS2-4 Combined Science TMs'!$AA$47="disadvantage",INDEX(INDIRECT(InputsCS!$I$1),19,90),IF('KS2-4 Combined Science TMs'!$AA$47="sen",INDEX(INDIRECT(InputsCS!$I$1),19,134),IF('KS2-4 Combined Science TMs'!$AA$47="eal",INDEX(INDIRECT(InputsCS!$I$1),19,178),"")))))))))),"")</f>
        <v/>
      </c>
      <c r="G65" s="61" t="str">
        <f ca="1">IFERROR(IF(InputsCS!$I$1="Please Select","",IF(InputsCS!$I$2="Please Select","",IF(InputsCS!$I$1="","",IF(InputsCS!$I$2="","",IF(InputsCS!$I$2="Pupil Numbers",IF('KS2-4 Combined Science TMs'!$AA$47="Gender",INDEX(INDIRECT(InputsCS!$I$1),3,47),IF('KS2-4 Combined Science TMs'!$AA$47="disadvantage",INDEX(INDIRECT(InputsCS!$I$1),3,91),IF('KS2-4 Combined Science TMs'!$AA$47="sen",INDEX(INDIRECT(InputsCS!$I$1),3,135),IF('KS2-4 Combined Science TMs'!$AA$47="eal",INDEX(INDIRECT(InputsCS!$I$1),3,179),"")))),IF(InputsCS!$I$2="Pupil Percentages",IF('KS2-4 Combined Science TMs'!$AA$47="Gender",INDEX(INDIRECT(InputsCS!$I$1),19,47),IF('KS2-4 Combined Science TMs'!$AA$47="disadvantage",INDEX(INDIRECT(InputsCS!$I$1),19,91),IF('KS2-4 Combined Science TMs'!$AA$47="sen",INDEX(INDIRECT(InputsCS!$I$1),19,135),IF('KS2-4 Combined Science TMs'!$AA$47="eal",INDEX(INDIRECT(InputsCS!$I$1),19,179),"")))))))))),"")</f>
        <v/>
      </c>
      <c r="H65" s="61" t="str">
        <f ca="1">IFERROR(IF(InputsCS!$I$1="Please Select","",IF(InputsCS!$I$2="Please Select","",IF(InputsCS!$I$1="","",IF(InputsCS!$I$2="","",IF(InputsCS!$I$2="Pupil Numbers",IF('KS2-4 Combined Science TMs'!$AA$47="Gender",INDEX(INDIRECT(InputsCS!$I$1),3,48),IF('KS2-4 Combined Science TMs'!$AA$47="disadvantage",INDEX(INDIRECT(InputsCS!$I$1),3,92),IF('KS2-4 Combined Science TMs'!$AA$47="sen",INDEX(INDIRECT(InputsCS!$I$1),3,136),IF('KS2-4 Combined Science TMs'!$AA$47="eal",INDEX(INDIRECT(InputsCS!$I$1),3,180),"")))),IF(InputsCS!$I$2="Pupil Percentages",IF('KS2-4 Combined Science TMs'!$AA$47="Gender",INDEX(INDIRECT(InputsCS!$I$1),19,48),IF('KS2-4 Combined Science TMs'!$AA$47="disadvantage",INDEX(INDIRECT(InputsCS!$I$1),19,92),IF('KS2-4 Combined Science TMs'!$AA$47="sen",INDEX(INDIRECT(InputsCS!$I$1),19,136),IF('KS2-4 Combined Science TMs'!$AA$47="eal",INDEX(INDIRECT(InputsCS!$I$1),19,180),"")))))))))),"")</f>
        <v/>
      </c>
      <c r="I65" s="61" t="str">
        <f ca="1">IFERROR(IF(InputsCS!$I$1="Please Select","",IF(InputsCS!$I$2="Please Select","",IF(InputsCS!$I$1="","",IF(InputsCS!$I$2="","",IF(InputsCS!$I$2="Pupil Numbers",IF('KS2-4 Combined Science TMs'!$AA$47="Gender",INDEX(INDIRECT(InputsCS!$I$1),3,49),IF('KS2-4 Combined Science TMs'!$AA$47="disadvantage",INDEX(INDIRECT(InputsCS!$I$1),3,93),IF('KS2-4 Combined Science TMs'!$AA$47="sen",INDEX(INDIRECT(InputsCS!$I$1),3,137),IF('KS2-4 Combined Science TMs'!$AA$47="eal",INDEX(INDIRECT(InputsCS!$I$1),3,181),"")))),IF(InputsCS!$I$2="Pupil Percentages",IF('KS2-4 Combined Science TMs'!$AA$47="Gender",INDEX(INDIRECT(InputsCS!$I$1),19,49),IF('KS2-4 Combined Science TMs'!$AA$47="disadvantage",INDEX(INDIRECT(InputsCS!$I$1),19,93),IF('KS2-4 Combined Science TMs'!$AA$47="sen",INDEX(INDIRECT(InputsCS!$I$1),19,137),IF('KS2-4 Combined Science TMs'!$AA$47="eal",INDEX(INDIRECT(InputsCS!$I$1),19,181),"")))))))))),"")</f>
        <v/>
      </c>
      <c r="J65" s="61" t="str">
        <f ca="1">IFERROR(IF(InputsCS!$I$1="Please Select","",IF(InputsCS!$I$2="Please Select","",IF(InputsCS!$I$1="","",IF(InputsCS!$I$2="","",IF(InputsCS!$I$2="Pupil Numbers",IF('KS2-4 Combined Science TMs'!$AA$47="Gender",INDEX(INDIRECT(InputsCS!$I$1),3,50),IF('KS2-4 Combined Science TMs'!$AA$47="disadvantage",INDEX(INDIRECT(InputsCS!$I$1),3,94),IF('KS2-4 Combined Science TMs'!$AA$47="sen",INDEX(INDIRECT(InputsCS!$I$1),3,138),IF('KS2-4 Combined Science TMs'!$AA$47="eal",INDEX(INDIRECT(InputsCS!$I$1),3,182),"")))),IF(InputsCS!$I$2="Pupil Percentages",IF('KS2-4 Combined Science TMs'!$AA$47="Gender",INDEX(INDIRECT(InputsCS!$I$1),19,50),IF('KS2-4 Combined Science TMs'!$AA$47="disadvantage",INDEX(INDIRECT(InputsCS!$I$1),19,94),IF('KS2-4 Combined Science TMs'!$AA$47="sen",INDEX(INDIRECT(InputsCS!$I$1),19,138),IF('KS2-4 Combined Science TMs'!$AA$47="eal",INDEX(INDIRECT(InputsCS!$I$1),19,182),"")))))))))),"")</f>
        <v/>
      </c>
      <c r="K65" s="61" t="str">
        <f ca="1">IFERROR(IF(InputsCS!$I$1="Please Select","",IF(InputsCS!$I$2="Please Select","",IF(InputsCS!$I$1="","",IF(InputsCS!$I$2="","",IF(InputsCS!$I$2="Pupil Numbers",IF('KS2-4 Combined Science TMs'!$AA$47="Gender",INDEX(INDIRECT(InputsCS!$I$1),3,51),IF('KS2-4 Combined Science TMs'!$AA$47="disadvantage",INDEX(INDIRECT(InputsCS!$I$1),3,95),IF('KS2-4 Combined Science TMs'!$AA$47="sen",INDEX(INDIRECT(InputsCS!$I$1),3,139),IF('KS2-4 Combined Science TMs'!$AA$47="eal",INDEX(INDIRECT(InputsCS!$I$1),3,183),"")))),IF(InputsCS!$I$2="Pupil Percentages",IF('KS2-4 Combined Science TMs'!$AA$47="Gender",INDEX(INDIRECT(InputsCS!$I$1),19,51),IF('KS2-4 Combined Science TMs'!$AA$47="disadvantage",INDEX(INDIRECT(InputsCS!$I$1),19,95),IF('KS2-4 Combined Science TMs'!$AA$47="sen",INDEX(INDIRECT(InputsCS!$I$1),19,139),IF('KS2-4 Combined Science TMs'!$AA$47="eal",INDEX(INDIRECT(InputsCS!$I$1),19,183),"")))))))))),"")</f>
        <v/>
      </c>
      <c r="L65" s="61" t="str">
        <f ca="1">IFERROR(IF(InputsCS!$I$1="Please Select","",IF(InputsCS!$I$2="Please Select","",IF(InputsCS!$I$1="","",IF(InputsCS!$I$2="","",IF(InputsCS!$I$2="Pupil Numbers",IF('KS2-4 Combined Science TMs'!$AA$47="Gender",INDEX(INDIRECT(InputsCS!$I$1),3,52),IF('KS2-4 Combined Science TMs'!$AA$47="disadvantage",INDEX(INDIRECT(InputsCS!$I$1),3,96),IF('KS2-4 Combined Science TMs'!$AA$47="sen",INDEX(INDIRECT(InputsCS!$I$1),3,140),IF('KS2-4 Combined Science TMs'!$AA$47="eal",INDEX(INDIRECT(InputsCS!$I$1),3,184),"")))),IF(InputsCS!$I$2="Pupil Percentages",IF('KS2-4 Combined Science TMs'!$AA$47="Gender",INDEX(INDIRECT(InputsCS!$I$1),19,52),IF('KS2-4 Combined Science TMs'!$AA$47="disadvantage",INDEX(INDIRECT(InputsCS!$I$1),19,96),IF('KS2-4 Combined Science TMs'!$AA$47="sen",INDEX(INDIRECT(InputsCS!$I$1),19,140),IF('KS2-4 Combined Science TMs'!$AA$47="eal",INDEX(INDIRECT(InputsCS!$I$1),19,184),"")))))))))),"")</f>
        <v/>
      </c>
      <c r="M65" s="61" t="str">
        <f ca="1">IFERROR(IF(InputsCS!$I$1="Please Select","",IF(InputsCS!$I$2="Please Select","",IF(InputsCS!$I$1="","",IF(InputsCS!$I$2="","",IF(InputsCS!$I$2="Pupil Numbers",IF('KS2-4 Combined Science TMs'!$AA$47="Gender",INDEX(INDIRECT(InputsCS!$I$1),3,53),IF('KS2-4 Combined Science TMs'!$AA$47="disadvantage",INDEX(INDIRECT(InputsCS!$I$1),3,97),IF('KS2-4 Combined Science TMs'!$AA$47="sen",INDEX(INDIRECT(InputsCS!$I$1),3,141),IF('KS2-4 Combined Science TMs'!$AA$47="eal",INDEX(INDIRECT(InputsCS!$I$1),3,185),"")))),IF(InputsCS!$I$2="Pupil Percentages",IF('KS2-4 Combined Science TMs'!$AA$47="Gender",INDEX(INDIRECT(InputsCS!$I$1),19,53),IF('KS2-4 Combined Science TMs'!$AA$47="disadvantage",INDEX(INDIRECT(InputsCS!$I$1),19,97),IF('KS2-4 Combined Science TMs'!$AA$47="sen",INDEX(INDIRECT(InputsCS!$I$1),19,141),IF('KS2-4 Combined Science TMs'!$AA$47="eal",INDEX(INDIRECT(InputsCS!$I$1),19,185),"")))))))))),"")</f>
        <v/>
      </c>
      <c r="N65" s="61" t="str">
        <f ca="1">IFERROR(IF(InputsCS!$I$1="Please Select","",IF(InputsCS!$I$2="Please Select","",IF(InputsCS!$I$1="","",IF(InputsCS!$I$2="","",IF(InputsCS!$I$2="Pupil Numbers",IF('KS2-4 Combined Science TMs'!$AA$47="Gender",INDEX(INDIRECT(InputsCS!$I$1),3,54),IF('KS2-4 Combined Science TMs'!$AA$47="disadvantage",INDEX(INDIRECT(InputsCS!$I$1),3,98),IF('KS2-4 Combined Science TMs'!$AA$47="sen",INDEX(INDIRECT(InputsCS!$I$1),3,142),IF('KS2-4 Combined Science TMs'!$AA$47="eal",INDEX(INDIRECT(InputsCS!$I$1),3,186),"")))),IF(InputsCS!$I$2="Pupil Percentages",IF('KS2-4 Combined Science TMs'!$AA$47="Gender",INDEX(INDIRECT(InputsCS!$I$1),19,54),IF('KS2-4 Combined Science TMs'!$AA$47="disadvantage",INDEX(INDIRECT(InputsCS!$I$1),19,98),IF('KS2-4 Combined Science TMs'!$AA$47="sen",INDEX(INDIRECT(InputsCS!$I$1),19,142),IF('KS2-4 Combined Science TMs'!$AA$47="eal",INDEX(INDIRECT(InputsCS!$I$1),19,186),"")))))))))),"")</f>
        <v/>
      </c>
      <c r="O65" s="61" t="str">
        <f ca="1">IFERROR(IF(InputsCS!$I$1="Please Select","",IF(InputsCS!$I$2="Please Select","",IF(InputsCS!$I$1="","",IF(InputsCS!$I$2="","",IF(InputsCS!$I$2="Pupil Numbers",IF('KS2-4 Combined Science TMs'!$AA$47="Gender",INDEX(INDIRECT(InputsCS!$I$1),3,55),IF('KS2-4 Combined Science TMs'!$AA$47="disadvantage",INDEX(INDIRECT(InputsCS!$I$1),3,99),IF('KS2-4 Combined Science TMs'!$AA$47="sen",INDEX(INDIRECT(InputsCS!$I$1),3,143),IF('KS2-4 Combined Science TMs'!$AA$47="eal",INDEX(INDIRECT(InputsCS!$I$1),3,187),"")))),IF(InputsCS!$I$2="Pupil Percentages",IF('KS2-4 Combined Science TMs'!$AA$47="Gender",INDEX(INDIRECT(InputsCS!$I$1),19,55),IF('KS2-4 Combined Science TMs'!$AA$47="disadvantage",INDEX(INDIRECT(InputsCS!$I$1),19,99),IF('KS2-4 Combined Science TMs'!$AA$47="sen",INDEX(INDIRECT(InputsCS!$I$1),19,143),IF('KS2-4 Combined Science TMs'!$AA$47="eal",INDEX(INDIRECT(InputsCS!$I$1),19,187),"")))))))))),"")</f>
        <v/>
      </c>
      <c r="P65" s="61" t="str">
        <f ca="1">IFERROR(IF(InputsCS!$I$1="Please Select","",IF(InputsCS!$I$2="Please Select","",IF(InputsCS!$I$1="","",IF(InputsCS!$I$2="","",IF(InputsCS!$I$2="Pupil Numbers",IF('KS2-4 Combined Science TMs'!$AA$47="Gender",INDEX(INDIRECT(InputsCS!$I$1),3,56),IF('KS2-4 Combined Science TMs'!$AA$47="disadvantage",INDEX(INDIRECT(InputsCS!$I$1),3,100),IF('KS2-4 Combined Science TMs'!$AA$47="sen",INDEX(INDIRECT(InputsCS!$I$1),3,144),IF('KS2-4 Combined Science TMs'!$AA$47="eal",INDEX(INDIRECT(InputsCS!$I$1),3,188),"")))),IF(InputsCS!$I$2="Pupil Percentages",IF('KS2-4 Combined Science TMs'!$AA$47="Gender",INDEX(INDIRECT(InputsCS!$I$1),19,56),IF('KS2-4 Combined Science TMs'!$AA$47="disadvantage",INDEX(INDIRECT(InputsCS!$I$1),19,100),IF('KS2-4 Combined Science TMs'!$AA$47="sen",INDEX(INDIRECT(InputsCS!$I$1),19,144),IF('KS2-4 Combined Science TMs'!$AA$47="eal",INDEX(INDIRECT(InputsCS!$I$1),19,188),"")))))))))),"")</f>
        <v/>
      </c>
      <c r="Q65" s="61" t="str">
        <f ca="1">IFERROR(IF(InputsCS!$I$1="Please Select","",IF(InputsCS!$I$2="Please Select","",IF(InputsCS!$I$1="","",IF(InputsCS!$I$2="","",IF(InputsCS!$I$2="Pupil Numbers",IF('KS2-4 Combined Science TMs'!$AA$47="Gender",INDEX(INDIRECT(InputsCS!$I$1),3,57),IF('KS2-4 Combined Science TMs'!$AA$47="disadvantage",INDEX(INDIRECT(InputsCS!$I$1),3,101),IF('KS2-4 Combined Science TMs'!$AA$47="sen",INDEX(INDIRECT(InputsCS!$I$1),3,145),IF('KS2-4 Combined Science TMs'!$AA$47="eal",INDEX(INDIRECT(InputsCS!$I$1),3,189),"")))),IF(InputsCS!$I$2="Pupil Percentages",IF('KS2-4 Combined Science TMs'!$AA$47="Gender",INDEX(INDIRECT(InputsCS!$I$1),19,57),IF('KS2-4 Combined Science TMs'!$AA$47="disadvantage",INDEX(INDIRECT(InputsCS!$I$1),19,101),IF('KS2-4 Combined Science TMs'!$AA$47="sen",INDEX(INDIRECT(InputsCS!$I$1),19,145),IF('KS2-4 Combined Science TMs'!$AA$47="eal",INDEX(INDIRECT(InputsCS!$I$1),19,189),"")))))))))),"")</f>
        <v/>
      </c>
      <c r="R65" s="61" t="str">
        <f ca="1">IFERROR(IF(InputsCS!$I$1="Please Select","",IF(InputsCS!$I$2="Please Select","",IF(InputsCS!$I$1="","",IF(InputsCS!$I$2="","",IF(InputsCS!$I$2="Pupil Numbers",IF('KS2-4 Combined Science TMs'!$AA$47="Gender",INDEX(INDIRECT(InputsCS!$I$1),3,58),IF('KS2-4 Combined Science TMs'!$AA$47="disadvantage",INDEX(INDIRECT(InputsCS!$I$1),3,102),IF('KS2-4 Combined Science TMs'!$AA$47="sen",INDEX(INDIRECT(InputsCS!$I$1),3,146),IF('KS2-4 Combined Science TMs'!$AA$47="eal",INDEX(INDIRECT(InputsCS!$I$1),3,190),"")))),IF(InputsCS!$I$2="Pupil Percentages",IF('KS2-4 Combined Science TMs'!$AA$47="Gender",INDEX(INDIRECT(InputsCS!$I$1),19,58),IF('KS2-4 Combined Science TMs'!$AA$47="disadvantage",INDEX(INDIRECT(InputsCS!$I$1),19,102),IF('KS2-4 Combined Science TMs'!$AA$47="sen",INDEX(INDIRECT(InputsCS!$I$1),19,146),IF('KS2-4 Combined Science TMs'!$AA$47="eal",INDEX(INDIRECT(InputsCS!$I$1),19,190),"")))))))))),"")</f>
        <v/>
      </c>
      <c r="S65" s="61" t="str">
        <f ca="1">IFERROR(IF(InputsCS!$I$1="Please Select","",IF(InputsCS!$I$2="Please Select","",IF(InputsCS!$I$1="","",IF(InputsCS!$I$2="","",IF(InputsCS!$I$2="Pupil Numbers",IF('KS2-4 Combined Science TMs'!$AA$47="Gender",INDEX(INDIRECT(InputsCS!$I$1),3,59),IF('KS2-4 Combined Science TMs'!$AA$47="disadvantage",INDEX(INDIRECT(InputsCS!$I$1),3,103),IF('KS2-4 Combined Science TMs'!$AA$47="sen",INDEX(INDIRECT(InputsCS!$I$1),3,147),IF('KS2-4 Combined Science TMs'!$AA$47="eal",INDEX(INDIRECT(InputsCS!$I$1),3,191),"")))),IF(InputsCS!$I$2="Pupil Percentages",IF('KS2-4 Combined Science TMs'!$AA$47="Gender",INDEX(INDIRECT(InputsCS!$I$1),19,59),IF('KS2-4 Combined Science TMs'!$AA$47="disadvantage",INDEX(INDIRECT(InputsCS!$I$1),19,103),IF('KS2-4 Combined Science TMs'!$AA$47="sen",INDEX(INDIRECT(InputsCS!$I$1),19,147),IF('KS2-4 Combined Science TMs'!$AA$47="eal",INDEX(INDIRECT(InputsCS!$I$1),19,191),"")))))))))),"")</f>
        <v/>
      </c>
      <c r="T65" s="61" t="str">
        <f ca="1">IFERROR(IF(InputsCS!$I$1="Please Select","",IF(InputsCS!$I$2="Please Select","",IF(InputsCS!$I$1="","",IF(InputsCS!$I$2="","",IF(InputsCS!$I$2="Pupil Numbers",IF('KS2-4 Combined Science TMs'!$AA$47="Gender",INDEX(INDIRECT(InputsCS!$I$1),3,60),IF('KS2-4 Combined Science TMs'!$AA$47="disadvantage",INDEX(INDIRECT(InputsCS!$I$1),3,104),IF('KS2-4 Combined Science TMs'!$AA$47="sen",INDEX(INDIRECT(InputsCS!$I$1),3,148),IF('KS2-4 Combined Science TMs'!$AA$47="eal",INDEX(INDIRECT(InputsCS!$I$1),3,192),"")))),IF(InputsCS!$I$2="Pupil Percentages",IF('KS2-4 Combined Science TMs'!$AA$47="Gender",INDEX(INDIRECT(InputsCS!$I$1),19,60),IF('KS2-4 Combined Science TMs'!$AA$47="disadvantage",INDEX(INDIRECT(InputsCS!$I$1),19,104),IF('KS2-4 Combined Science TMs'!$AA$47="sen",INDEX(INDIRECT(InputsCS!$I$1),19,148),IF('KS2-4 Combined Science TMs'!$AA$47="eal",INDEX(INDIRECT(InputsCS!$I$1),19,192),"")))))))))),"")</f>
        <v/>
      </c>
      <c r="U65" s="61" t="str">
        <f ca="1">IFERROR(IF(InputsCS!$I$1="Please Select","",IF(InputsCS!$I$2="Please Select","",IF(InputsCS!$I$1="","",IF(InputsCS!$I$2="","",IF(InputsCS!$I$2="Pupil Numbers",IF('KS2-4 Combined Science TMs'!$AA$47="Gender",INDEX(INDIRECT(InputsCS!$I$1),3,61),IF('KS2-4 Combined Science TMs'!$AA$47="disadvantage",INDEX(INDIRECT(InputsCS!$I$1),3,105),IF('KS2-4 Combined Science TMs'!$AA$47="sen",INDEX(INDIRECT(InputsCS!$I$1),3,149),IF('KS2-4 Combined Science TMs'!$AA$47="eal",INDEX(INDIRECT(InputsCS!$I$1),3,193),"")))),IF(InputsCS!$I$2="Pupil Percentages",IF('KS2-4 Combined Science TMs'!$AA$47="Gender",INDEX(INDIRECT(InputsCS!$I$1),19,61),IF('KS2-4 Combined Science TMs'!$AA$47="disadvantage",INDEX(INDIRECT(InputsCS!$I$1),19,105),IF('KS2-4 Combined Science TMs'!$AA$47="sen",INDEX(INDIRECT(InputsCS!$I$1),19,149),IF('KS2-4 Combined Science TMs'!$AA$47="eal",INDEX(INDIRECT(InputsCS!$I$1),19,193),"")))))))))),"")</f>
        <v/>
      </c>
      <c r="V65" s="61" t="str">
        <f ca="1">IFERROR(IF(InputsCS!$I$1="Please Select","",IF(InputsCS!$I$2="Please Select","",IF(InputsCS!$I$1="","",IF(InputsCS!$I$2="","",IF(InputsCS!$I$2="Pupil Numbers",IF('KS2-4 Combined Science TMs'!$AA$47="Gender",INDEX(INDIRECT(InputsCS!$I$1),3,62),IF('KS2-4 Combined Science TMs'!$AA$47="disadvantage",INDEX(INDIRECT(InputsCS!$I$1),3,106),IF('KS2-4 Combined Science TMs'!$AA$47="sen",INDEX(INDIRECT(InputsCS!$I$1),3,150),IF('KS2-4 Combined Science TMs'!$AA$47="eal",INDEX(INDIRECT(InputsCS!$I$1),3,194),"")))),IF(InputsCS!$I$2="Pupil Percentages",IF('KS2-4 Combined Science TMs'!$AA$47="Gender",INDEX(INDIRECT(InputsCS!$I$1),19,62),IF('KS2-4 Combined Science TMs'!$AA$47="disadvantage",INDEX(INDIRECT(InputsCS!$I$1),19,106),IF('KS2-4 Combined Science TMs'!$AA$47="sen",INDEX(INDIRECT(InputsCS!$I$1),19,150),IF('KS2-4 Combined Science TMs'!$AA$47="eal",INDEX(INDIRECT(InputsCS!$I$1),19,194),"")))))))))),"")</f>
        <v/>
      </c>
      <c r="AD65" s="12"/>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row>
    <row r="66" spans="3:56" ht="23.1" customHeight="1" x14ac:dyDescent="0.5">
      <c r="C66" s="120"/>
      <c r="D66" s="60" t="s">
        <v>3</v>
      </c>
      <c r="E66" s="61" t="str">
        <f ca="1">IFERROR(IF(InputsCS!$I$1="Please Select","",IF(InputsCS!$I$2="Please Select","",IF(InputsCS!$I$1="","",IF(InputsCS!$I$2="","",IF(InputsCS!$I$2="Pupil Numbers",IF('KS2-4 Combined Science TMs'!$AA$47="Gender",INDEX(INDIRECT(InputsCS!$I$1),4,45),IF('KS2-4 Combined Science TMs'!$AA$47="disadvantage",INDEX(INDIRECT(InputsCS!$I$1),4,89),IF('KS2-4 Combined Science TMs'!$AA$47="sen",INDEX(INDIRECT(InputsCS!$I$1),4,133),IF('KS2-4 Combined Science TMs'!$AA$47="eal",INDEX(INDIRECT(InputsCS!$I$1),4,177),"")))),IF(InputsCS!$I$2="Pupil Percentages",IF('KS2-4 Combined Science TMs'!$AA$47="Gender",INDEX(INDIRECT(InputsCS!$I$1),20,45),IF('KS2-4 Combined Science TMs'!$AA$47="disadvantage",INDEX(INDIRECT(InputsCS!$I$1),20,89),IF('KS2-4 Combined Science TMs'!$AA$47="sen",INDEX(INDIRECT(InputsCS!$I$1),20,133),IF('KS2-4 Combined Science TMs'!$AA$47="eal",INDEX(INDIRECT(InputsCS!$I$1),20,177),"")))))))))),"")</f>
        <v/>
      </c>
      <c r="F66" s="61" t="str">
        <f ca="1">IFERROR(IF(InputsCS!$I$1="Please Select","",IF(InputsCS!$I$2="Please Select","",IF(InputsCS!$I$1="","",IF(InputsCS!$I$2="","",IF(InputsCS!$I$2="Pupil Numbers",IF('KS2-4 Combined Science TMs'!$AA$47="Gender",INDEX(INDIRECT(InputsCS!$I$1),4,46),IF('KS2-4 Combined Science TMs'!$AA$47="disadvantage",INDEX(INDIRECT(InputsCS!$I$1),4,90),IF('KS2-4 Combined Science TMs'!$AA$47="sen",INDEX(INDIRECT(InputsCS!$I$1),4,134),IF('KS2-4 Combined Science TMs'!$AA$47="eal",INDEX(INDIRECT(InputsCS!$I$1),4,178),"")))),IF(InputsCS!$I$2="Pupil Percentages",IF('KS2-4 Combined Science TMs'!$AA$47="Gender",INDEX(INDIRECT(InputsCS!$I$1),20,46),IF('KS2-4 Combined Science TMs'!$AA$47="disadvantage",INDEX(INDIRECT(InputsCS!$I$1),20,90),IF('KS2-4 Combined Science TMs'!$AA$47="sen",INDEX(INDIRECT(InputsCS!$I$1),20,134),IF('KS2-4 Combined Science TMs'!$AA$47="eal",INDEX(INDIRECT(InputsCS!$I$1),20,178),"")))))))))),"")</f>
        <v/>
      </c>
      <c r="G66" s="61" t="str">
        <f ca="1">IFERROR(IF(InputsCS!$I$1="Please Select","",IF(InputsCS!$I$2="Please Select","",IF(InputsCS!$I$1="","",IF(InputsCS!$I$2="","",IF(InputsCS!$I$2="Pupil Numbers",IF('KS2-4 Combined Science TMs'!$AA$47="Gender",INDEX(INDIRECT(InputsCS!$I$1),4,47),IF('KS2-4 Combined Science TMs'!$AA$47="disadvantage",INDEX(INDIRECT(InputsCS!$I$1),4,91),IF('KS2-4 Combined Science TMs'!$AA$47="sen",INDEX(INDIRECT(InputsCS!$I$1),4,135),IF('KS2-4 Combined Science TMs'!$AA$47="eal",INDEX(INDIRECT(InputsCS!$I$1),4,179),"")))),IF(InputsCS!$I$2="Pupil Percentages",IF('KS2-4 Combined Science TMs'!$AA$47="Gender",INDEX(INDIRECT(InputsCS!$I$1),20,47),IF('KS2-4 Combined Science TMs'!$AA$47="disadvantage",INDEX(INDIRECT(InputsCS!$I$1),20,91),IF('KS2-4 Combined Science TMs'!$AA$47="sen",INDEX(INDIRECT(InputsCS!$I$1),20,135),IF('KS2-4 Combined Science TMs'!$AA$47="eal",INDEX(INDIRECT(InputsCS!$I$1),20,179),"")))))))))),"")</f>
        <v/>
      </c>
      <c r="H66" s="61" t="str">
        <f ca="1">IFERROR(IF(InputsCS!$I$1="Please Select","",IF(InputsCS!$I$2="Please Select","",IF(InputsCS!$I$1="","",IF(InputsCS!$I$2="","",IF(InputsCS!$I$2="Pupil Numbers",IF('KS2-4 Combined Science TMs'!$AA$47="Gender",INDEX(INDIRECT(InputsCS!$I$1),4,48),IF('KS2-4 Combined Science TMs'!$AA$47="disadvantage",INDEX(INDIRECT(InputsCS!$I$1),4,92),IF('KS2-4 Combined Science TMs'!$AA$47="sen",INDEX(INDIRECT(InputsCS!$I$1),4,136),IF('KS2-4 Combined Science TMs'!$AA$47="eal",INDEX(INDIRECT(InputsCS!$I$1),4,180),"")))),IF(InputsCS!$I$2="Pupil Percentages",IF('KS2-4 Combined Science TMs'!$AA$47="Gender",INDEX(INDIRECT(InputsCS!$I$1),20,48),IF('KS2-4 Combined Science TMs'!$AA$47="disadvantage",INDEX(INDIRECT(InputsCS!$I$1),20,92),IF('KS2-4 Combined Science TMs'!$AA$47="sen",INDEX(INDIRECT(InputsCS!$I$1),20,136),IF('KS2-4 Combined Science TMs'!$AA$47="eal",INDEX(INDIRECT(InputsCS!$I$1),20,180),"")))))))))),"")</f>
        <v/>
      </c>
      <c r="I66" s="61" t="str">
        <f ca="1">IFERROR(IF(InputsCS!$I$1="Please Select","",IF(InputsCS!$I$2="Please Select","",IF(InputsCS!$I$1="","",IF(InputsCS!$I$2="","",IF(InputsCS!$I$2="Pupil Numbers",IF('KS2-4 Combined Science TMs'!$AA$47="Gender",INDEX(INDIRECT(InputsCS!$I$1),4,49),IF('KS2-4 Combined Science TMs'!$AA$47="disadvantage",INDEX(INDIRECT(InputsCS!$I$1),4,93),IF('KS2-4 Combined Science TMs'!$AA$47="sen",INDEX(INDIRECT(InputsCS!$I$1),4,137),IF('KS2-4 Combined Science TMs'!$AA$47="eal",INDEX(INDIRECT(InputsCS!$I$1),4,181),"")))),IF(InputsCS!$I$2="Pupil Percentages",IF('KS2-4 Combined Science TMs'!$AA$47="Gender",INDEX(INDIRECT(InputsCS!$I$1),20,49),IF('KS2-4 Combined Science TMs'!$AA$47="disadvantage",INDEX(INDIRECT(InputsCS!$I$1),20,93),IF('KS2-4 Combined Science TMs'!$AA$47="sen",INDEX(INDIRECT(InputsCS!$I$1),20,137),IF('KS2-4 Combined Science TMs'!$AA$47="eal",INDEX(INDIRECT(InputsCS!$I$1),20,181),"")))))))))),"")</f>
        <v/>
      </c>
      <c r="J66" s="61" t="str">
        <f ca="1">IFERROR(IF(InputsCS!$I$1="Please Select","",IF(InputsCS!$I$2="Please Select","",IF(InputsCS!$I$1="","",IF(InputsCS!$I$2="","",IF(InputsCS!$I$2="Pupil Numbers",IF('KS2-4 Combined Science TMs'!$AA$47="Gender",INDEX(INDIRECT(InputsCS!$I$1),4,50),IF('KS2-4 Combined Science TMs'!$AA$47="disadvantage",INDEX(INDIRECT(InputsCS!$I$1),4,94),IF('KS2-4 Combined Science TMs'!$AA$47="sen",INDEX(INDIRECT(InputsCS!$I$1),4,138),IF('KS2-4 Combined Science TMs'!$AA$47="eal",INDEX(INDIRECT(InputsCS!$I$1),4,182),"")))),IF(InputsCS!$I$2="Pupil Percentages",IF('KS2-4 Combined Science TMs'!$AA$47="Gender",INDEX(INDIRECT(InputsCS!$I$1),20,50),IF('KS2-4 Combined Science TMs'!$AA$47="disadvantage",INDEX(INDIRECT(InputsCS!$I$1),20,94),IF('KS2-4 Combined Science TMs'!$AA$47="sen",INDEX(INDIRECT(InputsCS!$I$1),20,138),IF('KS2-4 Combined Science TMs'!$AA$47="eal",INDEX(INDIRECT(InputsCS!$I$1),20,182),"")))))))))),"")</f>
        <v/>
      </c>
      <c r="K66" s="61" t="str">
        <f ca="1">IFERROR(IF(InputsCS!$I$1="Please Select","",IF(InputsCS!$I$2="Please Select","",IF(InputsCS!$I$1="","",IF(InputsCS!$I$2="","",IF(InputsCS!$I$2="Pupil Numbers",IF('KS2-4 Combined Science TMs'!$AA$47="Gender",INDEX(INDIRECT(InputsCS!$I$1),4,51),IF('KS2-4 Combined Science TMs'!$AA$47="disadvantage",INDEX(INDIRECT(InputsCS!$I$1),4,95),IF('KS2-4 Combined Science TMs'!$AA$47="sen",INDEX(INDIRECT(InputsCS!$I$1),4,139),IF('KS2-4 Combined Science TMs'!$AA$47="eal",INDEX(INDIRECT(InputsCS!$I$1),4,183),"")))),IF(InputsCS!$I$2="Pupil Percentages",IF('KS2-4 Combined Science TMs'!$AA$47="Gender",INDEX(INDIRECT(InputsCS!$I$1),20,51),IF('KS2-4 Combined Science TMs'!$AA$47="disadvantage",INDEX(INDIRECT(InputsCS!$I$1),20,95),IF('KS2-4 Combined Science TMs'!$AA$47="sen",INDEX(INDIRECT(InputsCS!$I$1),20,139),IF('KS2-4 Combined Science TMs'!$AA$47="eal",INDEX(INDIRECT(InputsCS!$I$1),20,183),"")))))))))),"")</f>
        <v/>
      </c>
      <c r="L66" s="61" t="str">
        <f ca="1">IFERROR(IF(InputsCS!$I$1="Please Select","",IF(InputsCS!$I$2="Please Select","",IF(InputsCS!$I$1="","",IF(InputsCS!$I$2="","",IF(InputsCS!$I$2="Pupil Numbers",IF('KS2-4 Combined Science TMs'!$AA$47="Gender",INDEX(INDIRECT(InputsCS!$I$1),4,52),IF('KS2-4 Combined Science TMs'!$AA$47="disadvantage",INDEX(INDIRECT(InputsCS!$I$1),4,96),IF('KS2-4 Combined Science TMs'!$AA$47="sen",INDEX(INDIRECT(InputsCS!$I$1),4,140),IF('KS2-4 Combined Science TMs'!$AA$47="eal",INDEX(INDIRECT(InputsCS!$I$1),4,184),"")))),IF(InputsCS!$I$2="Pupil Percentages",IF('KS2-4 Combined Science TMs'!$AA$47="Gender",INDEX(INDIRECT(InputsCS!$I$1),20,52),IF('KS2-4 Combined Science TMs'!$AA$47="disadvantage",INDEX(INDIRECT(InputsCS!$I$1),20,96),IF('KS2-4 Combined Science TMs'!$AA$47="sen",INDEX(INDIRECT(InputsCS!$I$1),20,140),IF('KS2-4 Combined Science TMs'!$AA$47="eal",INDEX(INDIRECT(InputsCS!$I$1),20,184),"")))))))))),"")</f>
        <v/>
      </c>
      <c r="M66" s="61" t="str">
        <f ca="1">IFERROR(IF(InputsCS!$I$1="Please Select","",IF(InputsCS!$I$2="Please Select","",IF(InputsCS!$I$1="","",IF(InputsCS!$I$2="","",IF(InputsCS!$I$2="Pupil Numbers",IF('KS2-4 Combined Science TMs'!$AA$47="Gender",INDEX(INDIRECT(InputsCS!$I$1),4,53),IF('KS2-4 Combined Science TMs'!$AA$47="disadvantage",INDEX(INDIRECT(InputsCS!$I$1),4,97),IF('KS2-4 Combined Science TMs'!$AA$47="sen",INDEX(INDIRECT(InputsCS!$I$1),4,141),IF('KS2-4 Combined Science TMs'!$AA$47="eal",INDEX(INDIRECT(InputsCS!$I$1),4,185),"")))),IF(InputsCS!$I$2="Pupil Percentages",IF('KS2-4 Combined Science TMs'!$AA$47="Gender",INDEX(INDIRECT(InputsCS!$I$1),20,53),IF('KS2-4 Combined Science TMs'!$AA$47="disadvantage",INDEX(INDIRECT(InputsCS!$I$1),20,97),IF('KS2-4 Combined Science TMs'!$AA$47="sen",INDEX(INDIRECT(InputsCS!$I$1),20,141),IF('KS2-4 Combined Science TMs'!$AA$47="eal",INDEX(INDIRECT(InputsCS!$I$1),20,185),"")))))))))),"")</f>
        <v/>
      </c>
      <c r="N66" s="61" t="str">
        <f ca="1">IFERROR(IF(InputsCS!$I$1="Please Select","",IF(InputsCS!$I$2="Please Select","",IF(InputsCS!$I$1="","",IF(InputsCS!$I$2="","",IF(InputsCS!$I$2="Pupil Numbers",IF('KS2-4 Combined Science TMs'!$AA$47="Gender",INDEX(INDIRECT(InputsCS!$I$1),4,54),IF('KS2-4 Combined Science TMs'!$AA$47="disadvantage",INDEX(INDIRECT(InputsCS!$I$1),4,98),IF('KS2-4 Combined Science TMs'!$AA$47="sen",INDEX(INDIRECT(InputsCS!$I$1),4,142),IF('KS2-4 Combined Science TMs'!$AA$47="eal",INDEX(INDIRECT(InputsCS!$I$1),4,186),"")))),IF(InputsCS!$I$2="Pupil Percentages",IF('KS2-4 Combined Science TMs'!$AA$47="Gender",INDEX(INDIRECT(InputsCS!$I$1),20,54),IF('KS2-4 Combined Science TMs'!$AA$47="disadvantage",INDEX(INDIRECT(InputsCS!$I$1),20,98),IF('KS2-4 Combined Science TMs'!$AA$47="sen",INDEX(INDIRECT(InputsCS!$I$1),20,142),IF('KS2-4 Combined Science TMs'!$AA$47="eal",INDEX(INDIRECT(InputsCS!$I$1),20,186),"")))))))))),"")</f>
        <v/>
      </c>
      <c r="O66" s="61" t="str">
        <f ca="1">IFERROR(IF(InputsCS!$I$1="Please Select","",IF(InputsCS!$I$2="Please Select","",IF(InputsCS!$I$1="","",IF(InputsCS!$I$2="","",IF(InputsCS!$I$2="Pupil Numbers",IF('KS2-4 Combined Science TMs'!$AA$47="Gender",INDEX(INDIRECT(InputsCS!$I$1),4,55),IF('KS2-4 Combined Science TMs'!$AA$47="disadvantage",INDEX(INDIRECT(InputsCS!$I$1),4,99),IF('KS2-4 Combined Science TMs'!$AA$47="sen",INDEX(INDIRECT(InputsCS!$I$1),4,143),IF('KS2-4 Combined Science TMs'!$AA$47="eal",INDEX(INDIRECT(InputsCS!$I$1),4,187),"")))),IF(InputsCS!$I$2="Pupil Percentages",IF('KS2-4 Combined Science TMs'!$AA$47="Gender",INDEX(INDIRECT(InputsCS!$I$1),20,55),IF('KS2-4 Combined Science TMs'!$AA$47="disadvantage",INDEX(INDIRECT(InputsCS!$I$1),20,99),IF('KS2-4 Combined Science TMs'!$AA$47="sen",INDEX(INDIRECT(InputsCS!$I$1),20,143),IF('KS2-4 Combined Science TMs'!$AA$47="eal",INDEX(INDIRECT(InputsCS!$I$1),20,187),"")))))))))),"")</f>
        <v/>
      </c>
      <c r="P66" s="61" t="str">
        <f ca="1">IFERROR(IF(InputsCS!$I$1="Please Select","",IF(InputsCS!$I$2="Please Select","",IF(InputsCS!$I$1="","",IF(InputsCS!$I$2="","",IF(InputsCS!$I$2="Pupil Numbers",IF('KS2-4 Combined Science TMs'!$AA$47="Gender",INDEX(INDIRECT(InputsCS!$I$1),4,56),IF('KS2-4 Combined Science TMs'!$AA$47="disadvantage",INDEX(INDIRECT(InputsCS!$I$1),4,100),IF('KS2-4 Combined Science TMs'!$AA$47="sen",INDEX(INDIRECT(InputsCS!$I$1),4,144),IF('KS2-4 Combined Science TMs'!$AA$47="eal",INDEX(INDIRECT(InputsCS!$I$1),4,188),"")))),IF(InputsCS!$I$2="Pupil Percentages",IF('KS2-4 Combined Science TMs'!$AA$47="Gender",INDEX(INDIRECT(InputsCS!$I$1),20,56),IF('KS2-4 Combined Science TMs'!$AA$47="disadvantage",INDEX(INDIRECT(InputsCS!$I$1),20,100),IF('KS2-4 Combined Science TMs'!$AA$47="sen",INDEX(INDIRECT(InputsCS!$I$1),20,144),IF('KS2-4 Combined Science TMs'!$AA$47="eal",INDEX(INDIRECT(InputsCS!$I$1),20,188),"")))))))))),"")</f>
        <v/>
      </c>
      <c r="Q66" s="61" t="str">
        <f ca="1">IFERROR(IF(InputsCS!$I$1="Please Select","",IF(InputsCS!$I$2="Please Select","",IF(InputsCS!$I$1="","",IF(InputsCS!$I$2="","",IF(InputsCS!$I$2="Pupil Numbers",IF('KS2-4 Combined Science TMs'!$AA$47="Gender",INDEX(INDIRECT(InputsCS!$I$1),4,57),IF('KS2-4 Combined Science TMs'!$AA$47="disadvantage",INDEX(INDIRECT(InputsCS!$I$1),4,101),IF('KS2-4 Combined Science TMs'!$AA$47="sen",INDEX(INDIRECT(InputsCS!$I$1),4,145),IF('KS2-4 Combined Science TMs'!$AA$47="eal",INDEX(INDIRECT(InputsCS!$I$1),4,189),"")))),IF(InputsCS!$I$2="Pupil Percentages",IF('KS2-4 Combined Science TMs'!$AA$47="Gender",INDEX(INDIRECT(InputsCS!$I$1),20,57),IF('KS2-4 Combined Science TMs'!$AA$47="disadvantage",INDEX(INDIRECT(InputsCS!$I$1),20,101),IF('KS2-4 Combined Science TMs'!$AA$47="sen",INDEX(INDIRECT(InputsCS!$I$1),20,145),IF('KS2-4 Combined Science TMs'!$AA$47="eal",INDEX(INDIRECT(InputsCS!$I$1),20,189),"")))))))))),"")</f>
        <v/>
      </c>
      <c r="R66" s="61" t="str">
        <f ca="1">IFERROR(IF(InputsCS!$I$1="Please Select","",IF(InputsCS!$I$2="Please Select","",IF(InputsCS!$I$1="","",IF(InputsCS!$I$2="","",IF(InputsCS!$I$2="Pupil Numbers",IF('KS2-4 Combined Science TMs'!$AA$47="Gender",INDEX(INDIRECT(InputsCS!$I$1),4,58),IF('KS2-4 Combined Science TMs'!$AA$47="disadvantage",INDEX(INDIRECT(InputsCS!$I$1),4,102),IF('KS2-4 Combined Science TMs'!$AA$47="sen",INDEX(INDIRECT(InputsCS!$I$1),4,146),IF('KS2-4 Combined Science TMs'!$AA$47="eal",INDEX(INDIRECT(InputsCS!$I$1),4,190),"")))),IF(InputsCS!$I$2="Pupil Percentages",IF('KS2-4 Combined Science TMs'!$AA$47="Gender",INDEX(INDIRECT(InputsCS!$I$1),20,58),IF('KS2-4 Combined Science TMs'!$AA$47="disadvantage",INDEX(INDIRECT(InputsCS!$I$1),20,102),IF('KS2-4 Combined Science TMs'!$AA$47="sen",INDEX(INDIRECT(InputsCS!$I$1),20,146),IF('KS2-4 Combined Science TMs'!$AA$47="eal",INDEX(INDIRECT(InputsCS!$I$1),20,190),"")))))))))),"")</f>
        <v/>
      </c>
      <c r="S66" s="61" t="str">
        <f ca="1">IFERROR(IF(InputsCS!$I$1="Please Select","",IF(InputsCS!$I$2="Please Select","",IF(InputsCS!$I$1="","",IF(InputsCS!$I$2="","",IF(InputsCS!$I$2="Pupil Numbers",IF('KS2-4 Combined Science TMs'!$AA$47="Gender",INDEX(INDIRECT(InputsCS!$I$1),4,59),IF('KS2-4 Combined Science TMs'!$AA$47="disadvantage",INDEX(INDIRECT(InputsCS!$I$1),4,103),IF('KS2-4 Combined Science TMs'!$AA$47="sen",INDEX(INDIRECT(InputsCS!$I$1),4,147),IF('KS2-4 Combined Science TMs'!$AA$47="eal",INDEX(INDIRECT(InputsCS!$I$1),4,191),"")))),IF(InputsCS!$I$2="Pupil Percentages",IF('KS2-4 Combined Science TMs'!$AA$47="Gender",INDEX(INDIRECT(InputsCS!$I$1),20,59),IF('KS2-4 Combined Science TMs'!$AA$47="disadvantage",INDEX(INDIRECT(InputsCS!$I$1),20,103),IF('KS2-4 Combined Science TMs'!$AA$47="sen",INDEX(INDIRECT(InputsCS!$I$1),20,147),IF('KS2-4 Combined Science TMs'!$AA$47="eal",INDEX(INDIRECT(InputsCS!$I$1),20,191),"")))))))))),"")</f>
        <v/>
      </c>
      <c r="T66" s="61" t="str">
        <f ca="1">IFERROR(IF(InputsCS!$I$1="Please Select","",IF(InputsCS!$I$2="Please Select","",IF(InputsCS!$I$1="","",IF(InputsCS!$I$2="","",IF(InputsCS!$I$2="Pupil Numbers",IF('KS2-4 Combined Science TMs'!$AA$47="Gender",INDEX(INDIRECT(InputsCS!$I$1),4,60),IF('KS2-4 Combined Science TMs'!$AA$47="disadvantage",INDEX(INDIRECT(InputsCS!$I$1),4,104),IF('KS2-4 Combined Science TMs'!$AA$47="sen",INDEX(INDIRECT(InputsCS!$I$1),4,148),IF('KS2-4 Combined Science TMs'!$AA$47="eal",INDEX(INDIRECT(InputsCS!$I$1),4,192),"")))),IF(InputsCS!$I$2="Pupil Percentages",IF('KS2-4 Combined Science TMs'!$AA$47="Gender",INDEX(INDIRECT(InputsCS!$I$1),20,60),IF('KS2-4 Combined Science TMs'!$AA$47="disadvantage",INDEX(INDIRECT(InputsCS!$I$1),20,104),IF('KS2-4 Combined Science TMs'!$AA$47="sen",INDEX(INDIRECT(InputsCS!$I$1),20,148),IF('KS2-4 Combined Science TMs'!$AA$47="eal",INDEX(INDIRECT(InputsCS!$I$1),20,192),"")))))))))),"")</f>
        <v/>
      </c>
      <c r="U66" s="61" t="str">
        <f ca="1">IFERROR(IF(InputsCS!$I$1="Please Select","",IF(InputsCS!$I$2="Please Select","",IF(InputsCS!$I$1="","",IF(InputsCS!$I$2="","",IF(InputsCS!$I$2="Pupil Numbers",IF('KS2-4 Combined Science TMs'!$AA$47="Gender",INDEX(INDIRECT(InputsCS!$I$1),4,61),IF('KS2-4 Combined Science TMs'!$AA$47="disadvantage",INDEX(INDIRECT(InputsCS!$I$1),4,105),IF('KS2-4 Combined Science TMs'!$AA$47="sen",INDEX(INDIRECT(InputsCS!$I$1),4,149),IF('KS2-4 Combined Science TMs'!$AA$47="eal",INDEX(INDIRECT(InputsCS!$I$1),4,193),"")))),IF(InputsCS!$I$2="Pupil Percentages",IF('KS2-4 Combined Science TMs'!$AA$47="Gender",INDEX(INDIRECT(InputsCS!$I$1),20,61),IF('KS2-4 Combined Science TMs'!$AA$47="disadvantage",INDEX(INDIRECT(InputsCS!$I$1),20,105),IF('KS2-4 Combined Science TMs'!$AA$47="sen",INDEX(INDIRECT(InputsCS!$I$1),20,149),IF('KS2-4 Combined Science TMs'!$AA$47="eal",INDEX(INDIRECT(InputsCS!$I$1),20,193),"")))))))))),"")</f>
        <v/>
      </c>
      <c r="V66" s="61" t="str">
        <f ca="1">IFERROR(IF(InputsCS!$I$1="Please Select","",IF(InputsCS!$I$2="Please Select","",IF(InputsCS!$I$1="","",IF(InputsCS!$I$2="","",IF(InputsCS!$I$2="Pupil Numbers",IF('KS2-4 Combined Science TMs'!$AA$47="Gender",INDEX(INDIRECT(InputsCS!$I$1),4,62),IF('KS2-4 Combined Science TMs'!$AA$47="disadvantage",INDEX(INDIRECT(InputsCS!$I$1),4,106),IF('KS2-4 Combined Science TMs'!$AA$47="sen",INDEX(INDIRECT(InputsCS!$I$1),4,150),IF('KS2-4 Combined Science TMs'!$AA$47="eal",INDEX(INDIRECT(InputsCS!$I$1),4,194),"")))),IF(InputsCS!$I$2="Pupil Percentages",IF('KS2-4 Combined Science TMs'!$AA$47="Gender",INDEX(INDIRECT(InputsCS!$I$1),20,62),IF('KS2-4 Combined Science TMs'!$AA$47="disadvantage",INDEX(INDIRECT(InputsCS!$I$1),20,106),IF('KS2-4 Combined Science TMs'!$AA$47="sen",INDEX(INDIRECT(InputsCS!$I$1),20,150),IF('KS2-4 Combined Science TMs'!$AA$47="eal",INDEX(INDIRECT(InputsCS!$I$1),20,194),"")))))))))),"")</f>
        <v/>
      </c>
      <c r="AD66" s="12"/>
      <c r="AR66" s="13"/>
      <c r="AS66" s="13"/>
      <c r="AT66" s="13"/>
      <c r="AU66" s="13"/>
      <c r="AV66" s="13"/>
      <c r="AW66" s="13"/>
      <c r="AX66" s="13"/>
      <c r="AY66" s="13"/>
      <c r="AZ66" s="13"/>
      <c r="BA66" s="13"/>
      <c r="BB66" s="13"/>
      <c r="BC66" s="13"/>
      <c r="BD66" s="13"/>
    </row>
    <row r="67" spans="3:56" ht="23.1" customHeight="1" x14ac:dyDescent="0.5">
      <c r="C67" s="120"/>
      <c r="D67" s="60" t="s">
        <v>4</v>
      </c>
      <c r="E67" s="61" t="str">
        <f ca="1">IFERROR(IF(InputsCS!$I$1="Please Select","",IF(InputsCS!$I$2="Please Select","",IF(InputsCS!$I$1="","",IF(InputsCS!$I$2="","",IF(InputsCS!$I$2="Pupil Numbers",IF('KS2-4 Combined Science TMs'!$AA$47="Gender",INDEX(INDIRECT(InputsCS!$I$1),5,45),IF('KS2-4 Combined Science TMs'!$AA$47="disadvantage",INDEX(INDIRECT(InputsCS!$I$1),5,89),IF('KS2-4 Combined Science TMs'!$AA$47="sen",INDEX(INDIRECT(InputsCS!$I$1),5,133),IF('KS2-4 Combined Science TMs'!$AA$47="eal",INDEX(INDIRECT(InputsCS!$I$1),5,177),"")))),IF(InputsCS!$I$2="Pupil Percentages",IF('KS2-4 Combined Science TMs'!$AA$47="Gender",INDEX(INDIRECT(InputsCS!$I$1),21,45),IF('KS2-4 Combined Science TMs'!$AA$47="disadvantage",INDEX(INDIRECT(InputsCS!$I$1),21,89),IF('KS2-4 Combined Science TMs'!$AA$47="sen",INDEX(INDIRECT(InputsCS!$I$1),21,133),IF('KS2-4 Combined Science TMs'!$AA$47="eal",INDEX(INDIRECT(InputsCS!$I$1),21,177),"")))))))))),"")</f>
        <v/>
      </c>
      <c r="F67" s="61" t="str">
        <f ca="1">IFERROR(IF(InputsCS!$I$1="Please Select","",IF(InputsCS!$I$2="Please Select","",IF(InputsCS!$I$1="","",IF(InputsCS!$I$2="","",IF(InputsCS!$I$2="Pupil Numbers",IF('KS2-4 Combined Science TMs'!$AA$47="Gender",INDEX(INDIRECT(InputsCS!$I$1),5,46),IF('KS2-4 Combined Science TMs'!$AA$47="disadvantage",INDEX(INDIRECT(InputsCS!$I$1),5,90),IF('KS2-4 Combined Science TMs'!$AA$47="sen",INDEX(INDIRECT(InputsCS!$I$1),5,134),IF('KS2-4 Combined Science TMs'!$AA$47="eal",INDEX(INDIRECT(InputsCS!$I$1),5,178),"")))),IF(InputsCS!$I$2="Pupil Percentages",IF('KS2-4 Combined Science TMs'!$AA$47="Gender",INDEX(INDIRECT(InputsCS!$I$1),21,46),IF('KS2-4 Combined Science TMs'!$AA$47="disadvantage",INDEX(INDIRECT(InputsCS!$I$1),21,90),IF('KS2-4 Combined Science TMs'!$AA$47="sen",INDEX(INDIRECT(InputsCS!$I$1),21,134),IF('KS2-4 Combined Science TMs'!$AA$47="eal",INDEX(INDIRECT(InputsCS!$I$1),21,178),"")))))))))),"")</f>
        <v/>
      </c>
      <c r="G67" s="61" t="str">
        <f ca="1">IFERROR(IF(InputsCS!$I$1="Please Select","",IF(InputsCS!$I$2="Please Select","",IF(InputsCS!$I$1="","",IF(InputsCS!$I$2="","",IF(InputsCS!$I$2="Pupil Numbers",IF('KS2-4 Combined Science TMs'!$AA$47="Gender",INDEX(INDIRECT(InputsCS!$I$1),5,47),IF('KS2-4 Combined Science TMs'!$AA$47="disadvantage",INDEX(INDIRECT(InputsCS!$I$1),5,91),IF('KS2-4 Combined Science TMs'!$AA$47="sen",INDEX(INDIRECT(InputsCS!$I$1),5,135),IF('KS2-4 Combined Science TMs'!$AA$47="eal",INDEX(INDIRECT(InputsCS!$I$1),5,179),"")))),IF(InputsCS!$I$2="Pupil Percentages",IF('KS2-4 Combined Science TMs'!$AA$47="Gender",INDEX(INDIRECT(InputsCS!$I$1),21,47),IF('KS2-4 Combined Science TMs'!$AA$47="disadvantage",INDEX(INDIRECT(InputsCS!$I$1),21,91),IF('KS2-4 Combined Science TMs'!$AA$47="sen",INDEX(INDIRECT(InputsCS!$I$1),21,135),IF('KS2-4 Combined Science TMs'!$AA$47="eal",INDEX(INDIRECT(InputsCS!$I$1),21,179),"")))))))))),"")</f>
        <v/>
      </c>
      <c r="H67" s="61" t="str">
        <f ca="1">IFERROR(IF(InputsCS!$I$1="Please Select","",IF(InputsCS!$I$2="Please Select","",IF(InputsCS!$I$1="","",IF(InputsCS!$I$2="","",IF(InputsCS!$I$2="Pupil Numbers",IF('KS2-4 Combined Science TMs'!$AA$47="Gender",INDEX(INDIRECT(InputsCS!$I$1),5,48),IF('KS2-4 Combined Science TMs'!$AA$47="disadvantage",INDEX(INDIRECT(InputsCS!$I$1),5,92),IF('KS2-4 Combined Science TMs'!$AA$47="sen",INDEX(INDIRECT(InputsCS!$I$1),5,136),IF('KS2-4 Combined Science TMs'!$AA$47="eal",INDEX(INDIRECT(InputsCS!$I$1),5,180),"")))),IF(InputsCS!$I$2="Pupil Percentages",IF('KS2-4 Combined Science TMs'!$AA$47="Gender",INDEX(INDIRECT(InputsCS!$I$1),21,48),IF('KS2-4 Combined Science TMs'!$AA$47="disadvantage",INDEX(INDIRECT(InputsCS!$I$1),21,92),IF('KS2-4 Combined Science TMs'!$AA$47="sen",INDEX(INDIRECT(InputsCS!$I$1),21,136),IF('KS2-4 Combined Science TMs'!$AA$47="eal",INDEX(INDIRECT(InputsCS!$I$1),21,180),"")))))))))),"")</f>
        <v/>
      </c>
      <c r="I67" s="61" t="str">
        <f ca="1">IFERROR(IF(InputsCS!$I$1="Please Select","",IF(InputsCS!$I$2="Please Select","",IF(InputsCS!$I$1="","",IF(InputsCS!$I$2="","",IF(InputsCS!$I$2="Pupil Numbers",IF('KS2-4 Combined Science TMs'!$AA$47="Gender",INDEX(INDIRECT(InputsCS!$I$1),5,49),IF('KS2-4 Combined Science TMs'!$AA$47="disadvantage",INDEX(INDIRECT(InputsCS!$I$1),5,93),IF('KS2-4 Combined Science TMs'!$AA$47="sen",INDEX(INDIRECT(InputsCS!$I$1),5,137),IF('KS2-4 Combined Science TMs'!$AA$47="eal",INDEX(INDIRECT(InputsCS!$I$1),5,181),"")))),IF(InputsCS!$I$2="Pupil Percentages",IF('KS2-4 Combined Science TMs'!$AA$47="Gender",INDEX(INDIRECT(InputsCS!$I$1),21,49),IF('KS2-4 Combined Science TMs'!$AA$47="disadvantage",INDEX(INDIRECT(InputsCS!$I$1),21,93),IF('KS2-4 Combined Science TMs'!$AA$47="sen",INDEX(INDIRECT(InputsCS!$I$1),21,137),IF('KS2-4 Combined Science TMs'!$AA$47="eal",INDEX(INDIRECT(InputsCS!$I$1),21,181),"")))))))))),"")</f>
        <v/>
      </c>
      <c r="J67" s="61" t="str">
        <f ca="1">IFERROR(IF(InputsCS!$I$1="Please Select","",IF(InputsCS!$I$2="Please Select","",IF(InputsCS!$I$1="","",IF(InputsCS!$I$2="","",IF(InputsCS!$I$2="Pupil Numbers",IF('KS2-4 Combined Science TMs'!$AA$47="Gender",INDEX(INDIRECT(InputsCS!$I$1),5,50),IF('KS2-4 Combined Science TMs'!$AA$47="disadvantage",INDEX(INDIRECT(InputsCS!$I$1),5,94),IF('KS2-4 Combined Science TMs'!$AA$47="sen",INDEX(INDIRECT(InputsCS!$I$1),5,138),IF('KS2-4 Combined Science TMs'!$AA$47="eal",INDEX(INDIRECT(InputsCS!$I$1),5,182),"")))),IF(InputsCS!$I$2="Pupil Percentages",IF('KS2-4 Combined Science TMs'!$AA$47="Gender",INDEX(INDIRECT(InputsCS!$I$1),21,50),IF('KS2-4 Combined Science TMs'!$AA$47="disadvantage",INDEX(INDIRECT(InputsCS!$I$1),21,94),IF('KS2-4 Combined Science TMs'!$AA$47="sen",INDEX(INDIRECT(InputsCS!$I$1),21,138),IF('KS2-4 Combined Science TMs'!$AA$47="eal",INDEX(INDIRECT(InputsCS!$I$1),21,182),"")))))))))),"")</f>
        <v/>
      </c>
      <c r="K67" s="61" t="str">
        <f ca="1">IFERROR(IF(InputsCS!$I$1="Please Select","",IF(InputsCS!$I$2="Please Select","",IF(InputsCS!$I$1="","",IF(InputsCS!$I$2="","",IF(InputsCS!$I$2="Pupil Numbers",IF('KS2-4 Combined Science TMs'!$AA$47="Gender",INDEX(INDIRECT(InputsCS!$I$1),5,51),IF('KS2-4 Combined Science TMs'!$AA$47="disadvantage",INDEX(INDIRECT(InputsCS!$I$1),5,95),IF('KS2-4 Combined Science TMs'!$AA$47="sen",INDEX(INDIRECT(InputsCS!$I$1),5,139),IF('KS2-4 Combined Science TMs'!$AA$47="eal",INDEX(INDIRECT(InputsCS!$I$1),5,183),"")))),IF(InputsCS!$I$2="Pupil Percentages",IF('KS2-4 Combined Science TMs'!$AA$47="Gender",INDEX(INDIRECT(InputsCS!$I$1),21,51),IF('KS2-4 Combined Science TMs'!$AA$47="disadvantage",INDEX(INDIRECT(InputsCS!$I$1),21,95),IF('KS2-4 Combined Science TMs'!$AA$47="sen",INDEX(INDIRECT(InputsCS!$I$1),21,139),IF('KS2-4 Combined Science TMs'!$AA$47="eal",INDEX(INDIRECT(InputsCS!$I$1),21,183),"")))))))))),"")</f>
        <v/>
      </c>
      <c r="L67" s="61" t="str">
        <f ca="1">IFERROR(IF(InputsCS!$I$1="Please Select","",IF(InputsCS!$I$2="Please Select","",IF(InputsCS!$I$1="","",IF(InputsCS!$I$2="","",IF(InputsCS!$I$2="Pupil Numbers",IF('KS2-4 Combined Science TMs'!$AA$47="Gender",INDEX(INDIRECT(InputsCS!$I$1),5,52),IF('KS2-4 Combined Science TMs'!$AA$47="disadvantage",INDEX(INDIRECT(InputsCS!$I$1),5,96),IF('KS2-4 Combined Science TMs'!$AA$47="sen",INDEX(INDIRECT(InputsCS!$I$1),5,140),IF('KS2-4 Combined Science TMs'!$AA$47="eal",INDEX(INDIRECT(InputsCS!$I$1),5,184),"")))),IF(InputsCS!$I$2="Pupil Percentages",IF('KS2-4 Combined Science TMs'!$AA$47="Gender",INDEX(INDIRECT(InputsCS!$I$1),21,52),IF('KS2-4 Combined Science TMs'!$AA$47="disadvantage",INDEX(INDIRECT(InputsCS!$I$1),21,96),IF('KS2-4 Combined Science TMs'!$AA$47="sen",INDEX(INDIRECT(InputsCS!$I$1),21,140),IF('KS2-4 Combined Science TMs'!$AA$47="eal",INDEX(INDIRECT(InputsCS!$I$1),21,184),"")))))))))),"")</f>
        <v/>
      </c>
      <c r="M67" s="61" t="str">
        <f ca="1">IFERROR(IF(InputsCS!$I$1="Please Select","",IF(InputsCS!$I$2="Please Select","",IF(InputsCS!$I$1="","",IF(InputsCS!$I$2="","",IF(InputsCS!$I$2="Pupil Numbers",IF('KS2-4 Combined Science TMs'!$AA$47="Gender",INDEX(INDIRECT(InputsCS!$I$1),5,53),IF('KS2-4 Combined Science TMs'!$AA$47="disadvantage",INDEX(INDIRECT(InputsCS!$I$1),5,97),IF('KS2-4 Combined Science TMs'!$AA$47="sen",INDEX(INDIRECT(InputsCS!$I$1),5,141),IF('KS2-4 Combined Science TMs'!$AA$47="eal",INDEX(INDIRECT(InputsCS!$I$1),5,185),"")))),IF(InputsCS!$I$2="Pupil Percentages",IF('KS2-4 Combined Science TMs'!$AA$47="Gender",INDEX(INDIRECT(InputsCS!$I$1),21,53),IF('KS2-4 Combined Science TMs'!$AA$47="disadvantage",INDEX(INDIRECT(InputsCS!$I$1),21,97),IF('KS2-4 Combined Science TMs'!$AA$47="sen",INDEX(INDIRECT(InputsCS!$I$1),21,141),IF('KS2-4 Combined Science TMs'!$AA$47="eal",INDEX(INDIRECT(InputsCS!$I$1),21,185),"")))))))))),"")</f>
        <v/>
      </c>
      <c r="N67" s="61" t="str">
        <f ca="1">IFERROR(IF(InputsCS!$I$1="Please Select","",IF(InputsCS!$I$2="Please Select","",IF(InputsCS!$I$1="","",IF(InputsCS!$I$2="","",IF(InputsCS!$I$2="Pupil Numbers",IF('KS2-4 Combined Science TMs'!$AA$47="Gender",INDEX(INDIRECT(InputsCS!$I$1),5,54),IF('KS2-4 Combined Science TMs'!$AA$47="disadvantage",INDEX(INDIRECT(InputsCS!$I$1),5,98),IF('KS2-4 Combined Science TMs'!$AA$47="sen",INDEX(INDIRECT(InputsCS!$I$1),5,142),IF('KS2-4 Combined Science TMs'!$AA$47="eal",INDEX(INDIRECT(InputsCS!$I$1),5,186),"")))),IF(InputsCS!$I$2="Pupil Percentages",IF('KS2-4 Combined Science TMs'!$AA$47="Gender",INDEX(INDIRECT(InputsCS!$I$1),21,54),IF('KS2-4 Combined Science TMs'!$AA$47="disadvantage",INDEX(INDIRECT(InputsCS!$I$1),21,98),IF('KS2-4 Combined Science TMs'!$AA$47="sen",INDEX(INDIRECT(InputsCS!$I$1),21,142),IF('KS2-4 Combined Science TMs'!$AA$47="eal",INDEX(INDIRECT(InputsCS!$I$1),21,186),"")))))))))),"")</f>
        <v/>
      </c>
      <c r="O67" s="61" t="str">
        <f ca="1">IFERROR(IF(InputsCS!$I$1="Please Select","",IF(InputsCS!$I$2="Please Select","",IF(InputsCS!$I$1="","",IF(InputsCS!$I$2="","",IF(InputsCS!$I$2="Pupil Numbers",IF('KS2-4 Combined Science TMs'!$AA$47="Gender",INDEX(INDIRECT(InputsCS!$I$1),5,55),IF('KS2-4 Combined Science TMs'!$AA$47="disadvantage",INDEX(INDIRECT(InputsCS!$I$1),5,99),IF('KS2-4 Combined Science TMs'!$AA$47="sen",INDEX(INDIRECT(InputsCS!$I$1),5,143),IF('KS2-4 Combined Science TMs'!$AA$47="eal",INDEX(INDIRECT(InputsCS!$I$1),5,187),"")))),IF(InputsCS!$I$2="Pupil Percentages",IF('KS2-4 Combined Science TMs'!$AA$47="Gender",INDEX(INDIRECT(InputsCS!$I$1),21,55),IF('KS2-4 Combined Science TMs'!$AA$47="disadvantage",INDEX(INDIRECT(InputsCS!$I$1),21,99),IF('KS2-4 Combined Science TMs'!$AA$47="sen",INDEX(INDIRECT(InputsCS!$I$1),21,143),IF('KS2-4 Combined Science TMs'!$AA$47="eal",INDEX(INDIRECT(InputsCS!$I$1),21,187),"")))))))))),"")</f>
        <v/>
      </c>
      <c r="P67" s="61" t="str">
        <f ca="1">IFERROR(IF(InputsCS!$I$1="Please Select","",IF(InputsCS!$I$2="Please Select","",IF(InputsCS!$I$1="","",IF(InputsCS!$I$2="","",IF(InputsCS!$I$2="Pupil Numbers",IF('KS2-4 Combined Science TMs'!$AA$47="Gender",INDEX(INDIRECT(InputsCS!$I$1),5,56),IF('KS2-4 Combined Science TMs'!$AA$47="disadvantage",INDEX(INDIRECT(InputsCS!$I$1),5,100),IF('KS2-4 Combined Science TMs'!$AA$47="sen",INDEX(INDIRECT(InputsCS!$I$1),5,144),IF('KS2-4 Combined Science TMs'!$AA$47="eal",INDEX(INDIRECT(InputsCS!$I$1),5,188),"")))),IF(InputsCS!$I$2="Pupil Percentages",IF('KS2-4 Combined Science TMs'!$AA$47="Gender",INDEX(INDIRECT(InputsCS!$I$1),21,56),IF('KS2-4 Combined Science TMs'!$AA$47="disadvantage",INDEX(INDIRECT(InputsCS!$I$1),21,100),IF('KS2-4 Combined Science TMs'!$AA$47="sen",INDEX(INDIRECT(InputsCS!$I$1),21,144),IF('KS2-4 Combined Science TMs'!$AA$47="eal",INDEX(INDIRECT(InputsCS!$I$1),21,188),"")))))))))),"")</f>
        <v/>
      </c>
      <c r="Q67" s="61" t="str">
        <f ca="1">IFERROR(IF(InputsCS!$I$1="Please Select","",IF(InputsCS!$I$2="Please Select","",IF(InputsCS!$I$1="","",IF(InputsCS!$I$2="","",IF(InputsCS!$I$2="Pupil Numbers",IF('KS2-4 Combined Science TMs'!$AA$47="Gender",INDEX(INDIRECT(InputsCS!$I$1),5,57),IF('KS2-4 Combined Science TMs'!$AA$47="disadvantage",INDEX(INDIRECT(InputsCS!$I$1),5,101),IF('KS2-4 Combined Science TMs'!$AA$47="sen",INDEX(INDIRECT(InputsCS!$I$1),5,145),IF('KS2-4 Combined Science TMs'!$AA$47="eal",INDEX(INDIRECT(InputsCS!$I$1),5,189),"")))),IF(InputsCS!$I$2="Pupil Percentages",IF('KS2-4 Combined Science TMs'!$AA$47="Gender",INDEX(INDIRECT(InputsCS!$I$1),21,57),IF('KS2-4 Combined Science TMs'!$AA$47="disadvantage",INDEX(INDIRECT(InputsCS!$I$1),21,101),IF('KS2-4 Combined Science TMs'!$AA$47="sen",INDEX(INDIRECT(InputsCS!$I$1),21,145),IF('KS2-4 Combined Science TMs'!$AA$47="eal",INDEX(INDIRECT(InputsCS!$I$1),21,189),"")))))))))),"")</f>
        <v/>
      </c>
      <c r="R67" s="61" t="str">
        <f ca="1">IFERROR(IF(InputsCS!$I$1="Please Select","",IF(InputsCS!$I$2="Please Select","",IF(InputsCS!$I$1="","",IF(InputsCS!$I$2="","",IF(InputsCS!$I$2="Pupil Numbers",IF('KS2-4 Combined Science TMs'!$AA$47="Gender",INDEX(INDIRECT(InputsCS!$I$1),5,58),IF('KS2-4 Combined Science TMs'!$AA$47="disadvantage",INDEX(INDIRECT(InputsCS!$I$1),5,102),IF('KS2-4 Combined Science TMs'!$AA$47="sen",INDEX(INDIRECT(InputsCS!$I$1),5,146),IF('KS2-4 Combined Science TMs'!$AA$47="eal",INDEX(INDIRECT(InputsCS!$I$1),5,190),"")))),IF(InputsCS!$I$2="Pupil Percentages",IF('KS2-4 Combined Science TMs'!$AA$47="Gender",INDEX(INDIRECT(InputsCS!$I$1),21,58),IF('KS2-4 Combined Science TMs'!$AA$47="disadvantage",INDEX(INDIRECT(InputsCS!$I$1),21,102),IF('KS2-4 Combined Science TMs'!$AA$47="sen",INDEX(INDIRECT(InputsCS!$I$1),21,146),IF('KS2-4 Combined Science TMs'!$AA$47="eal",INDEX(INDIRECT(InputsCS!$I$1),21,190),"")))))))))),"")</f>
        <v/>
      </c>
      <c r="S67" s="61" t="str">
        <f ca="1">IFERROR(IF(InputsCS!$I$1="Please Select","",IF(InputsCS!$I$2="Please Select","",IF(InputsCS!$I$1="","",IF(InputsCS!$I$2="","",IF(InputsCS!$I$2="Pupil Numbers",IF('KS2-4 Combined Science TMs'!$AA$47="Gender",INDEX(INDIRECT(InputsCS!$I$1),5,59),IF('KS2-4 Combined Science TMs'!$AA$47="disadvantage",INDEX(INDIRECT(InputsCS!$I$1),5,103),IF('KS2-4 Combined Science TMs'!$AA$47="sen",INDEX(INDIRECT(InputsCS!$I$1),5,147),IF('KS2-4 Combined Science TMs'!$AA$47="eal",INDEX(INDIRECT(InputsCS!$I$1),5,191),"")))),IF(InputsCS!$I$2="Pupil Percentages",IF('KS2-4 Combined Science TMs'!$AA$47="Gender",INDEX(INDIRECT(InputsCS!$I$1),21,59),IF('KS2-4 Combined Science TMs'!$AA$47="disadvantage",INDEX(INDIRECT(InputsCS!$I$1),21,103),IF('KS2-4 Combined Science TMs'!$AA$47="sen",INDEX(INDIRECT(InputsCS!$I$1),21,147),IF('KS2-4 Combined Science TMs'!$AA$47="eal",INDEX(INDIRECT(InputsCS!$I$1),21,191),"")))))))))),"")</f>
        <v/>
      </c>
      <c r="T67" s="61" t="str">
        <f ca="1">IFERROR(IF(InputsCS!$I$1="Please Select","",IF(InputsCS!$I$2="Please Select","",IF(InputsCS!$I$1="","",IF(InputsCS!$I$2="","",IF(InputsCS!$I$2="Pupil Numbers",IF('KS2-4 Combined Science TMs'!$AA$47="Gender",INDEX(INDIRECT(InputsCS!$I$1),5,60),IF('KS2-4 Combined Science TMs'!$AA$47="disadvantage",INDEX(INDIRECT(InputsCS!$I$1),5,104),IF('KS2-4 Combined Science TMs'!$AA$47="sen",INDEX(INDIRECT(InputsCS!$I$1),5,148),IF('KS2-4 Combined Science TMs'!$AA$47="eal",INDEX(INDIRECT(InputsCS!$I$1),5,192),"")))),IF(InputsCS!$I$2="Pupil Percentages",IF('KS2-4 Combined Science TMs'!$AA$47="Gender",INDEX(INDIRECT(InputsCS!$I$1),21,60),IF('KS2-4 Combined Science TMs'!$AA$47="disadvantage",INDEX(INDIRECT(InputsCS!$I$1),21,104),IF('KS2-4 Combined Science TMs'!$AA$47="sen",INDEX(INDIRECT(InputsCS!$I$1),21,148),IF('KS2-4 Combined Science TMs'!$AA$47="eal",INDEX(INDIRECT(InputsCS!$I$1),21,192),"")))))))))),"")</f>
        <v/>
      </c>
      <c r="U67" s="61" t="str">
        <f ca="1">IFERROR(IF(InputsCS!$I$1="Please Select","",IF(InputsCS!$I$2="Please Select","",IF(InputsCS!$I$1="","",IF(InputsCS!$I$2="","",IF(InputsCS!$I$2="Pupil Numbers",IF('KS2-4 Combined Science TMs'!$AA$47="Gender",INDEX(INDIRECT(InputsCS!$I$1),5,61),IF('KS2-4 Combined Science TMs'!$AA$47="disadvantage",INDEX(INDIRECT(InputsCS!$I$1),5,105),IF('KS2-4 Combined Science TMs'!$AA$47="sen",INDEX(INDIRECT(InputsCS!$I$1),5,149),IF('KS2-4 Combined Science TMs'!$AA$47="eal",INDEX(INDIRECT(InputsCS!$I$1),5,193),"")))),IF(InputsCS!$I$2="Pupil Percentages",IF('KS2-4 Combined Science TMs'!$AA$47="Gender",INDEX(INDIRECT(InputsCS!$I$1),21,61),IF('KS2-4 Combined Science TMs'!$AA$47="disadvantage",INDEX(INDIRECT(InputsCS!$I$1),21,105),IF('KS2-4 Combined Science TMs'!$AA$47="sen",INDEX(INDIRECT(InputsCS!$I$1),21,149),IF('KS2-4 Combined Science TMs'!$AA$47="eal",INDEX(INDIRECT(InputsCS!$I$1),21,193),"")))))))))),"")</f>
        <v/>
      </c>
      <c r="V67" s="61" t="str">
        <f ca="1">IFERROR(IF(InputsCS!$I$1="Please Select","",IF(InputsCS!$I$2="Please Select","",IF(InputsCS!$I$1="","",IF(InputsCS!$I$2="","",IF(InputsCS!$I$2="Pupil Numbers",IF('KS2-4 Combined Science TMs'!$AA$47="Gender",INDEX(INDIRECT(InputsCS!$I$1),5,62),IF('KS2-4 Combined Science TMs'!$AA$47="disadvantage",INDEX(INDIRECT(InputsCS!$I$1),5,106),IF('KS2-4 Combined Science TMs'!$AA$47="sen",INDEX(INDIRECT(InputsCS!$I$1),5,150),IF('KS2-4 Combined Science TMs'!$AA$47="eal",INDEX(INDIRECT(InputsCS!$I$1),5,194),"")))),IF(InputsCS!$I$2="Pupil Percentages",IF('KS2-4 Combined Science TMs'!$AA$47="Gender",INDEX(INDIRECT(InputsCS!$I$1),21,62),IF('KS2-4 Combined Science TMs'!$AA$47="disadvantage",INDEX(INDIRECT(InputsCS!$I$1),21,106),IF('KS2-4 Combined Science TMs'!$AA$47="sen",INDEX(INDIRECT(InputsCS!$I$1),21,150),IF('KS2-4 Combined Science TMs'!$AA$47="eal",INDEX(INDIRECT(InputsCS!$I$1),21,194),"")))))))))),"")</f>
        <v/>
      </c>
      <c r="AD67" s="12"/>
      <c r="AR67" s="13"/>
      <c r="AS67" s="13"/>
      <c r="AT67" s="13"/>
      <c r="AU67" s="13"/>
      <c r="AV67" s="13"/>
      <c r="AW67" s="13"/>
      <c r="AX67" s="13"/>
      <c r="AY67" s="13"/>
      <c r="AZ67" s="13"/>
      <c r="BA67" s="13"/>
      <c r="BB67" s="13"/>
      <c r="BC67" s="13"/>
      <c r="BD67" s="13"/>
    </row>
    <row r="68" spans="3:56" ht="23.1" customHeight="1" x14ac:dyDescent="0.5">
      <c r="C68" s="120"/>
      <c r="D68" s="60" t="s">
        <v>5</v>
      </c>
      <c r="E68" s="61" t="str">
        <f ca="1">IFERROR(IF(InputsCS!$I$1="Please Select","",IF(InputsCS!$I$2="Please Select","",IF(InputsCS!$I$1="","",IF(InputsCS!$I$2="","",IF(InputsCS!$I$2="Pupil Numbers",IF('KS2-4 Combined Science TMs'!$AA$47="Gender",INDEX(INDIRECT(InputsCS!$I$1),6,45),IF('KS2-4 Combined Science TMs'!$AA$47="disadvantage",INDEX(INDIRECT(InputsCS!$I$1),6,89),IF('KS2-4 Combined Science TMs'!$AA$47="sen",INDEX(INDIRECT(InputsCS!$I$1),6,133),IF('KS2-4 Combined Science TMs'!$AA$47="eal",INDEX(INDIRECT(InputsCS!$I$1),6,177),"")))),IF(InputsCS!$I$2="Pupil Percentages",IF('KS2-4 Combined Science TMs'!$AA$47="Gender",INDEX(INDIRECT(InputsCS!$I$1),22,45),IF('KS2-4 Combined Science TMs'!$AA$47="disadvantage",INDEX(INDIRECT(InputsCS!$I$1),22,89),IF('KS2-4 Combined Science TMs'!$AA$47="sen",INDEX(INDIRECT(InputsCS!$I$1),22,133),IF('KS2-4 Combined Science TMs'!$AA$47="eal",INDEX(INDIRECT(InputsCS!$I$1),22,177),"")))))))))),"")</f>
        <v/>
      </c>
      <c r="F68" s="61" t="str">
        <f ca="1">IFERROR(IF(InputsCS!$I$1="Please Select","",IF(InputsCS!$I$2="Please Select","",IF(InputsCS!$I$1="","",IF(InputsCS!$I$2="","",IF(InputsCS!$I$2="Pupil Numbers",IF('KS2-4 Combined Science TMs'!$AA$47="Gender",INDEX(INDIRECT(InputsCS!$I$1),6,46),IF('KS2-4 Combined Science TMs'!$AA$47="disadvantage",INDEX(INDIRECT(InputsCS!$I$1),6,90),IF('KS2-4 Combined Science TMs'!$AA$47="sen",INDEX(INDIRECT(InputsCS!$I$1),6,134),IF('KS2-4 Combined Science TMs'!$AA$47="eal",INDEX(INDIRECT(InputsCS!$I$1),6,178),"")))),IF(InputsCS!$I$2="Pupil Percentages",IF('KS2-4 Combined Science TMs'!$AA$47="Gender",INDEX(INDIRECT(InputsCS!$I$1),22,46),IF('KS2-4 Combined Science TMs'!$AA$47="disadvantage",INDEX(INDIRECT(InputsCS!$I$1),22,90),IF('KS2-4 Combined Science TMs'!$AA$47="sen",INDEX(INDIRECT(InputsCS!$I$1),22,134),IF('KS2-4 Combined Science TMs'!$AA$47="eal",INDEX(INDIRECT(InputsCS!$I$1),22,178),"")))))))))),"")</f>
        <v/>
      </c>
      <c r="G68" s="61" t="str">
        <f ca="1">IFERROR(IF(InputsCS!$I$1="Please Select","",IF(InputsCS!$I$2="Please Select","",IF(InputsCS!$I$1="","",IF(InputsCS!$I$2="","",IF(InputsCS!$I$2="Pupil Numbers",IF('KS2-4 Combined Science TMs'!$AA$47="Gender",INDEX(INDIRECT(InputsCS!$I$1),6,47),IF('KS2-4 Combined Science TMs'!$AA$47="disadvantage",INDEX(INDIRECT(InputsCS!$I$1),6,91),IF('KS2-4 Combined Science TMs'!$AA$47="sen",INDEX(INDIRECT(InputsCS!$I$1),6,135),IF('KS2-4 Combined Science TMs'!$AA$47="eal",INDEX(INDIRECT(InputsCS!$I$1),6,179),"")))),IF(InputsCS!$I$2="Pupil Percentages",IF('KS2-4 Combined Science TMs'!$AA$47="Gender",INDEX(INDIRECT(InputsCS!$I$1),22,47),IF('KS2-4 Combined Science TMs'!$AA$47="disadvantage",INDEX(INDIRECT(InputsCS!$I$1),22,91),IF('KS2-4 Combined Science TMs'!$AA$47="sen",INDEX(INDIRECT(InputsCS!$I$1),22,135),IF('KS2-4 Combined Science TMs'!$AA$47="eal",INDEX(INDIRECT(InputsCS!$I$1),22,179),"")))))))))),"")</f>
        <v/>
      </c>
      <c r="H68" s="61" t="str">
        <f ca="1">IFERROR(IF(InputsCS!$I$1="Please Select","",IF(InputsCS!$I$2="Please Select","",IF(InputsCS!$I$1="","",IF(InputsCS!$I$2="","",IF(InputsCS!$I$2="Pupil Numbers",IF('KS2-4 Combined Science TMs'!$AA$47="Gender",INDEX(INDIRECT(InputsCS!$I$1),6,48),IF('KS2-4 Combined Science TMs'!$AA$47="disadvantage",INDEX(INDIRECT(InputsCS!$I$1),6,92),IF('KS2-4 Combined Science TMs'!$AA$47="sen",INDEX(INDIRECT(InputsCS!$I$1),6,136),IF('KS2-4 Combined Science TMs'!$AA$47="eal",INDEX(INDIRECT(InputsCS!$I$1),6,180),"")))),IF(InputsCS!$I$2="Pupil Percentages",IF('KS2-4 Combined Science TMs'!$AA$47="Gender",INDEX(INDIRECT(InputsCS!$I$1),22,48),IF('KS2-4 Combined Science TMs'!$AA$47="disadvantage",INDEX(INDIRECT(InputsCS!$I$1),22,92),IF('KS2-4 Combined Science TMs'!$AA$47="sen",INDEX(INDIRECT(InputsCS!$I$1),22,136),IF('KS2-4 Combined Science TMs'!$AA$47="eal",INDEX(INDIRECT(InputsCS!$I$1),22,180),"")))))))))),"")</f>
        <v/>
      </c>
      <c r="I68" s="61" t="str">
        <f ca="1">IFERROR(IF(InputsCS!$I$1="Please Select","",IF(InputsCS!$I$2="Please Select","",IF(InputsCS!$I$1="","",IF(InputsCS!$I$2="","",IF(InputsCS!$I$2="Pupil Numbers",IF('KS2-4 Combined Science TMs'!$AA$47="Gender",INDEX(INDIRECT(InputsCS!$I$1),6,49),IF('KS2-4 Combined Science TMs'!$AA$47="disadvantage",INDEX(INDIRECT(InputsCS!$I$1),6,93),IF('KS2-4 Combined Science TMs'!$AA$47="sen",INDEX(INDIRECT(InputsCS!$I$1),6,137),IF('KS2-4 Combined Science TMs'!$AA$47="eal",INDEX(INDIRECT(InputsCS!$I$1),6,181),"")))),IF(InputsCS!$I$2="Pupil Percentages",IF('KS2-4 Combined Science TMs'!$AA$47="Gender",INDEX(INDIRECT(InputsCS!$I$1),22,49),IF('KS2-4 Combined Science TMs'!$AA$47="disadvantage",INDEX(INDIRECT(InputsCS!$I$1),22,93),IF('KS2-4 Combined Science TMs'!$AA$47="sen",INDEX(INDIRECT(InputsCS!$I$1),22,137),IF('KS2-4 Combined Science TMs'!$AA$47="eal",INDEX(INDIRECT(InputsCS!$I$1),22,181),"")))))))))),"")</f>
        <v/>
      </c>
      <c r="J68" s="61" t="str">
        <f ca="1">IFERROR(IF(InputsCS!$I$1="Please Select","",IF(InputsCS!$I$2="Please Select","",IF(InputsCS!$I$1="","",IF(InputsCS!$I$2="","",IF(InputsCS!$I$2="Pupil Numbers",IF('KS2-4 Combined Science TMs'!$AA$47="Gender",INDEX(INDIRECT(InputsCS!$I$1),6,50),IF('KS2-4 Combined Science TMs'!$AA$47="disadvantage",INDEX(INDIRECT(InputsCS!$I$1),6,94),IF('KS2-4 Combined Science TMs'!$AA$47="sen",INDEX(INDIRECT(InputsCS!$I$1),6,138),IF('KS2-4 Combined Science TMs'!$AA$47="eal",INDEX(INDIRECT(InputsCS!$I$1),6,182),"")))),IF(InputsCS!$I$2="Pupil Percentages",IF('KS2-4 Combined Science TMs'!$AA$47="Gender",INDEX(INDIRECT(InputsCS!$I$1),22,50),IF('KS2-4 Combined Science TMs'!$AA$47="disadvantage",INDEX(INDIRECT(InputsCS!$I$1),22,94),IF('KS2-4 Combined Science TMs'!$AA$47="sen",INDEX(INDIRECT(InputsCS!$I$1),22,138),IF('KS2-4 Combined Science TMs'!$AA$47="eal",INDEX(INDIRECT(InputsCS!$I$1),22,182),"")))))))))),"")</f>
        <v/>
      </c>
      <c r="K68" s="61" t="str">
        <f ca="1">IFERROR(IF(InputsCS!$I$1="Please Select","",IF(InputsCS!$I$2="Please Select","",IF(InputsCS!$I$1="","",IF(InputsCS!$I$2="","",IF(InputsCS!$I$2="Pupil Numbers",IF('KS2-4 Combined Science TMs'!$AA$47="Gender",INDEX(INDIRECT(InputsCS!$I$1),6,51),IF('KS2-4 Combined Science TMs'!$AA$47="disadvantage",INDEX(INDIRECT(InputsCS!$I$1),6,95),IF('KS2-4 Combined Science TMs'!$AA$47="sen",INDEX(INDIRECT(InputsCS!$I$1),6,139),IF('KS2-4 Combined Science TMs'!$AA$47="eal",INDEX(INDIRECT(InputsCS!$I$1),6,183),"")))),IF(InputsCS!$I$2="Pupil Percentages",IF('KS2-4 Combined Science TMs'!$AA$47="Gender",INDEX(INDIRECT(InputsCS!$I$1),22,51),IF('KS2-4 Combined Science TMs'!$AA$47="disadvantage",INDEX(INDIRECT(InputsCS!$I$1),22,95),IF('KS2-4 Combined Science TMs'!$AA$47="sen",INDEX(INDIRECT(InputsCS!$I$1),22,139),IF('KS2-4 Combined Science TMs'!$AA$47="eal",INDEX(INDIRECT(InputsCS!$I$1),22,183),"")))))))))),"")</f>
        <v/>
      </c>
      <c r="L68" s="61" t="str">
        <f ca="1">IFERROR(IF(InputsCS!$I$1="Please Select","",IF(InputsCS!$I$2="Please Select","",IF(InputsCS!$I$1="","",IF(InputsCS!$I$2="","",IF(InputsCS!$I$2="Pupil Numbers",IF('KS2-4 Combined Science TMs'!$AA$47="Gender",INDEX(INDIRECT(InputsCS!$I$1),6,52),IF('KS2-4 Combined Science TMs'!$AA$47="disadvantage",INDEX(INDIRECT(InputsCS!$I$1),6,96),IF('KS2-4 Combined Science TMs'!$AA$47="sen",INDEX(INDIRECT(InputsCS!$I$1),6,140),IF('KS2-4 Combined Science TMs'!$AA$47="eal",INDEX(INDIRECT(InputsCS!$I$1),6,184),"")))),IF(InputsCS!$I$2="Pupil Percentages",IF('KS2-4 Combined Science TMs'!$AA$47="Gender",INDEX(INDIRECT(InputsCS!$I$1),22,52),IF('KS2-4 Combined Science TMs'!$AA$47="disadvantage",INDEX(INDIRECT(InputsCS!$I$1),22,96),IF('KS2-4 Combined Science TMs'!$AA$47="sen",INDEX(INDIRECT(InputsCS!$I$1),22,140),IF('KS2-4 Combined Science TMs'!$AA$47="eal",INDEX(INDIRECT(InputsCS!$I$1),22,184),"")))))))))),"")</f>
        <v/>
      </c>
      <c r="M68" s="61" t="str">
        <f ca="1">IFERROR(IF(InputsCS!$I$1="Please Select","",IF(InputsCS!$I$2="Please Select","",IF(InputsCS!$I$1="","",IF(InputsCS!$I$2="","",IF(InputsCS!$I$2="Pupil Numbers",IF('KS2-4 Combined Science TMs'!$AA$47="Gender",INDEX(INDIRECT(InputsCS!$I$1),6,53),IF('KS2-4 Combined Science TMs'!$AA$47="disadvantage",INDEX(INDIRECT(InputsCS!$I$1),6,97),IF('KS2-4 Combined Science TMs'!$AA$47="sen",INDEX(INDIRECT(InputsCS!$I$1),6,141),IF('KS2-4 Combined Science TMs'!$AA$47="eal",INDEX(INDIRECT(InputsCS!$I$1),6,185),"")))),IF(InputsCS!$I$2="Pupil Percentages",IF('KS2-4 Combined Science TMs'!$AA$47="Gender",INDEX(INDIRECT(InputsCS!$I$1),22,53),IF('KS2-4 Combined Science TMs'!$AA$47="disadvantage",INDEX(INDIRECT(InputsCS!$I$1),22,97),IF('KS2-4 Combined Science TMs'!$AA$47="sen",INDEX(INDIRECT(InputsCS!$I$1),22,141),IF('KS2-4 Combined Science TMs'!$AA$47="eal",INDEX(INDIRECT(InputsCS!$I$1),22,185),"")))))))))),"")</f>
        <v/>
      </c>
      <c r="N68" s="61" t="str">
        <f ca="1">IFERROR(IF(InputsCS!$I$1="Please Select","",IF(InputsCS!$I$2="Please Select","",IF(InputsCS!$I$1="","",IF(InputsCS!$I$2="","",IF(InputsCS!$I$2="Pupil Numbers",IF('KS2-4 Combined Science TMs'!$AA$47="Gender",INDEX(INDIRECT(InputsCS!$I$1),6,54),IF('KS2-4 Combined Science TMs'!$AA$47="disadvantage",INDEX(INDIRECT(InputsCS!$I$1),6,98),IF('KS2-4 Combined Science TMs'!$AA$47="sen",INDEX(INDIRECT(InputsCS!$I$1),6,142),IF('KS2-4 Combined Science TMs'!$AA$47="eal",INDEX(INDIRECT(InputsCS!$I$1),6,186),"")))),IF(InputsCS!$I$2="Pupil Percentages",IF('KS2-4 Combined Science TMs'!$AA$47="Gender",INDEX(INDIRECT(InputsCS!$I$1),22,54),IF('KS2-4 Combined Science TMs'!$AA$47="disadvantage",INDEX(INDIRECT(InputsCS!$I$1),22,98),IF('KS2-4 Combined Science TMs'!$AA$47="sen",INDEX(INDIRECT(InputsCS!$I$1),22,142),IF('KS2-4 Combined Science TMs'!$AA$47="eal",INDEX(INDIRECT(InputsCS!$I$1),22,186),"")))))))))),"")</f>
        <v/>
      </c>
      <c r="O68" s="61" t="str">
        <f ca="1">IFERROR(IF(InputsCS!$I$1="Please Select","",IF(InputsCS!$I$2="Please Select","",IF(InputsCS!$I$1="","",IF(InputsCS!$I$2="","",IF(InputsCS!$I$2="Pupil Numbers",IF('KS2-4 Combined Science TMs'!$AA$47="Gender",INDEX(INDIRECT(InputsCS!$I$1),6,55),IF('KS2-4 Combined Science TMs'!$AA$47="disadvantage",INDEX(INDIRECT(InputsCS!$I$1),6,99),IF('KS2-4 Combined Science TMs'!$AA$47="sen",INDEX(INDIRECT(InputsCS!$I$1),6,143),IF('KS2-4 Combined Science TMs'!$AA$47="eal",INDEX(INDIRECT(InputsCS!$I$1),6,187),"")))),IF(InputsCS!$I$2="Pupil Percentages",IF('KS2-4 Combined Science TMs'!$AA$47="Gender",INDEX(INDIRECT(InputsCS!$I$1),22,55),IF('KS2-4 Combined Science TMs'!$AA$47="disadvantage",INDEX(INDIRECT(InputsCS!$I$1),22,99),IF('KS2-4 Combined Science TMs'!$AA$47="sen",INDEX(INDIRECT(InputsCS!$I$1),22,143),IF('KS2-4 Combined Science TMs'!$AA$47="eal",INDEX(INDIRECT(InputsCS!$I$1),22,187),"")))))))))),"")</f>
        <v/>
      </c>
      <c r="P68" s="61" t="str">
        <f ca="1">IFERROR(IF(InputsCS!$I$1="Please Select","",IF(InputsCS!$I$2="Please Select","",IF(InputsCS!$I$1="","",IF(InputsCS!$I$2="","",IF(InputsCS!$I$2="Pupil Numbers",IF('KS2-4 Combined Science TMs'!$AA$47="Gender",INDEX(INDIRECT(InputsCS!$I$1),6,56),IF('KS2-4 Combined Science TMs'!$AA$47="disadvantage",INDEX(INDIRECT(InputsCS!$I$1),6,100),IF('KS2-4 Combined Science TMs'!$AA$47="sen",INDEX(INDIRECT(InputsCS!$I$1),6,144),IF('KS2-4 Combined Science TMs'!$AA$47="eal",INDEX(INDIRECT(InputsCS!$I$1),6,188),"")))),IF(InputsCS!$I$2="Pupil Percentages",IF('KS2-4 Combined Science TMs'!$AA$47="Gender",INDEX(INDIRECT(InputsCS!$I$1),22,56),IF('KS2-4 Combined Science TMs'!$AA$47="disadvantage",INDEX(INDIRECT(InputsCS!$I$1),22,100),IF('KS2-4 Combined Science TMs'!$AA$47="sen",INDEX(INDIRECT(InputsCS!$I$1),22,144),IF('KS2-4 Combined Science TMs'!$AA$47="eal",INDEX(INDIRECT(InputsCS!$I$1),22,188),"")))))))))),"")</f>
        <v/>
      </c>
      <c r="Q68" s="61" t="str">
        <f ca="1">IFERROR(IF(InputsCS!$I$1="Please Select","",IF(InputsCS!$I$2="Please Select","",IF(InputsCS!$I$1="","",IF(InputsCS!$I$2="","",IF(InputsCS!$I$2="Pupil Numbers",IF('KS2-4 Combined Science TMs'!$AA$47="Gender",INDEX(INDIRECT(InputsCS!$I$1),6,57),IF('KS2-4 Combined Science TMs'!$AA$47="disadvantage",INDEX(INDIRECT(InputsCS!$I$1),6,101),IF('KS2-4 Combined Science TMs'!$AA$47="sen",INDEX(INDIRECT(InputsCS!$I$1),6,145),IF('KS2-4 Combined Science TMs'!$AA$47="eal",INDEX(INDIRECT(InputsCS!$I$1),6,189),"")))),IF(InputsCS!$I$2="Pupil Percentages",IF('KS2-4 Combined Science TMs'!$AA$47="Gender",INDEX(INDIRECT(InputsCS!$I$1),22,57),IF('KS2-4 Combined Science TMs'!$AA$47="disadvantage",INDEX(INDIRECT(InputsCS!$I$1),22,101),IF('KS2-4 Combined Science TMs'!$AA$47="sen",INDEX(INDIRECT(InputsCS!$I$1),22,145),IF('KS2-4 Combined Science TMs'!$AA$47="eal",INDEX(INDIRECT(InputsCS!$I$1),22,189),"")))))))))),"")</f>
        <v/>
      </c>
      <c r="R68" s="61" t="str">
        <f ca="1">IFERROR(IF(InputsCS!$I$1="Please Select","",IF(InputsCS!$I$2="Please Select","",IF(InputsCS!$I$1="","",IF(InputsCS!$I$2="","",IF(InputsCS!$I$2="Pupil Numbers",IF('KS2-4 Combined Science TMs'!$AA$47="Gender",INDEX(INDIRECT(InputsCS!$I$1),6,58),IF('KS2-4 Combined Science TMs'!$AA$47="disadvantage",INDEX(INDIRECT(InputsCS!$I$1),6,102),IF('KS2-4 Combined Science TMs'!$AA$47="sen",INDEX(INDIRECT(InputsCS!$I$1),6,146),IF('KS2-4 Combined Science TMs'!$AA$47="eal",INDEX(INDIRECT(InputsCS!$I$1),6,190),"")))),IF(InputsCS!$I$2="Pupil Percentages",IF('KS2-4 Combined Science TMs'!$AA$47="Gender",INDEX(INDIRECT(InputsCS!$I$1),22,58),IF('KS2-4 Combined Science TMs'!$AA$47="disadvantage",INDEX(INDIRECT(InputsCS!$I$1),22,102),IF('KS2-4 Combined Science TMs'!$AA$47="sen",INDEX(INDIRECT(InputsCS!$I$1),22,146),IF('KS2-4 Combined Science TMs'!$AA$47="eal",INDEX(INDIRECT(InputsCS!$I$1),22,190),"")))))))))),"")</f>
        <v/>
      </c>
      <c r="S68" s="61" t="str">
        <f ca="1">IFERROR(IF(InputsCS!$I$1="Please Select","",IF(InputsCS!$I$2="Please Select","",IF(InputsCS!$I$1="","",IF(InputsCS!$I$2="","",IF(InputsCS!$I$2="Pupil Numbers",IF('KS2-4 Combined Science TMs'!$AA$47="Gender",INDEX(INDIRECT(InputsCS!$I$1),6,59),IF('KS2-4 Combined Science TMs'!$AA$47="disadvantage",INDEX(INDIRECT(InputsCS!$I$1),6,103),IF('KS2-4 Combined Science TMs'!$AA$47="sen",INDEX(INDIRECT(InputsCS!$I$1),6,147),IF('KS2-4 Combined Science TMs'!$AA$47="eal",INDEX(INDIRECT(InputsCS!$I$1),6,191),"")))),IF(InputsCS!$I$2="Pupil Percentages",IF('KS2-4 Combined Science TMs'!$AA$47="Gender",INDEX(INDIRECT(InputsCS!$I$1),22,59),IF('KS2-4 Combined Science TMs'!$AA$47="disadvantage",INDEX(INDIRECT(InputsCS!$I$1),22,103),IF('KS2-4 Combined Science TMs'!$AA$47="sen",INDEX(INDIRECT(InputsCS!$I$1),22,147),IF('KS2-4 Combined Science TMs'!$AA$47="eal",INDEX(INDIRECT(InputsCS!$I$1),22,191),"")))))))))),"")</f>
        <v/>
      </c>
      <c r="T68" s="61" t="str">
        <f ca="1">IFERROR(IF(InputsCS!$I$1="Please Select","",IF(InputsCS!$I$2="Please Select","",IF(InputsCS!$I$1="","",IF(InputsCS!$I$2="","",IF(InputsCS!$I$2="Pupil Numbers",IF('KS2-4 Combined Science TMs'!$AA$47="Gender",INDEX(INDIRECT(InputsCS!$I$1),6,60),IF('KS2-4 Combined Science TMs'!$AA$47="disadvantage",INDEX(INDIRECT(InputsCS!$I$1),6,104),IF('KS2-4 Combined Science TMs'!$AA$47="sen",INDEX(INDIRECT(InputsCS!$I$1),6,148),IF('KS2-4 Combined Science TMs'!$AA$47="eal",INDEX(INDIRECT(InputsCS!$I$1),6,192),"")))),IF(InputsCS!$I$2="Pupil Percentages",IF('KS2-4 Combined Science TMs'!$AA$47="Gender",INDEX(INDIRECT(InputsCS!$I$1),22,60),IF('KS2-4 Combined Science TMs'!$AA$47="disadvantage",INDEX(INDIRECT(InputsCS!$I$1),22,104),IF('KS2-4 Combined Science TMs'!$AA$47="sen",INDEX(INDIRECT(InputsCS!$I$1),22,148),IF('KS2-4 Combined Science TMs'!$AA$47="eal",INDEX(INDIRECT(InputsCS!$I$1),22,192),"")))))))))),"")</f>
        <v/>
      </c>
      <c r="U68" s="61" t="str">
        <f ca="1">IFERROR(IF(InputsCS!$I$1="Please Select","",IF(InputsCS!$I$2="Please Select","",IF(InputsCS!$I$1="","",IF(InputsCS!$I$2="","",IF(InputsCS!$I$2="Pupil Numbers",IF('KS2-4 Combined Science TMs'!$AA$47="Gender",INDEX(INDIRECT(InputsCS!$I$1),6,61),IF('KS2-4 Combined Science TMs'!$AA$47="disadvantage",INDEX(INDIRECT(InputsCS!$I$1),6,105),IF('KS2-4 Combined Science TMs'!$AA$47="sen",INDEX(INDIRECT(InputsCS!$I$1),6,149),IF('KS2-4 Combined Science TMs'!$AA$47="eal",INDEX(INDIRECT(InputsCS!$I$1),6,193),"")))),IF(InputsCS!$I$2="Pupil Percentages",IF('KS2-4 Combined Science TMs'!$AA$47="Gender",INDEX(INDIRECT(InputsCS!$I$1),22,61),IF('KS2-4 Combined Science TMs'!$AA$47="disadvantage",INDEX(INDIRECT(InputsCS!$I$1),22,105),IF('KS2-4 Combined Science TMs'!$AA$47="sen",INDEX(INDIRECT(InputsCS!$I$1),22,149),IF('KS2-4 Combined Science TMs'!$AA$47="eal",INDEX(INDIRECT(InputsCS!$I$1),22,193),"")))))))))),"")</f>
        <v/>
      </c>
      <c r="V68" s="61" t="str">
        <f ca="1">IFERROR(IF(InputsCS!$I$1="Please Select","",IF(InputsCS!$I$2="Please Select","",IF(InputsCS!$I$1="","",IF(InputsCS!$I$2="","",IF(InputsCS!$I$2="Pupil Numbers",IF('KS2-4 Combined Science TMs'!$AA$47="Gender",INDEX(INDIRECT(InputsCS!$I$1),6,62),IF('KS2-4 Combined Science TMs'!$AA$47="disadvantage",INDEX(INDIRECT(InputsCS!$I$1),6,106),IF('KS2-4 Combined Science TMs'!$AA$47="sen",INDEX(INDIRECT(InputsCS!$I$1),6,150),IF('KS2-4 Combined Science TMs'!$AA$47="eal",INDEX(INDIRECT(InputsCS!$I$1),6,194),"")))),IF(InputsCS!$I$2="Pupil Percentages",IF('KS2-4 Combined Science TMs'!$AA$47="Gender",INDEX(INDIRECT(InputsCS!$I$1),22,62),IF('KS2-4 Combined Science TMs'!$AA$47="disadvantage",INDEX(INDIRECT(InputsCS!$I$1),22,106),IF('KS2-4 Combined Science TMs'!$AA$47="sen",INDEX(INDIRECT(InputsCS!$I$1),22,150),IF('KS2-4 Combined Science TMs'!$AA$47="eal",INDEX(INDIRECT(InputsCS!$I$1),22,194),"")))))))))),"")</f>
        <v/>
      </c>
      <c r="AD68" s="12"/>
      <c r="AR68" s="13"/>
      <c r="AS68" s="13"/>
      <c r="AT68" s="13"/>
      <c r="AU68" s="13"/>
      <c r="AV68" s="13"/>
      <c r="AW68" s="13"/>
      <c r="AX68" s="13"/>
      <c r="AY68" s="13"/>
      <c r="AZ68" s="13"/>
      <c r="BA68" s="13"/>
      <c r="BB68" s="13"/>
      <c r="BC68" s="13"/>
      <c r="BD68" s="13"/>
    </row>
    <row r="69" spans="3:56" ht="23.1" customHeight="1" x14ac:dyDescent="0.5">
      <c r="C69" s="120"/>
      <c r="D69" s="60" t="s">
        <v>6</v>
      </c>
      <c r="E69" s="61" t="str">
        <f ca="1">IFERROR(IF(InputsCS!$I$1="Please Select","",IF(InputsCS!$I$2="Please Select","",IF(InputsCS!$I$1="","",IF(InputsCS!$I$2="","",IF(InputsCS!$I$2="Pupil Numbers",IF('KS2-4 Combined Science TMs'!$AA$47="Gender",INDEX(INDIRECT(InputsCS!$I$1),7,45),IF('KS2-4 Combined Science TMs'!$AA$47="disadvantage",INDEX(INDIRECT(InputsCS!$I$1),7,89),IF('KS2-4 Combined Science TMs'!$AA$47="sen",INDEX(INDIRECT(InputsCS!$I$1),7,133),IF('KS2-4 Combined Science TMs'!$AA$47="eal",INDEX(INDIRECT(InputsCS!$I$1),7,177),"")))),IF(InputsCS!$I$2="Pupil Percentages",IF('KS2-4 Combined Science TMs'!$AA$47="Gender",INDEX(INDIRECT(InputsCS!$I$1),23,45),IF('KS2-4 Combined Science TMs'!$AA$47="disadvantage",INDEX(INDIRECT(InputsCS!$I$1),23,89),IF('KS2-4 Combined Science TMs'!$AA$47="sen",INDEX(INDIRECT(InputsCS!$I$1),23,133),IF('KS2-4 Combined Science TMs'!$AA$47="eal",INDEX(INDIRECT(InputsCS!$I$1),23,177),"")))))))))),"")</f>
        <v/>
      </c>
      <c r="F69" s="61" t="str">
        <f ca="1">IFERROR(IF(InputsCS!$I$1="Please Select","",IF(InputsCS!$I$2="Please Select","",IF(InputsCS!$I$1="","",IF(InputsCS!$I$2="","",IF(InputsCS!$I$2="Pupil Numbers",IF('KS2-4 Combined Science TMs'!$AA$47="Gender",INDEX(INDIRECT(InputsCS!$I$1),7,46),IF('KS2-4 Combined Science TMs'!$AA$47="disadvantage",INDEX(INDIRECT(InputsCS!$I$1),7,90),IF('KS2-4 Combined Science TMs'!$AA$47="sen",INDEX(INDIRECT(InputsCS!$I$1),7,134),IF('KS2-4 Combined Science TMs'!$AA$47="eal",INDEX(INDIRECT(InputsCS!$I$1),7,178),"")))),IF(InputsCS!$I$2="Pupil Percentages",IF('KS2-4 Combined Science TMs'!$AA$47="Gender",INDEX(INDIRECT(InputsCS!$I$1),23,46),IF('KS2-4 Combined Science TMs'!$AA$47="disadvantage",INDEX(INDIRECT(InputsCS!$I$1),23,90),IF('KS2-4 Combined Science TMs'!$AA$47="sen",INDEX(INDIRECT(InputsCS!$I$1),23,134),IF('KS2-4 Combined Science TMs'!$AA$47="eal",INDEX(INDIRECT(InputsCS!$I$1),23,178),"")))))))))),"")</f>
        <v/>
      </c>
      <c r="G69" s="61" t="str">
        <f ca="1">IFERROR(IF(InputsCS!$I$1="Please Select","",IF(InputsCS!$I$2="Please Select","",IF(InputsCS!$I$1="","",IF(InputsCS!$I$2="","",IF(InputsCS!$I$2="Pupil Numbers",IF('KS2-4 Combined Science TMs'!$AA$47="Gender",INDEX(INDIRECT(InputsCS!$I$1),7,47),IF('KS2-4 Combined Science TMs'!$AA$47="disadvantage",INDEX(INDIRECT(InputsCS!$I$1),7,91),IF('KS2-4 Combined Science TMs'!$AA$47="sen",INDEX(INDIRECT(InputsCS!$I$1),7,135),IF('KS2-4 Combined Science TMs'!$AA$47="eal",INDEX(INDIRECT(InputsCS!$I$1),7,179),"")))),IF(InputsCS!$I$2="Pupil Percentages",IF('KS2-4 Combined Science TMs'!$AA$47="Gender",INDEX(INDIRECT(InputsCS!$I$1),23,47),IF('KS2-4 Combined Science TMs'!$AA$47="disadvantage",INDEX(INDIRECT(InputsCS!$I$1),23,91),IF('KS2-4 Combined Science TMs'!$AA$47="sen",INDEX(INDIRECT(InputsCS!$I$1),23,135),IF('KS2-4 Combined Science TMs'!$AA$47="eal",INDEX(INDIRECT(InputsCS!$I$1),23,179),"")))))))))),"")</f>
        <v/>
      </c>
      <c r="H69" s="61" t="str">
        <f ca="1">IFERROR(IF(InputsCS!$I$1="Please Select","",IF(InputsCS!$I$2="Please Select","",IF(InputsCS!$I$1="","",IF(InputsCS!$I$2="","",IF(InputsCS!$I$2="Pupil Numbers",IF('KS2-4 Combined Science TMs'!$AA$47="Gender",INDEX(INDIRECT(InputsCS!$I$1),7,48),IF('KS2-4 Combined Science TMs'!$AA$47="disadvantage",INDEX(INDIRECT(InputsCS!$I$1),7,92),IF('KS2-4 Combined Science TMs'!$AA$47="sen",INDEX(INDIRECT(InputsCS!$I$1),7,136),IF('KS2-4 Combined Science TMs'!$AA$47="eal",INDEX(INDIRECT(InputsCS!$I$1),7,180),"")))),IF(InputsCS!$I$2="Pupil Percentages",IF('KS2-4 Combined Science TMs'!$AA$47="Gender",INDEX(INDIRECT(InputsCS!$I$1),23,48),IF('KS2-4 Combined Science TMs'!$AA$47="disadvantage",INDEX(INDIRECT(InputsCS!$I$1),23,92),IF('KS2-4 Combined Science TMs'!$AA$47="sen",INDEX(INDIRECT(InputsCS!$I$1),23,136),IF('KS2-4 Combined Science TMs'!$AA$47="eal",INDEX(INDIRECT(InputsCS!$I$1),23,180),"")))))))))),"")</f>
        <v/>
      </c>
      <c r="I69" s="61" t="str">
        <f ca="1">IFERROR(IF(InputsCS!$I$1="Please Select","",IF(InputsCS!$I$2="Please Select","",IF(InputsCS!$I$1="","",IF(InputsCS!$I$2="","",IF(InputsCS!$I$2="Pupil Numbers",IF('KS2-4 Combined Science TMs'!$AA$47="Gender",INDEX(INDIRECT(InputsCS!$I$1),7,49),IF('KS2-4 Combined Science TMs'!$AA$47="disadvantage",INDEX(INDIRECT(InputsCS!$I$1),7,93),IF('KS2-4 Combined Science TMs'!$AA$47="sen",INDEX(INDIRECT(InputsCS!$I$1),7,137),IF('KS2-4 Combined Science TMs'!$AA$47="eal",INDEX(INDIRECT(InputsCS!$I$1),7,181),"")))),IF(InputsCS!$I$2="Pupil Percentages",IF('KS2-4 Combined Science TMs'!$AA$47="Gender",INDEX(INDIRECT(InputsCS!$I$1),23,49),IF('KS2-4 Combined Science TMs'!$AA$47="disadvantage",INDEX(INDIRECT(InputsCS!$I$1),23,93),IF('KS2-4 Combined Science TMs'!$AA$47="sen",INDEX(INDIRECT(InputsCS!$I$1),23,137),IF('KS2-4 Combined Science TMs'!$AA$47="eal",INDEX(INDIRECT(InputsCS!$I$1),23,181),"")))))))))),"")</f>
        <v/>
      </c>
      <c r="J69" s="61" t="str">
        <f ca="1">IFERROR(IF(InputsCS!$I$1="Please Select","",IF(InputsCS!$I$2="Please Select","",IF(InputsCS!$I$1="","",IF(InputsCS!$I$2="","",IF(InputsCS!$I$2="Pupil Numbers",IF('KS2-4 Combined Science TMs'!$AA$47="Gender",INDEX(INDIRECT(InputsCS!$I$1),7,50),IF('KS2-4 Combined Science TMs'!$AA$47="disadvantage",INDEX(INDIRECT(InputsCS!$I$1),7,94),IF('KS2-4 Combined Science TMs'!$AA$47="sen",INDEX(INDIRECT(InputsCS!$I$1),7,138),IF('KS2-4 Combined Science TMs'!$AA$47="eal",INDEX(INDIRECT(InputsCS!$I$1),7,182),"")))),IF(InputsCS!$I$2="Pupil Percentages",IF('KS2-4 Combined Science TMs'!$AA$47="Gender",INDEX(INDIRECT(InputsCS!$I$1),23,50),IF('KS2-4 Combined Science TMs'!$AA$47="disadvantage",INDEX(INDIRECT(InputsCS!$I$1),23,94),IF('KS2-4 Combined Science TMs'!$AA$47="sen",INDEX(INDIRECT(InputsCS!$I$1),23,138),IF('KS2-4 Combined Science TMs'!$AA$47="eal",INDEX(INDIRECT(InputsCS!$I$1),23,182),"")))))))))),"")</f>
        <v/>
      </c>
      <c r="K69" s="61" t="str">
        <f ca="1">IFERROR(IF(InputsCS!$I$1="Please Select","",IF(InputsCS!$I$2="Please Select","",IF(InputsCS!$I$1="","",IF(InputsCS!$I$2="","",IF(InputsCS!$I$2="Pupil Numbers",IF('KS2-4 Combined Science TMs'!$AA$47="Gender",INDEX(INDIRECT(InputsCS!$I$1),7,51),IF('KS2-4 Combined Science TMs'!$AA$47="disadvantage",INDEX(INDIRECT(InputsCS!$I$1),7,95),IF('KS2-4 Combined Science TMs'!$AA$47="sen",INDEX(INDIRECT(InputsCS!$I$1),7,139),IF('KS2-4 Combined Science TMs'!$AA$47="eal",INDEX(INDIRECT(InputsCS!$I$1),7,183),"")))),IF(InputsCS!$I$2="Pupil Percentages",IF('KS2-4 Combined Science TMs'!$AA$47="Gender",INDEX(INDIRECT(InputsCS!$I$1),23,51),IF('KS2-4 Combined Science TMs'!$AA$47="disadvantage",INDEX(INDIRECT(InputsCS!$I$1),23,95),IF('KS2-4 Combined Science TMs'!$AA$47="sen",INDEX(INDIRECT(InputsCS!$I$1),23,139),IF('KS2-4 Combined Science TMs'!$AA$47="eal",INDEX(INDIRECT(InputsCS!$I$1),23,183),"")))))))))),"")</f>
        <v/>
      </c>
      <c r="L69" s="61" t="str">
        <f ca="1">IFERROR(IF(InputsCS!$I$1="Please Select","",IF(InputsCS!$I$2="Please Select","",IF(InputsCS!$I$1="","",IF(InputsCS!$I$2="","",IF(InputsCS!$I$2="Pupil Numbers",IF('KS2-4 Combined Science TMs'!$AA$47="Gender",INDEX(INDIRECT(InputsCS!$I$1),7,52),IF('KS2-4 Combined Science TMs'!$AA$47="disadvantage",INDEX(INDIRECT(InputsCS!$I$1),7,96),IF('KS2-4 Combined Science TMs'!$AA$47="sen",INDEX(INDIRECT(InputsCS!$I$1),7,140),IF('KS2-4 Combined Science TMs'!$AA$47="eal",INDEX(INDIRECT(InputsCS!$I$1),7,184),"")))),IF(InputsCS!$I$2="Pupil Percentages",IF('KS2-4 Combined Science TMs'!$AA$47="Gender",INDEX(INDIRECT(InputsCS!$I$1),23,52),IF('KS2-4 Combined Science TMs'!$AA$47="disadvantage",INDEX(INDIRECT(InputsCS!$I$1),23,96),IF('KS2-4 Combined Science TMs'!$AA$47="sen",INDEX(INDIRECT(InputsCS!$I$1),23,140),IF('KS2-4 Combined Science TMs'!$AA$47="eal",INDEX(INDIRECT(InputsCS!$I$1),23,184),"")))))))))),"")</f>
        <v/>
      </c>
      <c r="M69" s="61" t="str">
        <f ca="1">IFERROR(IF(InputsCS!$I$1="Please Select","",IF(InputsCS!$I$2="Please Select","",IF(InputsCS!$I$1="","",IF(InputsCS!$I$2="","",IF(InputsCS!$I$2="Pupil Numbers",IF('KS2-4 Combined Science TMs'!$AA$47="Gender",INDEX(INDIRECT(InputsCS!$I$1),7,53),IF('KS2-4 Combined Science TMs'!$AA$47="disadvantage",INDEX(INDIRECT(InputsCS!$I$1),7,97),IF('KS2-4 Combined Science TMs'!$AA$47="sen",INDEX(INDIRECT(InputsCS!$I$1),7,141),IF('KS2-4 Combined Science TMs'!$AA$47="eal",INDEX(INDIRECT(InputsCS!$I$1),7,185),"")))),IF(InputsCS!$I$2="Pupil Percentages",IF('KS2-4 Combined Science TMs'!$AA$47="Gender",INDEX(INDIRECT(InputsCS!$I$1),23,53),IF('KS2-4 Combined Science TMs'!$AA$47="disadvantage",INDEX(INDIRECT(InputsCS!$I$1),23,97),IF('KS2-4 Combined Science TMs'!$AA$47="sen",INDEX(INDIRECT(InputsCS!$I$1),23,141),IF('KS2-4 Combined Science TMs'!$AA$47="eal",INDEX(INDIRECT(InputsCS!$I$1),23,185),"")))))))))),"")</f>
        <v/>
      </c>
      <c r="N69" s="61" t="str">
        <f ca="1">IFERROR(IF(InputsCS!$I$1="Please Select","",IF(InputsCS!$I$2="Please Select","",IF(InputsCS!$I$1="","",IF(InputsCS!$I$2="","",IF(InputsCS!$I$2="Pupil Numbers",IF('KS2-4 Combined Science TMs'!$AA$47="Gender",INDEX(INDIRECT(InputsCS!$I$1),7,54),IF('KS2-4 Combined Science TMs'!$AA$47="disadvantage",INDEX(INDIRECT(InputsCS!$I$1),7,98),IF('KS2-4 Combined Science TMs'!$AA$47="sen",INDEX(INDIRECT(InputsCS!$I$1),7,142),IF('KS2-4 Combined Science TMs'!$AA$47="eal",INDEX(INDIRECT(InputsCS!$I$1),7,186),"")))),IF(InputsCS!$I$2="Pupil Percentages",IF('KS2-4 Combined Science TMs'!$AA$47="Gender",INDEX(INDIRECT(InputsCS!$I$1),23,54),IF('KS2-4 Combined Science TMs'!$AA$47="disadvantage",INDEX(INDIRECT(InputsCS!$I$1),23,98),IF('KS2-4 Combined Science TMs'!$AA$47="sen",INDEX(INDIRECT(InputsCS!$I$1),23,142),IF('KS2-4 Combined Science TMs'!$AA$47="eal",INDEX(INDIRECT(InputsCS!$I$1),23,186),"")))))))))),"")</f>
        <v/>
      </c>
      <c r="O69" s="61" t="str">
        <f ca="1">IFERROR(IF(InputsCS!$I$1="Please Select","",IF(InputsCS!$I$2="Please Select","",IF(InputsCS!$I$1="","",IF(InputsCS!$I$2="","",IF(InputsCS!$I$2="Pupil Numbers",IF('KS2-4 Combined Science TMs'!$AA$47="Gender",INDEX(INDIRECT(InputsCS!$I$1),7,55),IF('KS2-4 Combined Science TMs'!$AA$47="disadvantage",INDEX(INDIRECT(InputsCS!$I$1),7,99),IF('KS2-4 Combined Science TMs'!$AA$47="sen",INDEX(INDIRECT(InputsCS!$I$1),7,143),IF('KS2-4 Combined Science TMs'!$AA$47="eal",INDEX(INDIRECT(InputsCS!$I$1),7,187),"")))),IF(InputsCS!$I$2="Pupil Percentages",IF('KS2-4 Combined Science TMs'!$AA$47="Gender",INDEX(INDIRECT(InputsCS!$I$1),23,55),IF('KS2-4 Combined Science TMs'!$AA$47="disadvantage",INDEX(INDIRECT(InputsCS!$I$1),23,99),IF('KS2-4 Combined Science TMs'!$AA$47="sen",INDEX(INDIRECT(InputsCS!$I$1),23,143),IF('KS2-4 Combined Science TMs'!$AA$47="eal",INDEX(INDIRECT(InputsCS!$I$1),23,187),"")))))))))),"")</f>
        <v/>
      </c>
      <c r="P69" s="61" t="str">
        <f ca="1">IFERROR(IF(InputsCS!$I$1="Please Select","",IF(InputsCS!$I$2="Please Select","",IF(InputsCS!$I$1="","",IF(InputsCS!$I$2="","",IF(InputsCS!$I$2="Pupil Numbers",IF('KS2-4 Combined Science TMs'!$AA$47="Gender",INDEX(INDIRECT(InputsCS!$I$1),7,56),IF('KS2-4 Combined Science TMs'!$AA$47="disadvantage",INDEX(INDIRECT(InputsCS!$I$1),7,100),IF('KS2-4 Combined Science TMs'!$AA$47="sen",INDEX(INDIRECT(InputsCS!$I$1),7,144),IF('KS2-4 Combined Science TMs'!$AA$47="eal",INDEX(INDIRECT(InputsCS!$I$1),7,188),"")))),IF(InputsCS!$I$2="Pupil Percentages",IF('KS2-4 Combined Science TMs'!$AA$47="Gender",INDEX(INDIRECT(InputsCS!$I$1),23,56),IF('KS2-4 Combined Science TMs'!$AA$47="disadvantage",INDEX(INDIRECT(InputsCS!$I$1),23,100),IF('KS2-4 Combined Science TMs'!$AA$47="sen",INDEX(INDIRECT(InputsCS!$I$1),23,144),IF('KS2-4 Combined Science TMs'!$AA$47="eal",INDEX(INDIRECT(InputsCS!$I$1),23,188),"")))))))))),"")</f>
        <v/>
      </c>
      <c r="Q69" s="61" t="str">
        <f ca="1">IFERROR(IF(InputsCS!$I$1="Please Select","",IF(InputsCS!$I$2="Please Select","",IF(InputsCS!$I$1="","",IF(InputsCS!$I$2="","",IF(InputsCS!$I$2="Pupil Numbers",IF('KS2-4 Combined Science TMs'!$AA$47="Gender",INDEX(INDIRECT(InputsCS!$I$1),7,57),IF('KS2-4 Combined Science TMs'!$AA$47="disadvantage",INDEX(INDIRECT(InputsCS!$I$1),7,101),IF('KS2-4 Combined Science TMs'!$AA$47="sen",INDEX(INDIRECT(InputsCS!$I$1),7,145),IF('KS2-4 Combined Science TMs'!$AA$47="eal",INDEX(INDIRECT(InputsCS!$I$1),7,189),"")))),IF(InputsCS!$I$2="Pupil Percentages",IF('KS2-4 Combined Science TMs'!$AA$47="Gender",INDEX(INDIRECT(InputsCS!$I$1),23,57),IF('KS2-4 Combined Science TMs'!$AA$47="disadvantage",INDEX(INDIRECT(InputsCS!$I$1),23,101),IF('KS2-4 Combined Science TMs'!$AA$47="sen",INDEX(INDIRECT(InputsCS!$I$1),23,145),IF('KS2-4 Combined Science TMs'!$AA$47="eal",INDEX(INDIRECT(InputsCS!$I$1),23,189),"")))))))))),"")</f>
        <v/>
      </c>
      <c r="R69" s="61" t="str">
        <f ca="1">IFERROR(IF(InputsCS!$I$1="Please Select","",IF(InputsCS!$I$2="Please Select","",IF(InputsCS!$I$1="","",IF(InputsCS!$I$2="","",IF(InputsCS!$I$2="Pupil Numbers",IF('KS2-4 Combined Science TMs'!$AA$47="Gender",INDEX(INDIRECT(InputsCS!$I$1),7,58),IF('KS2-4 Combined Science TMs'!$AA$47="disadvantage",INDEX(INDIRECT(InputsCS!$I$1),7,102),IF('KS2-4 Combined Science TMs'!$AA$47="sen",INDEX(INDIRECT(InputsCS!$I$1),7,146),IF('KS2-4 Combined Science TMs'!$AA$47="eal",INDEX(INDIRECT(InputsCS!$I$1),7,190),"")))),IF(InputsCS!$I$2="Pupil Percentages",IF('KS2-4 Combined Science TMs'!$AA$47="Gender",INDEX(INDIRECT(InputsCS!$I$1),23,58),IF('KS2-4 Combined Science TMs'!$AA$47="disadvantage",INDEX(INDIRECT(InputsCS!$I$1),23,102),IF('KS2-4 Combined Science TMs'!$AA$47="sen",INDEX(INDIRECT(InputsCS!$I$1),23,146),IF('KS2-4 Combined Science TMs'!$AA$47="eal",INDEX(INDIRECT(InputsCS!$I$1),23,190),"")))))))))),"")</f>
        <v/>
      </c>
      <c r="S69" s="61" t="str">
        <f ca="1">IFERROR(IF(InputsCS!$I$1="Please Select","",IF(InputsCS!$I$2="Please Select","",IF(InputsCS!$I$1="","",IF(InputsCS!$I$2="","",IF(InputsCS!$I$2="Pupil Numbers",IF('KS2-4 Combined Science TMs'!$AA$47="Gender",INDEX(INDIRECT(InputsCS!$I$1),7,59),IF('KS2-4 Combined Science TMs'!$AA$47="disadvantage",INDEX(INDIRECT(InputsCS!$I$1),7,103),IF('KS2-4 Combined Science TMs'!$AA$47="sen",INDEX(INDIRECT(InputsCS!$I$1),7,147),IF('KS2-4 Combined Science TMs'!$AA$47="eal",INDEX(INDIRECT(InputsCS!$I$1),7,191),"")))),IF(InputsCS!$I$2="Pupil Percentages",IF('KS2-4 Combined Science TMs'!$AA$47="Gender",INDEX(INDIRECT(InputsCS!$I$1),23,59),IF('KS2-4 Combined Science TMs'!$AA$47="disadvantage",INDEX(INDIRECT(InputsCS!$I$1),23,103),IF('KS2-4 Combined Science TMs'!$AA$47="sen",INDEX(INDIRECT(InputsCS!$I$1),23,147),IF('KS2-4 Combined Science TMs'!$AA$47="eal",INDEX(INDIRECT(InputsCS!$I$1),23,191),"")))))))))),"")</f>
        <v/>
      </c>
      <c r="T69" s="61" t="str">
        <f ca="1">IFERROR(IF(InputsCS!$I$1="Please Select","",IF(InputsCS!$I$2="Please Select","",IF(InputsCS!$I$1="","",IF(InputsCS!$I$2="","",IF(InputsCS!$I$2="Pupil Numbers",IF('KS2-4 Combined Science TMs'!$AA$47="Gender",INDEX(INDIRECT(InputsCS!$I$1),7,60),IF('KS2-4 Combined Science TMs'!$AA$47="disadvantage",INDEX(INDIRECT(InputsCS!$I$1),7,104),IF('KS2-4 Combined Science TMs'!$AA$47="sen",INDEX(INDIRECT(InputsCS!$I$1),7,148),IF('KS2-4 Combined Science TMs'!$AA$47="eal",INDEX(INDIRECT(InputsCS!$I$1),7,192),"")))),IF(InputsCS!$I$2="Pupil Percentages",IF('KS2-4 Combined Science TMs'!$AA$47="Gender",INDEX(INDIRECT(InputsCS!$I$1),23,60),IF('KS2-4 Combined Science TMs'!$AA$47="disadvantage",INDEX(INDIRECT(InputsCS!$I$1),23,104),IF('KS2-4 Combined Science TMs'!$AA$47="sen",INDEX(INDIRECT(InputsCS!$I$1),23,148),IF('KS2-4 Combined Science TMs'!$AA$47="eal",INDEX(INDIRECT(InputsCS!$I$1),23,192),"")))))))))),"")</f>
        <v/>
      </c>
      <c r="U69" s="61" t="str">
        <f ca="1">IFERROR(IF(InputsCS!$I$1="Please Select","",IF(InputsCS!$I$2="Please Select","",IF(InputsCS!$I$1="","",IF(InputsCS!$I$2="","",IF(InputsCS!$I$2="Pupil Numbers",IF('KS2-4 Combined Science TMs'!$AA$47="Gender",INDEX(INDIRECT(InputsCS!$I$1),7,61),IF('KS2-4 Combined Science TMs'!$AA$47="disadvantage",INDEX(INDIRECT(InputsCS!$I$1),7,105),IF('KS2-4 Combined Science TMs'!$AA$47="sen",INDEX(INDIRECT(InputsCS!$I$1),7,149),IF('KS2-4 Combined Science TMs'!$AA$47="eal",INDEX(INDIRECT(InputsCS!$I$1),7,193),"")))),IF(InputsCS!$I$2="Pupil Percentages",IF('KS2-4 Combined Science TMs'!$AA$47="Gender",INDEX(INDIRECT(InputsCS!$I$1),23,61),IF('KS2-4 Combined Science TMs'!$AA$47="disadvantage",INDEX(INDIRECT(InputsCS!$I$1),23,105),IF('KS2-4 Combined Science TMs'!$AA$47="sen",INDEX(INDIRECT(InputsCS!$I$1),23,149),IF('KS2-4 Combined Science TMs'!$AA$47="eal",INDEX(INDIRECT(InputsCS!$I$1),23,193),"")))))))))),"")</f>
        <v/>
      </c>
      <c r="V69" s="61" t="str">
        <f ca="1">IFERROR(IF(InputsCS!$I$1="Please Select","",IF(InputsCS!$I$2="Please Select","",IF(InputsCS!$I$1="","",IF(InputsCS!$I$2="","",IF(InputsCS!$I$2="Pupil Numbers",IF('KS2-4 Combined Science TMs'!$AA$47="Gender",INDEX(INDIRECT(InputsCS!$I$1),7,62),IF('KS2-4 Combined Science TMs'!$AA$47="disadvantage",INDEX(INDIRECT(InputsCS!$I$1),7,106),IF('KS2-4 Combined Science TMs'!$AA$47="sen",INDEX(INDIRECT(InputsCS!$I$1),7,150),IF('KS2-4 Combined Science TMs'!$AA$47="eal",INDEX(INDIRECT(InputsCS!$I$1),7,194),"")))),IF(InputsCS!$I$2="Pupil Percentages",IF('KS2-4 Combined Science TMs'!$AA$47="Gender",INDEX(INDIRECT(InputsCS!$I$1),23,62),IF('KS2-4 Combined Science TMs'!$AA$47="disadvantage",INDEX(INDIRECT(InputsCS!$I$1),23,106),IF('KS2-4 Combined Science TMs'!$AA$47="sen",INDEX(INDIRECT(InputsCS!$I$1),23,150),IF('KS2-4 Combined Science TMs'!$AA$47="eal",INDEX(INDIRECT(InputsCS!$I$1),23,194),"")))))))))),"")</f>
        <v/>
      </c>
      <c r="AD69" s="12"/>
      <c r="AR69" s="13"/>
      <c r="AS69" s="13"/>
      <c r="AT69" s="13"/>
      <c r="AU69" s="13"/>
      <c r="AV69" s="13"/>
      <c r="AW69" s="13"/>
      <c r="AX69" s="13"/>
      <c r="AY69" s="13"/>
      <c r="AZ69" s="13"/>
      <c r="BA69" s="13"/>
      <c r="BB69" s="13"/>
      <c r="BC69" s="13"/>
      <c r="BD69" s="13"/>
    </row>
    <row r="70" spans="3:56" ht="23.1" customHeight="1" x14ac:dyDescent="0.5">
      <c r="C70" s="120"/>
      <c r="D70" s="60" t="s">
        <v>7</v>
      </c>
      <c r="E70" s="61" t="str">
        <f ca="1">IFERROR(IF(InputsCS!$I$1="Please Select","",IF(InputsCS!$I$2="Please Select","",IF(InputsCS!$I$1="","",IF(InputsCS!$I$2="","",IF(InputsCS!$I$2="Pupil Numbers",IF('KS2-4 Combined Science TMs'!$AA$47="Gender",INDEX(INDIRECT(InputsCS!$I$1),8,45),IF('KS2-4 Combined Science TMs'!$AA$47="disadvantage",INDEX(INDIRECT(InputsCS!$I$1),8,89),IF('KS2-4 Combined Science TMs'!$AA$47="sen",INDEX(INDIRECT(InputsCS!$I$1),8,133),IF('KS2-4 Combined Science TMs'!$AA$47="eal",INDEX(INDIRECT(InputsCS!$I$1),8,177),"")))),IF(InputsCS!$I$2="Pupil Percentages",IF('KS2-4 Combined Science TMs'!$AA$47="Gender",INDEX(INDIRECT(InputsCS!$I$1),24,45),IF('KS2-4 Combined Science TMs'!$AA$47="disadvantage",INDEX(INDIRECT(InputsCS!$I$1),24,89),IF('KS2-4 Combined Science TMs'!$AA$47="sen",INDEX(INDIRECT(InputsCS!$I$1),24,133),IF('KS2-4 Combined Science TMs'!$AA$47="eal",INDEX(INDIRECT(InputsCS!$I$1),24,177),"")))))))))),"")</f>
        <v/>
      </c>
      <c r="F70" s="61" t="str">
        <f ca="1">IFERROR(IF(InputsCS!$I$1="Please Select","",IF(InputsCS!$I$2="Please Select","",IF(InputsCS!$I$1="","",IF(InputsCS!$I$2="","",IF(InputsCS!$I$2="Pupil Numbers",IF('KS2-4 Combined Science TMs'!$AA$47="Gender",INDEX(INDIRECT(InputsCS!$I$1),8,46),IF('KS2-4 Combined Science TMs'!$AA$47="disadvantage",INDEX(INDIRECT(InputsCS!$I$1),8,90),IF('KS2-4 Combined Science TMs'!$AA$47="sen",INDEX(INDIRECT(InputsCS!$I$1),8,134),IF('KS2-4 Combined Science TMs'!$AA$47="eal",INDEX(INDIRECT(InputsCS!$I$1),8,178),"")))),IF(InputsCS!$I$2="Pupil Percentages",IF('KS2-4 Combined Science TMs'!$AA$47="Gender",INDEX(INDIRECT(InputsCS!$I$1),24,46),IF('KS2-4 Combined Science TMs'!$AA$47="disadvantage",INDEX(INDIRECT(InputsCS!$I$1),24,90),IF('KS2-4 Combined Science TMs'!$AA$47="sen",INDEX(INDIRECT(InputsCS!$I$1),24,134),IF('KS2-4 Combined Science TMs'!$AA$47="eal",INDEX(INDIRECT(InputsCS!$I$1),24,178),"")))))))))),"")</f>
        <v/>
      </c>
      <c r="G70" s="61" t="str">
        <f ca="1">IFERROR(IF(InputsCS!$I$1="Please Select","",IF(InputsCS!$I$2="Please Select","",IF(InputsCS!$I$1="","",IF(InputsCS!$I$2="","",IF(InputsCS!$I$2="Pupil Numbers",IF('KS2-4 Combined Science TMs'!$AA$47="Gender",INDEX(INDIRECT(InputsCS!$I$1),8,47),IF('KS2-4 Combined Science TMs'!$AA$47="disadvantage",INDEX(INDIRECT(InputsCS!$I$1),8,91),IF('KS2-4 Combined Science TMs'!$AA$47="sen",INDEX(INDIRECT(InputsCS!$I$1),8,135),IF('KS2-4 Combined Science TMs'!$AA$47="eal",INDEX(INDIRECT(InputsCS!$I$1),8,179),"")))),IF(InputsCS!$I$2="Pupil Percentages",IF('KS2-4 Combined Science TMs'!$AA$47="Gender",INDEX(INDIRECT(InputsCS!$I$1),24,47),IF('KS2-4 Combined Science TMs'!$AA$47="disadvantage",INDEX(INDIRECT(InputsCS!$I$1),24,91),IF('KS2-4 Combined Science TMs'!$AA$47="sen",INDEX(INDIRECT(InputsCS!$I$1),24,135),IF('KS2-4 Combined Science TMs'!$AA$47="eal",INDEX(INDIRECT(InputsCS!$I$1),24,179),"")))))))))),"")</f>
        <v/>
      </c>
      <c r="H70" s="61" t="str">
        <f ca="1">IFERROR(IF(InputsCS!$I$1="Please Select","",IF(InputsCS!$I$2="Please Select","",IF(InputsCS!$I$1="","",IF(InputsCS!$I$2="","",IF(InputsCS!$I$2="Pupil Numbers",IF('KS2-4 Combined Science TMs'!$AA$47="Gender",INDEX(INDIRECT(InputsCS!$I$1),8,48),IF('KS2-4 Combined Science TMs'!$AA$47="disadvantage",INDEX(INDIRECT(InputsCS!$I$1),8,92),IF('KS2-4 Combined Science TMs'!$AA$47="sen",INDEX(INDIRECT(InputsCS!$I$1),8,136),IF('KS2-4 Combined Science TMs'!$AA$47="eal",INDEX(INDIRECT(InputsCS!$I$1),8,180),"")))),IF(InputsCS!$I$2="Pupil Percentages",IF('KS2-4 Combined Science TMs'!$AA$47="Gender",INDEX(INDIRECT(InputsCS!$I$1),24,48),IF('KS2-4 Combined Science TMs'!$AA$47="disadvantage",INDEX(INDIRECT(InputsCS!$I$1),24,92),IF('KS2-4 Combined Science TMs'!$AA$47="sen",INDEX(INDIRECT(InputsCS!$I$1),24,136),IF('KS2-4 Combined Science TMs'!$AA$47="eal",INDEX(INDIRECT(InputsCS!$I$1),24,180),"")))))))))),"")</f>
        <v/>
      </c>
      <c r="I70" s="61" t="str">
        <f ca="1">IFERROR(IF(InputsCS!$I$1="Please Select","",IF(InputsCS!$I$2="Please Select","",IF(InputsCS!$I$1="","",IF(InputsCS!$I$2="","",IF(InputsCS!$I$2="Pupil Numbers",IF('KS2-4 Combined Science TMs'!$AA$47="Gender",INDEX(INDIRECT(InputsCS!$I$1),8,49),IF('KS2-4 Combined Science TMs'!$AA$47="disadvantage",INDEX(INDIRECT(InputsCS!$I$1),8,93),IF('KS2-4 Combined Science TMs'!$AA$47="sen",INDEX(INDIRECT(InputsCS!$I$1),8,137),IF('KS2-4 Combined Science TMs'!$AA$47="eal",INDEX(INDIRECT(InputsCS!$I$1),8,181),"")))),IF(InputsCS!$I$2="Pupil Percentages",IF('KS2-4 Combined Science TMs'!$AA$47="Gender",INDEX(INDIRECT(InputsCS!$I$1),24,49),IF('KS2-4 Combined Science TMs'!$AA$47="disadvantage",INDEX(INDIRECT(InputsCS!$I$1),24,93),IF('KS2-4 Combined Science TMs'!$AA$47="sen",INDEX(INDIRECT(InputsCS!$I$1),24,137),IF('KS2-4 Combined Science TMs'!$AA$47="eal",INDEX(INDIRECT(InputsCS!$I$1),24,181),"")))))))))),"")</f>
        <v/>
      </c>
      <c r="J70" s="61" t="str">
        <f ca="1">IFERROR(IF(InputsCS!$I$1="Please Select","",IF(InputsCS!$I$2="Please Select","",IF(InputsCS!$I$1="","",IF(InputsCS!$I$2="","",IF(InputsCS!$I$2="Pupil Numbers",IF('KS2-4 Combined Science TMs'!$AA$47="Gender",INDEX(INDIRECT(InputsCS!$I$1),8,50),IF('KS2-4 Combined Science TMs'!$AA$47="disadvantage",INDEX(INDIRECT(InputsCS!$I$1),8,94),IF('KS2-4 Combined Science TMs'!$AA$47="sen",INDEX(INDIRECT(InputsCS!$I$1),8,138),IF('KS2-4 Combined Science TMs'!$AA$47="eal",INDEX(INDIRECT(InputsCS!$I$1),8,182),"")))),IF(InputsCS!$I$2="Pupil Percentages",IF('KS2-4 Combined Science TMs'!$AA$47="Gender",INDEX(INDIRECT(InputsCS!$I$1),24,50),IF('KS2-4 Combined Science TMs'!$AA$47="disadvantage",INDEX(INDIRECT(InputsCS!$I$1),24,94),IF('KS2-4 Combined Science TMs'!$AA$47="sen",INDEX(INDIRECT(InputsCS!$I$1),24,138),IF('KS2-4 Combined Science TMs'!$AA$47="eal",INDEX(INDIRECT(InputsCS!$I$1),24,182),"")))))))))),"")</f>
        <v/>
      </c>
      <c r="K70" s="61" t="str">
        <f ca="1">IFERROR(IF(InputsCS!$I$1="Please Select","",IF(InputsCS!$I$2="Please Select","",IF(InputsCS!$I$1="","",IF(InputsCS!$I$2="","",IF(InputsCS!$I$2="Pupil Numbers",IF('KS2-4 Combined Science TMs'!$AA$47="Gender",INDEX(INDIRECT(InputsCS!$I$1),8,51),IF('KS2-4 Combined Science TMs'!$AA$47="disadvantage",INDEX(INDIRECT(InputsCS!$I$1),8,95),IF('KS2-4 Combined Science TMs'!$AA$47="sen",INDEX(INDIRECT(InputsCS!$I$1),8,139),IF('KS2-4 Combined Science TMs'!$AA$47="eal",INDEX(INDIRECT(InputsCS!$I$1),8,183),"")))),IF(InputsCS!$I$2="Pupil Percentages",IF('KS2-4 Combined Science TMs'!$AA$47="Gender",INDEX(INDIRECT(InputsCS!$I$1),24,51),IF('KS2-4 Combined Science TMs'!$AA$47="disadvantage",INDEX(INDIRECT(InputsCS!$I$1),24,95),IF('KS2-4 Combined Science TMs'!$AA$47="sen",INDEX(INDIRECT(InputsCS!$I$1),24,139),IF('KS2-4 Combined Science TMs'!$AA$47="eal",INDEX(INDIRECT(InputsCS!$I$1),24,183),"")))))))))),"")</f>
        <v/>
      </c>
      <c r="L70" s="61" t="str">
        <f ca="1">IFERROR(IF(InputsCS!$I$1="Please Select","",IF(InputsCS!$I$2="Please Select","",IF(InputsCS!$I$1="","",IF(InputsCS!$I$2="","",IF(InputsCS!$I$2="Pupil Numbers",IF('KS2-4 Combined Science TMs'!$AA$47="Gender",INDEX(INDIRECT(InputsCS!$I$1),8,52),IF('KS2-4 Combined Science TMs'!$AA$47="disadvantage",INDEX(INDIRECT(InputsCS!$I$1),8,96),IF('KS2-4 Combined Science TMs'!$AA$47="sen",INDEX(INDIRECT(InputsCS!$I$1),8,140),IF('KS2-4 Combined Science TMs'!$AA$47="eal",INDEX(INDIRECT(InputsCS!$I$1),8,184),"")))),IF(InputsCS!$I$2="Pupil Percentages",IF('KS2-4 Combined Science TMs'!$AA$47="Gender",INDEX(INDIRECT(InputsCS!$I$1),24,52),IF('KS2-4 Combined Science TMs'!$AA$47="disadvantage",INDEX(INDIRECT(InputsCS!$I$1),24,96),IF('KS2-4 Combined Science TMs'!$AA$47="sen",INDEX(INDIRECT(InputsCS!$I$1),24,140),IF('KS2-4 Combined Science TMs'!$AA$47="eal",INDEX(INDIRECT(InputsCS!$I$1),24,184),"")))))))))),"")</f>
        <v/>
      </c>
      <c r="M70" s="61" t="str">
        <f ca="1">IFERROR(IF(InputsCS!$I$1="Please Select","",IF(InputsCS!$I$2="Please Select","",IF(InputsCS!$I$1="","",IF(InputsCS!$I$2="","",IF(InputsCS!$I$2="Pupil Numbers",IF('KS2-4 Combined Science TMs'!$AA$47="Gender",INDEX(INDIRECT(InputsCS!$I$1),8,53),IF('KS2-4 Combined Science TMs'!$AA$47="disadvantage",INDEX(INDIRECT(InputsCS!$I$1),8,97),IF('KS2-4 Combined Science TMs'!$AA$47="sen",INDEX(INDIRECT(InputsCS!$I$1),8,141),IF('KS2-4 Combined Science TMs'!$AA$47="eal",INDEX(INDIRECT(InputsCS!$I$1),8,185),"")))),IF(InputsCS!$I$2="Pupil Percentages",IF('KS2-4 Combined Science TMs'!$AA$47="Gender",INDEX(INDIRECT(InputsCS!$I$1),24,53),IF('KS2-4 Combined Science TMs'!$AA$47="disadvantage",INDEX(INDIRECT(InputsCS!$I$1),24,97),IF('KS2-4 Combined Science TMs'!$AA$47="sen",INDEX(INDIRECT(InputsCS!$I$1),24,141),IF('KS2-4 Combined Science TMs'!$AA$47="eal",INDEX(INDIRECT(InputsCS!$I$1),24,185),"")))))))))),"")</f>
        <v/>
      </c>
      <c r="N70" s="61" t="str">
        <f ca="1">IFERROR(IF(InputsCS!$I$1="Please Select","",IF(InputsCS!$I$2="Please Select","",IF(InputsCS!$I$1="","",IF(InputsCS!$I$2="","",IF(InputsCS!$I$2="Pupil Numbers",IF('KS2-4 Combined Science TMs'!$AA$47="Gender",INDEX(INDIRECT(InputsCS!$I$1),8,54),IF('KS2-4 Combined Science TMs'!$AA$47="disadvantage",INDEX(INDIRECT(InputsCS!$I$1),8,98),IF('KS2-4 Combined Science TMs'!$AA$47="sen",INDEX(INDIRECT(InputsCS!$I$1),8,142),IF('KS2-4 Combined Science TMs'!$AA$47="eal",INDEX(INDIRECT(InputsCS!$I$1),8,186),"")))),IF(InputsCS!$I$2="Pupil Percentages",IF('KS2-4 Combined Science TMs'!$AA$47="Gender",INDEX(INDIRECT(InputsCS!$I$1),24,54),IF('KS2-4 Combined Science TMs'!$AA$47="disadvantage",INDEX(INDIRECT(InputsCS!$I$1),24,98),IF('KS2-4 Combined Science TMs'!$AA$47="sen",INDEX(INDIRECT(InputsCS!$I$1),24,142),IF('KS2-4 Combined Science TMs'!$AA$47="eal",INDEX(INDIRECT(InputsCS!$I$1),24,186),"")))))))))),"")</f>
        <v/>
      </c>
      <c r="O70" s="61" t="str">
        <f ca="1">IFERROR(IF(InputsCS!$I$1="Please Select","",IF(InputsCS!$I$2="Please Select","",IF(InputsCS!$I$1="","",IF(InputsCS!$I$2="","",IF(InputsCS!$I$2="Pupil Numbers",IF('KS2-4 Combined Science TMs'!$AA$47="Gender",INDEX(INDIRECT(InputsCS!$I$1),8,55),IF('KS2-4 Combined Science TMs'!$AA$47="disadvantage",INDEX(INDIRECT(InputsCS!$I$1),8,99),IF('KS2-4 Combined Science TMs'!$AA$47="sen",INDEX(INDIRECT(InputsCS!$I$1),8,143),IF('KS2-4 Combined Science TMs'!$AA$47="eal",INDEX(INDIRECT(InputsCS!$I$1),8,187),"")))),IF(InputsCS!$I$2="Pupil Percentages",IF('KS2-4 Combined Science TMs'!$AA$47="Gender",INDEX(INDIRECT(InputsCS!$I$1),24,55),IF('KS2-4 Combined Science TMs'!$AA$47="disadvantage",INDEX(INDIRECT(InputsCS!$I$1),24,99),IF('KS2-4 Combined Science TMs'!$AA$47="sen",INDEX(INDIRECT(InputsCS!$I$1),24,143),IF('KS2-4 Combined Science TMs'!$AA$47="eal",INDEX(INDIRECT(InputsCS!$I$1),24,187),"")))))))))),"")</f>
        <v/>
      </c>
      <c r="P70" s="61" t="str">
        <f ca="1">IFERROR(IF(InputsCS!$I$1="Please Select","",IF(InputsCS!$I$2="Please Select","",IF(InputsCS!$I$1="","",IF(InputsCS!$I$2="","",IF(InputsCS!$I$2="Pupil Numbers",IF('KS2-4 Combined Science TMs'!$AA$47="Gender",INDEX(INDIRECT(InputsCS!$I$1),8,56),IF('KS2-4 Combined Science TMs'!$AA$47="disadvantage",INDEX(INDIRECT(InputsCS!$I$1),8,100),IF('KS2-4 Combined Science TMs'!$AA$47="sen",INDEX(INDIRECT(InputsCS!$I$1),8,144),IF('KS2-4 Combined Science TMs'!$AA$47="eal",INDEX(INDIRECT(InputsCS!$I$1),8,188),"")))),IF(InputsCS!$I$2="Pupil Percentages",IF('KS2-4 Combined Science TMs'!$AA$47="Gender",INDEX(INDIRECT(InputsCS!$I$1),24,56),IF('KS2-4 Combined Science TMs'!$AA$47="disadvantage",INDEX(INDIRECT(InputsCS!$I$1),24,100),IF('KS2-4 Combined Science TMs'!$AA$47="sen",INDEX(INDIRECT(InputsCS!$I$1),24,144),IF('KS2-4 Combined Science TMs'!$AA$47="eal",INDEX(INDIRECT(InputsCS!$I$1),24,188),"")))))))))),"")</f>
        <v/>
      </c>
      <c r="Q70" s="61" t="str">
        <f ca="1">IFERROR(IF(InputsCS!$I$1="Please Select","",IF(InputsCS!$I$2="Please Select","",IF(InputsCS!$I$1="","",IF(InputsCS!$I$2="","",IF(InputsCS!$I$2="Pupil Numbers",IF('KS2-4 Combined Science TMs'!$AA$47="Gender",INDEX(INDIRECT(InputsCS!$I$1),8,57),IF('KS2-4 Combined Science TMs'!$AA$47="disadvantage",INDEX(INDIRECT(InputsCS!$I$1),8,101),IF('KS2-4 Combined Science TMs'!$AA$47="sen",INDEX(INDIRECT(InputsCS!$I$1),8,145),IF('KS2-4 Combined Science TMs'!$AA$47="eal",INDEX(INDIRECT(InputsCS!$I$1),8,189),"")))),IF(InputsCS!$I$2="Pupil Percentages",IF('KS2-4 Combined Science TMs'!$AA$47="Gender",INDEX(INDIRECT(InputsCS!$I$1),24,57),IF('KS2-4 Combined Science TMs'!$AA$47="disadvantage",INDEX(INDIRECT(InputsCS!$I$1),24,101),IF('KS2-4 Combined Science TMs'!$AA$47="sen",INDEX(INDIRECT(InputsCS!$I$1),24,145),IF('KS2-4 Combined Science TMs'!$AA$47="eal",INDEX(INDIRECT(InputsCS!$I$1),24,189),"")))))))))),"")</f>
        <v/>
      </c>
      <c r="R70" s="61" t="str">
        <f ca="1">IFERROR(IF(InputsCS!$I$1="Please Select","",IF(InputsCS!$I$2="Please Select","",IF(InputsCS!$I$1="","",IF(InputsCS!$I$2="","",IF(InputsCS!$I$2="Pupil Numbers",IF('KS2-4 Combined Science TMs'!$AA$47="Gender",INDEX(INDIRECT(InputsCS!$I$1),8,58),IF('KS2-4 Combined Science TMs'!$AA$47="disadvantage",INDEX(INDIRECT(InputsCS!$I$1),8,102),IF('KS2-4 Combined Science TMs'!$AA$47="sen",INDEX(INDIRECT(InputsCS!$I$1),8,146),IF('KS2-4 Combined Science TMs'!$AA$47="eal",INDEX(INDIRECT(InputsCS!$I$1),8,190),"")))),IF(InputsCS!$I$2="Pupil Percentages",IF('KS2-4 Combined Science TMs'!$AA$47="Gender",INDEX(INDIRECT(InputsCS!$I$1),24,58),IF('KS2-4 Combined Science TMs'!$AA$47="disadvantage",INDEX(INDIRECT(InputsCS!$I$1),24,102),IF('KS2-4 Combined Science TMs'!$AA$47="sen",INDEX(INDIRECT(InputsCS!$I$1),24,146),IF('KS2-4 Combined Science TMs'!$AA$47="eal",INDEX(INDIRECT(InputsCS!$I$1),24,190),"")))))))))),"")</f>
        <v/>
      </c>
      <c r="S70" s="61" t="str">
        <f ca="1">IFERROR(IF(InputsCS!$I$1="Please Select","",IF(InputsCS!$I$2="Please Select","",IF(InputsCS!$I$1="","",IF(InputsCS!$I$2="","",IF(InputsCS!$I$2="Pupil Numbers",IF('KS2-4 Combined Science TMs'!$AA$47="Gender",INDEX(INDIRECT(InputsCS!$I$1),8,59),IF('KS2-4 Combined Science TMs'!$AA$47="disadvantage",INDEX(INDIRECT(InputsCS!$I$1),8,103),IF('KS2-4 Combined Science TMs'!$AA$47="sen",INDEX(INDIRECT(InputsCS!$I$1),8,147),IF('KS2-4 Combined Science TMs'!$AA$47="eal",INDEX(INDIRECT(InputsCS!$I$1),8,191),"")))),IF(InputsCS!$I$2="Pupil Percentages",IF('KS2-4 Combined Science TMs'!$AA$47="Gender",INDEX(INDIRECT(InputsCS!$I$1),24,59),IF('KS2-4 Combined Science TMs'!$AA$47="disadvantage",INDEX(INDIRECT(InputsCS!$I$1),24,103),IF('KS2-4 Combined Science TMs'!$AA$47="sen",INDEX(INDIRECT(InputsCS!$I$1),24,147),IF('KS2-4 Combined Science TMs'!$AA$47="eal",INDEX(INDIRECT(InputsCS!$I$1),24,191),"")))))))))),"")</f>
        <v/>
      </c>
      <c r="T70" s="61" t="str">
        <f ca="1">IFERROR(IF(InputsCS!$I$1="Please Select","",IF(InputsCS!$I$2="Please Select","",IF(InputsCS!$I$1="","",IF(InputsCS!$I$2="","",IF(InputsCS!$I$2="Pupil Numbers",IF('KS2-4 Combined Science TMs'!$AA$47="Gender",INDEX(INDIRECT(InputsCS!$I$1),8,60),IF('KS2-4 Combined Science TMs'!$AA$47="disadvantage",INDEX(INDIRECT(InputsCS!$I$1),8,104),IF('KS2-4 Combined Science TMs'!$AA$47="sen",INDEX(INDIRECT(InputsCS!$I$1),8,148),IF('KS2-4 Combined Science TMs'!$AA$47="eal",INDEX(INDIRECT(InputsCS!$I$1),8,192),"")))),IF(InputsCS!$I$2="Pupil Percentages",IF('KS2-4 Combined Science TMs'!$AA$47="Gender",INDEX(INDIRECT(InputsCS!$I$1),24,60),IF('KS2-4 Combined Science TMs'!$AA$47="disadvantage",INDEX(INDIRECT(InputsCS!$I$1),24,104),IF('KS2-4 Combined Science TMs'!$AA$47="sen",INDEX(INDIRECT(InputsCS!$I$1),24,148),IF('KS2-4 Combined Science TMs'!$AA$47="eal",INDEX(INDIRECT(InputsCS!$I$1),24,192),"")))))))))),"")</f>
        <v/>
      </c>
      <c r="U70" s="61" t="str">
        <f ca="1">IFERROR(IF(InputsCS!$I$1="Please Select","",IF(InputsCS!$I$2="Please Select","",IF(InputsCS!$I$1="","",IF(InputsCS!$I$2="","",IF(InputsCS!$I$2="Pupil Numbers",IF('KS2-4 Combined Science TMs'!$AA$47="Gender",INDEX(INDIRECT(InputsCS!$I$1),8,61),IF('KS2-4 Combined Science TMs'!$AA$47="disadvantage",INDEX(INDIRECT(InputsCS!$I$1),8,105),IF('KS2-4 Combined Science TMs'!$AA$47="sen",INDEX(INDIRECT(InputsCS!$I$1),8,149),IF('KS2-4 Combined Science TMs'!$AA$47="eal",INDEX(INDIRECT(InputsCS!$I$1),8,193),"")))),IF(InputsCS!$I$2="Pupil Percentages",IF('KS2-4 Combined Science TMs'!$AA$47="Gender",INDEX(INDIRECT(InputsCS!$I$1),24,61),IF('KS2-4 Combined Science TMs'!$AA$47="disadvantage",INDEX(INDIRECT(InputsCS!$I$1),24,105),IF('KS2-4 Combined Science TMs'!$AA$47="sen",INDEX(INDIRECT(InputsCS!$I$1),24,149),IF('KS2-4 Combined Science TMs'!$AA$47="eal",INDEX(INDIRECT(InputsCS!$I$1),24,193),"")))))))))),"")</f>
        <v/>
      </c>
      <c r="V70" s="61" t="str">
        <f ca="1">IFERROR(IF(InputsCS!$I$1="Please Select","",IF(InputsCS!$I$2="Please Select","",IF(InputsCS!$I$1="","",IF(InputsCS!$I$2="","",IF(InputsCS!$I$2="Pupil Numbers",IF('KS2-4 Combined Science TMs'!$AA$47="Gender",INDEX(INDIRECT(InputsCS!$I$1),8,62),IF('KS2-4 Combined Science TMs'!$AA$47="disadvantage",INDEX(INDIRECT(InputsCS!$I$1),8,106),IF('KS2-4 Combined Science TMs'!$AA$47="sen",INDEX(INDIRECT(InputsCS!$I$1),8,150),IF('KS2-4 Combined Science TMs'!$AA$47="eal",INDEX(INDIRECT(InputsCS!$I$1),8,194),"")))),IF(InputsCS!$I$2="Pupil Percentages",IF('KS2-4 Combined Science TMs'!$AA$47="Gender",INDEX(INDIRECT(InputsCS!$I$1),24,62),IF('KS2-4 Combined Science TMs'!$AA$47="disadvantage",INDEX(INDIRECT(InputsCS!$I$1),24,106),IF('KS2-4 Combined Science TMs'!$AA$47="sen",INDEX(INDIRECT(InputsCS!$I$1),24,150),IF('KS2-4 Combined Science TMs'!$AA$47="eal",INDEX(INDIRECT(InputsCS!$I$1),24,194),"")))))))))),"")</f>
        <v/>
      </c>
      <c r="AD70" s="12"/>
      <c r="AR70" s="13"/>
      <c r="AS70" s="13"/>
      <c r="AT70" s="13"/>
      <c r="AU70" s="13"/>
      <c r="AV70" s="13"/>
      <c r="AW70" s="13"/>
      <c r="AX70" s="13"/>
      <c r="AY70" s="13"/>
      <c r="AZ70" s="13"/>
      <c r="BA70" s="13"/>
      <c r="BB70" s="13"/>
      <c r="BC70" s="13"/>
      <c r="BD70" s="13"/>
    </row>
    <row r="71" spans="3:56" ht="23.1" customHeight="1" x14ac:dyDescent="0.5">
      <c r="C71" s="120"/>
      <c r="D71" s="60" t="s">
        <v>8</v>
      </c>
      <c r="E71" s="61" t="str">
        <f ca="1">IFERROR(IF(InputsCS!$I$1="Please Select","",IF(InputsCS!$I$2="Please Select","",IF(InputsCS!$I$1="","",IF(InputsCS!$I$2="","",IF(InputsCS!$I$2="Pupil Numbers",IF('KS2-4 Combined Science TMs'!$AA$47="Gender",INDEX(INDIRECT(InputsCS!$I$1),9,45),IF('KS2-4 Combined Science TMs'!$AA$47="disadvantage",INDEX(INDIRECT(InputsCS!$I$1),9,89),IF('KS2-4 Combined Science TMs'!$AA$47="sen",INDEX(INDIRECT(InputsCS!$I$1),9,133),IF('KS2-4 Combined Science TMs'!$AA$47="eal",INDEX(INDIRECT(InputsCS!$I$1),9,177),"")))),IF(InputsCS!$I$2="Pupil Percentages",IF('KS2-4 Combined Science TMs'!$AA$47="Gender",INDEX(INDIRECT(InputsCS!$I$1),25,45),IF('KS2-4 Combined Science TMs'!$AA$47="disadvantage",INDEX(INDIRECT(InputsCS!$I$1),25,89),IF('KS2-4 Combined Science TMs'!$AA$47="sen",INDEX(INDIRECT(InputsCS!$I$1),25,133),IF('KS2-4 Combined Science TMs'!$AA$47="eal",INDEX(INDIRECT(InputsCS!$I$1),25,177),"")))))))))),"")</f>
        <v/>
      </c>
      <c r="F71" s="61" t="str">
        <f ca="1">IFERROR(IF(InputsCS!$I$1="Please Select","",IF(InputsCS!$I$2="Please Select","",IF(InputsCS!$I$1="","",IF(InputsCS!$I$2="","",IF(InputsCS!$I$2="Pupil Numbers",IF('KS2-4 Combined Science TMs'!$AA$47="Gender",INDEX(INDIRECT(InputsCS!$I$1),9,46),IF('KS2-4 Combined Science TMs'!$AA$47="disadvantage",INDEX(INDIRECT(InputsCS!$I$1),9,90),IF('KS2-4 Combined Science TMs'!$AA$47="sen",INDEX(INDIRECT(InputsCS!$I$1),9,134),IF('KS2-4 Combined Science TMs'!$AA$47="eal",INDEX(INDIRECT(InputsCS!$I$1),9,178),"")))),IF(InputsCS!$I$2="Pupil Percentages",IF('KS2-4 Combined Science TMs'!$AA$47="Gender",INDEX(INDIRECT(InputsCS!$I$1),25,46),IF('KS2-4 Combined Science TMs'!$AA$47="disadvantage",INDEX(INDIRECT(InputsCS!$I$1),25,90),IF('KS2-4 Combined Science TMs'!$AA$47="sen",INDEX(INDIRECT(InputsCS!$I$1),25,134),IF('KS2-4 Combined Science TMs'!$AA$47="eal",INDEX(INDIRECT(InputsCS!$I$1),25,178),"")))))))))),"")</f>
        <v/>
      </c>
      <c r="G71" s="61" t="str">
        <f ca="1">IFERROR(IF(InputsCS!$I$1="Please Select","",IF(InputsCS!$I$2="Please Select","",IF(InputsCS!$I$1="","",IF(InputsCS!$I$2="","",IF(InputsCS!$I$2="Pupil Numbers",IF('KS2-4 Combined Science TMs'!$AA$47="Gender",INDEX(INDIRECT(InputsCS!$I$1),9,47),IF('KS2-4 Combined Science TMs'!$AA$47="disadvantage",INDEX(INDIRECT(InputsCS!$I$1),9,91),IF('KS2-4 Combined Science TMs'!$AA$47="sen",INDEX(INDIRECT(InputsCS!$I$1),9,135),IF('KS2-4 Combined Science TMs'!$AA$47="eal",INDEX(INDIRECT(InputsCS!$I$1),9,179),"")))),IF(InputsCS!$I$2="Pupil Percentages",IF('KS2-4 Combined Science TMs'!$AA$47="Gender",INDEX(INDIRECT(InputsCS!$I$1),25,47),IF('KS2-4 Combined Science TMs'!$AA$47="disadvantage",INDEX(INDIRECT(InputsCS!$I$1),25,91),IF('KS2-4 Combined Science TMs'!$AA$47="sen",INDEX(INDIRECT(InputsCS!$I$1),25,135),IF('KS2-4 Combined Science TMs'!$AA$47="eal",INDEX(INDIRECT(InputsCS!$I$1),25,179),"")))))))))),"")</f>
        <v/>
      </c>
      <c r="H71" s="61" t="str">
        <f ca="1">IFERROR(IF(InputsCS!$I$1="Please Select","",IF(InputsCS!$I$2="Please Select","",IF(InputsCS!$I$1="","",IF(InputsCS!$I$2="","",IF(InputsCS!$I$2="Pupil Numbers",IF('KS2-4 Combined Science TMs'!$AA$47="Gender",INDEX(INDIRECT(InputsCS!$I$1),9,48),IF('KS2-4 Combined Science TMs'!$AA$47="disadvantage",INDEX(INDIRECT(InputsCS!$I$1),9,92),IF('KS2-4 Combined Science TMs'!$AA$47="sen",INDEX(INDIRECT(InputsCS!$I$1),9,136),IF('KS2-4 Combined Science TMs'!$AA$47="eal",INDEX(INDIRECT(InputsCS!$I$1),9,180),"")))),IF(InputsCS!$I$2="Pupil Percentages",IF('KS2-4 Combined Science TMs'!$AA$47="Gender",INDEX(INDIRECT(InputsCS!$I$1),25,48),IF('KS2-4 Combined Science TMs'!$AA$47="disadvantage",INDEX(INDIRECT(InputsCS!$I$1),25,92),IF('KS2-4 Combined Science TMs'!$AA$47="sen",INDEX(INDIRECT(InputsCS!$I$1),25,136),IF('KS2-4 Combined Science TMs'!$AA$47="eal",INDEX(INDIRECT(InputsCS!$I$1),25,180),"")))))))))),"")</f>
        <v/>
      </c>
      <c r="I71" s="61" t="str">
        <f ca="1">IFERROR(IF(InputsCS!$I$1="Please Select","",IF(InputsCS!$I$2="Please Select","",IF(InputsCS!$I$1="","",IF(InputsCS!$I$2="","",IF(InputsCS!$I$2="Pupil Numbers",IF('KS2-4 Combined Science TMs'!$AA$47="Gender",INDEX(INDIRECT(InputsCS!$I$1),9,49),IF('KS2-4 Combined Science TMs'!$AA$47="disadvantage",INDEX(INDIRECT(InputsCS!$I$1),9,93),IF('KS2-4 Combined Science TMs'!$AA$47="sen",INDEX(INDIRECT(InputsCS!$I$1),9,137),IF('KS2-4 Combined Science TMs'!$AA$47="eal",INDEX(INDIRECT(InputsCS!$I$1),9,181),"")))),IF(InputsCS!$I$2="Pupil Percentages",IF('KS2-4 Combined Science TMs'!$AA$47="Gender",INDEX(INDIRECT(InputsCS!$I$1),25,49),IF('KS2-4 Combined Science TMs'!$AA$47="disadvantage",INDEX(INDIRECT(InputsCS!$I$1),25,93),IF('KS2-4 Combined Science TMs'!$AA$47="sen",INDEX(INDIRECT(InputsCS!$I$1),25,137),IF('KS2-4 Combined Science TMs'!$AA$47="eal",INDEX(INDIRECT(InputsCS!$I$1),25,181),"")))))))))),"")</f>
        <v/>
      </c>
      <c r="J71" s="61" t="str">
        <f ca="1">IFERROR(IF(InputsCS!$I$1="Please Select","",IF(InputsCS!$I$2="Please Select","",IF(InputsCS!$I$1="","",IF(InputsCS!$I$2="","",IF(InputsCS!$I$2="Pupil Numbers",IF('KS2-4 Combined Science TMs'!$AA$47="Gender",INDEX(INDIRECT(InputsCS!$I$1),9,50),IF('KS2-4 Combined Science TMs'!$AA$47="disadvantage",INDEX(INDIRECT(InputsCS!$I$1),9,94),IF('KS2-4 Combined Science TMs'!$AA$47="sen",INDEX(INDIRECT(InputsCS!$I$1),9,138),IF('KS2-4 Combined Science TMs'!$AA$47="eal",INDEX(INDIRECT(InputsCS!$I$1),9,182),"")))),IF(InputsCS!$I$2="Pupil Percentages",IF('KS2-4 Combined Science TMs'!$AA$47="Gender",INDEX(INDIRECT(InputsCS!$I$1),25,50),IF('KS2-4 Combined Science TMs'!$AA$47="disadvantage",INDEX(INDIRECT(InputsCS!$I$1),25,94),IF('KS2-4 Combined Science TMs'!$AA$47="sen",INDEX(INDIRECT(InputsCS!$I$1),25,138),IF('KS2-4 Combined Science TMs'!$AA$47="eal",INDEX(INDIRECT(InputsCS!$I$1),25,182),"")))))))))),"")</f>
        <v/>
      </c>
      <c r="K71" s="61" t="str">
        <f ca="1">IFERROR(IF(InputsCS!$I$1="Please Select","",IF(InputsCS!$I$2="Please Select","",IF(InputsCS!$I$1="","",IF(InputsCS!$I$2="","",IF(InputsCS!$I$2="Pupil Numbers",IF('KS2-4 Combined Science TMs'!$AA$47="Gender",INDEX(INDIRECT(InputsCS!$I$1),9,51),IF('KS2-4 Combined Science TMs'!$AA$47="disadvantage",INDEX(INDIRECT(InputsCS!$I$1),9,95),IF('KS2-4 Combined Science TMs'!$AA$47="sen",INDEX(INDIRECT(InputsCS!$I$1),9,139),IF('KS2-4 Combined Science TMs'!$AA$47="eal",INDEX(INDIRECT(InputsCS!$I$1),9,183),"")))),IF(InputsCS!$I$2="Pupil Percentages",IF('KS2-4 Combined Science TMs'!$AA$47="Gender",INDEX(INDIRECT(InputsCS!$I$1),25,51),IF('KS2-4 Combined Science TMs'!$AA$47="disadvantage",INDEX(INDIRECT(InputsCS!$I$1),25,95),IF('KS2-4 Combined Science TMs'!$AA$47="sen",INDEX(INDIRECT(InputsCS!$I$1),25,139),IF('KS2-4 Combined Science TMs'!$AA$47="eal",INDEX(INDIRECT(InputsCS!$I$1),25,183),"")))))))))),"")</f>
        <v/>
      </c>
      <c r="L71" s="61" t="str">
        <f ca="1">IFERROR(IF(InputsCS!$I$1="Please Select","",IF(InputsCS!$I$2="Please Select","",IF(InputsCS!$I$1="","",IF(InputsCS!$I$2="","",IF(InputsCS!$I$2="Pupil Numbers",IF('KS2-4 Combined Science TMs'!$AA$47="Gender",INDEX(INDIRECT(InputsCS!$I$1),9,52),IF('KS2-4 Combined Science TMs'!$AA$47="disadvantage",INDEX(INDIRECT(InputsCS!$I$1),9,96),IF('KS2-4 Combined Science TMs'!$AA$47="sen",INDEX(INDIRECT(InputsCS!$I$1),9,140),IF('KS2-4 Combined Science TMs'!$AA$47="eal",INDEX(INDIRECT(InputsCS!$I$1),9,184),"")))),IF(InputsCS!$I$2="Pupil Percentages",IF('KS2-4 Combined Science TMs'!$AA$47="Gender",INDEX(INDIRECT(InputsCS!$I$1),25,52),IF('KS2-4 Combined Science TMs'!$AA$47="disadvantage",INDEX(INDIRECT(InputsCS!$I$1),25,96),IF('KS2-4 Combined Science TMs'!$AA$47="sen",INDEX(INDIRECT(InputsCS!$I$1),25,140),IF('KS2-4 Combined Science TMs'!$AA$47="eal",INDEX(INDIRECT(InputsCS!$I$1),25,184),"")))))))))),"")</f>
        <v/>
      </c>
      <c r="M71" s="61" t="str">
        <f ca="1">IFERROR(IF(InputsCS!$I$1="Please Select","",IF(InputsCS!$I$2="Please Select","",IF(InputsCS!$I$1="","",IF(InputsCS!$I$2="","",IF(InputsCS!$I$2="Pupil Numbers",IF('KS2-4 Combined Science TMs'!$AA$47="Gender",INDEX(INDIRECT(InputsCS!$I$1),9,53),IF('KS2-4 Combined Science TMs'!$AA$47="disadvantage",INDEX(INDIRECT(InputsCS!$I$1),9,97),IF('KS2-4 Combined Science TMs'!$AA$47="sen",INDEX(INDIRECT(InputsCS!$I$1),9,141),IF('KS2-4 Combined Science TMs'!$AA$47="eal",INDEX(INDIRECT(InputsCS!$I$1),9,185),"")))),IF(InputsCS!$I$2="Pupil Percentages",IF('KS2-4 Combined Science TMs'!$AA$47="Gender",INDEX(INDIRECT(InputsCS!$I$1),25,53),IF('KS2-4 Combined Science TMs'!$AA$47="disadvantage",INDEX(INDIRECT(InputsCS!$I$1),25,97),IF('KS2-4 Combined Science TMs'!$AA$47="sen",INDEX(INDIRECT(InputsCS!$I$1),25,141),IF('KS2-4 Combined Science TMs'!$AA$47="eal",INDEX(INDIRECT(InputsCS!$I$1),25,185),"")))))))))),"")</f>
        <v/>
      </c>
      <c r="N71" s="61" t="str">
        <f ca="1">IFERROR(IF(InputsCS!$I$1="Please Select","",IF(InputsCS!$I$2="Please Select","",IF(InputsCS!$I$1="","",IF(InputsCS!$I$2="","",IF(InputsCS!$I$2="Pupil Numbers",IF('KS2-4 Combined Science TMs'!$AA$47="Gender",INDEX(INDIRECT(InputsCS!$I$1),9,54),IF('KS2-4 Combined Science TMs'!$AA$47="disadvantage",INDEX(INDIRECT(InputsCS!$I$1),9,98),IF('KS2-4 Combined Science TMs'!$AA$47="sen",INDEX(INDIRECT(InputsCS!$I$1),9,142),IF('KS2-4 Combined Science TMs'!$AA$47="eal",INDEX(INDIRECT(InputsCS!$I$1),9,186),"")))),IF(InputsCS!$I$2="Pupil Percentages",IF('KS2-4 Combined Science TMs'!$AA$47="Gender",INDEX(INDIRECT(InputsCS!$I$1),25,54),IF('KS2-4 Combined Science TMs'!$AA$47="disadvantage",INDEX(INDIRECT(InputsCS!$I$1),25,98),IF('KS2-4 Combined Science TMs'!$AA$47="sen",INDEX(INDIRECT(InputsCS!$I$1),25,142),IF('KS2-4 Combined Science TMs'!$AA$47="eal",INDEX(INDIRECT(InputsCS!$I$1),25,186),"")))))))))),"")</f>
        <v/>
      </c>
      <c r="O71" s="61" t="str">
        <f ca="1">IFERROR(IF(InputsCS!$I$1="Please Select","",IF(InputsCS!$I$2="Please Select","",IF(InputsCS!$I$1="","",IF(InputsCS!$I$2="","",IF(InputsCS!$I$2="Pupil Numbers",IF('KS2-4 Combined Science TMs'!$AA$47="Gender",INDEX(INDIRECT(InputsCS!$I$1),9,55),IF('KS2-4 Combined Science TMs'!$AA$47="disadvantage",INDEX(INDIRECT(InputsCS!$I$1),9,99),IF('KS2-4 Combined Science TMs'!$AA$47="sen",INDEX(INDIRECT(InputsCS!$I$1),9,143),IF('KS2-4 Combined Science TMs'!$AA$47="eal",INDEX(INDIRECT(InputsCS!$I$1),9,187),"")))),IF(InputsCS!$I$2="Pupil Percentages",IF('KS2-4 Combined Science TMs'!$AA$47="Gender",INDEX(INDIRECT(InputsCS!$I$1),25,55),IF('KS2-4 Combined Science TMs'!$AA$47="disadvantage",INDEX(INDIRECT(InputsCS!$I$1),25,99),IF('KS2-4 Combined Science TMs'!$AA$47="sen",INDEX(INDIRECT(InputsCS!$I$1),25,143),IF('KS2-4 Combined Science TMs'!$AA$47="eal",INDEX(INDIRECT(InputsCS!$I$1),25,187),"")))))))))),"")</f>
        <v/>
      </c>
      <c r="P71" s="61" t="str">
        <f ca="1">IFERROR(IF(InputsCS!$I$1="Please Select","",IF(InputsCS!$I$2="Please Select","",IF(InputsCS!$I$1="","",IF(InputsCS!$I$2="","",IF(InputsCS!$I$2="Pupil Numbers",IF('KS2-4 Combined Science TMs'!$AA$47="Gender",INDEX(INDIRECT(InputsCS!$I$1),9,56),IF('KS2-4 Combined Science TMs'!$AA$47="disadvantage",INDEX(INDIRECT(InputsCS!$I$1),9,100),IF('KS2-4 Combined Science TMs'!$AA$47="sen",INDEX(INDIRECT(InputsCS!$I$1),9,144),IF('KS2-4 Combined Science TMs'!$AA$47="eal",INDEX(INDIRECT(InputsCS!$I$1),9,188),"")))),IF(InputsCS!$I$2="Pupil Percentages",IF('KS2-4 Combined Science TMs'!$AA$47="Gender",INDEX(INDIRECT(InputsCS!$I$1),25,56),IF('KS2-4 Combined Science TMs'!$AA$47="disadvantage",INDEX(INDIRECT(InputsCS!$I$1),25,100),IF('KS2-4 Combined Science TMs'!$AA$47="sen",INDEX(INDIRECT(InputsCS!$I$1),25,144),IF('KS2-4 Combined Science TMs'!$AA$47="eal",INDEX(INDIRECT(InputsCS!$I$1),25,188),"")))))))))),"")</f>
        <v/>
      </c>
      <c r="Q71" s="61" t="str">
        <f ca="1">IFERROR(IF(InputsCS!$I$1="Please Select","",IF(InputsCS!$I$2="Please Select","",IF(InputsCS!$I$1="","",IF(InputsCS!$I$2="","",IF(InputsCS!$I$2="Pupil Numbers",IF('KS2-4 Combined Science TMs'!$AA$47="Gender",INDEX(INDIRECT(InputsCS!$I$1),9,57),IF('KS2-4 Combined Science TMs'!$AA$47="disadvantage",INDEX(INDIRECT(InputsCS!$I$1),9,101),IF('KS2-4 Combined Science TMs'!$AA$47="sen",INDEX(INDIRECT(InputsCS!$I$1),9,145),IF('KS2-4 Combined Science TMs'!$AA$47="eal",INDEX(INDIRECT(InputsCS!$I$1),9,189),"")))),IF(InputsCS!$I$2="Pupil Percentages",IF('KS2-4 Combined Science TMs'!$AA$47="Gender",INDEX(INDIRECT(InputsCS!$I$1),25,57),IF('KS2-4 Combined Science TMs'!$AA$47="disadvantage",INDEX(INDIRECT(InputsCS!$I$1),25,101),IF('KS2-4 Combined Science TMs'!$AA$47="sen",INDEX(INDIRECT(InputsCS!$I$1),25,145),IF('KS2-4 Combined Science TMs'!$AA$47="eal",INDEX(INDIRECT(InputsCS!$I$1),25,189),"")))))))))),"")</f>
        <v/>
      </c>
      <c r="R71" s="61" t="str">
        <f ca="1">IFERROR(IF(InputsCS!$I$1="Please Select","",IF(InputsCS!$I$2="Please Select","",IF(InputsCS!$I$1="","",IF(InputsCS!$I$2="","",IF(InputsCS!$I$2="Pupil Numbers",IF('KS2-4 Combined Science TMs'!$AA$47="Gender",INDEX(INDIRECT(InputsCS!$I$1),9,58),IF('KS2-4 Combined Science TMs'!$AA$47="disadvantage",INDEX(INDIRECT(InputsCS!$I$1),9,102),IF('KS2-4 Combined Science TMs'!$AA$47="sen",INDEX(INDIRECT(InputsCS!$I$1),9,146),IF('KS2-4 Combined Science TMs'!$AA$47="eal",INDEX(INDIRECT(InputsCS!$I$1),9,190),"")))),IF(InputsCS!$I$2="Pupil Percentages",IF('KS2-4 Combined Science TMs'!$AA$47="Gender",INDEX(INDIRECT(InputsCS!$I$1),25,58),IF('KS2-4 Combined Science TMs'!$AA$47="disadvantage",INDEX(INDIRECT(InputsCS!$I$1),25,102),IF('KS2-4 Combined Science TMs'!$AA$47="sen",INDEX(INDIRECT(InputsCS!$I$1),25,146),IF('KS2-4 Combined Science TMs'!$AA$47="eal",INDEX(INDIRECT(InputsCS!$I$1),25,190),"")))))))))),"")</f>
        <v/>
      </c>
      <c r="S71" s="61" t="str">
        <f ca="1">IFERROR(IF(InputsCS!$I$1="Please Select","",IF(InputsCS!$I$2="Please Select","",IF(InputsCS!$I$1="","",IF(InputsCS!$I$2="","",IF(InputsCS!$I$2="Pupil Numbers",IF('KS2-4 Combined Science TMs'!$AA$47="Gender",INDEX(INDIRECT(InputsCS!$I$1),9,59),IF('KS2-4 Combined Science TMs'!$AA$47="disadvantage",INDEX(INDIRECT(InputsCS!$I$1),9,103),IF('KS2-4 Combined Science TMs'!$AA$47="sen",INDEX(INDIRECT(InputsCS!$I$1),9,147),IF('KS2-4 Combined Science TMs'!$AA$47="eal",INDEX(INDIRECT(InputsCS!$I$1),9,191),"")))),IF(InputsCS!$I$2="Pupil Percentages",IF('KS2-4 Combined Science TMs'!$AA$47="Gender",INDEX(INDIRECT(InputsCS!$I$1),25,59),IF('KS2-4 Combined Science TMs'!$AA$47="disadvantage",INDEX(INDIRECT(InputsCS!$I$1),25,103),IF('KS2-4 Combined Science TMs'!$AA$47="sen",INDEX(INDIRECT(InputsCS!$I$1),25,147),IF('KS2-4 Combined Science TMs'!$AA$47="eal",INDEX(INDIRECT(InputsCS!$I$1),25,191),"")))))))))),"")</f>
        <v/>
      </c>
      <c r="T71" s="61" t="str">
        <f ca="1">IFERROR(IF(InputsCS!$I$1="Please Select","",IF(InputsCS!$I$2="Please Select","",IF(InputsCS!$I$1="","",IF(InputsCS!$I$2="","",IF(InputsCS!$I$2="Pupil Numbers",IF('KS2-4 Combined Science TMs'!$AA$47="Gender",INDEX(INDIRECT(InputsCS!$I$1),9,60),IF('KS2-4 Combined Science TMs'!$AA$47="disadvantage",INDEX(INDIRECT(InputsCS!$I$1),9,104),IF('KS2-4 Combined Science TMs'!$AA$47="sen",INDEX(INDIRECT(InputsCS!$I$1),9,148),IF('KS2-4 Combined Science TMs'!$AA$47="eal",INDEX(INDIRECT(InputsCS!$I$1),9,192),"")))),IF(InputsCS!$I$2="Pupil Percentages",IF('KS2-4 Combined Science TMs'!$AA$47="Gender",INDEX(INDIRECT(InputsCS!$I$1),25,60),IF('KS2-4 Combined Science TMs'!$AA$47="disadvantage",INDEX(INDIRECT(InputsCS!$I$1),25,104),IF('KS2-4 Combined Science TMs'!$AA$47="sen",INDEX(INDIRECT(InputsCS!$I$1),25,148),IF('KS2-4 Combined Science TMs'!$AA$47="eal",INDEX(INDIRECT(InputsCS!$I$1),25,192),"")))))))))),"")</f>
        <v/>
      </c>
      <c r="U71" s="61" t="str">
        <f ca="1">IFERROR(IF(InputsCS!$I$1="Please Select","",IF(InputsCS!$I$2="Please Select","",IF(InputsCS!$I$1="","",IF(InputsCS!$I$2="","",IF(InputsCS!$I$2="Pupil Numbers",IF('KS2-4 Combined Science TMs'!$AA$47="Gender",INDEX(INDIRECT(InputsCS!$I$1),9,61),IF('KS2-4 Combined Science TMs'!$AA$47="disadvantage",INDEX(INDIRECT(InputsCS!$I$1),9,105),IF('KS2-4 Combined Science TMs'!$AA$47="sen",INDEX(INDIRECT(InputsCS!$I$1),9,149),IF('KS2-4 Combined Science TMs'!$AA$47="eal",INDEX(INDIRECT(InputsCS!$I$1),9,193),"")))),IF(InputsCS!$I$2="Pupil Percentages",IF('KS2-4 Combined Science TMs'!$AA$47="Gender",INDEX(INDIRECT(InputsCS!$I$1),25,61),IF('KS2-4 Combined Science TMs'!$AA$47="disadvantage",INDEX(INDIRECT(InputsCS!$I$1),25,105),IF('KS2-4 Combined Science TMs'!$AA$47="sen",INDEX(INDIRECT(InputsCS!$I$1),25,149),IF('KS2-4 Combined Science TMs'!$AA$47="eal",INDEX(INDIRECT(InputsCS!$I$1),25,193),"")))))))))),"")</f>
        <v/>
      </c>
      <c r="V71" s="61" t="str">
        <f ca="1">IFERROR(IF(InputsCS!$I$1="Please Select","",IF(InputsCS!$I$2="Please Select","",IF(InputsCS!$I$1="","",IF(InputsCS!$I$2="","",IF(InputsCS!$I$2="Pupil Numbers",IF('KS2-4 Combined Science TMs'!$AA$47="Gender",INDEX(INDIRECT(InputsCS!$I$1),9,62),IF('KS2-4 Combined Science TMs'!$AA$47="disadvantage",INDEX(INDIRECT(InputsCS!$I$1),9,106),IF('KS2-4 Combined Science TMs'!$AA$47="sen",INDEX(INDIRECT(InputsCS!$I$1),9,150),IF('KS2-4 Combined Science TMs'!$AA$47="eal",INDEX(INDIRECT(InputsCS!$I$1),9,194),"")))),IF(InputsCS!$I$2="Pupil Percentages",IF('KS2-4 Combined Science TMs'!$AA$47="Gender",INDEX(INDIRECT(InputsCS!$I$1),25,62),IF('KS2-4 Combined Science TMs'!$AA$47="disadvantage",INDEX(INDIRECT(InputsCS!$I$1),25,106),IF('KS2-4 Combined Science TMs'!$AA$47="sen",INDEX(INDIRECT(InputsCS!$I$1),25,150),IF('KS2-4 Combined Science TMs'!$AA$47="eal",INDEX(INDIRECT(InputsCS!$I$1),25,194),"")))))))))),"")</f>
        <v/>
      </c>
      <c r="AD71" s="12"/>
      <c r="AR71" s="13"/>
      <c r="AS71" s="13"/>
      <c r="AT71" s="13"/>
      <c r="AU71" s="13"/>
      <c r="AV71" s="13"/>
      <c r="AW71" s="13"/>
      <c r="AX71" s="13"/>
      <c r="AY71" s="13"/>
      <c r="AZ71" s="13"/>
      <c r="BA71" s="13"/>
      <c r="BB71" s="13"/>
      <c r="BC71" s="13"/>
      <c r="BD71" s="13"/>
    </row>
    <row r="72" spans="3:56" ht="23.1" customHeight="1" x14ac:dyDescent="0.5">
      <c r="C72" s="120"/>
      <c r="D72" s="60" t="s">
        <v>9</v>
      </c>
      <c r="E72" s="61" t="str">
        <f ca="1">IFERROR(IF(InputsCS!$I$1="Please Select","",IF(InputsCS!$I$2="Please Select","",IF(InputsCS!$I$1="","",IF(InputsCS!$I$2="","",IF(InputsCS!$I$2="Pupil Numbers",IF('KS2-4 Combined Science TMs'!$AA$47="Gender",INDEX(INDIRECT(InputsCS!$I$1),10,45),IF('KS2-4 Combined Science TMs'!$AA$47="disadvantage",INDEX(INDIRECT(InputsCS!$I$1),10,89),IF('KS2-4 Combined Science TMs'!$AA$47="sen",INDEX(INDIRECT(InputsCS!$I$1),10,133),IF('KS2-4 Combined Science TMs'!$AA$47="eal",INDEX(INDIRECT(InputsCS!$I$1),10,177),"")))),IF(InputsCS!$I$2="Pupil Percentages",IF('KS2-4 Combined Science TMs'!$AA$47="Gender",INDEX(INDIRECT(InputsCS!$I$1),26,45),IF('KS2-4 Combined Science TMs'!$AA$47="disadvantage",INDEX(INDIRECT(InputsCS!$I$1),26,89),IF('KS2-4 Combined Science TMs'!$AA$47="sen",INDEX(INDIRECT(InputsCS!$I$1),26,133),IF('KS2-4 Combined Science TMs'!$AA$47="eal",INDEX(INDIRECT(InputsCS!$I$1),26,177),"")))))))))),"")</f>
        <v/>
      </c>
      <c r="F72" s="61" t="str">
        <f ca="1">IFERROR(IF(InputsCS!$I$1="Please Select","",IF(InputsCS!$I$2="Please Select","",IF(InputsCS!$I$1="","",IF(InputsCS!$I$2="","",IF(InputsCS!$I$2="Pupil Numbers",IF('KS2-4 Combined Science TMs'!$AA$47="Gender",INDEX(INDIRECT(InputsCS!$I$1),10,46),IF('KS2-4 Combined Science TMs'!$AA$47="disadvantage",INDEX(INDIRECT(InputsCS!$I$1),10,90),IF('KS2-4 Combined Science TMs'!$AA$47="sen",INDEX(INDIRECT(InputsCS!$I$1),10,134),IF('KS2-4 Combined Science TMs'!$AA$47="eal",INDEX(INDIRECT(InputsCS!$I$1),10,178),"")))),IF(InputsCS!$I$2="Pupil Percentages",IF('KS2-4 Combined Science TMs'!$AA$47="Gender",INDEX(INDIRECT(InputsCS!$I$1),26,46),IF('KS2-4 Combined Science TMs'!$AA$47="disadvantage",INDEX(INDIRECT(InputsCS!$I$1),26,90),IF('KS2-4 Combined Science TMs'!$AA$47="sen",INDEX(INDIRECT(InputsCS!$I$1),26,134),IF('KS2-4 Combined Science TMs'!$AA$47="eal",INDEX(INDIRECT(InputsCS!$I$1),26,178),"")))))))))),"")</f>
        <v/>
      </c>
      <c r="G72" s="61" t="str">
        <f ca="1">IFERROR(IF(InputsCS!$I$1="Please Select","",IF(InputsCS!$I$2="Please Select","",IF(InputsCS!$I$1="","",IF(InputsCS!$I$2="","",IF(InputsCS!$I$2="Pupil Numbers",IF('KS2-4 Combined Science TMs'!$AA$47="Gender",INDEX(INDIRECT(InputsCS!$I$1),10,47),IF('KS2-4 Combined Science TMs'!$AA$47="disadvantage",INDEX(INDIRECT(InputsCS!$I$1),10,91),IF('KS2-4 Combined Science TMs'!$AA$47="sen",INDEX(INDIRECT(InputsCS!$I$1),10,135),IF('KS2-4 Combined Science TMs'!$AA$47="eal",INDEX(INDIRECT(InputsCS!$I$1),10,179),"")))),IF(InputsCS!$I$2="Pupil Percentages",IF('KS2-4 Combined Science TMs'!$AA$47="Gender",INDEX(INDIRECT(InputsCS!$I$1),26,47),IF('KS2-4 Combined Science TMs'!$AA$47="disadvantage",INDEX(INDIRECT(InputsCS!$I$1),26,91),IF('KS2-4 Combined Science TMs'!$AA$47="sen",INDEX(INDIRECT(InputsCS!$I$1),26,135),IF('KS2-4 Combined Science TMs'!$AA$47="eal",INDEX(INDIRECT(InputsCS!$I$1),26,179),"")))))))))),"")</f>
        <v/>
      </c>
      <c r="H72" s="61" t="str">
        <f ca="1">IFERROR(IF(InputsCS!$I$1="Please Select","",IF(InputsCS!$I$2="Please Select","",IF(InputsCS!$I$1="","",IF(InputsCS!$I$2="","",IF(InputsCS!$I$2="Pupil Numbers",IF('KS2-4 Combined Science TMs'!$AA$47="Gender",INDEX(INDIRECT(InputsCS!$I$1),10,48),IF('KS2-4 Combined Science TMs'!$AA$47="disadvantage",INDEX(INDIRECT(InputsCS!$I$1),10,92),IF('KS2-4 Combined Science TMs'!$AA$47="sen",INDEX(INDIRECT(InputsCS!$I$1),10,136),IF('KS2-4 Combined Science TMs'!$AA$47="eal",INDEX(INDIRECT(InputsCS!$I$1),10,180),"")))),IF(InputsCS!$I$2="Pupil Percentages",IF('KS2-4 Combined Science TMs'!$AA$47="Gender",INDEX(INDIRECT(InputsCS!$I$1),26,48),IF('KS2-4 Combined Science TMs'!$AA$47="disadvantage",INDEX(INDIRECT(InputsCS!$I$1),26,92),IF('KS2-4 Combined Science TMs'!$AA$47="sen",INDEX(INDIRECT(InputsCS!$I$1),26,136),IF('KS2-4 Combined Science TMs'!$AA$47="eal",INDEX(INDIRECT(InputsCS!$I$1),26,180),"")))))))))),"")</f>
        <v/>
      </c>
      <c r="I72" s="61" t="str">
        <f ca="1">IFERROR(IF(InputsCS!$I$1="Please Select","",IF(InputsCS!$I$2="Please Select","",IF(InputsCS!$I$1="","",IF(InputsCS!$I$2="","",IF(InputsCS!$I$2="Pupil Numbers",IF('KS2-4 Combined Science TMs'!$AA$47="Gender",INDEX(INDIRECT(InputsCS!$I$1),10,49),IF('KS2-4 Combined Science TMs'!$AA$47="disadvantage",INDEX(INDIRECT(InputsCS!$I$1),10,93),IF('KS2-4 Combined Science TMs'!$AA$47="sen",INDEX(INDIRECT(InputsCS!$I$1),10,137),IF('KS2-4 Combined Science TMs'!$AA$47="eal",INDEX(INDIRECT(InputsCS!$I$1),10,181),"")))),IF(InputsCS!$I$2="Pupil Percentages",IF('KS2-4 Combined Science TMs'!$AA$47="Gender",INDEX(INDIRECT(InputsCS!$I$1),26,49),IF('KS2-4 Combined Science TMs'!$AA$47="disadvantage",INDEX(INDIRECT(InputsCS!$I$1),26,93),IF('KS2-4 Combined Science TMs'!$AA$47="sen",INDEX(INDIRECT(InputsCS!$I$1),26,137),IF('KS2-4 Combined Science TMs'!$AA$47="eal",INDEX(INDIRECT(InputsCS!$I$1),26,181),"")))))))))),"")</f>
        <v/>
      </c>
      <c r="J72" s="61" t="str">
        <f ca="1">IFERROR(IF(InputsCS!$I$1="Please Select","",IF(InputsCS!$I$2="Please Select","",IF(InputsCS!$I$1="","",IF(InputsCS!$I$2="","",IF(InputsCS!$I$2="Pupil Numbers",IF('KS2-4 Combined Science TMs'!$AA$47="Gender",INDEX(INDIRECT(InputsCS!$I$1),10,50),IF('KS2-4 Combined Science TMs'!$AA$47="disadvantage",INDEX(INDIRECT(InputsCS!$I$1),10,94),IF('KS2-4 Combined Science TMs'!$AA$47="sen",INDEX(INDIRECT(InputsCS!$I$1),10,138),IF('KS2-4 Combined Science TMs'!$AA$47="eal",INDEX(INDIRECT(InputsCS!$I$1),10,182),"")))),IF(InputsCS!$I$2="Pupil Percentages",IF('KS2-4 Combined Science TMs'!$AA$47="Gender",INDEX(INDIRECT(InputsCS!$I$1),26,50),IF('KS2-4 Combined Science TMs'!$AA$47="disadvantage",INDEX(INDIRECT(InputsCS!$I$1),26,94),IF('KS2-4 Combined Science TMs'!$AA$47="sen",INDEX(INDIRECT(InputsCS!$I$1),26,138),IF('KS2-4 Combined Science TMs'!$AA$47="eal",INDEX(INDIRECT(InputsCS!$I$1),26,182),"")))))))))),"")</f>
        <v/>
      </c>
      <c r="K72" s="61" t="str">
        <f ca="1">IFERROR(IF(InputsCS!$I$1="Please Select","",IF(InputsCS!$I$2="Please Select","",IF(InputsCS!$I$1="","",IF(InputsCS!$I$2="","",IF(InputsCS!$I$2="Pupil Numbers",IF('KS2-4 Combined Science TMs'!$AA$47="Gender",INDEX(INDIRECT(InputsCS!$I$1),10,51),IF('KS2-4 Combined Science TMs'!$AA$47="disadvantage",INDEX(INDIRECT(InputsCS!$I$1),10,95),IF('KS2-4 Combined Science TMs'!$AA$47="sen",INDEX(INDIRECT(InputsCS!$I$1),10,139),IF('KS2-4 Combined Science TMs'!$AA$47="eal",INDEX(INDIRECT(InputsCS!$I$1),10,183),"")))),IF(InputsCS!$I$2="Pupil Percentages",IF('KS2-4 Combined Science TMs'!$AA$47="Gender",INDEX(INDIRECT(InputsCS!$I$1),26,51),IF('KS2-4 Combined Science TMs'!$AA$47="disadvantage",INDEX(INDIRECT(InputsCS!$I$1),26,95),IF('KS2-4 Combined Science TMs'!$AA$47="sen",INDEX(INDIRECT(InputsCS!$I$1),26,139),IF('KS2-4 Combined Science TMs'!$AA$47="eal",INDEX(INDIRECT(InputsCS!$I$1),26,183),"")))))))))),"")</f>
        <v/>
      </c>
      <c r="L72" s="61" t="str">
        <f ca="1">IFERROR(IF(InputsCS!$I$1="Please Select","",IF(InputsCS!$I$2="Please Select","",IF(InputsCS!$I$1="","",IF(InputsCS!$I$2="","",IF(InputsCS!$I$2="Pupil Numbers",IF('KS2-4 Combined Science TMs'!$AA$47="Gender",INDEX(INDIRECT(InputsCS!$I$1),10,52),IF('KS2-4 Combined Science TMs'!$AA$47="disadvantage",INDEX(INDIRECT(InputsCS!$I$1),10,96),IF('KS2-4 Combined Science TMs'!$AA$47="sen",INDEX(INDIRECT(InputsCS!$I$1),10,140),IF('KS2-4 Combined Science TMs'!$AA$47="eal",INDEX(INDIRECT(InputsCS!$I$1),10,184),"")))),IF(InputsCS!$I$2="Pupil Percentages",IF('KS2-4 Combined Science TMs'!$AA$47="Gender",INDEX(INDIRECT(InputsCS!$I$1),26,52),IF('KS2-4 Combined Science TMs'!$AA$47="disadvantage",INDEX(INDIRECT(InputsCS!$I$1),26,96),IF('KS2-4 Combined Science TMs'!$AA$47="sen",INDEX(INDIRECT(InputsCS!$I$1),26,140),IF('KS2-4 Combined Science TMs'!$AA$47="eal",INDEX(INDIRECT(InputsCS!$I$1),26,184),"")))))))))),"")</f>
        <v/>
      </c>
      <c r="M72" s="61" t="str">
        <f ca="1">IFERROR(IF(InputsCS!$I$1="Please Select","",IF(InputsCS!$I$2="Please Select","",IF(InputsCS!$I$1="","",IF(InputsCS!$I$2="","",IF(InputsCS!$I$2="Pupil Numbers",IF('KS2-4 Combined Science TMs'!$AA$47="Gender",INDEX(INDIRECT(InputsCS!$I$1),10,53),IF('KS2-4 Combined Science TMs'!$AA$47="disadvantage",INDEX(INDIRECT(InputsCS!$I$1),10,97),IF('KS2-4 Combined Science TMs'!$AA$47="sen",INDEX(INDIRECT(InputsCS!$I$1),10,141),IF('KS2-4 Combined Science TMs'!$AA$47="eal",INDEX(INDIRECT(InputsCS!$I$1),10,185),"")))),IF(InputsCS!$I$2="Pupil Percentages",IF('KS2-4 Combined Science TMs'!$AA$47="Gender",INDEX(INDIRECT(InputsCS!$I$1),26,53),IF('KS2-4 Combined Science TMs'!$AA$47="disadvantage",INDEX(INDIRECT(InputsCS!$I$1),26,97),IF('KS2-4 Combined Science TMs'!$AA$47="sen",INDEX(INDIRECT(InputsCS!$I$1),26,141),IF('KS2-4 Combined Science TMs'!$AA$47="eal",INDEX(INDIRECT(InputsCS!$I$1),26,185),"")))))))))),"")</f>
        <v/>
      </c>
      <c r="N72" s="61" t="str">
        <f ca="1">IFERROR(IF(InputsCS!$I$1="Please Select","",IF(InputsCS!$I$2="Please Select","",IF(InputsCS!$I$1="","",IF(InputsCS!$I$2="","",IF(InputsCS!$I$2="Pupil Numbers",IF('KS2-4 Combined Science TMs'!$AA$47="Gender",INDEX(INDIRECT(InputsCS!$I$1),10,54),IF('KS2-4 Combined Science TMs'!$AA$47="disadvantage",INDEX(INDIRECT(InputsCS!$I$1),10,98),IF('KS2-4 Combined Science TMs'!$AA$47="sen",INDEX(INDIRECT(InputsCS!$I$1),10,142),IF('KS2-4 Combined Science TMs'!$AA$47="eal",INDEX(INDIRECT(InputsCS!$I$1),10,186),"")))),IF(InputsCS!$I$2="Pupil Percentages",IF('KS2-4 Combined Science TMs'!$AA$47="Gender",INDEX(INDIRECT(InputsCS!$I$1),26,54),IF('KS2-4 Combined Science TMs'!$AA$47="disadvantage",INDEX(INDIRECT(InputsCS!$I$1),26,98),IF('KS2-4 Combined Science TMs'!$AA$47="sen",INDEX(INDIRECT(InputsCS!$I$1),26,142),IF('KS2-4 Combined Science TMs'!$AA$47="eal",INDEX(INDIRECT(InputsCS!$I$1),26,186),"")))))))))),"")</f>
        <v/>
      </c>
      <c r="O72" s="61" t="str">
        <f ca="1">IFERROR(IF(InputsCS!$I$1="Please Select","",IF(InputsCS!$I$2="Please Select","",IF(InputsCS!$I$1="","",IF(InputsCS!$I$2="","",IF(InputsCS!$I$2="Pupil Numbers",IF('KS2-4 Combined Science TMs'!$AA$47="Gender",INDEX(INDIRECT(InputsCS!$I$1),10,55),IF('KS2-4 Combined Science TMs'!$AA$47="disadvantage",INDEX(INDIRECT(InputsCS!$I$1),10,99),IF('KS2-4 Combined Science TMs'!$AA$47="sen",INDEX(INDIRECT(InputsCS!$I$1),10,143),IF('KS2-4 Combined Science TMs'!$AA$47="eal",INDEX(INDIRECT(InputsCS!$I$1),10,187),"")))),IF(InputsCS!$I$2="Pupil Percentages",IF('KS2-4 Combined Science TMs'!$AA$47="Gender",INDEX(INDIRECT(InputsCS!$I$1),26,55),IF('KS2-4 Combined Science TMs'!$AA$47="disadvantage",INDEX(INDIRECT(InputsCS!$I$1),26,99),IF('KS2-4 Combined Science TMs'!$AA$47="sen",INDEX(INDIRECT(InputsCS!$I$1),26,143),IF('KS2-4 Combined Science TMs'!$AA$47="eal",INDEX(INDIRECT(InputsCS!$I$1),26,187),"")))))))))),"")</f>
        <v/>
      </c>
      <c r="P72" s="61" t="str">
        <f ca="1">IFERROR(IF(InputsCS!$I$1="Please Select","",IF(InputsCS!$I$2="Please Select","",IF(InputsCS!$I$1="","",IF(InputsCS!$I$2="","",IF(InputsCS!$I$2="Pupil Numbers",IF('KS2-4 Combined Science TMs'!$AA$47="Gender",INDEX(INDIRECT(InputsCS!$I$1),10,56),IF('KS2-4 Combined Science TMs'!$AA$47="disadvantage",INDEX(INDIRECT(InputsCS!$I$1),10,100),IF('KS2-4 Combined Science TMs'!$AA$47="sen",INDEX(INDIRECT(InputsCS!$I$1),10,144),IF('KS2-4 Combined Science TMs'!$AA$47="eal",INDEX(INDIRECT(InputsCS!$I$1),10,188),"")))),IF(InputsCS!$I$2="Pupil Percentages",IF('KS2-4 Combined Science TMs'!$AA$47="Gender",INDEX(INDIRECT(InputsCS!$I$1),26,56),IF('KS2-4 Combined Science TMs'!$AA$47="disadvantage",INDEX(INDIRECT(InputsCS!$I$1),26,100),IF('KS2-4 Combined Science TMs'!$AA$47="sen",INDEX(INDIRECT(InputsCS!$I$1),26,144),IF('KS2-4 Combined Science TMs'!$AA$47="eal",INDEX(INDIRECT(InputsCS!$I$1),26,188),"")))))))))),"")</f>
        <v/>
      </c>
      <c r="Q72" s="61" t="str">
        <f ca="1">IFERROR(IF(InputsCS!$I$1="Please Select","",IF(InputsCS!$I$2="Please Select","",IF(InputsCS!$I$1="","",IF(InputsCS!$I$2="","",IF(InputsCS!$I$2="Pupil Numbers",IF('KS2-4 Combined Science TMs'!$AA$47="Gender",INDEX(INDIRECT(InputsCS!$I$1),10,57),IF('KS2-4 Combined Science TMs'!$AA$47="disadvantage",INDEX(INDIRECT(InputsCS!$I$1),10,101),IF('KS2-4 Combined Science TMs'!$AA$47="sen",INDEX(INDIRECT(InputsCS!$I$1),10,145),IF('KS2-4 Combined Science TMs'!$AA$47="eal",INDEX(INDIRECT(InputsCS!$I$1),10,189),"")))),IF(InputsCS!$I$2="Pupil Percentages",IF('KS2-4 Combined Science TMs'!$AA$47="Gender",INDEX(INDIRECT(InputsCS!$I$1),26,57),IF('KS2-4 Combined Science TMs'!$AA$47="disadvantage",INDEX(INDIRECT(InputsCS!$I$1),26,101),IF('KS2-4 Combined Science TMs'!$AA$47="sen",INDEX(INDIRECT(InputsCS!$I$1),26,145),IF('KS2-4 Combined Science TMs'!$AA$47="eal",INDEX(INDIRECT(InputsCS!$I$1),26,189),"")))))))))),"")</f>
        <v/>
      </c>
      <c r="R72" s="61" t="str">
        <f ca="1">IFERROR(IF(InputsCS!$I$1="Please Select","",IF(InputsCS!$I$2="Please Select","",IF(InputsCS!$I$1="","",IF(InputsCS!$I$2="","",IF(InputsCS!$I$2="Pupil Numbers",IF('KS2-4 Combined Science TMs'!$AA$47="Gender",INDEX(INDIRECT(InputsCS!$I$1),10,58),IF('KS2-4 Combined Science TMs'!$AA$47="disadvantage",INDEX(INDIRECT(InputsCS!$I$1),10,102),IF('KS2-4 Combined Science TMs'!$AA$47="sen",INDEX(INDIRECT(InputsCS!$I$1),10,146),IF('KS2-4 Combined Science TMs'!$AA$47="eal",INDEX(INDIRECT(InputsCS!$I$1),10,190),"")))),IF(InputsCS!$I$2="Pupil Percentages",IF('KS2-4 Combined Science TMs'!$AA$47="Gender",INDEX(INDIRECT(InputsCS!$I$1),26,58),IF('KS2-4 Combined Science TMs'!$AA$47="disadvantage",INDEX(INDIRECT(InputsCS!$I$1),26,102),IF('KS2-4 Combined Science TMs'!$AA$47="sen",INDEX(INDIRECT(InputsCS!$I$1),26,146),IF('KS2-4 Combined Science TMs'!$AA$47="eal",INDEX(INDIRECT(InputsCS!$I$1),26,190),"")))))))))),"")</f>
        <v/>
      </c>
      <c r="S72" s="61" t="str">
        <f ca="1">IFERROR(IF(InputsCS!$I$1="Please Select","",IF(InputsCS!$I$2="Please Select","",IF(InputsCS!$I$1="","",IF(InputsCS!$I$2="","",IF(InputsCS!$I$2="Pupil Numbers",IF('KS2-4 Combined Science TMs'!$AA$47="Gender",INDEX(INDIRECT(InputsCS!$I$1),10,59),IF('KS2-4 Combined Science TMs'!$AA$47="disadvantage",INDEX(INDIRECT(InputsCS!$I$1),10,103),IF('KS2-4 Combined Science TMs'!$AA$47="sen",INDEX(INDIRECT(InputsCS!$I$1),10,147),IF('KS2-4 Combined Science TMs'!$AA$47="eal",INDEX(INDIRECT(InputsCS!$I$1),10,191),"")))),IF(InputsCS!$I$2="Pupil Percentages",IF('KS2-4 Combined Science TMs'!$AA$47="Gender",INDEX(INDIRECT(InputsCS!$I$1),26,59),IF('KS2-4 Combined Science TMs'!$AA$47="disadvantage",INDEX(INDIRECT(InputsCS!$I$1),26,103),IF('KS2-4 Combined Science TMs'!$AA$47="sen",INDEX(INDIRECT(InputsCS!$I$1),26,147),IF('KS2-4 Combined Science TMs'!$AA$47="eal",INDEX(INDIRECT(InputsCS!$I$1),26,191),"")))))))))),"")</f>
        <v/>
      </c>
      <c r="T72" s="61" t="str">
        <f ca="1">IFERROR(IF(InputsCS!$I$1="Please Select","",IF(InputsCS!$I$2="Please Select","",IF(InputsCS!$I$1="","",IF(InputsCS!$I$2="","",IF(InputsCS!$I$2="Pupil Numbers",IF('KS2-4 Combined Science TMs'!$AA$47="Gender",INDEX(INDIRECT(InputsCS!$I$1),10,60),IF('KS2-4 Combined Science TMs'!$AA$47="disadvantage",INDEX(INDIRECT(InputsCS!$I$1),10,104),IF('KS2-4 Combined Science TMs'!$AA$47="sen",INDEX(INDIRECT(InputsCS!$I$1),10,148),IF('KS2-4 Combined Science TMs'!$AA$47="eal",INDEX(INDIRECT(InputsCS!$I$1),10,192),"")))),IF(InputsCS!$I$2="Pupil Percentages",IF('KS2-4 Combined Science TMs'!$AA$47="Gender",INDEX(INDIRECT(InputsCS!$I$1),26,60),IF('KS2-4 Combined Science TMs'!$AA$47="disadvantage",INDEX(INDIRECT(InputsCS!$I$1),26,104),IF('KS2-4 Combined Science TMs'!$AA$47="sen",INDEX(INDIRECT(InputsCS!$I$1),26,148),IF('KS2-4 Combined Science TMs'!$AA$47="eal",INDEX(INDIRECT(InputsCS!$I$1),26,192),"")))))))))),"")</f>
        <v/>
      </c>
      <c r="U72" s="61" t="str">
        <f ca="1">IFERROR(IF(InputsCS!$I$1="Please Select","",IF(InputsCS!$I$2="Please Select","",IF(InputsCS!$I$1="","",IF(InputsCS!$I$2="","",IF(InputsCS!$I$2="Pupil Numbers",IF('KS2-4 Combined Science TMs'!$AA$47="Gender",INDEX(INDIRECT(InputsCS!$I$1),10,61),IF('KS2-4 Combined Science TMs'!$AA$47="disadvantage",INDEX(INDIRECT(InputsCS!$I$1),10,105),IF('KS2-4 Combined Science TMs'!$AA$47="sen",INDEX(INDIRECT(InputsCS!$I$1),10,149),IF('KS2-4 Combined Science TMs'!$AA$47="eal",INDEX(INDIRECT(InputsCS!$I$1),10,193),"")))),IF(InputsCS!$I$2="Pupil Percentages",IF('KS2-4 Combined Science TMs'!$AA$47="Gender",INDEX(INDIRECT(InputsCS!$I$1),26,61),IF('KS2-4 Combined Science TMs'!$AA$47="disadvantage",INDEX(INDIRECT(InputsCS!$I$1),26,105),IF('KS2-4 Combined Science TMs'!$AA$47="sen",INDEX(INDIRECT(InputsCS!$I$1),26,149),IF('KS2-4 Combined Science TMs'!$AA$47="eal",INDEX(INDIRECT(InputsCS!$I$1),26,193),"")))))))))),"")</f>
        <v/>
      </c>
      <c r="V72" s="61" t="str">
        <f ca="1">IFERROR(IF(InputsCS!$I$1="Please Select","",IF(InputsCS!$I$2="Please Select","",IF(InputsCS!$I$1="","",IF(InputsCS!$I$2="","",IF(InputsCS!$I$2="Pupil Numbers",IF('KS2-4 Combined Science TMs'!$AA$47="Gender",INDEX(INDIRECT(InputsCS!$I$1),10,62),IF('KS2-4 Combined Science TMs'!$AA$47="disadvantage",INDEX(INDIRECT(InputsCS!$I$1),10,106),IF('KS2-4 Combined Science TMs'!$AA$47="sen",INDEX(INDIRECT(InputsCS!$I$1),10,150),IF('KS2-4 Combined Science TMs'!$AA$47="eal",INDEX(INDIRECT(InputsCS!$I$1),10,194),"")))),IF(InputsCS!$I$2="Pupil Percentages",IF('KS2-4 Combined Science TMs'!$AA$47="Gender",INDEX(INDIRECT(InputsCS!$I$1),26,62),IF('KS2-4 Combined Science TMs'!$AA$47="disadvantage",INDEX(INDIRECT(InputsCS!$I$1),26,106),IF('KS2-4 Combined Science TMs'!$AA$47="sen",INDEX(INDIRECT(InputsCS!$I$1),26,150),IF('KS2-4 Combined Science TMs'!$AA$47="eal",INDEX(INDIRECT(InputsCS!$I$1),26,194),"")))))))))),"")</f>
        <v/>
      </c>
      <c r="X72" s="7"/>
      <c r="Y72" s="7"/>
      <c r="Z72" s="7"/>
      <c r="AA72" s="7"/>
      <c r="AD72" s="12"/>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row>
    <row r="73" spans="3:56" ht="23.1" customHeight="1" x14ac:dyDescent="0.5">
      <c r="C73" s="120"/>
      <c r="D73" s="60" t="s">
        <v>10</v>
      </c>
      <c r="E73" s="61" t="str">
        <f ca="1">IFERROR(IF(InputsCS!$I$1="Please Select","",IF(InputsCS!$I$2="Please Select","",IF(InputsCS!$I$1="","",IF(InputsCS!$I$2="","",IF(InputsCS!$I$2="Pupil Numbers",IF('KS2-4 Combined Science TMs'!$AA$47="Gender",INDEX(INDIRECT(InputsCS!$I$1),11,45),IF('KS2-4 Combined Science TMs'!$AA$47="disadvantage",INDEX(INDIRECT(InputsCS!$I$1),11,89),IF('KS2-4 Combined Science TMs'!$AA$47="sen",INDEX(INDIRECT(InputsCS!$I$1),11,133),IF('KS2-4 Combined Science TMs'!$AA$47="eal",INDEX(INDIRECT(InputsCS!$I$1),11,177),"")))),IF(InputsCS!$I$2="Pupil Percentages",IF('KS2-4 Combined Science TMs'!$AA$47="Gender",INDEX(INDIRECT(InputsCS!$I$1),27,45),IF('KS2-4 Combined Science TMs'!$AA$47="disadvantage",INDEX(INDIRECT(InputsCS!$I$1),27,89),IF('KS2-4 Combined Science TMs'!$AA$47="sen",INDEX(INDIRECT(InputsCS!$I$1),27,133),IF('KS2-4 Combined Science TMs'!$AA$47="eal",INDEX(INDIRECT(InputsCS!$I$1),27,177),"")))))))))),"")</f>
        <v/>
      </c>
      <c r="F73" s="61" t="str">
        <f ca="1">IFERROR(IF(InputsCS!$I$1="Please Select","",IF(InputsCS!$I$2="Please Select","",IF(InputsCS!$I$1="","",IF(InputsCS!$I$2="","",IF(InputsCS!$I$2="Pupil Numbers",IF('KS2-4 Combined Science TMs'!$AA$47="Gender",INDEX(INDIRECT(InputsCS!$I$1),11,46),IF('KS2-4 Combined Science TMs'!$AA$47="disadvantage",INDEX(INDIRECT(InputsCS!$I$1),11,90),IF('KS2-4 Combined Science TMs'!$AA$47="sen",INDEX(INDIRECT(InputsCS!$I$1),11,134),IF('KS2-4 Combined Science TMs'!$AA$47="eal",INDEX(INDIRECT(InputsCS!$I$1),11,178),"")))),IF(InputsCS!$I$2="Pupil Percentages",IF('KS2-4 Combined Science TMs'!$AA$47="Gender",INDEX(INDIRECT(InputsCS!$I$1),27,46),IF('KS2-4 Combined Science TMs'!$AA$47="disadvantage",INDEX(INDIRECT(InputsCS!$I$1),27,90),IF('KS2-4 Combined Science TMs'!$AA$47="sen",INDEX(INDIRECT(InputsCS!$I$1),27,134),IF('KS2-4 Combined Science TMs'!$AA$47="eal",INDEX(INDIRECT(InputsCS!$I$1),27,178),"")))))))))),"")</f>
        <v/>
      </c>
      <c r="G73" s="61" t="str">
        <f ca="1">IFERROR(IF(InputsCS!$I$1="Please Select","",IF(InputsCS!$I$2="Please Select","",IF(InputsCS!$I$1="","",IF(InputsCS!$I$2="","",IF(InputsCS!$I$2="Pupil Numbers",IF('KS2-4 Combined Science TMs'!$AA$47="Gender",INDEX(INDIRECT(InputsCS!$I$1),11,47),IF('KS2-4 Combined Science TMs'!$AA$47="disadvantage",INDEX(INDIRECT(InputsCS!$I$1),11,91),IF('KS2-4 Combined Science TMs'!$AA$47="sen",INDEX(INDIRECT(InputsCS!$I$1),11,135),IF('KS2-4 Combined Science TMs'!$AA$47="eal",INDEX(INDIRECT(InputsCS!$I$1),11,179),"")))),IF(InputsCS!$I$2="Pupil Percentages",IF('KS2-4 Combined Science TMs'!$AA$47="Gender",INDEX(INDIRECT(InputsCS!$I$1),27,47),IF('KS2-4 Combined Science TMs'!$AA$47="disadvantage",INDEX(INDIRECT(InputsCS!$I$1),27,91),IF('KS2-4 Combined Science TMs'!$AA$47="sen",INDEX(INDIRECT(InputsCS!$I$1),27,135),IF('KS2-4 Combined Science TMs'!$AA$47="eal",INDEX(INDIRECT(InputsCS!$I$1),27,179),"")))))))))),"")</f>
        <v/>
      </c>
      <c r="H73" s="61" t="str">
        <f ca="1">IFERROR(IF(InputsCS!$I$1="Please Select","",IF(InputsCS!$I$2="Please Select","",IF(InputsCS!$I$1="","",IF(InputsCS!$I$2="","",IF(InputsCS!$I$2="Pupil Numbers",IF('KS2-4 Combined Science TMs'!$AA$47="Gender",INDEX(INDIRECT(InputsCS!$I$1),11,48),IF('KS2-4 Combined Science TMs'!$AA$47="disadvantage",INDEX(INDIRECT(InputsCS!$I$1),11,92),IF('KS2-4 Combined Science TMs'!$AA$47="sen",INDEX(INDIRECT(InputsCS!$I$1),11,136),IF('KS2-4 Combined Science TMs'!$AA$47="eal",INDEX(INDIRECT(InputsCS!$I$1),11,180),"")))),IF(InputsCS!$I$2="Pupil Percentages",IF('KS2-4 Combined Science TMs'!$AA$47="Gender",INDEX(INDIRECT(InputsCS!$I$1),27,48),IF('KS2-4 Combined Science TMs'!$AA$47="disadvantage",INDEX(INDIRECT(InputsCS!$I$1),27,92),IF('KS2-4 Combined Science TMs'!$AA$47="sen",INDEX(INDIRECT(InputsCS!$I$1),27,136),IF('KS2-4 Combined Science TMs'!$AA$47="eal",INDEX(INDIRECT(InputsCS!$I$1),27,180),"")))))))))),"")</f>
        <v/>
      </c>
      <c r="I73" s="61" t="str">
        <f ca="1">IFERROR(IF(InputsCS!$I$1="Please Select","",IF(InputsCS!$I$2="Please Select","",IF(InputsCS!$I$1="","",IF(InputsCS!$I$2="","",IF(InputsCS!$I$2="Pupil Numbers",IF('KS2-4 Combined Science TMs'!$AA$47="Gender",INDEX(INDIRECT(InputsCS!$I$1),11,49),IF('KS2-4 Combined Science TMs'!$AA$47="disadvantage",INDEX(INDIRECT(InputsCS!$I$1),11,93),IF('KS2-4 Combined Science TMs'!$AA$47="sen",INDEX(INDIRECT(InputsCS!$I$1),11,137),IF('KS2-4 Combined Science TMs'!$AA$47="eal",INDEX(INDIRECT(InputsCS!$I$1),11,181),"")))),IF(InputsCS!$I$2="Pupil Percentages",IF('KS2-4 Combined Science TMs'!$AA$47="Gender",INDEX(INDIRECT(InputsCS!$I$1),27,49),IF('KS2-4 Combined Science TMs'!$AA$47="disadvantage",INDEX(INDIRECT(InputsCS!$I$1),27,93),IF('KS2-4 Combined Science TMs'!$AA$47="sen",INDEX(INDIRECT(InputsCS!$I$1),27,137),IF('KS2-4 Combined Science TMs'!$AA$47="eal",INDEX(INDIRECT(InputsCS!$I$1),27,181),"")))))))))),"")</f>
        <v/>
      </c>
      <c r="J73" s="61" t="str">
        <f ca="1">IFERROR(IF(InputsCS!$I$1="Please Select","",IF(InputsCS!$I$2="Please Select","",IF(InputsCS!$I$1="","",IF(InputsCS!$I$2="","",IF(InputsCS!$I$2="Pupil Numbers",IF('KS2-4 Combined Science TMs'!$AA$47="Gender",INDEX(INDIRECT(InputsCS!$I$1),11,50),IF('KS2-4 Combined Science TMs'!$AA$47="disadvantage",INDEX(INDIRECT(InputsCS!$I$1),11,94),IF('KS2-4 Combined Science TMs'!$AA$47="sen",INDEX(INDIRECT(InputsCS!$I$1),11,138),IF('KS2-4 Combined Science TMs'!$AA$47="eal",INDEX(INDIRECT(InputsCS!$I$1),11,182),"")))),IF(InputsCS!$I$2="Pupil Percentages",IF('KS2-4 Combined Science TMs'!$AA$47="Gender",INDEX(INDIRECT(InputsCS!$I$1),27,50),IF('KS2-4 Combined Science TMs'!$AA$47="disadvantage",INDEX(INDIRECT(InputsCS!$I$1),27,94),IF('KS2-4 Combined Science TMs'!$AA$47="sen",INDEX(INDIRECT(InputsCS!$I$1),27,138),IF('KS2-4 Combined Science TMs'!$AA$47="eal",INDEX(INDIRECT(InputsCS!$I$1),27,182),"")))))))))),"")</f>
        <v/>
      </c>
      <c r="K73" s="61" t="str">
        <f ca="1">IFERROR(IF(InputsCS!$I$1="Please Select","",IF(InputsCS!$I$2="Please Select","",IF(InputsCS!$I$1="","",IF(InputsCS!$I$2="","",IF(InputsCS!$I$2="Pupil Numbers",IF('KS2-4 Combined Science TMs'!$AA$47="Gender",INDEX(INDIRECT(InputsCS!$I$1),11,51),IF('KS2-4 Combined Science TMs'!$AA$47="disadvantage",INDEX(INDIRECT(InputsCS!$I$1),11,95),IF('KS2-4 Combined Science TMs'!$AA$47="sen",INDEX(INDIRECT(InputsCS!$I$1),11,139),IF('KS2-4 Combined Science TMs'!$AA$47="eal",INDEX(INDIRECT(InputsCS!$I$1),11,183),"")))),IF(InputsCS!$I$2="Pupil Percentages",IF('KS2-4 Combined Science TMs'!$AA$47="Gender",INDEX(INDIRECT(InputsCS!$I$1),27,51),IF('KS2-4 Combined Science TMs'!$AA$47="disadvantage",INDEX(INDIRECT(InputsCS!$I$1),27,95),IF('KS2-4 Combined Science TMs'!$AA$47="sen",INDEX(INDIRECT(InputsCS!$I$1),27,139),IF('KS2-4 Combined Science TMs'!$AA$47="eal",INDEX(INDIRECT(InputsCS!$I$1),27,183),"")))))))))),"")</f>
        <v/>
      </c>
      <c r="L73" s="61" t="str">
        <f ca="1">IFERROR(IF(InputsCS!$I$1="Please Select","",IF(InputsCS!$I$2="Please Select","",IF(InputsCS!$I$1="","",IF(InputsCS!$I$2="","",IF(InputsCS!$I$2="Pupil Numbers",IF('KS2-4 Combined Science TMs'!$AA$47="Gender",INDEX(INDIRECT(InputsCS!$I$1),11,52),IF('KS2-4 Combined Science TMs'!$AA$47="disadvantage",INDEX(INDIRECT(InputsCS!$I$1),11,96),IF('KS2-4 Combined Science TMs'!$AA$47="sen",INDEX(INDIRECT(InputsCS!$I$1),11,140),IF('KS2-4 Combined Science TMs'!$AA$47="eal",INDEX(INDIRECT(InputsCS!$I$1),11,184),"")))),IF(InputsCS!$I$2="Pupil Percentages",IF('KS2-4 Combined Science TMs'!$AA$47="Gender",INDEX(INDIRECT(InputsCS!$I$1),27,52),IF('KS2-4 Combined Science TMs'!$AA$47="disadvantage",INDEX(INDIRECT(InputsCS!$I$1),27,96),IF('KS2-4 Combined Science TMs'!$AA$47="sen",INDEX(INDIRECT(InputsCS!$I$1),27,140),IF('KS2-4 Combined Science TMs'!$AA$47="eal",INDEX(INDIRECT(InputsCS!$I$1),27,184),"")))))))))),"")</f>
        <v/>
      </c>
      <c r="M73" s="61" t="str">
        <f ca="1">IFERROR(IF(InputsCS!$I$1="Please Select","",IF(InputsCS!$I$2="Please Select","",IF(InputsCS!$I$1="","",IF(InputsCS!$I$2="","",IF(InputsCS!$I$2="Pupil Numbers",IF('KS2-4 Combined Science TMs'!$AA$47="Gender",INDEX(INDIRECT(InputsCS!$I$1),11,53),IF('KS2-4 Combined Science TMs'!$AA$47="disadvantage",INDEX(INDIRECT(InputsCS!$I$1),11,97),IF('KS2-4 Combined Science TMs'!$AA$47="sen",INDEX(INDIRECT(InputsCS!$I$1),11,141),IF('KS2-4 Combined Science TMs'!$AA$47="eal",INDEX(INDIRECT(InputsCS!$I$1),11,185),"")))),IF(InputsCS!$I$2="Pupil Percentages",IF('KS2-4 Combined Science TMs'!$AA$47="Gender",INDEX(INDIRECT(InputsCS!$I$1),27,53),IF('KS2-4 Combined Science TMs'!$AA$47="disadvantage",INDEX(INDIRECT(InputsCS!$I$1),27,97),IF('KS2-4 Combined Science TMs'!$AA$47="sen",INDEX(INDIRECT(InputsCS!$I$1),27,141),IF('KS2-4 Combined Science TMs'!$AA$47="eal",INDEX(INDIRECT(InputsCS!$I$1),27,185),"")))))))))),"")</f>
        <v/>
      </c>
      <c r="N73" s="61" t="str">
        <f ca="1">IFERROR(IF(InputsCS!$I$1="Please Select","",IF(InputsCS!$I$2="Please Select","",IF(InputsCS!$I$1="","",IF(InputsCS!$I$2="","",IF(InputsCS!$I$2="Pupil Numbers",IF('KS2-4 Combined Science TMs'!$AA$47="Gender",INDEX(INDIRECT(InputsCS!$I$1),11,54),IF('KS2-4 Combined Science TMs'!$AA$47="disadvantage",INDEX(INDIRECT(InputsCS!$I$1),11,98),IF('KS2-4 Combined Science TMs'!$AA$47="sen",INDEX(INDIRECT(InputsCS!$I$1),11,142),IF('KS2-4 Combined Science TMs'!$AA$47="eal",INDEX(INDIRECT(InputsCS!$I$1),11,186),"")))),IF(InputsCS!$I$2="Pupil Percentages",IF('KS2-4 Combined Science TMs'!$AA$47="Gender",INDEX(INDIRECT(InputsCS!$I$1),27,54),IF('KS2-4 Combined Science TMs'!$AA$47="disadvantage",INDEX(INDIRECT(InputsCS!$I$1),27,98),IF('KS2-4 Combined Science TMs'!$AA$47="sen",INDEX(INDIRECT(InputsCS!$I$1),27,142),IF('KS2-4 Combined Science TMs'!$AA$47="eal",INDEX(INDIRECT(InputsCS!$I$1),27,186),"")))))))))),"")</f>
        <v/>
      </c>
      <c r="O73" s="61" t="str">
        <f ca="1">IFERROR(IF(InputsCS!$I$1="Please Select","",IF(InputsCS!$I$2="Please Select","",IF(InputsCS!$I$1="","",IF(InputsCS!$I$2="","",IF(InputsCS!$I$2="Pupil Numbers",IF('KS2-4 Combined Science TMs'!$AA$47="Gender",INDEX(INDIRECT(InputsCS!$I$1),11,55),IF('KS2-4 Combined Science TMs'!$AA$47="disadvantage",INDEX(INDIRECT(InputsCS!$I$1),11,99),IF('KS2-4 Combined Science TMs'!$AA$47="sen",INDEX(INDIRECT(InputsCS!$I$1),11,143),IF('KS2-4 Combined Science TMs'!$AA$47="eal",INDEX(INDIRECT(InputsCS!$I$1),11,187),"")))),IF(InputsCS!$I$2="Pupil Percentages",IF('KS2-4 Combined Science TMs'!$AA$47="Gender",INDEX(INDIRECT(InputsCS!$I$1),27,55),IF('KS2-4 Combined Science TMs'!$AA$47="disadvantage",INDEX(INDIRECT(InputsCS!$I$1),27,99),IF('KS2-4 Combined Science TMs'!$AA$47="sen",INDEX(INDIRECT(InputsCS!$I$1),27,143),IF('KS2-4 Combined Science TMs'!$AA$47="eal",INDEX(INDIRECT(InputsCS!$I$1),27,187),"")))))))))),"")</f>
        <v/>
      </c>
      <c r="P73" s="61" t="str">
        <f ca="1">IFERROR(IF(InputsCS!$I$1="Please Select","",IF(InputsCS!$I$2="Please Select","",IF(InputsCS!$I$1="","",IF(InputsCS!$I$2="","",IF(InputsCS!$I$2="Pupil Numbers",IF('KS2-4 Combined Science TMs'!$AA$47="Gender",INDEX(INDIRECT(InputsCS!$I$1),11,56),IF('KS2-4 Combined Science TMs'!$AA$47="disadvantage",INDEX(INDIRECT(InputsCS!$I$1),11,100),IF('KS2-4 Combined Science TMs'!$AA$47="sen",INDEX(INDIRECT(InputsCS!$I$1),11,144),IF('KS2-4 Combined Science TMs'!$AA$47="eal",INDEX(INDIRECT(InputsCS!$I$1),11,188),"")))),IF(InputsCS!$I$2="Pupil Percentages",IF('KS2-4 Combined Science TMs'!$AA$47="Gender",INDEX(INDIRECT(InputsCS!$I$1),27,56),IF('KS2-4 Combined Science TMs'!$AA$47="disadvantage",INDEX(INDIRECT(InputsCS!$I$1),27,100),IF('KS2-4 Combined Science TMs'!$AA$47="sen",INDEX(INDIRECT(InputsCS!$I$1),27,144),IF('KS2-4 Combined Science TMs'!$AA$47="eal",INDEX(INDIRECT(InputsCS!$I$1),27,188),"")))))))))),"")</f>
        <v/>
      </c>
      <c r="Q73" s="61" t="str">
        <f ca="1">IFERROR(IF(InputsCS!$I$1="Please Select","",IF(InputsCS!$I$2="Please Select","",IF(InputsCS!$I$1="","",IF(InputsCS!$I$2="","",IF(InputsCS!$I$2="Pupil Numbers",IF('KS2-4 Combined Science TMs'!$AA$47="Gender",INDEX(INDIRECT(InputsCS!$I$1),11,57),IF('KS2-4 Combined Science TMs'!$AA$47="disadvantage",INDEX(INDIRECT(InputsCS!$I$1),11,101),IF('KS2-4 Combined Science TMs'!$AA$47="sen",INDEX(INDIRECT(InputsCS!$I$1),11,145),IF('KS2-4 Combined Science TMs'!$AA$47="eal",INDEX(INDIRECT(InputsCS!$I$1),11,189),"")))),IF(InputsCS!$I$2="Pupil Percentages",IF('KS2-4 Combined Science TMs'!$AA$47="Gender",INDEX(INDIRECT(InputsCS!$I$1),27,57),IF('KS2-4 Combined Science TMs'!$AA$47="disadvantage",INDEX(INDIRECT(InputsCS!$I$1),27,101),IF('KS2-4 Combined Science TMs'!$AA$47="sen",INDEX(INDIRECT(InputsCS!$I$1),27,145),IF('KS2-4 Combined Science TMs'!$AA$47="eal",INDEX(INDIRECT(InputsCS!$I$1),27,189),"")))))))))),"")</f>
        <v/>
      </c>
      <c r="R73" s="61" t="str">
        <f ca="1">IFERROR(IF(InputsCS!$I$1="Please Select","",IF(InputsCS!$I$2="Please Select","",IF(InputsCS!$I$1="","",IF(InputsCS!$I$2="","",IF(InputsCS!$I$2="Pupil Numbers",IF('KS2-4 Combined Science TMs'!$AA$47="Gender",INDEX(INDIRECT(InputsCS!$I$1),11,58),IF('KS2-4 Combined Science TMs'!$AA$47="disadvantage",INDEX(INDIRECT(InputsCS!$I$1),11,102),IF('KS2-4 Combined Science TMs'!$AA$47="sen",INDEX(INDIRECT(InputsCS!$I$1),11,146),IF('KS2-4 Combined Science TMs'!$AA$47="eal",INDEX(INDIRECT(InputsCS!$I$1),11,190),"")))),IF(InputsCS!$I$2="Pupil Percentages",IF('KS2-4 Combined Science TMs'!$AA$47="Gender",INDEX(INDIRECT(InputsCS!$I$1),27,58),IF('KS2-4 Combined Science TMs'!$AA$47="disadvantage",INDEX(INDIRECT(InputsCS!$I$1),27,102),IF('KS2-4 Combined Science TMs'!$AA$47="sen",INDEX(INDIRECT(InputsCS!$I$1),27,146),IF('KS2-4 Combined Science TMs'!$AA$47="eal",INDEX(INDIRECT(InputsCS!$I$1),27,190),"")))))))))),"")</f>
        <v/>
      </c>
      <c r="S73" s="61" t="str">
        <f ca="1">IFERROR(IF(InputsCS!$I$1="Please Select","",IF(InputsCS!$I$2="Please Select","",IF(InputsCS!$I$1="","",IF(InputsCS!$I$2="","",IF(InputsCS!$I$2="Pupil Numbers",IF('KS2-4 Combined Science TMs'!$AA$47="Gender",INDEX(INDIRECT(InputsCS!$I$1),11,59),IF('KS2-4 Combined Science TMs'!$AA$47="disadvantage",INDEX(INDIRECT(InputsCS!$I$1),11,103),IF('KS2-4 Combined Science TMs'!$AA$47="sen",INDEX(INDIRECT(InputsCS!$I$1),11,147),IF('KS2-4 Combined Science TMs'!$AA$47="eal",INDEX(INDIRECT(InputsCS!$I$1),11,191),"")))),IF(InputsCS!$I$2="Pupil Percentages",IF('KS2-4 Combined Science TMs'!$AA$47="Gender",INDEX(INDIRECT(InputsCS!$I$1),27,59),IF('KS2-4 Combined Science TMs'!$AA$47="disadvantage",INDEX(INDIRECT(InputsCS!$I$1),27,103),IF('KS2-4 Combined Science TMs'!$AA$47="sen",INDEX(INDIRECT(InputsCS!$I$1),27,147),IF('KS2-4 Combined Science TMs'!$AA$47="eal",INDEX(INDIRECT(InputsCS!$I$1),27,191),"")))))))))),"")</f>
        <v/>
      </c>
      <c r="T73" s="61" t="str">
        <f ca="1">IFERROR(IF(InputsCS!$I$1="Please Select","",IF(InputsCS!$I$2="Please Select","",IF(InputsCS!$I$1="","",IF(InputsCS!$I$2="","",IF(InputsCS!$I$2="Pupil Numbers",IF('KS2-4 Combined Science TMs'!$AA$47="Gender",INDEX(INDIRECT(InputsCS!$I$1),11,60),IF('KS2-4 Combined Science TMs'!$AA$47="disadvantage",INDEX(INDIRECT(InputsCS!$I$1),11,104),IF('KS2-4 Combined Science TMs'!$AA$47="sen",INDEX(INDIRECT(InputsCS!$I$1),11,148),IF('KS2-4 Combined Science TMs'!$AA$47="eal",INDEX(INDIRECT(InputsCS!$I$1),11,192),"")))),IF(InputsCS!$I$2="Pupil Percentages",IF('KS2-4 Combined Science TMs'!$AA$47="Gender",INDEX(INDIRECT(InputsCS!$I$1),27,60),IF('KS2-4 Combined Science TMs'!$AA$47="disadvantage",INDEX(INDIRECT(InputsCS!$I$1),27,104),IF('KS2-4 Combined Science TMs'!$AA$47="sen",INDEX(INDIRECT(InputsCS!$I$1),27,148),IF('KS2-4 Combined Science TMs'!$AA$47="eal",INDEX(INDIRECT(InputsCS!$I$1),27,192),"")))))))))),"")</f>
        <v/>
      </c>
      <c r="U73" s="61" t="str">
        <f ca="1">IFERROR(IF(InputsCS!$I$1="Please Select","",IF(InputsCS!$I$2="Please Select","",IF(InputsCS!$I$1="","",IF(InputsCS!$I$2="","",IF(InputsCS!$I$2="Pupil Numbers",IF('KS2-4 Combined Science TMs'!$AA$47="Gender",INDEX(INDIRECT(InputsCS!$I$1),11,61),IF('KS2-4 Combined Science TMs'!$AA$47="disadvantage",INDEX(INDIRECT(InputsCS!$I$1),11,105),IF('KS2-4 Combined Science TMs'!$AA$47="sen",INDEX(INDIRECT(InputsCS!$I$1),11,149),IF('KS2-4 Combined Science TMs'!$AA$47="eal",INDEX(INDIRECT(InputsCS!$I$1),11,193),"")))),IF(InputsCS!$I$2="Pupil Percentages",IF('KS2-4 Combined Science TMs'!$AA$47="Gender",INDEX(INDIRECT(InputsCS!$I$1),27,61),IF('KS2-4 Combined Science TMs'!$AA$47="disadvantage",INDEX(INDIRECT(InputsCS!$I$1),27,105),IF('KS2-4 Combined Science TMs'!$AA$47="sen",INDEX(INDIRECT(InputsCS!$I$1),27,149),IF('KS2-4 Combined Science TMs'!$AA$47="eal",INDEX(INDIRECT(InputsCS!$I$1),27,193),"")))))))))),"")</f>
        <v/>
      </c>
      <c r="V73" s="61" t="str">
        <f ca="1">IFERROR(IF(InputsCS!$I$1="Please Select","",IF(InputsCS!$I$2="Please Select","",IF(InputsCS!$I$1="","",IF(InputsCS!$I$2="","",IF(InputsCS!$I$2="Pupil Numbers",IF('KS2-4 Combined Science TMs'!$AA$47="Gender",INDEX(INDIRECT(InputsCS!$I$1),11,62),IF('KS2-4 Combined Science TMs'!$AA$47="disadvantage",INDEX(INDIRECT(InputsCS!$I$1),11,106),IF('KS2-4 Combined Science TMs'!$AA$47="sen",INDEX(INDIRECT(InputsCS!$I$1),11,150),IF('KS2-4 Combined Science TMs'!$AA$47="eal",INDEX(INDIRECT(InputsCS!$I$1),11,194),"")))),IF(InputsCS!$I$2="Pupil Percentages",IF('KS2-4 Combined Science TMs'!$AA$47="Gender",INDEX(INDIRECT(InputsCS!$I$1),27,62),IF('KS2-4 Combined Science TMs'!$AA$47="disadvantage",INDEX(INDIRECT(InputsCS!$I$1),27,106),IF('KS2-4 Combined Science TMs'!$AA$47="sen",INDEX(INDIRECT(InputsCS!$I$1),27,150),IF('KS2-4 Combined Science TMs'!$AA$47="eal",INDEX(INDIRECT(InputsCS!$I$1),27,194),"")))))))))),"")</f>
        <v/>
      </c>
      <c r="AD73" s="12"/>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row>
    <row r="74" spans="3:56" ht="23.1" customHeight="1" x14ac:dyDescent="0.5">
      <c r="C74" s="121"/>
      <c r="D74" s="60" t="s">
        <v>11</v>
      </c>
      <c r="E74" s="61" t="str">
        <f ca="1">IFERROR(IF(InputsCS!$I$1="Please Select","",IF(InputsCS!$I$2="Please Select","",IF(InputsCS!$I$1="","",IF(InputsCS!$I$2="","",IF(InputsCS!$I$2="Pupil Numbers",IF('KS2-4 Combined Science TMs'!$AA$47="Gender",INDEX(INDIRECT(InputsCS!$I$1),12,45),IF('KS2-4 Combined Science TMs'!$AA$47="disadvantage",INDEX(INDIRECT(InputsCS!$I$1),12,89),IF('KS2-4 Combined Science TMs'!$AA$47="sen",INDEX(INDIRECT(InputsCS!$I$1),12,133),IF('KS2-4 Combined Science TMs'!$AA$47="eal",INDEX(INDIRECT(InputsCS!$I$1),12,177),"")))),IF(InputsCS!$I$2="Pupil Percentages",IF('KS2-4 Combined Science TMs'!$AA$47="Gender",INDEX(INDIRECT(InputsCS!$I$1),28,45),IF('KS2-4 Combined Science TMs'!$AA$47="disadvantage",INDEX(INDIRECT(InputsCS!$I$1),28,89),IF('KS2-4 Combined Science TMs'!$AA$47="sen",INDEX(INDIRECT(InputsCS!$I$1),28,133),IF('KS2-4 Combined Science TMs'!$AA$47="eal",INDEX(INDIRECT(InputsCS!$I$1),28,177),"")))))))))),"")</f>
        <v/>
      </c>
      <c r="F74" s="61" t="str">
        <f ca="1">IFERROR(IF(InputsCS!$I$1="Please Select","",IF(InputsCS!$I$2="Please Select","",IF(InputsCS!$I$1="","",IF(InputsCS!$I$2="","",IF(InputsCS!$I$2="Pupil Numbers",IF('KS2-4 Combined Science TMs'!$AA$47="Gender",INDEX(INDIRECT(InputsCS!$I$1),12,46),IF('KS2-4 Combined Science TMs'!$AA$47="disadvantage",INDEX(INDIRECT(InputsCS!$I$1),12,90),IF('KS2-4 Combined Science TMs'!$AA$47="sen",INDEX(INDIRECT(InputsCS!$I$1),12,134),IF('KS2-4 Combined Science TMs'!$AA$47="eal",INDEX(INDIRECT(InputsCS!$I$1),12,178),"")))),IF(InputsCS!$I$2="Pupil Percentages",IF('KS2-4 Combined Science TMs'!$AA$47="Gender",INDEX(INDIRECT(InputsCS!$I$1),28,46),IF('KS2-4 Combined Science TMs'!$AA$47="disadvantage",INDEX(INDIRECT(InputsCS!$I$1),28,90),IF('KS2-4 Combined Science TMs'!$AA$47="sen",INDEX(INDIRECT(InputsCS!$I$1),28,134),IF('KS2-4 Combined Science TMs'!$AA$47="eal",INDEX(INDIRECT(InputsCS!$I$1),28,178),"")))))))))),"")</f>
        <v/>
      </c>
      <c r="G74" s="61" t="str">
        <f ca="1">IFERROR(IF(InputsCS!$I$1="Please Select","",IF(InputsCS!$I$2="Please Select","",IF(InputsCS!$I$1="","",IF(InputsCS!$I$2="","",IF(InputsCS!$I$2="Pupil Numbers",IF('KS2-4 Combined Science TMs'!$AA$47="Gender",INDEX(INDIRECT(InputsCS!$I$1),12,47),IF('KS2-4 Combined Science TMs'!$AA$47="disadvantage",INDEX(INDIRECT(InputsCS!$I$1),12,91),IF('KS2-4 Combined Science TMs'!$AA$47="sen",INDEX(INDIRECT(InputsCS!$I$1),12,135),IF('KS2-4 Combined Science TMs'!$AA$47="eal",INDEX(INDIRECT(InputsCS!$I$1),12,179),"")))),IF(InputsCS!$I$2="Pupil Percentages",IF('KS2-4 Combined Science TMs'!$AA$47="Gender",INDEX(INDIRECT(InputsCS!$I$1),28,47),IF('KS2-4 Combined Science TMs'!$AA$47="disadvantage",INDEX(INDIRECT(InputsCS!$I$1),28,91),IF('KS2-4 Combined Science TMs'!$AA$47="sen",INDEX(INDIRECT(InputsCS!$I$1),28,135),IF('KS2-4 Combined Science TMs'!$AA$47="eal",INDEX(INDIRECT(InputsCS!$I$1),28,179),"")))))))))),"")</f>
        <v/>
      </c>
      <c r="H74" s="61" t="str">
        <f ca="1">IFERROR(IF(InputsCS!$I$1="Please Select","",IF(InputsCS!$I$2="Please Select","",IF(InputsCS!$I$1="","",IF(InputsCS!$I$2="","",IF(InputsCS!$I$2="Pupil Numbers",IF('KS2-4 Combined Science TMs'!$AA$47="Gender",INDEX(INDIRECT(InputsCS!$I$1),12,48),IF('KS2-4 Combined Science TMs'!$AA$47="disadvantage",INDEX(INDIRECT(InputsCS!$I$1),12,92),IF('KS2-4 Combined Science TMs'!$AA$47="sen",INDEX(INDIRECT(InputsCS!$I$1),12,136),IF('KS2-4 Combined Science TMs'!$AA$47="eal",INDEX(INDIRECT(InputsCS!$I$1),12,180),"")))),IF(InputsCS!$I$2="Pupil Percentages",IF('KS2-4 Combined Science TMs'!$AA$47="Gender",INDEX(INDIRECT(InputsCS!$I$1),28,48),IF('KS2-4 Combined Science TMs'!$AA$47="disadvantage",INDEX(INDIRECT(InputsCS!$I$1),28,92),IF('KS2-4 Combined Science TMs'!$AA$47="sen",INDEX(INDIRECT(InputsCS!$I$1),28,136),IF('KS2-4 Combined Science TMs'!$AA$47="eal",INDEX(INDIRECT(InputsCS!$I$1),28,180),"")))))))))),"")</f>
        <v/>
      </c>
      <c r="I74" s="61" t="str">
        <f ca="1">IFERROR(IF(InputsCS!$I$1="Please Select","",IF(InputsCS!$I$2="Please Select","",IF(InputsCS!$I$1="","",IF(InputsCS!$I$2="","",IF(InputsCS!$I$2="Pupil Numbers",IF('KS2-4 Combined Science TMs'!$AA$47="Gender",INDEX(INDIRECT(InputsCS!$I$1),12,49),IF('KS2-4 Combined Science TMs'!$AA$47="disadvantage",INDEX(INDIRECT(InputsCS!$I$1),12,93),IF('KS2-4 Combined Science TMs'!$AA$47="sen",INDEX(INDIRECT(InputsCS!$I$1),12,137),IF('KS2-4 Combined Science TMs'!$AA$47="eal",INDEX(INDIRECT(InputsCS!$I$1),12,181),"")))),IF(InputsCS!$I$2="Pupil Percentages",IF('KS2-4 Combined Science TMs'!$AA$47="Gender",INDEX(INDIRECT(InputsCS!$I$1),28,49),IF('KS2-4 Combined Science TMs'!$AA$47="disadvantage",INDEX(INDIRECT(InputsCS!$I$1),28,93),IF('KS2-4 Combined Science TMs'!$AA$47="sen",INDEX(INDIRECT(InputsCS!$I$1),28,137),IF('KS2-4 Combined Science TMs'!$AA$47="eal",INDEX(INDIRECT(InputsCS!$I$1),28,181),"")))))))))),"")</f>
        <v/>
      </c>
      <c r="J74" s="61" t="str">
        <f ca="1">IFERROR(IF(InputsCS!$I$1="Please Select","",IF(InputsCS!$I$2="Please Select","",IF(InputsCS!$I$1="","",IF(InputsCS!$I$2="","",IF(InputsCS!$I$2="Pupil Numbers",IF('KS2-4 Combined Science TMs'!$AA$47="Gender",INDEX(INDIRECT(InputsCS!$I$1),12,50),IF('KS2-4 Combined Science TMs'!$AA$47="disadvantage",INDEX(INDIRECT(InputsCS!$I$1),12,94),IF('KS2-4 Combined Science TMs'!$AA$47="sen",INDEX(INDIRECT(InputsCS!$I$1),12,138),IF('KS2-4 Combined Science TMs'!$AA$47="eal",INDEX(INDIRECT(InputsCS!$I$1),12,182),"")))),IF(InputsCS!$I$2="Pupil Percentages",IF('KS2-4 Combined Science TMs'!$AA$47="Gender",INDEX(INDIRECT(InputsCS!$I$1),28,50),IF('KS2-4 Combined Science TMs'!$AA$47="disadvantage",INDEX(INDIRECT(InputsCS!$I$1),28,94),IF('KS2-4 Combined Science TMs'!$AA$47="sen",INDEX(INDIRECT(InputsCS!$I$1),28,138),IF('KS2-4 Combined Science TMs'!$AA$47="eal",INDEX(INDIRECT(InputsCS!$I$1),28,182),"")))))))))),"")</f>
        <v/>
      </c>
      <c r="K74" s="61" t="str">
        <f ca="1">IFERROR(IF(InputsCS!$I$1="Please Select","",IF(InputsCS!$I$2="Please Select","",IF(InputsCS!$I$1="","",IF(InputsCS!$I$2="","",IF(InputsCS!$I$2="Pupil Numbers",IF('KS2-4 Combined Science TMs'!$AA$47="Gender",INDEX(INDIRECT(InputsCS!$I$1),12,51),IF('KS2-4 Combined Science TMs'!$AA$47="disadvantage",INDEX(INDIRECT(InputsCS!$I$1),12,95),IF('KS2-4 Combined Science TMs'!$AA$47="sen",INDEX(INDIRECT(InputsCS!$I$1),12,139),IF('KS2-4 Combined Science TMs'!$AA$47="eal",INDEX(INDIRECT(InputsCS!$I$1),12,183),"")))),IF(InputsCS!$I$2="Pupil Percentages",IF('KS2-4 Combined Science TMs'!$AA$47="Gender",INDEX(INDIRECT(InputsCS!$I$1),28,51),IF('KS2-4 Combined Science TMs'!$AA$47="disadvantage",INDEX(INDIRECT(InputsCS!$I$1),28,95),IF('KS2-4 Combined Science TMs'!$AA$47="sen",INDEX(INDIRECT(InputsCS!$I$1),28,139),IF('KS2-4 Combined Science TMs'!$AA$47="eal",INDEX(INDIRECT(InputsCS!$I$1),28,183),"")))))))))),"")</f>
        <v/>
      </c>
      <c r="L74" s="61" t="str">
        <f ca="1">IFERROR(IF(InputsCS!$I$1="Please Select","",IF(InputsCS!$I$2="Please Select","",IF(InputsCS!$I$1="","",IF(InputsCS!$I$2="","",IF(InputsCS!$I$2="Pupil Numbers",IF('KS2-4 Combined Science TMs'!$AA$47="Gender",INDEX(INDIRECT(InputsCS!$I$1),12,52),IF('KS2-4 Combined Science TMs'!$AA$47="disadvantage",INDEX(INDIRECT(InputsCS!$I$1),12,96),IF('KS2-4 Combined Science TMs'!$AA$47="sen",INDEX(INDIRECT(InputsCS!$I$1),12,140),IF('KS2-4 Combined Science TMs'!$AA$47="eal",INDEX(INDIRECT(InputsCS!$I$1),12,184),"")))),IF(InputsCS!$I$2="Pupil Percentages",IF('KS2-4 Combined Science TMs'!$AA$47="Gender",INDEX(INDIRECT(InputsCS!$I$1),28,52),IF('KS2-4 Combined Science TMs'!$AA$47="disadvantage",INDEX(INDIRECT(InputsCS!$I$1),28,96),IF('KS2-4 Combined Science TMs'!$AA$47="sen",INDEX(INDIRECT(InputsCS!$I$1),28,140),IF('KS2-4 Combined Science TMs'!$AA$47="eal",INDEX(INDIRECT(InputsCS!$I$1),28,184),"")))))))))),"")</f>
        <v/>
      </c>
      <c r="M74" s="61" t="str">
        <f ca="1">IFERROR(IF(InputsCS!$I$1="Please Select","",IF(InputsCS!$I$2="Please Select","",IF(InputsCS!$I$1="","",IF(InputsCS!$I$2="","",IF(InputsCS!$I$2="Pupil Numbers",IF('KS2-4 Combined Science TMs'!$AA$47="Gender",INDEX(INDIRECT(InputsCS!$I$1),12,53),IF('KS2-4 Combined Science TMs'!$AA$47="disadvantage",INDEX(INDIRECT(InputsCS!$I$1),12,97),IF('KS2-4 Combined Science TMs'!$AA$47="sen",INDEX(INDIRECT(InputsCS!$I$1),12,141),IF('KS2-4 Combined Science TMs'!$AA$47="eal",INDEX(INDIRECT(InputsCS!$I$1),12,185),"")))),IF(InputsCS!$I$2="Pupil Percentages",IF('KS2-4 Combined Science TMs'!$AA$47="Gender",INDEX(INDIRECT(InputsCS!$I$1),28,53),IF('KS2-4 Combined Science TMs'!$AA$47="disadvantage",INDEX(INDIRECT(InputsCS!$I$1),28,97),IF('KS2-4 Combined Science TMs'!$AA$47="sen",INDEX(INDIRECT(InputsCS!$I$1),28,141),IF('KS2-4 Combined Science TMs'!$AA$47="eal",INDEX(INDIRECT(InputsCS!$I$1),28,185),"")))))))))),"")</f>
        <v/>
      </c>
      <c r="N74" s="61" t="str">
        <f ca="1">IFERROR(IF(InputsCS!$I$1="Please Select","",IF(InputsCS!$I$2="Please Select","",IF(InputsCS!$I$1="","",IF(InputsCS!$I$2="","",IF(InputsCS!$I$2="Pupil Numbers",IF('KS2-4 Combined Science TMs'!$AA$47="Gender",INDEX(INDIRECT(InputsCS!$I$1),12,54),IF('KS2-4 Combined Science TMs'!$AA$47="disadvantage",INDEX(INDIRECT(InputsCS!$I$1),12,98),IF('KS2-4 Combined Science TMs'!$AA$47="sen",INDEX(INDIRECT(InputsCS!$I$1),12,142),IF('KS2-4 Combined Science TMs'!$AA$47="eal",INDEX(INDIRECT(InputsCS!$I$1),12,186),"")))),IF(InputsCS!$I$2="Pupil Percentages",IF('KS2-4 Combined Science TMs'!$AA$47="Gender",INDEX(INDIRECT(InputsCS!$I$1),28,54),IF('KS2-4 Combined Science TMs'!$AA$47="disadvantage",INDEX(INDIRECT(InputsCS!$I$1),28,98),IF('KS2-4 Combined Science TMs'!$AA$47="sen",INDEX(INDIRECT(InputsCS!$I$1),28,142),IF('KS2-4 Combined Science TMs'!$AA$47="eal",INDEX(INDIRECT(InputsCS!$I$1),28,186),"")))))))))),"")</f>
        <v/>
      </c>
      <c r="O74" s="61" t="str">
        <f ca="1">IFERROR(IF(InputsCS!$I$1="Please Select","",IF(InputsCS!$I$2="Please Select","",IF(InputsCS!$I$1="","",IF(InputsCS!$I$2="","",IF(InputsCS!$I$2="Pupil Numbers",IF('KS2-4 Combined Science TMs'!$AA$47="Gender",INDEX(INDIRECT(InputsCS!$I$1),12,55),IF('KS2-4 Combined Science TMs'!$AA$47="disadvantage",INDEX(INDIRECT(InputsCS!$I$1),12,99),IF('KS2-4 Combined Science TMs'!$AA$47="sen",INDEX(INDIRECT(InputsCS!$I$1),12,143),IF('KS2-4 Combined Science TMs'!$AA$47="eal",INDEX(INDIRECT(InputsCS!$I$1),12,187),"")))),IF(InputsCS!$I$2="Pupil Percentages",IF('KS2-4 Combined Science TMs'!$AA$47="Gender",INDEX(INDIRECT(InputsCS!$I$1),28,55),IF('KS2-4 Combined Science TMs'!$AA$47="disadvantage",INDEX(INDIRECT(InputsCS!$I$1),28,99),IF('KS2-4 Combined Science TMs'!$AA$47="sen",INDEX(INDIRECT(InputsCS!$I$1),28,143),IF('KS2-4 Combined Science TMs'!$AA$47="eal",INDEX(INDIRECT(InputsCS!$I$1),28,187),"")))))))))),"")</f>
        <v/>
      </c>
      <c r="P74" s="61" t="str">
        <f ca="1">IFERROR(IF(InputsCS!$I$1="Please Select","",IF(InputsCS!$I$2="Please Select","",IF(InputsCS!$I$1="","",IF(InputsCS!$I$2="","",IF(InputsCS!$I$2="Pupil Numbers",IF('KS2-4 Combined Science TMs'!$AA$47="Gender",INDEX(INDIRECT(InputsCS!$I$1),12,56),IF('KS2-4 Combined Science TMs'!$AA$47="disadvantage",INDEX(INDIRECT(InputsCS!$I$1),12,100),IF('KS2-4 Combined Science TMs'!$AA$47="sen",INDEX(INDIRECT(InputsCS!$I$1),12,144),IF('KS2-4 Combined Science TMs'!$AA$47="eal",INDEX(INDIRECT(InputsCS!$I$1),12,188),"")))),IF(InputsCS!$I$2="Pupil Percentages",IF('KS2-4 Combined Science TMs'!$AA$47="Gender",INDEX(INDIRECT(InputsCS!$I$1),28,56),IF('KS2-4 Combined Science TMs'!$AA$47="disadvantage",INDEX(INDIRECT(InputsCS!$I$1),28,100),IF('KS2-4 Combined Science TMs'!$AA$47="sen",INDEX(INDIRECT(InputsCS!$I$1),28,144),IF('KS2-4 Combined Science TMs'!$AA$47="eal",INDEX(INDIRECT(InputsCS!$I$1),28,188),"")))))))))),"")</f>
        <v/>
      </c>
      <c r="Q74" s="61" t="str">
        <f ca="1">IFERROR(IF(InputsCS!$I$1="Please Select","",IF(InputsCS!$I$2="Please Select","",IF(InputsCS!$I$1="","",IF(InputsCS!$I$2="","",IF(InputsCS!$I$2="Pupil Numbers",IF('KS2-4 Combined Science TMs'!$AA$47="Gender",INDEX(INDIRECT(InputsCS!$I$1),12,57),IF('KS2-4 Combined Science TMs'!$AA$47="disadvantage",INDEX(INDIRECT(InputsCS!$I$1),12,101),IF('KS2-4 Combined Science TMs'!$AA$47="sen",INDEX(INDIRECT(InputsCS!$I$1),12,145),IF('KS2-4 Combined Science TMs'!$AA$47="eal",INDEX(INDIRECT(InputsCS!$I$1),12,189),"")))),IF(InputsCS!$I$2="Pupil Percentages",IF('KS2-4 Combined Science TMs'!$AA$47="Gender",INDEX(INDIRECT(InputsCS!$I$1),28,57),IF('KS2-4 Combined Science TMs'!$AA$47="disadvantage",INDEX(INDIRECT(InputsCS!$I$1),28,101),IF('KS2-4 Combined Science TMs'!$AA$47="sen",INDEX(INDIRECT(InputsCS!$I$1),28,145),IF('KS2-4 Combined Science TMs'!$AA$47="eal",INDEX(INDIRECT(InputsCS!$I$1),28,189),"")))))))))),"")</f>
        <v/>
      </c>
      <c r="R74" s="61" t="str">
        <f ca="1">IFERROR(IF(InputsCS!$I$1="Please Select","",IF(InputsCS!$I$2="Please Select","",IF(InputsCS!$I$1="","",IF(InputsCS!$I$2="","",IF(InputsCS!$I$2="Pupil Numbers",IF('KS2-4 Combined Science TMs'!$AA$47="Gender",INDEX(INDIRECT(InputsCS!$I$1),12,58),IF('KS2-4 Combined Science TMs'!$AA$47="disadvantage",INDEX(INDIRECT(InputsCS!$I$1),12,102),IF('KS2-4 Combined Science TMs'!$AA$47="sen",INDEX(INDIRECT(InputsCS!$I$1),12,146),IF('KS2-4 Combined Science TMs'!$AA$47="eal",INDEX(INDIRECT(InputsCS!$I$1),12,190),"")))),IF(InputsCS!$I$2="Pupil Percentages",IF('KS2-4 Combined Science TMs'!$AA$47="Gender",INDEX(INDIRECT(InputsCS!$I$1),28,58),IF('KS2-4 Combined Science TMs'!$AA$47="disadvantage",INDEX(INDIRECT(InputsCS!$I$1),28,102),IF('KS2-4 Combined Science TMs'!$AA$47="sen",INDEX(INDIRECT(InputsCS!$I$1),28,146),IF('KS2-4 Combined Science TMs'!$AA$47="eal",INDEX(INDIRECT(InputsCS!$I$1),28,190),"")))))))))),"")</f>
        <v/>
      </c>
      <c r="S74" s="61" t="str">
        <f ca="1">IFERROR(IF(InputsCS!$I$1="Please Select","",IF(InputsCS!$I$2="Please Select","",IF(InputsCS!$I$1="","",IF(InputsCS!$I$2="","",IF(InputsCS!$I$2="Pupil Numbers",IF('KS2-4 Combined Science TMs'!$AA$47="Gender",INDEX(INDIRECT(InputsCS!$I$1),12,59),IF('KS2-4 Combined Science TMs'!$AA$47="disadvantage",INDEX(INDIRECT(InputsCS!$I$1),12,103),IF('KS2-4 Combined Science TMs'!$AA$47="sen",INDEX(INDIRECT(InputsCS!$I$1),12,147),IF('KS2-4 Combined Science TMs'!$AA$47="eal",INDEX(INDIRECT(InputsCS!$I$1),12,191),"")))),IF(InputsCS!$I$2="Pupil Percentages",IF('KS2-4 Combined Science TMs'!$AA$47="Gender",INDEX(INDIRECT(InputsCS!$I$1),28,59),IF('KS2-4 Combined Science TMs'!$AA$47="disadvantage",INDEX(INDIRECT(InputsCS!$I$1),28,103),IF('KS2-4 Combined Science TMs'!$AA$47="sen",INDEX(INDIRECT(InputsCS!$I$1),28,147),IF('KS2-4 Combined Science TMs'!$AA$47="eal",INDEX(INDIRECT(InputsCS!$I$1),28,191),"")))))))))),"")</f>
        <v/>
      </c>
      <c r="T74" s="61" t="str">
        <f ca="1">IFERROR(IF(InputsCS!$I$1="Please Select","",IF(InputsCS!$I$2="Please Select","",IF(InputsCS!$I$1="","",IF(InputsCS!$I$2="","",IF(InputsCS!$I$2="Pupil Numbers",IF('KS2-4 Combined Science TMs'!$AA$47="Gender",INDEX(INDIRECT(InputsCS!$I$1),12,60),IF('KS2-4 Combined Science TMs'!$AA$47="disadvantage",INDEX(INDIRECT(InputsCS!$I$1),12,104),IF('KS2-4 Combined Science TMs'!$AA$47="sen",INDEX(INDIRECT(InputsCS!$I$1),12,148),IF('KS2-4 Combined Science TMs'!$AA$47="eal",INDEX(INDIRECT(InputsCS!$I$1),12,192),"")))),IF(InputsCS!$I$2="Pupil Percentages",IF('KS2-4 Combined Science TMs'!$AA$47="Gender",INDEX(INDIRECT(InputsCS!$I$1),28,60),IF('KS2-4 Combined Science TMs'!$AA$47="disadvantage",INDEX(INDIRECT(InputsCS!$I$1),28,104),IF('KS2-4 Combined Science TMs'!$AA$47="sen",INDEX(INDIRECT(InputsCS!$I$1),28,148),IF('KS2-4 Combined Science TMs'!$AA$47="eal",INDEX(INDIRECT(InputsCS!$I$1),28,192),"")))))))))),"")</f>
        <v/>
      </c>
      <c r="U74" s="61" t="str">
        <f ca="1">IFERROR(IF(InputsCS!$I$1="Please Select","",IF(InputsCS!$I$2="Please Select","",IF(InputsCS!$I$1="","",IF(InputsCS!$I$2="","",IF(InputsCS!$I$2="Pupil Numbers",IF('KS2-4 Combined Science TMs'!$AA$47="Gender",INDEX(INDIRECT(InputsCS!$I$1),12,61),IF('KS2-4 Combined Science TMs'!$AA$47="disadvantage",INDEX(INDIRECT(InputsCS!$I$1),12,105),IF('KS2-4 Combined Science TMs'!$AA$47="sen",INDEX(INDIRECT(InputsCS!$I$1),12,149),IF('KS2-4 Combined Science TMs'!$AA$47="eal",INDEX(INDIRECT(InputsCS!$I$1),12,193),"")))),IF(InputsCS!$I$2="Pupil Percentages",IF('KS2-4 Combined Science TMs'!$AA$47="Gender",INDEX(INDIRECT(InputsCS!$I$1),28,61),IF('KS2-4 Combined Science TMs'!$AA$47="disadvantage",INDEX(INDIRECT(InputsCS!$I$1),28,105),IF('KS2-4 Combined Science TMs'!$AA$47="sen",INDEX(INDIRECT(InputsCS!$I$1),28,149),IF('KS2-4 Combined Science TMs'!$AA$47="eal",INDEX(INDIRECT(InputsCS!$I$1),28,193),"")))))))))),"")</f>
        <v/>
      </c>
      <c r="V74" s="61" t="str">
        <f ca="1">IFERROR(IF(InputsCS!$I$1="Please Select","",IF(InputsCS!$I$2="Please Select","",IF(InputsCS!$I$1="","",IF(InputsCS!$I$2="","",IF(InputsCS!$I$2="Pupil Numbers",IF('KS2-4 Combined Science TMs'!$AA$47="Gender",INDEX(INDIRECT(InputsCS!$I$1),12,62),IF('KS2-4 Combined Science TMs'!$AA$47="disadvantage",INDEX(INDIRECT(InputsCS!$I$1),12,106),IF('KS2-4 Combined Science TMs'!$AA$47="sen",INDEX(INDIRECT(InputsCS!$I$1),12,150),IF('KS2-4 Combined Science TMs'!$AA$47="eal",INDEX(INDIRECT(InputsCS!$I$1),12,194),"")))),IF(InputsCS!$I$2="Pupil Percentages",IF('KS2-4 Combined Science TMs'!$AA$47="Gender",INDEX(INDIRECT(InputsCS!$I$1),28,62),IF('KS2-4 Combined Science TMs'!$AA$47="disadvantage",INDEX(INDIRECT(InputsCS!$I$1),28,106),IF('KS2-4 Combined Science TMs'!$AA$47="sen",INDEX(INDIRECT(InputsCS!$I$1),28,150),IF('KS2-4 Combined Science TMs'!$AA$47="eal",INDEX(INDIRECT(InputsCS!$I$1),28,194),"")))))))))),"")</f>
        <v/>
      </c>
      <c r="AD74" s="12"/>
      <c r="AE74" s="12"/>
      <c r="AF74" s="12"/>
      <c r="AG74" s="12"/>
      <c r="AH74" s="12"/>
      <c r="AI74" s="12"/>
      <c r="AJ74" s="12"/>
      <c r="AK74" s="12"/>
      <c r="AL74" s="12"/>
      <c r="AM74" s="12"/>
      <c r="AN74" s="12"/>
      <c r="AO74" s="12"/>
      <c r="AP74" s="12"/>
      <c r="AQ74" s="12"/>
      <c r="AR74" s="12"/>
      <c r="AS74" s="12"/>
      <c r="AT74" s="12"/>
      <c r="AU74" s="12"/>
      <c r="AV74" s="13"/>
      <c r="AW74" s="13"/>
      <c r="AX74" s="13"/>
      <c r="AY74" s="13"/>
      <c r="AZ74" s="13"/>
      <c r="BA74" s="13"/>
      <c r="BB74" s="13"/>
      <c r="BC74" s="13"/>
      <c r="BD74" s="13"/>
    </row>
    <row r="75" spans="3:56" ht="13.9" customHeight="1" x14ac:dyDescent="0.45">
      <c r="AD75" s="12"/>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row>
    <row r="76" spans="3:56" x14ac:dyDescent="0.45">
      <c r="AD76" s="12"/>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row>
    <row r="77" spans="3:56" ht="31.15" customHeight="1" x14ac:dyDescent="0.45">
      <c r="AD77" s="12"/>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row>
    <row r="78" spans="3:56" ht="21.4" customHeight="1" x14ac:dyDescent="0.45">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row>
    <row r="79" spans="3:56" x14ac:dyDescent="0.45">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row>
    <row r="80" spans="3:56" x14ac:dyDescent="0.45">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row>
    <row r="81" spans="31:56" x14ac:dyDescent="0.45">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row>
    <row r="82" spans="31:56" x14ac:dyDescent="0.45">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row>
    <row r="83" spans="31:56" x14ac:dyDescent="0.45">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row>
    <row r="84" spans="31:56" x14ac:dyDescent="0.45">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row>
    <row r="85" spans="31:56" x14ac:dyDescent="0.45">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row>
    <row r="86" spans="31:56" x14ac:dyDescent="0.45">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row>
  </sheetData>
  <sheetProtection algorithmName="SHA-512" hashValue="2oae6t3zno/cdoVglu0nD6vHMMGXaQErIdaHTPvfl/q5vETodU2RwKVModXveEtsPsUZ2lTNTSTPZWd0o2eW3g==" saltValue="b/yW+PH6iBQjPew59E+Qew==" spinCount="100000" sheet="1" objects="1" scenarios="1" selectLockedCells="1"/>
  <mergeCells count="8">
    <mergeCell ref="C45:C56"/>
    <mergeCell ref="C60:D62"/>
    <mergeCell ref="C63:C74"/>
    <mergeCell ref="Z9:AK9"/>
    <mergeCell ref="C13:D15"/>
    <mergeCell ref="C16:C27"/>
    <mergeCell ref="C42:D44"/>
    <mergeCell ref="AA47:AC47"/>
  </mergeCells>
  <pageMargins left="0.7" right="0.7" top="0.75" bottom="0.75" header="0.3" footer="0.3"/>
  <pageSetup paperSize="9" orientation="portrait" r:id="rId1"/>
  <drawing r:id="rId2"/>
  <legacyDrawing r:id="rId3"/>
  <controls>
    <mc:AlternateContent xmlns:mc="http://schemas.openxmlformats.org/markup-compatibility/2006">
      <mc:Choice Requires="x14">
        <control shapeId="10241" r:id="rId4" name="ComboBox1">
          <controlPr defaultSize="0" autoLine="0" altText="Drop-down box to select key stage 4 subject" linkedCell="InputsCS!F1" listFillRange="subj_CS" r:id="rId5">
            <anchor moveWithCells="1">
              <from>
                <xdr:col>10</xdr:col>
                <xdr:colOff>314325</xdr:colOff>
                <xdr:row>4</xdr:row>
                <xdr:rowOff>0</xdr:rowOff>
              </from>
              <to>
                <xdr:col>14</xdr:col>
                <xdr:colOff>600075</xdr:colOff>
                <xdr:row>5</xdr:row>
                <xdr:rowOff>0</xdr:rowOff>
              </to>
            </anchor>
          </controlPr>
        </control>
      </mc:Choice>
      <mc:Fallback>
        <control shapeId="10241" r:id="rId4" name="ComboBox1"/>
      </mc:Fallback>
    </mc:AlternateContent>
    <mc:AlternateContent xmlns:mc="http://schemas.openxmlformats.org/markup-compatibility/2006">
      <mc:Choice Requires="x14">
        <control shapeId="10242" r:id="rId6" name="ComboBox2">
          <controlPr defaultSize="0" autoLine="0" autoPict="0" altText="Drop-down box to select pupil numbers or percentages" linkedCell="InputsCS!G2" listFillRange="datatCS" r:id="rId7">
            <anchor moveWithCells="1">
              <from>
                <xdr:col>10</xdr:col>
                <xdr:colOff>319088</xdr:colOff>
                <xdr:row>6</xdr:row>
                <xdr:rowOff>0</xdr:rowOff>
              </from>
              <to>
                <xdr:col>14</xdr:col>
                <xdr:colOff>604838</xdr:colOff>
                <xdr:row>7</xdr:row>
                <xdr:rowOff>66675</xdr:rowOff>
              </to>
            </anchor>
          </controlPr>
        </control>
      </mc:Choice>
      <mc:Fallback>
        <control shapeId="10242" r:id="rId6" name="ComboBox2"/>
      </mc:Fallback>
    </mc:AlternateContent>
    <mc:AlternateContent xmlns:mc="http://schemas.openxmlformats.org/markup-compatibility/2006">
      <mc:Choice Requires="x14">
        <control shapeId="10243" r:id="rId8" name="ComboBox3">
          <controlPr defaultSize="0" autoLine="0" altText="Drop-down box to select key stage 2 attainment level" linkedCell="InputsCS!G3" listFillRange="priorCS" r:id="rId9">
            <anchor moveWithCells="1">
              <from>
                <xdr:col>10</xdr:col>
                <xdr:colOff>323850</xdr:colOff>
                <xdr:row>8</xdr:row>
                <xdr:rowOff>9525</xdr:rowOff>
              </from>
              <to>
                <xdr:col>14</xdr:col>
                <xdr:colOff>647700</xdr:colOff>
                <xdr:row>8</xdr:row>
                <xdr:rowOff>295275</xdr:rowOff>
              </to>
            </anchor>
          </controlPr>
        </control>
      </mc:Choice>
      <mc:Fallback>
        <control shapeId="10243" r:id="rId8" name="ComboBox3"/>
      </mc:Fallback>
    </mc:AlternateContent>
    <mc:AlternateContent xmlns:mc="http://schemas.openxmlformats.org/markup-compatibility/2006">
      <mc:Choice Requires="x14">
        <control shapeId="10244" r:id="rId10" name="ComboBox4">
          <controlPr defaultSize="0" autoLine="0" autoPict="0" altText="Drop-down box to select key stage 4 subject" linkedCell="InputsCS!H1" listFillRange="subj_CS" r:id="rId11">
            <anchor moveWithCells="1">
              <from>
                <xdr:col>10</xdr:col>
                <xdr:colOff>314325</xdr:colOff>
                <xdr:row>33</xdr:row>
                <xdr:rowOff>85725</xdr:rowOff>
              </from>
              <to>
                <xdr:col>14</xdr:col>
                <xdr:colOff>638175</xdr:colOff>
                <xdr:row>34</xdr:row>
                <xdr:rowOff>242888</xdr:rowOff>
              </to>
            </anchor>
          </controlPr>
        </control>
      </mc:Choice>
      <mc:Fallback>
        <control shapeId="10244" r:id="rId10" name="ComboBox4"/>
      </mc:Fallback>
    </mc:AlternateContent>
    <mc:AlternateContent xmlns:mc="http://schemas.openxmlformats.org/markup-compatibility/2006">
      <mc:Choice Requires="x14">
        <control shapeId="10245" r:id="rId12" name="ComboBox5">
          <controlPr defaultSize="0" autoLine="0" autoPict="0" altText="Drop-down box to select pupil numbers or percentages" linkedCell="InputsCS!I2" listFillRange="datatCS" r:id="rId13">
            <anchor moveWithCells="1">
              <from>
                <xdr:col>10</xdr:col>
                <xdr:colOff>323850</xdr:colOff>
                <xdr:row>35</xdr:row>
                <xdr:rowOff>147638</xdr:rowOff>
              </from>
              <to>
                <xdr:col>14</xdr:col>
                <xdr:colOff>638175</xdr:colOff>
                <xdr:row>37</xdr:row>
                <xdr:rowOff>4763</xdr:rowOff>
              </to>
            </anchor>
          </controlPr>
        </control>
      </mc:Choice>
      <mc:Fallback>
        <control shapeId="10245" r:id="rId12" name="ComboBox5"/>
      </mc:Fallback>
    </mc:AlternateContent>
    <mc:AlternateContent xmlns:mc="http://schemas.openxmlformats.org/markup-compatibility/2006">
      <mc:Choice Requires="x14">
        <control shapeId="10246" r:id="rId14" name="ComboBox6">
          <controlPr defaultSize="0" autoLine="0" autoPict="0" altText="Drop-down box to select key stage 2 attainment level" linkedCell="InputsCS!I3" listFillRange="prior_2CS" r:id="rId15">
            <anchor moveWithCells="1">
              <from>
                <xdr:col>10</xdr:col>
                <xdr:colOff>314325</xdr:colOff>
                <xdr:row>37</xdr:row>
                <xdr:rowOff>157163</xdr:rowOff>
              </from>
              <to>
                <xdr:col>14</xdr:col>
                <xdr:colOff>657225</xdr:colOff>
                <xdr:row>38</xdr:row>
                <xdr:rowOff>300038</xdr:rowOff>
              </to>
            </anchor>
          </controlPr>
        </control>
      </mc:Choice>
      <mc:Fallback>
        <control shapeId="10246" r:id="rId14" name="ComboBox6"/>
      </mc:Fallback>
    </mc:AlternateContent>
    <mc:AlternateContent xmlns:mc="http://schemas.openxmlformats.org/markup-compatibility/2006">
      <mc:Choice Requires="x14">
        <control shapeId="10249" r:id="rId16" name="Spinner 9">
          <controlPr defaultSize="0" autoPict="0" altText="Arrows to scroll between pupil characteristic breakdowns: gender, disadvantage, SEN or EAL">
            <anchor moveWithCells="1" sizeWithCells="1">
              <from>
                <xdr:col>30</xdr:col>
                <xdr:colOff>14288</xdr:colOff>
                <xdr:row>45</xdr:row>
                <xdr:rowOff>133350</xdr:rowOff>
              </from>
              <to>
                <xdr:col>30</xdr:col>
                <xdr:colOff>319088</xdr:colOff>
                <xdr:row>47</xdr:row>
                <xdr:rowOff>0</xdr:rowOff>
              </to>
            </anchor>
          </controlPr>
        </control>
      </mc:Choice>
    </mc:AlternateContent>
  </controls>
  <extLst>
    <ext xmlns:x14="http://schemas.microsoft.com/office/spreadsheetml/2009/9/main" uri="{78C0D931-6437-407d-A8EE-F0AAD7539E65}">
      <x14:conditionalFormattings>
        <x14:conditionalFormatting xmlns:xm="http://schemas.microsoft.com/office/excel/2006/main">
          <x14:cfRule type="expression" priority="12" id="{2BD615A2-BF5D-4FF1-8EBF-3BD1D7D283F5}">
            <xm:f>IF(NOT(OR(InputsCS!$G$1="Please Select",InputsCS!$G$1="",InputsCS!$G$2="Please Select",InputsCS!$G$2="")),InputsCS!$G$3=$D16)</xm:f>
            <x14:dxf>
              <fill>
                <patternFill>
                  <bgColor rgb="FFD4CEDE"/>
                </patternFill>
              </fill>
            </x14:dxf>
          </x14:cfRule>
          <xm:sqref>E16:V27</xm:sqref>
        </x14:conditionalFormatting>
        <x14:conditionalFormatting xmlns:xm="http://schemas.microsoft.com/office/excel/2006/main">
          <x14:cfRule type="expression" priority="11" id="{2B535444-232F-4F03-B090-55E85D3A6667}">
            <xm:f>NOT(OR('C:\Sdau1\Pre-16 development\Routine products\Transition Matrices\2018\KS2-4\Development\Simon\[2018 KS4 TM Working File SM3.xlsx]Inputs'!#REF!="Mathematics",'C:\Sdau1\Pre-16 development\Routine products\Transition Matrices\2018\KS2-4\Development\Simon\[2018 KS4 TM Working File SM3.xlsx]Inputs'!#REF!="English_Language",'C:\Sdau1\Pre-16 development\Routine products\Transition Matrices\2018\KS2-4\Development\Simon\[2018 KS4 TM Working File SM3.xlsx]Inputs'!#REF!="English_Literature",'C:\Sdau1\Pre-16 development\Routine products\Transition Matrices\2018\KS2-4\Development\Simon\[2018 KS4 TM Working File SM3.xlsx]Inputs'!#REF!="Art_Design",'C:\Sdau1\Pre-16 development\Routine products\Transition Matrices\2018\KS2-4\Development\Simon\[2018 KS4 TM Working File SM3.xlsx]Inputs'!#REF!="Biological_Sciences",'C:\Sdau1\Pre-16 development\Routine products\Transition Matrices\2018\KS2-4\Development\Simon\[2018 KS4 TM Working File SM3.xlsx]Inputs'!#REF!="Chemistry",'C:\Sdau1\Pre-16 development\Routine products\Transition Matrices\2018\KS2-4\Development\Simon\[2018 KS4 TM Working File SM3.xlsx]Inputs'!#REF!="Citizenship_Studies",'C:\Sdau1\Pre-16 development\Routine products\Transition Matrices\2018\KS2-4\Development\Simon\[2018 KS4 TM Working File SM3.xlsx]Inputs'!#REF!="Classical_Studies",'C:\Sdau1\Pre-16 development\Routine products\Transition Matrices\2018\KS2-4\Development\Simon\[2018 KS4 TM Working File SM3.xlsx]Inputs'!#REF!="Combined_Science",'C:\Sdau1\Pre-16 development\Routine products\Transition Matrices\2018\KS2-4\Development\Simon\[2018 KS4 TM Working File SM3.xlsx]Inputs'!#REF!="Computer_Science",'C:\Sdau1\Pre-16 development\Routine products\Transition Matrices\2018\KS2-4\Development\Simon\[2018 KS4 TM Working File SM3.xlsx]Inputs'!#REF!="Dance",'C:\Sdau1\Pre-16 development\Routine products\Transition Matrices\2018\KS2-4\Development\Simon\[2018 KS4 TM Working File SM3.xlsx]Inputs'!#REF!="Food_Preparation_and_Nutrition",'C:\Sdau1\Pre-16 development\Routine products\Transition Matrices\2018\KS2-4\Development\Simon\[2018 KS4 TM Working File SM3.xlsx]Inputs'!#REF!="French",'C:\Sdau1\Pre-16 development\Routine products\Transition Matrices\2018\KS2-4\Development\Simon\[2018 KS4 TM Working File SM3.xlsx]Inputs'!#REF!="Geography",'C:\Sdau1\Pre-16 development\Routine products\Transition Matrices\2018\KS2-4\Development\Simon\[2018 KS4 TM Working File SM3.xlsx]Inputs'!#REF!="German",'C:\Sdau1\Pre-16 development\Routine products\Transition Matrices\2018\KS2-4\Development\Simon\[2018 KS4 TM Working File SM3.xlsx]Inputs'!#REF!="History",'C:\Sdau1\Pre-16 development\Routine products\Transition Matrices\2018\KS2-4\Development\Simon\[2018 KS4 TM Working File SM3.xlsx]Inputs'!#REF!="Music",'C:\Sdau1\Pre-16 development\Routine products\Transition Matrices\2018\KS2-4\Development\Simon\[2018 KS4 TM Working File SM3.xlsx]Inputs'!#REF!="Performing_Arts",'C:\Sdau1\Pre-16 development\Routine products\Transition Matrices\2018\KS2-4\Development\Simon\[2018 KS4 TM Working File SM3.xlsx]Inputs'!#REF!="Photography",'C:\Sdau1\Pre-16 development\Routine products\Transition Matrices\2018\KS2-4\Development\Simon\[2018 KS4 TM Working File SM3.xlsx]Inputs'!#REF!="Physical_Education",'C:\Sdau1\Pre-16 development\Routine products\Transition Matrices\2018\KS2-4\Development\Simon\[2018 KS4 TM Working File SM3.xlsx]Inputs'!#REF!="Physics",'C:\Sdau1\Pre-16 development\Routine products\Transition Matrices\2018\KS2-4\Development\Simon\[2018 KS4 TM Working File SM3.xlsx]Inputs'!#REF!="Religious_Studies",'C:\Sdau1\Pre-16 development\Routine products\Transition Matrices\2018\KS2-4\Development\Simon\[2018 KS4 TM Working File SM3.xlsx]Inputs'!#REF!="Spanish"))</xm:f>
            <x14:dxf>
              <border>
                <right style="thin">
                  <color auto="1"/>
                </right>
                <vertical/>
                <horizontal/>
              </border>
            </x14:dxf>
          </x14:cfRule>
          <xm:sqref>M14</xm:sqref>
        </x14:conditionalFormatting>
        <x14:conditionalFormatting xmlns:xm="http://schemas.microsoft.com/office/excel/2006/main">
          <x14:cfRule type="expression" priority="9" id="{AF43E1DD-5F20-4DB6-9551-64C894A39DE7}">
            <xm:f>OR('C:\Sdau1\Pre-16 development\Routine products\Transition Matrices\2018\KS2-4\Development\Simon\[2018 KS4 TM Working File SM3.xlsx]Inputs'!#REF!="Mathematics",'C:\Sdau1\Pre-16 development\Routine products\Transition Matrices\2018\KS2-4\Development\Simon\[2018 KS4 TM Working File SM3.xlsx]Inputs'!#REF!="English_Language",'C:\Sdau1\Pre-16 development\Routine products\Transition Matrices\2018\KS2-4\Development\Simon\[2018 KS4 TM Working File SM3.xlsx]Inputs'!#REF!="English_Literature",'C:\Sdau1\Pre-16 development\Routine products\Transition Matrices\2018\KS2-4\Development\Simon\[2018 KS4 TM Working File SM3.xlsx]Inputs'!#REF!="Art_Design",'C:\Sdau1\Pre-16 development\Routine products\Transition Matrices\2018\KS2-4\Development\Simon\[2018 KS4 TM Working File SM3.xlsx]Inputs'!#REF!="Biological_Sciences",'C:\Sdau1\Pre-16 development\Routine products\Transition Matrices\2018\KS2-4\Development\Simon\[2018 KS4 TM Working File SM3.xlsx]Inputs'!#REF!="Chemistry",'C:\Sdau1\Pre-16 development\Routine products\Transition Matrices\2018\KS2-4\Development\Simon\[2018 KS4 TM Working File SM3.xlsx]Inputs'!#REF!="Citizenship_Studies",'C:\Sdau1\Pre-16 development\Routine products\Transition Matrices\2018\KS2-4\Development\Simon\[2018 KS4 TM Working File SM3.xlsx]Inputs'!#REF!="Classical_Studies",'C:\Sdau1\Pre-16 development\Routine products\Transition Matrices\2018\KS2-4\Development\Simon\[2018 KS4 TM Working File SM3.xlsx]Inputs'!#REF!="Combined_Science",'C:\Sdau1\Pre-16 development\Routine products\Transition Matrices\2018\KS2-4\Development\Simon\[2018 KS4 TM Working File SM3.xlsx]Inputs'!#REF!="Computer_Science",'C:\Sdau1\Pre-16 development\Routine products\Transition Matrices\2018\KS2-4\Development\Simon\[2018 KS4 TM Working File SM3.xlsx]Inputs'!#REF!="Dance",'C:\Sdau1\Pre-16 development\Routine products\Transition Matrices\2018\KS2-4\Development\Simon\[2018 KS4 TM Working File SM3.xlsx]Inputs'!#REF!="Food_Preparation_and_Nutrition",'C:\Sdau1\Pre-16 development\Routine products\Transition Matrices\2018\KS2-4\Development\Simon\[2018 KS4 TM Working File SM3.xlsx]Inputs'!#REF!="French",'C:\Sdau1\Pre-16 development\Routine products\Transition Matrices\2018\KS2-4\Development\Simon\[2018 KS4 TM Working File SM3.xlsx]Inputs'!#REF!="Geography",'C:\Sdau1\Pre-16 development\Routine products\Transition Matrices\2018\KS2-4\Development\Simon\[2018 KS4 TM Working File SM3.xlsx]Inputs'!#REF!="German",'C:\Sdau1\Pre-16 development\Routine products\Transition Matrices\2018\KS2-4\Development\Simon\[2018 KS4 TM Working File SM3.xlsx]Inputs'!#REF!="History",'C:\Sdau1\Pre-16 development\Routine products\Transition Matrices\2018\KS2-4\Development\Simon\[2018 KS4 TM Working File SM3.xlsx]Inputs'!#REF!="Music",'C:\Sdau1\Pre-16 development\Routine products\Transition Matrices\2018\KS2-4\Development\Simon\[2018 KS4 TM Working File SM3.xlsx]Inputs'!#REF!="Performing_Arts",'C:\Sdau1\Pre-16 development\Routine products\Transition Matrices\2018\KS2-4\Development\Simon\[2018 KS4 TM Working File SM3.xlsx]Inputs'!#REF!="Photography",'C:\Sdau1\Pre-16 development\Routine products\Transition Matrices\2018\KS2-4\Development\Simon\[2018 KS4 TM Working File SM3.xlsx]Inputs'!#REF!="Physical_Education",'C:\Sdau1\Pre-16 development\Routine products\Transition Matrices\2018\KS2-4\Development\Simon\[2018 KS4 TM Working File SM3.xlsx]Inputs'!#REF!="Physics",'C:\Sdau1\Pre-16 development\Routine products\Transition Matrices\2018\KS2-4\Development\Simon\[2018 KS4 TM Working File SM3.xlsx]Inputs'!#REF!="Religious_Studies",'C:\Sdau1\Pre-16 development\Routine products\Transition Matrices\2018\KS2-4\Development\Simon\[2018 KS4 TM Working File SM3.xlsx]Inputs'!#REF!="Spanish")</xm:f>
            <x14:dxf>
              <border>
                <left style="thin">
                  <color auto="1"/>
                </left>
                <right style="thin">
                  <color auto="1"/>
                </right>
                <top style="thin">
                  <color auto="1"/>
                </top>
                <bottom style="thin">
                  <color auto="1"/>
                </bottom>
                <vertical/>
                <horizontal/>
              </border>
            </x14:dxf>
          </x14:cfRule>
          <xm:sqref>N15</xm:sqref>
        </x14:conditionalFormatting>
        <x14:conditionalFormatting xmlns:xm="http://schemas.microsoft.com/office/excel/2006/main">
          <x14:cfRule type="expression" priority="10" id="{AE9DE4CB-D59B-421E-A98A-A03A3B80AEE3}">
            <xm:f>OR('C:\Sdau1\Pre-16 development\Routine products\Transition Matrices\2018\KS2-4\Development\Simon\[2018 KS4 TM Working File SM3.xlsx]Inputs'!#REF!="Mathematics",'C:\Sdau1\Pre-16 development\Routine products\Transition Matrices\2018\KS2-4\Development\Simon\[2018 KS4 TM Working File SM3.xlsx]Inputs'!#REF!="English_Language",'C:\Sdau1\Pre-16 development\Routine products\Transition Matrices\2018\KS2-4\Development\Simon\[2018 KS4 TM Working File SM3.xlsx]Inputs'!#REF!="English_Literature",'C:\Sdau1\Pre-16 development\Routine products\Transition Matrices\2018\KS2-4\Development\Simon\[2018 KS4 TM Working File SM3.xlsx]Inputs'!#REF!="Art_Design",'C:\Sdau1\Pre-16 development\Routine products\Transition Matrices\2018\KS2-4\Development\Simon\[2018 KS4 TM Working File SM3.xlsx]Inputs'!#REF!="Biological_Sciences",'C:\Sdau1\Pre-16 development\Routine products\Transition Matrices\2018\KS2-4\Development\Simon\[2018 KS4 TM Working File SM3.xlsx]Inputs'!#REF!="Chemistry",'C:\Sdau1\Pre-16 development\Routine products\Transition Matrices\2018\KS2-4\Development\Simon\[2018 KS4 TM Working File SM3.xlsx]Inputs'!#REF!="Citizenship_Studies",'C:\Sdau1\Pre-16 development\Routine products\Transition Matrices\2018\KS2-4\Development\Simon\[2018 KS4 TM Working File SM3.xlsx]Inputs'!#REF!="Classical_Studies",'C:\Sdau1\Pre-16 development\Routine products\Transition Matrices\2018\KS2-4\Development\Simon\[2018 KS4 TM Working File SM3.xlsx]Inputs'!#REF!="Combined_Science",'C:\Sdau1\Pre-16 development\Routine products\Transition Matrices\2018\KS2-4\Development\Simon\[2018 KS4 TM Working File SM3.xlsx]Inputs'!#REF!="Computer_Science",'C:\Sdau1\Pre-16 development\Routine products\Transition Matrices\2018\KS2-4\Development\Simon\[2018 KS4 TM Working File SM3.xlsx]Inputs'!#REF!="Dance",'C:\Sdau1\Pre-16 development\Routine products\Transition Matrices\2018\KS2-4\Development\Simon\[2018 KS4 TM Working File SM3.xlsx]Inputs'!#REF!="Food_Preparation_and_Nutrition",'C:\Sdau1\Pre-16 development\Routine products\Transition Matrices\2018\KS2-4\Development\Simon\[2018 KS4 TM Working File SM3.xlsx]Inputs'!#REF!="French",'C:\Sdau1\Pre-16 development\Routine products\Transition Matrices\2018\KS2-4\Development\Simon\[2018 KS4 TM Working File SM3.xlsx]Inputs'!#REF!="Geography",'C:\Sdau1\Pre-16 development\Routine products\Transition Matrices\2018\KS2-4\Development\Simon\[2018 KS4 TM Working File SM3.xlsx]Inputs'!#REF!="German",'C:\Sdau1\Pre-16 development\Routine products\Transition Matrices\2018\KS2-4\Development\Simon\[2018 KS4 TM Working File SM3.xlsx]Inputs'!#REF!="History",'C:\Sdau1\Pre-16 development\Routine products\Transition Matrices\2018\KS2-4\Development\Simon\[2018 KS4 TM Working File SM3.xlsx]Inputs'!#REF!="Music",'C:\Sdau1\Pre-16 development\Routine products\Transition Matrices\2018\KS2-4\Development\Simon\[2018 KS4 TM Working File SM3.xlsx]Inputs'!#REF!="Performing_Arts",'C:\Sdau1\Pre-16 development\Routine products\Transition Matrices\2018\KS2-4\Development\Simon\[2018 KS4 TM Working File SM3.xlsx]Inputs'!#REF!="Photography",'C:\Sdau1\Pre-16 development\Routine products\Transition Matrices\2018\KS2-4\Development\Simon\[2018 KS4 TM Working File SM3.xlsx]Inputs'!#REF!="Physical_Education",'C:\Sdau1\Pre-16 development\Routine products\Transition Matrices\2018\KS2-4\Development\Simon\[2018 KS4 TM Working File SM3.xlsx]Inputs'!#REF!="Physics",'C:\Sdau1\Pre-16 development\Routine products\Transition Matrices\2018\KS2-4\Development\Simon\[2018 KS4 TM Working File SM3.xlsx]Inputs'!#REF!="Religious_Studies",'C:\Sdau1\Pre-16 development\Routine products\Transition Matrices\2018\KS2-4\Development\Simon\[2018 KS4 TM Working File SM3.xlsx]Inputs'!#REF!="Spanish")</xm:f>
            <x14:dxf>
              <fill>
                <patternFill>
                  <bgColor rgb="FF9FB9C8"/>
                </patternFill>
              </fill>
            </x14:dxf>
          </x14:cfRule>
          <xm:sqref>N15</xm:sqref>
        </x14:conditionalFormatting>
        <x14:conditionalFormatting xmlns:xm="http://schemas.microsoft.com/office/excel/2006/main">
          <x14:cfRule type="expression" priority="8" id="{75BC34F0-03E3-479B-BE55-98F104BF4F80}">
            <xm:f>NOT(OR('C:\Sdau1\Pre-16 development\Routine products\Transition Matrices\2018\KS2-4\Development\Simon\[2018 KS4 TM Working File SM3.xlsx]Inputs'!#REF!="Mathematics",'C:\Sdau1\Pre-16 development\Routine products\Transition Matrices\2018\KS2-4\Development\Simon\[2018 KS4 TM Working File SM3.xlsx]Inputs'!#REF!="English_Language",'C:\Sdau1\Pre-16 development\Routine products\Transition Matrices\2018\KS2-4\Development\Simon\[2018 KS4 TM Working File SM3.xlsx]Inputs'!#REF!="English_Literature",'C:\Sdau1\Pre-16 development\Routine products\Transition Matrices\2018\KS2-4\Development\Simon\[2018 KS4 TM Working File SM3.xlsx]Inputs'!#REF!="Art_Design",'C:\Sdau1\Pre-16 development\Routine products\Transition Matrices\2018\KS2-4\Development\Simon\[2018 KS4 TM Working File SM3.xlsx]Inputs'!#REF!="Biological_Sciences",'C:\Sdau1\Pre-16 development\Routine products\Transition Matrices\2018\KS2-4\Development\Simon\[2018 KS4 TM Working File SM3.xlsx]Inputs'!#REF!="Chemistry",'C:\Sdau1\Pre-16 development\Routine products\Transition Matrices\2018\KS2-4\Development\Simon\[2018 KS4 TM Working File SM3.xlsx]Inputs'!#REF!="Citizenship_Studies",'C:\Sdau1\Pre-16 development\Routine products\Transition Matrices\2018\KS2-4\Development\Simon\[2018 KS4 TM Working File SM3.xlsx]Inputs'!#REF!="Classical_Studies",'C:\Sdau1\Pre-16 development\Routine products\Transition Matrices\2018\KS2-4\Development\Simon\[2018 KS4 TM Working File SM3.xlsx]Inputs'!#REF!="Combined_Science",'C:\Sdau1\Pre-16 development\Routine products\Transition Matrices\2018\KS2-4\Development\Simon\[2018 KS4 TM Working File SM3.xlsx]Inputs'!#REF!="Computer_Science",'C:\Sdau1\Pre-16 development\Routine products\Transition Matrices\2018\KS2-4\Development\Simon\[2018 KS4 TM Working File SM3.xlsx]Inputs'!#REF!="Dance",'C:\Sdau1\Pre-16 development\Routine products\Transition Matrices\2018\KS2-4\Development\Simon\[2018 KS4 TM Working File SM3.xlsx]Inputs'!#REF!="Food_Preparation_and_Nutrition",'C:\Sdau1\Pre-16 development\Routine products\Transition Matrices\2018\KS2-4\Development\Simon\[2018 KS4 TM Working File SM3.xlsx]Inputs'!#REF!="French",'C:\Sdau1\Pre-16 development\Routine products\Transition Matrices\2018\KS2-4\Development\Simon\[2018 KS4 TM Working File SM3.xlsx]Inputs'!#REF!="Geography",'C:\Sdau1\Pre-16 development\Routine products\Transition Matrices\2018\KS2-4\Development\Simon\[2018 KS4 TM Working File SM3.xlsx]Inputs'!#REF!="German",'C:\Sdau1\Pre-16 development\Routine products\Transition Matrices\2018\KS2-4\Development\Simon\[2018 KS4 TM Working File SM3.xlsx]Inputs'!#REF!="History",'C:\Sdau1\Pre-16 development\Routine products\Transition Matrices\2018\KS2-4\Development\Simon\[2018 KS4 TM Working File SM3.xlsx]Inputs'!#REF!="Music",'C:\Sdau1\Pre-16 development\Routine products\Transition Matrices\2018\KS2-4\Development\Simon\[2018 KS4 TM Working File SM3.xlsx]Inputs'!#REF!="Performing_Arts",'C:\Sdau1\Pre-16 development\Routine products\Transition Matrices\2018\KS2-4\Development\Simon\[2018 KS4 TM Working File SM3.xlsx]Inputs'!#REF!="Photography",'C:\Sdau1\Pre-16 development\Routine products\Transition Matrices\2018\KS2-4\Development\Simon\[2018 KS4 TM Working File SM3.xlsx]Inputs'!#REF!="Physical_Education",'C:\Sdau1\Pre-16 development\Routine products\Transition Matrices\2018\KS2-4\Development\Simon\[2018 KS4 TM Working File SM3.xlsx]Inputs'!#REF!="Physics",'C:\Sdau1\Pre-16 development\Routine products\Transition Matrices\2018\KS2-4\Development\Simon\[2018 KS4 TM Working File SM3.xlsx]Inputs'!#REF!="Religious_Studies",'C:\Sdau1\Pre-16 development\Routine products\Transition Matrices\2018\KS2-4\Development\Simon\[2018 KS4 TM Working File SM3.xlsx]Inputs'!#REF!="Spanish"))</xm:f>
            <x14:dxf>
              <border>
                <right style="thin">
                  <color auto="1"/>
                </right>
                <vertical/>
                <horizontal/>
              </border>
            </x14:dxf>
          </x14:cfRule>
          <xm:sqref>M43</xm:sqref>
        </x14:conditionalFormatting>
        <x14:conditionalFormatting xmlns:xm="http://schemas.microsoft.com/office/excel/2006/main">
          <x14:cfRule type="expression" priority="6" id="{C1433B08-A0BE-41DB-A5AF-2BDF604607F3}">
            <xm:f>OR('C:\Sdau1\Pre-16 development\Routine products\Transition Matrices\2018\KS2-4\Development\Simon\[2018 KS4 TM Working File SM3.xlsx]Inputs'!#REF!="Mathematics",'C:\Sdau1\Pre-16 development\Routine products\Transition Matrices\2018\KS2-4\Development\Simon\[2018 KS4 TM Working File SM3.xlsx]Inputs'!#REF!="English_Language",'C:\Sdau1\Pre-16 development\Routine products\Transition Matrices\2018\KS2-4\Development\Simon\[2018 KS4 TM Working File SM3.xlsx]Inputs'!#REF!="English_Literature",'C:\Sdau1\Pre-16 development\Routine products\Transition Matrices\2018\KS2-4\Development\Simon\[2018 KS4 TM Working File SM3.xlsx]Inputs'!#REF!="Art_Design",'C:\Sdau1\Pre-16 development\Routine products\Transition Matrices\2018\KS2-4\Development\Simon\[2018 KS4 TM Working File SM3.xlsx]Inputs'!#REF!="Biological_Sciences",'C:\Sdau1\Pre-16 development\Routine products\Transition Matrices\2018\KS2-4\Development\Simon\[2018 KS4 TM Working File SM3.xlsx]Inputs'!#REF!="Chemistry",'C:\Sdau1\Pre-16 development\Routine products\Transition Matrices\2018\KS2-4\Development\Simon\[2018 KS4 TM Working File SM3.xlsx]Inputs'!#REF!="Citizenship_Studies",'C:\Sdau1\Pre-16 development\Routine products\Transition Matrices\2018\KS2-4\Development\Simon\[2018 KS4 TM Working File SM3.xlsx]Inputs'!#REF!="Classical_Studies",'C:\Sdau1\Pre-16 development\Routine products\Transition Matrices\2018\KS2-4\Development\Simon\[2018 KS4 TM Working File SM3.xlsx]Inputs'!#REF!="Combined_Science",'C:\Sdau1\Pre-16 development\Routine products\Transition Matrices\2018\KS2-4\Development\Simon\[2018 KS4 TM Working File SM3.xlsx]Inputs'!#REF!="Computer_Science",'C:\Sdau1\Pre-16 development\Routine products\Transition Matrices\2018\KS2-4\Development\Simon\[2018 KS4 TM Working File SM3.xlsx]Inputs'!#REF!="Dance",'C:\Sdau1\Pre-16 development\Routine products\Transition Matrices\2018\KS2-4\Development\Simon\[2018 KS4 TM Working File SM3.xlsx]Inputs'!#REF!="Food_Preparation_and_Nutrition",'C:\Sdau1\Pre-16 development\Routine products\Transition Matrices\2018\KS2-4\Development\Simon\[2018 KS4 TM Working File SM3.xlsx]Inputs'!#REF!="French",'C:\Sdau1\Pre-16 development\Routine products\Transition Matrices\2018\KS2-4\Development\Simon\[2018 KS4 TM Working File SM3.xlsx]Inputs'!#REF!="Geography",'C:\Sdau1\Pre-16 development\Routine products\Transition Matrices\2018\KS2-4\Development\Simon\[2018 KS4 TM Working File SM3.xlsx]Inputs'!#REF!="German",'C:\Sdau1\Pre-16 development\Routine products\Transition Matrices\2018\KS2-4\Development\Simon\[2018 KS4 TM Working File SM3.xlsx]Inputs'!#REF!="History",'C:\Sdau1\Pre-16 development\Routine products\Transition Matrices\2018\KS2-4\Development\Simon\[2018 KS4 TM Working File SM3.xlsx]Inputs'!#REF!="Music",'C:\Sdau1\Pre-16 development\Routine products\Transition Matrices\2018\KS2-4\Development\Simon\[2018 KS4 TM Working File SM3.xlsx]Inputs'!#REF!="Performing_Arts",'C:\Sdau1\Pre-16 development\Routine products\Transition Matrices\2018\KS2-4\Development\Simon\[2018 KS4 TM Working File SM3.xlsx]Inputs'!#REF!="Photography",'C:\Sdau1\Pre-16 development\Routine products\Transition Matrices\2018\KS2-4\Development\Simon\[2018 KS4 TM Working File SM3.xlsx]Inputs'!#REF!="Physical_Education",'C:\Sdau1\Pre-16 development\Routine products\Transition Matrices\2018\KS2-4\Development\Simon\[2018 KS4 TM Working File SM3.xlsx]Inputs'!#REF!="Physics",'C:\Sdau1\Pre-16 development\Routine products\Transition Matrices\2018\KS2-4\Development\Simon\[2018 KS4 TM Working File SM3.xlsx]Inputs'!#REF!="Religious_Studies",'C:\Sdau1\Pre-16 development\Routine products\Transition Matrices\2018\KS2-4\Development\Simon\[2018 KS4 TM Working File SM3.xlsx]Inputs'!#REF!="Spanish")</xm:f>
            <x14:dxf>
              <border>
                <left style="thin">
                  <color auto="1"/>
                </left>
                <right style="thin">
                  <color auto="1"/>
                </right>
                <top style="thin">
                  <color auto="1"/>
                </top>
                <bottom style="thin">
                  <color auto="1"/>
                </bottom>
                <vertical/>
                <horizontal/>
              </border>
            </x14:dxf>
          </x14:cfRule>
          <xm:sqref>N44</xm:sqref>
        </x14:conditionalFormatting>
        <x14:conditionalFormatting xmlns:xm="http://schemas.microsoft.com/office/excel/2006/main">
          <x14:cfRule type="expression" priority="7" id="{C3DE3783-AD9B-49F5-9752-7D1D45E7AF84}">
            <xm:f>OR('C:\Sdau1\Pre-16 development\Routine products\Transition Matrices\2018\KS2-4\Development\Simon\[2018 KS4 TM Working File SM3.xlsx]Inputs'!#REF!="Mathematics",'C:\Sdau1\Pre-16 development\Routine products\Transition Matrices\2018\KS2-4\Development\Simon\[2018 KS4 TM Working File SM3.xlsx]Inputs'!#REF!="English_Language",'C:\Sdau1\Pre-16 development\Routine products\Transition Matrices\2018\KS2-4\Development\Simon\[2018 KS4 TM Working File SM3.xlsx]Inputs'!#REF!="English_Literature",'C:\Sdau1\Pre-16 development\Routine products\Transition Matrices\2018\KS2-4\Development\Simon\[2018 KS4 TM Working File SM3.xlsx]Inputs'!#REF!="Art_Design",'C:\Sdau1\Pre-16 development\Routine products\Transition Matrices\2018\KS2-4\Development\Simon\[2018 KS4 TM Working File SM3.xlsx]Inputs'!#REF!="Biological_Sciences",'C:\Sdau1\Pre-16 development\Routine products\Transition Matrices\2018\KS2-4\Development\Simon\[2018 KS4 TM Working File SM3.xlsx]Inputs'!#REF!="Chemistry",'C:\Sdau1\Pre-16 development\Routine products\Transition Matrices\2018\KS2-4\Development\Simon\[2018 KS4 TM Working File SM3.xlsx]Inputs'!#REF!="Citizenship_Studies",'C:\Sdau1\Pre-16 development\Routine products\Transition Matrices\2018\KS2-4\Development\Simon\[2018 KS4 TM Working File SM3.xlsx]Inputs'!#REF!="Classical_Studies",'C:\Sdau1\Pre-16 development\Routine products\Transition Matrices\2018\KS2-4\Development\Simon\[2018 KS4 TM Working File SM3.xlsx]Inputs'!#REF!="Combined_Science",'C:\Sdau1\Pre-16 development\Routine products\Transition Matrices\2018\KS2-4\Development\Simon\[2018 KS4 TM Working File SM3.xlsx]Inputs'!#REF!="Computer_Science",'C:\Sdau1\Pre-16 development\Routine products\Transition Matrices\2018\KS2-4\Development\Simon\[2018 KS4 TM Working File SM3.xlsx]Inputs'!#REF!="Dance",'C:\Sdau1\Pre-16 development\Routine products\Transition Matrices\2018\KS2-4\Development\Simon\[2018 KS4 TM Working File SM3.xlsx]Inputs'!#REF!="Food_Preparation_and_Nutrition",'C:\Sdau1\Pre-16 development\Routine products\Transition Matrices\2018\KS2-4\Development\Simon\[2018 KS4 TM Working File SM3.xlsx]Inputs'!#REF!="French",'C:\Sdau1\Pre-16 development\Routine products\Transition Matrices\2018\KS2-4\Development\Simon\[2018 KS4 TM Working File SM3.xlsx]Inputs'!#REF!="Geography",'C:\Sdau1\Pre-16 development\Routine products\Transition Matrices\2018\KS2-4\Development\Simon\[2018 KS4 TM Working File SM3.xlsx]Inputs'!#REF!="German",'C:\Sdau1\Pre-16 development\Routine products\Transition Matrices\2018\KS2-4\Development\Simon\[2018 KS4 TM Working File SM3.xlsx]Inputs'!#REF!="History",'C:\Sdau1\Pre-16 development\Routine products\Transition Matrices\2018\KS2-4\Development\Simon\[2018 KS4 TM Working File SM3.xlsx]Inputs'!#REF!="Music",'C:\Sdau1\Pre-16 development\Routine products\Transition Matrices\2018\KS2-4\Development\Simon\[2018 KS4 TM Working File SM3.xlsx]Inputs'!#REF!="Performing_Arts",'C:\Sdau1\Pre-16 development\Routine products\Transition Matrices\2018\KS2-4\Development\Simon\[2018 KS4 TM Working File SM3.xlsx]Inputs'!#REF!="Photography",'C:\Sdau1\Pre-16 development\Routine products\Transition Matrices\2018\KS2-4\Development\Simon\[2018 KS4 TM Working File SM3.xlsx]Inputs'!#REF!="Physical_Education",'C:\Sdau1\Pre-16 development\Routine products\Transition Matrices\2018\KS2-4\Development\Simon\[2018 KS4 TM Working File SM3.xlsx]Inputs'!#REF!="Physics",'C:\Sdau1\Pre-16 development\Routine products\Transition Matrices\2018\KS2-4\Development\Simon\[2018 KS4 TM Working File SM3.xlsx]Inputs'!#REF!="Religious_Studies",'C:\Sdau1\Pre-16 development\Routine products\Transition Matrices\2018\KS2-4\Development\Simon\[2018 KS4 TM Working File SM3.xlsx]Inputs'!#REF!="Spanish")</xm:f>
            <x14:dxf>
              <fill>
                <patternFill>
                  <bgColor rgb="FF9FB9C8"/>
                </patternFill>
              </fill>
            </x14:dxf>
          </x14:cfRule>
          <xm:sqref>N44</xm:sqref>
        </x14:conditionalFormatting>
        <x14:conditionalFormatting xmlns:xm="http://schemas.microsoft.com/office/excel/2006/main">
          <x14:cfRule type="expression" priority="5" id="{113629E4-9E72-4DE3-BD58-54AC9853BB2D}">
            <xm:f>NOT(OR('C:\Sdau1\Pre-16 development\Routine products\Transition Matrices\2018\KS2-4\Development\Simon\[2018 KS4 TM Working File SM3.xlsx]Inputs'!#REF!="Mathematics",'C:\Sdau1\Pre-16 development\Routine products\Transition Matrices\2018\KS2-4\Development\Simon\[2018 KS4 TM Working File SM3.xlsx]Inputs'!#REF!="English_Language",'C:\Sdau1\Pre-16 development\Routine products\Transition Matrices\2018\KS2-4\Development\Simon\[2018 KS4 TM Working File SM3.xlsx]Inputs'!#REF!="English_Literature",'C:\Sdau1\Pre-16 development\Routine products\Transition Matrices\2018\KS2-4\Development\Simon\[2018 KS4 TM Working File SM3.xlsx]Inputs'!#REF!="Art_Design",'C:\Sdau1\Pre-16 development\Routine products\Transition Matrices\2018\KS2-4\Development\Simon\[2018 KS4 TM Working File SM3.xlsx]Inputs'!#REF!="Biological_Sciences",'C:\Sdau1\Pre-16 development\Routine products\Transition Matrices\2018\KS2-4\Development\Simon\[2018 KS4 TM Working File SM3.xlsx]Inputs'!#REF!="Chemistry",'C:\Sdau1\Pre-16 development\Routine products\Transition Matrices\2018\KS2-4\Development\Simon\[2018 KS4 TM Working File SM3.xlsx]Inputs'!#REF!="Citizenship_Studies",'C:\Sdau1\Pre-16 development\Routine products\Transition Matrices\2018\KS2-4\Development\Simon\[2018 KS4 TM Working File SM3.xlsx]Inputs'!#REF!="Classical_Studies",'C:\Sdau1\Pre-16 development\Routine products\Transition Matrices\2018\KS2-4\Development\Simon\[2018 KS4 TM Working File SM3.xlsx]Inputs'!#REF!="Combined_Science",'C:\Sdau1\Pre-16 development\Routine products\Transition Matrices\2018\KS2-4\Development\Simon\[2018 KS4 TM Working File SM3.xlsx]Inputs'!#REF!="Computer_Science",'C:\Sdau1\Pre-16 development\Routine products\Transition Matrices\2018\KS2-4\Development\Simon\[2018 KS4 TM Working File SM3.xlsx]Inputs'!#REF!="Dance",'C:\Sdau1\Pre-16 development\Routine products\Transition Matrices\2018\KS2-4\Development\Simon\[2018 KS4 TM Working File SM3.xlsx]Inputs'!#REF!="Food_Preparation_and_Nutrition",'C:\Sdau1\Pre-16 development\Routine products\Transition Matrices\2018\KS2-4\Development\Simon\[2018 KS4 TM Working File SM3.xlsx]Inputs'!#REF!="French",'C:\Sdau1\Pre-16 development\Routine products\Transition Matrices\2018\KS2-4\Development\Simon\[2018 KS4 TM Working File SM3.xlsx]Inputs'!#REF!="Geography",'C:\Sdau1\Pre-16 development\Routine products\Transition Matrices\2018\KS2-4\Development\Simon\[2018 KS4 TM Working File SM3.xlsx]Inputs'!#REF!="German",'C:\Sdau1\Pre-16 development\Routine products\Transition Matrices\2018\KS2-4\Development\Simon\[2018 KS4 TM Working File SM3.xlsx]Inputs'!#REF!="History",'C:\Sdau1\Pre-16 development\Routine products\Transition Matrices\2018\KS2-4\Development\Simon\[2018 KS4 TM Working File SM3.xlsx]Inputs'!#REF!="Music",'C:\Sdau1\Pre-16 development\Routine products\Transition Matrices\2018\KS2-4\Development\Simon\[2018 KS4 TM Working File SM3.xlsx]Inputs'!#REF!="Performing_Arts",'C:\Sdau1\Pre-16 development\Routine products\Transition Matrices\2018\KS2-4\Development\Simon\[2018 KS4 TM Working File SM3.xlsx]Inputs'!#REF!="Photography",'C:\Sdau1\Pre-16 development\Routine products\Transition Matrices\2018\KS2-4\Development\Simon\[2018 KS4 TM Working File SM3.xlsx]Inputs'!#REF!="Physical_Education",'C:\Sdau1\Pre-16 development\Routine products\Transition Matrices\2018\KS2-4\Development\Simon\[2018 KS4 TM Working File SM3.xlsx]Inputs'!#REF!="Physics",'C:\Sdau1\Pre-16 development\Routine products\Transition Matrices\2018\KS2-4\Development\Simon\[2018 KS4 TM Working File SM3.xlsx]Inputs'!#REF!="Religious_Studies",'C:\Sdau1\Pre-16 development\Routine products\Transition Matrices\2018\KS2-4\Development\Simon\[2018 KS4 TM Working File SM3.xlsx]Inputs'!#REF!="Spanish"))</xm:f>
            <x14:dxf>
              <border>
                <right style="thin">
                  <color auto="1"/>
                </right>
                <vertical/>
                <horizontal/>
              </border>
            </x14:dxf>
          </x14:cfRule>
          <xm:sqref>M61</xm:sqref>
        </x14:conditionalFormatting>
        <x14:conditionalFormatting xmlns:xm="http://schemas.microsoft.com/office/excel/2006/main">
          <x14:cfRule type="expression" priority="3" id="{4D8D8F2C-3C5D-46EE-8341-4FE7593A6B92}">
            <xm:f>OR('C:\Sdau1\Pre-16 development\Routine products\Transition Matrices\2018\KS2-4\Development\Simon\[2018 KS4 TM Working File SM3.xlsx]Inputs'!#REF!="Mathematics",'C:\Sdau1\Pre-16 development\Routine products\Transition Matrices\2018\KS2-4\Development\Simon\[2018 KS4 TM Working File SM3.xlsx]Inputs'!#REF!="English_Language",'C:\Sdau1\Pre-16 development\Routine products\Transition Matrices\2018\KS2-4\Development\Simon\[2018 KS4 TM Working File SM3.xlsx]Inputs'!#REF!="English_Literature",'C:\Sdau1\Pre-16 development\Routine products\Transition Matrices\2018\KS2-4\Development\Simon\[2018 KS4 TM Working File SM3.xlsx]Inputs'!#REF!="Art_Design",'C:\Sdau1\Pre-16 development\Routine products\Transition Matrices\2018\KS2-4\Development\Simon\[2018 KS4 TM Working File SM3.xlsx]Inputs'!#REF!="Biological_Sciences",'C:\Sdau1\Pre-16 development\Routine products\Transition Matrices\2018\KS2-4\Development\Simon\[2018 KS4 TM Working File SM3.xlsx]Inputs'!#REF!="Chemistry",'C:\Sdau1\Pre-16 development\Routine products\Transition Matrices\2018\KS2-4\Development\Simon\[2018 KS4 TM Working File SM3.xlsx]Inputs'!#REF!="Citizenship_Studies",'C:\Sdau1\Pre-16 development\Routine products\Transition Matrices\2018\KS2-4\Development\Simon\[2018 KS4 TM Working File SM3.xlsx]Inputs'!#REF!="Classical_Studies",'C:\Sdau1\Pre-16 development\Routine products\Transition Matrices\2018\KS2-4\Development\Simon\[2018 KS4 TM Working File SM3.xlsx]Inputs'!#REF!="Combined_Science",'C:\Sdau1\Pre-16 development\Routine products\Transition Matrices\2018\KS2-4\Development\Simon\[2018 KS4 TM Working File SM3.xlsx]Inputs'!#REF!="Computer_Science",'C:\Sdau1\Pre-16 development\Routine products\Transition Matrices\2018\KS2-4\Development\Simon\[2018 KS4 TM Working File SM3.xlsx]Inputs'!#REF!="Dance",'C:\Sdau1\Pre-16 development\Routine products\Transition Matrices\2018\KS2-4\Development\Simon\[2018 KS4 TM Working File SM3.xlsx]Inputs'!#REF!="Food_Preparation_and_Nutrition",'C:\Sdau1\Pre-16 development\Routine products\Transition Matrices\2018\KS2-4\Development\Simon\[2018 KS4 TM Working File SM3.xlsx]Inputs'!#REF!="French",'C:\Sdau1\Pre-16 development\Routine products\Transition Matrices\2018\KS2-4\Development\Simon\[2018 KS4 TM Working File SM3.xlsx]Inputs'!#REF!="Geography",'C:\Sdau1\Pre-16 development\Routine products\Transition Matrices\2018\KS2-4\Development\Simon\[2018 KS4 TM Working File SM3.xlsx]Inputs'!#REF!="German",'C:\Sdau1\Pre-16 development\Routine products\Transition Matrices\2018\KS2-4\Development\Simon\[2018 KS4 TM Working File SM3.xlsx]Inputs'!#REF!="History",'C:\Sdau1\Pre-16 development\Routine products\Transition Matrices\2018\KS2-4\Development\Simon\[2018 KS4 TM Working File SM3.xlsx]Inputs'!#REF!="Music",'C:\Sdau1\Pre-16 development\Routine products\Transition Matrices\2018\KS2-4\Development\Simon\[2018 KS4 TM Working File SM3.xlsx]Inputs'!#REF!="Performing_Arts",'C:\Sdau1\Pre-16 development\Routine products\Transition Matrices\2018\KS2-4\Development\Simon\[2018 KS4 TM Working File SM3.xlsx]Inputs'!#REF!="Photography",'C:\Sdau1\Pre-16 development\Routine products\Transition Matrices\2018\KS2-4\Development\Simon\[2018 KS4 TM Working File SM3.xlsx]Inputs'!#REF!="Physical_Education",'C:\Sdau1\Pre-16 development\Routine products\Transition Matrices\2018\KS2-4\Development\Simon\[2018 KS4 TM Working File SM3.xlsx]Inputs'!#REF!="Physics",'C:\Sdau1\Pre-16 development\Routine products\Transition Matrices\2018\KS2-4\Development\Simon\[2018 KS4 TM Working File SM3.xlsx]Inputs'!#REF!="Religious_Studies",'C:\Sdau1\Pre-16 development\Routine products\Transition Matrices\2018\KS2-4\Development\Simon\[2018 KS4 TM Working File SM3.xlsx]Inputs'!#REF!="Spanish")</xm:f>
            <x14:dxf>
              <border>
                <left style="thin">
                  <color auto="1"/>
                </left>
                <right style="thin">
                  <color auto="1"/>
                </right>
                <top style="thin">
                  <color auto="1"/>
                </top>
                <bottom style="thin">
                  <color auto="1"/>
                </bottom>
                <vertical/>
                <horizontal/>
              </border>
            </x14:dxf>
          </x14:cfRule>
          <xm:sqref>N62</xm:sqref>
        </x14:conditionalFormatting>
        <x14:conditionalFormatting xmlns:xm="http://schemas.microsoft.com/office/excel/2006/main">
          <x14:cfRule type="expression" priority="4" id="{1CAC6D04-C998-420E-9052-A72F23D75326}">
            <xm:f>OR('C:\Sdau1\Pre-16 development\Routine products\Transition Matrices\2018\KS2-4\Development\Simon\[2018 KS4 TM Working File SM3.xlsx]Inputs'!#REF!="Mathematics",'C:\Sdau1\Pre-16 development\Routine products\Transition Matrices\2018\KS2-4\Development\Simon\[2018 KS4 TM Working File SM3.xlsx]Inputs'!#REF!="English_Language",'C:\Sdau1\Pre-16 development\Routine products\Transition Matrices\2018\KS2-4\Development\Simon\[2018 KS4 TM Working File SM3.xlsx]Inputs'!#REF!="English_Literature",'C:\Sdau1\Pre-16 development\Routine products\Transition Matrices\2018\KS2-4\Development\Simon\[2018 KS4 TM Working File SM3.xlsx]Inputs'!#REF!="Art_Design",'C:\Sdau1\Pre-16 development\Routine products\Transition Matrices\2018\KS2-4\Development\Simon\[2018 KS4 TM Working File SM3.xlsx]Inputs'!#REF!="Biological_Sciences",'C:\Sdau1\Pre-16 development\Routine products\Transition Matrices\2018\KS2-4\Development\Simon\[2018 KS4 TM Working File SM3.xlsx]Inputs'!#REF!="Chemistry",'C:\Sdau1\Pre-16 development\Routine products\Transition Matrices\2018\KS2-4\Development\Simon\[2018 KS4 TM Working File SM3.xlsx]Inputs'!#REF!="Citizenship_Studies",'C:\Sdau1\Pre-16 development\Routine products\Transition Matrices\2018\KS2-4\Development\Simon\[2018 KS4 TM Working File SM3.xlsx]Inputs'!#REF!="Classical_Studies",'C:\Sdau1\Pre-16 development\Routine products\Transition Matrices\2018\KS2-4\Development\Simon\[2018 KS4 TM Working File SM3.xlsx]Inputs'!#REF!="Combined_Science",'C:\Sdau1\Pre-16 development\Routine products\Transition Matrices\2018\KS2-4\Development\Simon\[2018 KS4 TM Working File SM3.xlsx]Inputs'!#REF!="Computer_Science",'C:\Sdau1\Pre-16 development\Routine products\Transition Matrices\2018\KS2-4\Development\Simon\[2018 KS4 TM Working File SM3.xlsx]Inputs'!#REF!="Dance",'C:\Sdau1\Pre-16 development\Routine products\Transition Matrices\2018\KS2-4\Development\Simon\[2018 KS4 TM Working File SM3.xlsx]Inputs'!#REF!="Food_Preparation_and_Nutrition",'C:\Sdau1\Pre-16 development\Routine products\Transition Matrices\2018\KS2-4\Development\Simon\[2018 KS4 TM Working File SM3.xlsx]Inputs'!#REF!="French",'C:\Sdau1\Pre-16 development\Routine products\Transition Matrices\2018\KS2-4\Development\Simon\[2018 KS4 TM Working File SM3.xlsx]Inputs'!#REF!="Geography",'C:\Sdau1\Pre-16 development\Routine products\Transition Matrices\2018\KS2-4\Development\Simon\[2018 KS4 TM Working File SM3.xlsx]Inputs'!#REF!="German",'C:\Sdau1\Pre-16 development\Routine products\Transition Matrices\2018\KS2-4\Development\Simon\[2018 KS4 TM Working File SM3.xlsx]Inputs'!#REF!="History",'C:\Sdau1\Pre-16 development\Routine products\Transition Matrices\2018\KS2-4\Development\Simon\[2018 KS4 TM Working File SM3.xlsx]Inputs'!#REF!="Music",'C:\Sdau1\Pre-16 development\Routine products\Transition Matrices\2018\KS2-4\Development\Simon\[2018 KS4 TM Working File SM3.xlsx]Inputs'!#REF!="Performing_Arts",'C:\Sdau1\Pre-16 development\Routine products\Transition Matrices\2018\KS2-4\Development\Simon\[2018 KS4 TM Working File SM3.xlsx]Inputs'!#REF!="Photography",'C:\Sdau1\Pre-16 development\Routine products\Transition Matrices\2018\KS2-4\Development\Simon\[2018 KS4 TM Working File SM3.xlsx]Inputs'!#REF!="Physical_Education",'C:\Sdau1\Pre-16 development\Routine products\Transition Matrices\2018\KS2-4\Development\Simon\[2018 KS4 TM Working File SM3.xlsx]Inputs'!#REF!="Physics",'C:\Sdau1\Pre-16 development\Routine products\Transition Matrices\2018\KS2-4\Development\Simon\[2018 KS4 TM Working File SM3.xlsx]Inputs'!#REF!="Religious_Studies",'C:\Sdau1\Pre-16 development\Routine products\Transition Matrices\2018\KS2-4\Development\Simon\[2018 KS4 TM Working File SM3.xlsx]Inputs'!#REF!="Spanish")</xm:f>
            <x14:dxf>
              <fill>
                <patternFill>
                  <bgColor rgb="FF9FB9C8"/>
                </patternFill>
              </fill>
            </x14:dxf>
          </x14:cfRule>
          <xm:sqref>N62</xm:sqref>
        </x14:conditionalFormatting>
        <x14:conditionalFormatting xmlns:xm="http://schemas.microsoft.com/office/excel/2006/main">
          <x14:cfRule type="expression" priority="2" id="{052D3874-A427-4C60-8E85-D5FF3536F05E}">
            <xm:f>IF(NOT(OR(InputsCS!$I$1="Please Select",InputsCS!$I$1="",InputsCS!$I$2="Please Select",InputsCS!$I$2="")),InputsCS!$I$3=$D45)</xm:f>
            <x14:dxf>
              <fill>
                <patternFill>
                  <bgColor rgb="FFD4CEDE"/>
                </patternFill>
              </fill>
            </x14:dxf>
          </x14:cfRule>
          <xm:sqref>E45:V56</xm:sqref>
        </x14:conditionalFormatting>
        <x14:conditionalFormatting xmlns:xm="http://schemas.microsoft.com/office/excel/2006/main">
          <x14:cfRule type="expression" priority="1" id="{A9562B24-4122-457A-8558-9C0A359B0944}">
            <xm:f>IF(NOT(OR(InputsCS!$I$1="Please Select",InputsCS!$I$1="",InputsCS!$I$2="Please Select",InputsCS!$I$2="")),InputsCS!$I$3=$D63)</xm:f>
            <x14:dxf>
              <fill>
                <patternFill>
                  <bgColor rgb="FFD4CEDE"/>
                </patternFill>
              </fill>
            </x14:dxf>
          </x14:cfRule>
          <xm:sqref>E63:V74</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B5:W77"/>
  <sheetViews>
    <sheetView showGridLines="0" showRowColHeaders="0" topLeftCell="D1" zoomScale="80" zoomScaleNormal="80" workbookViewId="0">
      <selection activeCell="H9" sqref="H9"/>
    </sheetView>
  </sheetViews>
  <sheetFormatPr defaultRowHeight="14.25" x14ac:dyDescent="0.45"/>
  <cols>
    <col min="1" max="2" width="3.73046875" customWidth="1"/>
    <col min="3" max="3" width="8.3984375" customWidth="1"/>
    <col min="4" max="4" width="11.1328125" customWidth="1"/>
    <col min="5" max="6" width="24.59765625" customWidth="1"/>
    <col min="8" max="8" width="8.3984375" customWidth="1"/>
    <col min="9" max="9" width="11.1328125" customWidth="1"/>
    <col min="10" max="11" width="24.59765625" customWidth="1"/>
  </cols>
  <sheetData>
    <row r="5" spans="2:19" ht="17.649999999999999" x14ac:dyDescent="0.45">
      <c r="B5" s="8" t="s">
        <v>91</v>
      </c>
    </row>
    <row r="6" spans="2:19" ht="17.25" x14ac:dyDescent="0.45">
      <c r="B6" s="8"/>
    </row>
    <row r="7" spans="2:19" ht="17.649999999999999" x14ac:dyDescent="0.45">
      <c r="B7" s="8" t="s">
        <v>53</v>
      </c>
    </row>
    <row r="9" spans="2:19" ht="17.25" x14ac:dyDescent="0.45">
      <c r="B9" s="39"/>
    </row>
    <row r="10" spans="2:19" ht="17.649999999999999" x14ac:dyDescent="0.5">
      <c r="H10" s="127" t="s">
        <v>66</v>
      </c>
      <c r="I10" s="127"/>
      <c r="J10" s="127"/>
      <c r="K10" s="127"/>
      <c r="L10" s="127"/>
      <c r="M10" s="127"/>
      <c r="N10" s="127"/>
      <c r="O10" s="127"/>
      <c r="P10" s="127"/>
      <c r="Q10" s="127"/>
      <c r="R10" s="127"/>
      <c r="S10" s="127"/>
    </row>
    <row r="12" spans="2:19" ht="18" x14ac:dyDescent="0.55000000000000004">
      <c r="C12" s="122" t="str">
        <f>IF(Inputs!$K$2="Pupil Numbers","Pupil Numbers",IF(Inputs!$K$2="Pupil Percentages","Pupil Percentages",""))</f>
        <v/>
      </c>
      <c r="D12" s="122"/>
      <c r="E12" s="58"/>
      <c r="F12" s="58"/>
      <c r="H12" s="51"/>
      <c r="I12" s="51"/>
      <c r="J12" s="51"/>
      <c r="K12" s="51"/>
      <c r="L12" s="51"/>
      <c r="M12" s="51"/>
      <c r="N12" s="51"/>
      <c r="O12" s="51"/>
      <c r="P12" s="51"/>
      <c r="Q12" s="51"/>
    </row>
    <row r="13" spans="2:19" ht="34.5" customHeight="1" x14ac:dyDescent="0.45">
      <c r="C13" s="122"/>
      <c r="D13" s="122"/>
      <c r="E13" s="126" t="s">
        <v>58</v>
      </c>
      <c r="F13" s="126"/>
    </row>
    <row r="14" spans="2:19" ht="17.649999999999999" x14ac:dyDescent="0.45">
      <c r="C14" s="123"/>
      <c r="D14" s="123"/>
      <c r="E14" s="59" t="str">
        <f>IF(Inputs!$K$1="Ebacc_Entry","Entered","Achieved")</f>
        <v>Achieved</v>
      </c>
      <c r="F14" s="59" t="str">
        <f>IF(Inputs!$K$1="Ebacc_Entry","Not Entered","Not Achieved")</f>
        <v>Not Achieved</v>
      </c>
    </row>
    <row r="15" spans="2:19" ht="23.1" customHeight="1" x14ac:dyDescent="0.5">
      <c r="C15" s="119" t="s">
        <v>13</v>
      </c>
      <c r="D15" s="60" t="s">
        <v>1</v>
      </c>
      <c r="E15" s="61" t="str">
        <f ca="1">IFERROR(IF(Inputs!$K$2="Pupil Numbers",INDEX(INDIRECT(Inputs!$K$1),1,1),IF(Inputs!$K$2="Pupil Percentages",INDEX(INDIRECT(Inputs!$K$1),17,1),"")),"")</f>
        <v/>
      </c>
      <c r="F15" s="61" t="str">
        <f ca="1">IFERROR(IF(Inputs!$K$2="Pupil Numbers",INDEX(INDIRECT(Inputs!$K$1),1,3),IF(Inputs!$K$2="Pupil Percentages",INDEX(INDIRECT(Inputs!$K$1),17,3),"")),"")</f>
        <v/>
      </c>
    </row>
    <row r="16" spans="2:19" ht="23.1" customHeight="1" x14ac:dyDescent="0.5">
      <c r="C16" s="120"/>
      <c r="D16" s="60" t="s">
        <v>56</v>
      </c>
      <c r="E16" s="61" t="str">
        <f ca="1">IFERROR(IF(Inputs!$K$2="Pupil Numbers",INDEX(INDIRECT(Inputs!$K$1),2,1),IF(Inputs!$K$2="Pupil Percentages",INDEX(INDIRECT(Inputs!$K$1),18,1),"")),"")</f>
        <v/>
      </c>
      <c r="F16" s="61" t="str">
        <f ca="1">IFERROR(IF(Inputs!$K$2="Pupil Numbers",INDEX(INDIRECT(Inputs!$K$1),2,3),IF(Inputs!$K$2="Pupil Percentages",INDEX(INDIRECT(Inputs!$K$1),18,3),"")),"")</f>
        <v/>
      </c>
    </row>
    <row r="17" spans="3:6" ht="23.1" customHeight="1" x14ac:dyDescent="0.5">
      <c r="C17" s="120"/>
      <c r="D17" s="60" t="s">
        <v>2</v>
      </c>
      <c r="E17" s="61" t="str">
        <f ca="1">IFERROR(IF(Inputs!$K$2="Pupil Numbers",INDEX(INDIRECT(Inputs!$K$1),3,1),IF(Inputs!$K$2="Pupil Percentages",INDEX(INDIRECT(Inputs!$K$1),19,1),"")),"")</f>
        <v/>
      </c>
      <c r="F17" s="61" t="str">
        <f ca="1">IFERROR(IF(Inputs!$K$2="Pupil Numbers",INDEX(INDIRECT(Inputs!$K$1),3,3),IF(Inputs!$K$2="Pupil Percentages",INDEX(INDIRECT(Inputs!$K$1),19,3),"")),"")</f>
        <v/>
      </c>
    </row>
    <row r="18" spans="3:6" ht="23.1" customHeight="1" x14ac:dyDescent="0.5">
      <c r="C18" s="120"/>
      <c r="D18" s="60" t="s">
        <v>3</v>
      </c>
      <c r="E18" s="61" t="str">
        <f ca="1">IFERROR(IF(Inputs!$K$2="Pupil Numbers",INDEX(INDIRECT(Inputs!$K$1),4,1),IF(Inputs!$K$2="Pupil Percentages",INDEX(INDIRECT(Inputs!$K$1),20,1),"")),"")</f>
        <v/>
      </c>
      <c r="F18" s="61" t="str">
        <f ca="1">IFERROR(IF(Inputs!$K$2="Pupil Numbers",INDEX(INDIRECT(Inputs!$K$1),4,3),IF(Inputs!$K$2="Pupil Percentages",INDEX(INDIRECT(Inputs!$K$1),20,3),"")),"")</f>
        <v/>
      </c>
    </row>
    <row r="19" spans="3:6" ht="23.1" customHeight="1" x14ac:dyDescent="0.5">
      <c r="C19" s="120"/>
      <c r="D19" s="60" t="s">
        <v>4</v>
      </c>
      <c r="E19" s="61" t="str">
        <f ca="1">IFERROR(IF(Inputs!$K$2="Pupil Numbers",INDEX(INDIRECT(Inputs!$K$1),5,1),IF(Inputs!$K$2="Pupil Percentages",INDEX(INDIRECT(Inputs!$K$1),21,1),"")),"")</f>
        <v/>
      </c>
      <c r="F19" s="61" t="str">
        <f ca="1">IFERROR(IF(Inputs!$K$2="Pupil Numbers",INDEX(INDIRECT(Inputs!$K$1),5,3),IF(Inputs!$K$2="Pupil Percentages",INDEX(INDIRECT(Inputs!$K$1),21,3),"")),"")</f>
        <v/>
      </c>
    </row>
    <row r="20" spans="3:6" ht="23.1" customHeight="1" x14ac:dyDescent="0.5">
      <c r="C20" s="120"/>
      <c r="D20" s="60" t="s">
        <v>5</v>
      </c>
      <c r="E20" s="61" t="str">
        <f ca="1">IFERROR(IF(Inputs!$K$2="Pupil Numbers",INDEX(INDIRECT(Inputs!$K$1),6,1),IF(Inputs!$K$2="Pupil Percentages",INDEX(INDIRECT(Inputs!$K$1),22,1),"")),"")</f>
        <v/>
      </c>
      <c r="F20" s="61" t="str">
        <f ca="1">IFERROR(IF(Inputs!$K$2="Pupil Numbers",INDEX(INDIRECT(Inputs!$K$1),6,3),IF(Inputs!$K$2="Pupil Percentages",INDEX(INDIRECT(Inputs!$K$1),22,3),"")),"")</f>
        <v/>
      </c>
    </row>
    <row r="21" spans="3:6" ht="23.1" customHeight="1" x14ac:dyDescent="0.5">
      <c r="C21" s="120"/>
      <c r="D21" s="60" t="s">
        <v>6</v>
      </c>
      <c r="E21" s="61" t="str">
        <f ca="1">IFERROR(IF(Inputs!$K$2="Pupil Numbers",INDEX(INDIRECT(Inputs!$K$1),7,1),IF(Inputs!$K$2="Pupil Percentages",INDEX(INDIRECT(Inputs!$K$1),23,1),"")),"")</f>
        <v/>
      </c>
      <c r="F21" s="61" t="str">
        <f ca="1">IFERROR(IF(Inputs!$K$2="Pupil Numbers",INDEX(INDIRECT(Inputs!$K$1),7,3),IF(Inputs!$K$2="Pupil Percentages",INDEX(INDIRECT(Inputs!$K$1),23,3),"")),"")</f>
        <v/>
      </c>
    </row>
    <row r="22" spans="3:6" ht="23.1" customHeight="1" x14ac:dyDescent="0.5">
      <c r="C22" s="120"/>
      <c r="D22" s="60" t="s">
        <v>7</v>
      </c>
      <c r="E22" s="61" t="str">
        <f ca="1">IFERROR(IF(Inputs!$K$2="Pupil Numbers",INDEX(INDIRECT(Inputs!$K$1),8,1),IF(Inputs!$K$2="Pupil Percentages",INDEX(INDIRECT(Inputs!$K$1),24,1),"")),"")</f>
        <v/>
      </c>
      <c r="F22" s="61" t="str">
        <f ca="1">IFERROR(IF(Inputs!$K$2="Pupil Numbers",INDEX(INDIRECT(Inputs!$K$1),8,3),IF(Inputs!$K$2="Pupil Percentages",INDEX(INDIRECT(Inputs!$K$1),24,3),"")),"")</f>
        <v/>
      </c>
    </row>
    <row r="23" spans="3:6" ht="23.1" customHeight="1" x14ac:dyDescent="0.5">
      <c r="C23" s="120"/>
      <c r="D23" s="60" t="s">
        <v>8</v>
      </c>
      <c r="E23" s="61" t="str">
        <f ca="1">IFERROR(IF(Inputs!$K$2="Pupil Numbers",INDEX(INDIRECT(Inputs!$K$1),9,1),IF(Inputs!$K$2="Pupil Percentages",INDEX(INDIRECT(Inputs!$K$1),25,1),"")),"")</f>
        <v/>
      </c>
      <c r="F23" s="61" t="str">
        <f ca="1">IFERROR(IF(Inputs!$K$2="Pupil Numbers",INDEX(INDIRECT(Inputs!$K$1),9,3),IF(Inputs!$K$2="Pupil Percentages",INDEX(INDIRECT(Inputs!$K$1),25,3),"")),"")</f>
        <v/>
      </c>
    </row>
    <row r="24" spans="3:6" ht="23.1" customHeight="1" x14ac:dyDescent="0.5">
      <c r="C24" s="120"/>
      <c r="D24" s="60" t="s">
        <v>9</v>
      </c>
      <c r="E24" s="61" t="str">
        <f ca="1">IFERROR(IF(Inputs!$K$2="Pupil Numbers",INDEX(INDIRECT(Inputs!$K$1),10,1),IF(Inputs!$K$2="Pupil Percentages",INDEX(INDIRECT(Inputs!$K$1),26,1),"")),"")</f>
        <v/>
      </c>
      <c r="F24" s="61" t="str">
        <f ca="1">IFERROR(IF(Inputs!$K$2="Pupil Numbers",INDEX(INDIRECT(Inputs!$K$1),10,3),IF(Inputs!$K$2="Pupil Percentages",INDEX(INDIRECT(Inputs!$K$1),26,3),"")),"")</f>
        <v/>
      </c>
    </row>
    <row r="25" spans="3:6" ht="23.1" customHeight="1" x14ac:dyDescent="0.5">
      <c r="C25" s="120"/>
      <c r="D25" s="60" t="s">
        <v>10</v>
      </c>
      <c r="E25" s="61" t="str">
        <f ca="1">IFERROR(IF(Inputs!$K$2="Pupil Numbers",INDEX(INDIRECT(Inputs!$K$1),11,1),IF(Inputs!$K$2="Pupil Percentages",INDEX(INDIRECT(Inputs!$K$1),27,1),"")),"")</f>
        <v/>
      </c>
      <c r="F25" s="61" t="str">
        <f ca="1">IFERROR(IF(Inputs!$K$2="Pupil Numbers",INDEX(INDIRECT(Inputs!$K$1),11,3),IF(Inputs!$K$2="Pupil Percentages",INDEX(INDIRECT(Inputs!$K$1),27,3),"")),"")</f>
        <v/>
      </c>
    </row>
    <row r="26" spans="3:6" ht="23.1" customHeight="1" x14ac:dyDescent="0.5">
      <c r="C26" s="121"/>
      <c r="D26" s="60" t="s">
        <v>11</v>
      </c>
      <c r="E26" s="62" t="str">
        <f ca="1">IFERROR(IF(Inputs!$K$2="Pupil Numbers",INDEX(INDIRECT(Inputs!$K$1),12,1),IF(Inputs!$K$2="Pupil Percentages",INDEX(INDIRECT(Inputs!$K$1),28,1),"")),"")</f>
        <v/>
      </c>
      <c r="F26" s="62" t="str">
        <f ca="1">IFERROR(IF(Inputs!$K$2="Pupil Numbers",INDEX(INDIRECT(Inputs!$K$1),12,3),IF(Inputs!$K$2="Pupil Percentages",INDEX(INDIRECT(Inputs!$K$1),28,3),"")),"")</f>
        <v/>
      </c>
    </row>
    <row r="35" spans="2:21" ht="17.25" x14ac:dyDescent="0.45">
      <c r="Q35" s="51"/>
    </row>
    <row r="36" spans="2:21" ht="17.649999999999999" x14ac:dyDescent="0.45">
      <c r="B36" s="8" t="s">
        <v>91</v>
      </c>
    </row>
    <row r="37" spans="2:21" ht="17.25" x14ac:dyDescent="0.45">
      <c r="B37" s="8"/>
      <c r="L37" s="127"/>
      <c r="M37" s="127"/>
      <c r="N37" s="127"/>
      <c r="O37" s="127"/>
      <c r="P37" s="127"/>
      <c r="Q37" s="127"/>
      <c r="R37" s="127"/>
      <c r="S37" s="127"/>
      <c r="T37" s="127"/>
      <c r="U37" s="127"/>
    </row>
    <row r="38" spans="2:21" ht="17.649999999999999" x14ac:dyDescent="0.45">
      <c r="B38" s="8" t="s">
        <v>53</v>
      </c>
    </row>
    <row r="40" spans="2:21" ht="17.649999999999999" x14ac:dyDescent="0.5">
      <c r="B40" s="39" t="s">
        <v>92</v>
      </c>
    </row>
    <row r="41" spans="2:21" ht="17.25" x14ac:dyDescent="0.45">
      <c r="B41" s="39"/>
    </row>
    <row r="42" spans="2:21" ht="17.649999999999999" x14ac:dyDescent="0.45">
      <c r="B42" s="39"/>
      <c r="N42" s="8" t="s">
        <v>118</v>
      </c>
    </row>
    <row r="44" spans="2:21" ht="20.65" x14ac:dyDescent="0.45">
      <c r="E44" s="54" t="str">
        <f>IF($N$44="Gender","Female",IF($N$44="Disadvantage","Disadvantaged",IF($N$44="SEN","SEN",IF($N$44="EAL","EAL",""))))&amp;" Pupils"</f>
        <v>Female Pupils</v>
      </c>
      <c r="F44" s="40"/>
      <c r="J44" s="54" t="str">
        <f>IF($N$44="Gender","Male",IF($N$44="Disadvantage","Non-disadvantaged",IF($N$44="SEN","Non-SEN",IF($N$44="EAL","Non-EAL",""))))&amp;" Pupils"</f>
        <v>Male Pupils</v>
      </c>
      <c r="N44" s="116" t="str">
        <f>VLOOKUP(InputsCS!$R$1,InputsCS!$S$1:$T$4,2)</f>
        <v>Gender</v>
      </c>
      <c r="O44" s="117"/>
      <c r="P44" s="118"/>
    </row>
    <row r="45" spans="2:21" ht="18" x14ac:dyDescent="0.55000000000000004">
      <c r="C45" s="122" t="str">
        <f>IF(Inputs!$M$2="Pupil Numbers","Pupil Numbers",IF(Inputs!$M$2="Pupil Percentages","Pupil Percentages",""))</f>
        <v/>
      </c>
      <c r="D45" s="122"/>
      <c r="E45" s="58"/>
      <c r="F45" s="58"/>
      <c r="H45" s="122" t="str">
        <f>IF(Inputs!$M$2="Pupil Numbers","Pupil Numbers",IF(Inputs!$M$2="Pupil Percentages","Pupil Percentages",""))</f>
        <v/>
      </c>
      <c r="I45" s="122"/>
      <c r="J45" s="58"/>
      <c r="K45" s="58"/>
    </row>
    <row r="46" spans="2:21" ht="34.5" customHeight="1" x14ac:dyDescent="0.45">
      <c r="C46" s="122"/>
      <c r="D46" s="122"/>
      <c r="E46" s="126" t="s">
        <v>58</v>
      </c>
      <c r="F46" s="126"/>
      <c r="H46" s="122"/>
      <c r="I46" s="122"/>
      <c r="J46" s="126" t="s">
        <v>58</v>
      </c>
      <c r="K46" s="126"/>
    </row>
    <row r="47" spans="2:21" ht="17.850000000000001" customHeight="1" x14ac:dyDescent="0.45">
      <c r="C47" s="123"/>
      <c r="D47" s="123"/>
      <c r="E47" s="59" t="str">
        <f>IF(Inputs!$M$1="Ebacc_Entry","Entered","Achieved")</f>
        <v>Achieved</v>
      </c>
      <c r="F47" s="59" t="str">
        <f>IF(Inputs!$M$1="Ebacc_Entry","Not Entered","Not Achieved")</f>
        <v>Not Achieved</v>
      </c>
      <c r="H47" s="123"/>
      <c r="I47" s="123"/>
      <c r="J47" s="59" t="str">
        <f>IF(Inputs!$M$1="Ebacc_Entry","Entered","Achieved")</f>
        <v>Achieved</v>
      </c>
      <c r="K47" s="59" t="str">
        <f>IF(Inputs!$M$1="Ebacc_Entry","Not Entered","Not Achieved")</f>
        <v>Not Achieved</v>
      </c>
      <c r="L47" s="51"/>
      <c r="M47" s="51"/>
      <c r="N47" s="51"/>
      <c r="O47" s="51"/>
      <c r="P47" s="51"/>
      <c r="Q47" s="51"/>
      <c r="R47" s="51"/>
      <c r="S47" s="51"/>
    </row>
    <row r="48" spans="2:21" ht="23.1" customHeight="1" x14ac:dyDescent="0.5">
      <c r="C48" s="119" t="s">
        <v>13</v>
      </c>
      <c r="D48" s="60" t="s">
        <v>1</v>
      </c>
      <c r="E48" s="61" t="str">
        <f ca="1">IF(Inputs!$M$1="","",IF(Inputs!$M$1="Please Select","",IF(Inputs!$M$2="Please Select","",IF(Inputs!$M$2="Pupil Numbers",IF('KS2-4 Attainment TMs'!$N$44="Gender",INDEX(INDIRECT(Inputs!$M$1),1,14),IF('KS2-4 Attainment TMs'!$N$44="disadvantage",INDEX(INDIRECT(Inputs!$M$1),1,40),IF('KS2-4 Attainment TMs'!$N$44="sen",INDEX(INDIRECT(Inputs!$M$1),1,66),IF('KS2-4 Attainment TMs'!$N$44="eal",INDEX(INDIRECT(Inputs!$M$1),1,92),"")))),IF(Inputs!$M$2="Pupil Percentages",IF('KS2-4 Attainment TMs'!$N$44="Gender",INDEX(INDIRECT(Inputs!$M$1),17,14),IF('KS2-4 Attainment TMs'!$N$44="disadvantage",INDEX(INDIRECT(Inputs!$M$1),17,40),IF('KS2-4 Attainment TMs'!$N$44="sen",INDEX(INDIRECT(Inputs!$M$1),17,66),IF('KS2-4 Attainment TMs'!$N$44="eal",INDEX(INDIRECT(Inputs!$M$1),17,92),"")))))))))</f>
        <v/>
      </c>
      <c r="F48" s="61" t="str">
        <f ca="1">IF(Inputs!$M$1="","",IF(Inputs!$M$1="Please Select","",IF(Inputs!$M$2="Please Select","",IF(Inputs!$M$2="Pupil Numbers",IF('KS2-4 Attainment TMs'!$N$44="Gender",INDEX(INDIRECT(Inputs!$M$1),1,16),IF('KS2-4 Attainment TMs'!$N$44="disadvantage",INDEX(INDIRECT(Inputs!$M$1),1,42),IF('KS2-4 Attainment TMs'!$N$44="sen",INDEX(INDIRECT(Inputs!$M$1),1,68),IF('KS2-4 Attainment TMs'!$N$44="eal",INDEX(INDIRECT(Inputs!$M$1),1,94),"")))),IF(Inputs!$M$2="Pupil Percentages",IF('KS2-4 Attainment TMs'!$N$44="Gender",INDEX(INDIRECT(Inputs!$M$1),17,16),IF('KS2-4 Attainment TMs'!$N$44="disadvantage",INDEX(INDIRECT(Inputs!$M$1),17,42),IF('KS2-4 Attainment TMs'!$N$44="sen",INDEX(INDIRECT(Inputs!$M$1),17,68),IF('KS2-4 Attainment TMs'!$N$44="eal",INDEX(INDIRECT(Inputs!$M$1),17,94),"")))))))))</f>
        <v/>
      </c>
      <c r="H48" s="119" t="s">
        <v>13</v>
      </c>
      <c r="I48" s="60" t="s">
        <v>1</v>
      </c>
      <c r="J48" s="61" t="str">
        <f ca="1">IF(Inputs!$M$1="","",IF(Inputs!$M$1="Please Select","",IF(Inputs!$M$2="Please Select","",IF(Inputs!$M$2="Pupil Numbers",IF('KS2-4 Attainment TMs'!$N$44="Gender",INDEX(INDIRECT(Inputs!$M$1),1,27),IF('KS2-4 Attainment TMs'!$N$44="disadvantage",INDEX(INDIRECT(Inputs!$M$1),1,53),IF('KS2-4 Attainment TMs'!$N$44="sen",INDEX(INDIRECT(Inputs!$M$1),1,79),IF('KS2-4 Attainment TMs'!$N$44="eal",INDEX(INDIRECT(Inputs!$M$1),1,105),"")))),IF(Inputs!$M$2="Pupil Percentages",IF('KS2-4 Attainment TMs'!$N$44="Gender",INDEX(INDIRECT(Inputs!$M$1),17,27),IF('KS2-4 Attainment TMs'!$N$44="disadvantage",INDEX(INDIRECT(Inputs!$M$1),17,53),IF('KS2-4 Attainment TMs'!$N$44="sen",INDEX(INDIRECT(Inputs!$M$1),17,79),IF('KS2-4 Attainment TMs'!$N$44="eal",INDEX(INDIRECT(Inputs!$M$1),17,105),"")))))))))</f>
        <v/>
      </c>
      <c r="K48" s="61" t="str">
        <f ca="1">IF(Inputs!$M$1="","",IF(Inputs!$M$1="Please Select","",IF(Inputs!$M$2="Please Select","",IF(Inputs!$M$2="Pupil Numbers",IF('KS2-4 Attainment TMs'!$N$44="Gender",INDEX(INDIRECT(Inputs!$M$1),1,29),IF('KS2-4 Attainment TMs'!$N$44="disadvantage",INDEX(INDIRECT(Inputs!$M$1),1,55),IF('KS2-4 Attainment TMs'!$N$44="sen",INDEX(INDIRECT(Inputs!$M$1),1,81),IF('KS2-4 Attainment TMs'!$N$44="eal",INDEX(INDIRECT(Inputs!$M$1),1,107),"")))),IF(Inputs!$M$2="Pupil Percentages",IF('KS2-4 Attainment TMs'!$N$44="Gender",INDEX(INDIRECT(Inputs!$M$1),17,29),IF('KS2-4 Attainment TMs'!$N$44="disadvantage",INDEX(INDIRECT(Inputs!$M$1),17,55),IF('KS2-4 Attainment TMs'!$N$44="sen",INDEX(INDIRECT(Inputs!$M$1),17,81),IF('KS2-4 Attainment TMs'!$N$44="eal",INDEX(INDIRECT(Inputs!$M$1),17,107),"")))))))))</f>
        <v/>
      </c>
    </row>
    <row r="49" spans="3:23" ht="23.1" customHeight="1" x14ac:dyDescent="0.5">
      <c r="C49" s="120"/>
      <c r="D49" s="60" t="s">
        <v>56</v>
      </c>
      <c r="E49" s="61" t="str">
        <f ca="1">IF(Inputs!$M$1="","",IF(Inputs!$M$1="Please Select","",IF(Inputs!$M$2="Please Select","",IF(Inputs!$M$2="Pupil Numbers",IF('KS2-4 Attainment TMs'!$N$44="Gender",INDEX(INDIRECT(Inputs!$M$1),2,14),IF('KS2-4 Attainment TMs'!$N$44="disadvantage",INDEX(INDIRECT(Inputs!$M$1),2,40),IF('KS2-4 Attainment TMs'!$N$44="sen",INDEX(INDIRECT(Inputs!$M$1),2,66),IF('KS2-4 Attainment TMs'!$N$44="eal",INDEX(INDIRECT(Inputs!$M$1),2,92),"")))),IF(Inputs!$M$2="Pupil Percentages",IF('KS2-4 Attainment TMs'!$N$44="Gender",INDEX(INDIRECT(Inputs!$M$1),18,14),IF('KS2-4 Attainment TMs'!$N$44="disadvantage",INDEX(INDIRECT(Inputs!$M$1),18,40),IF('KS2-4 Attainment TMs'!$N$44="sen",INDEX(INDIRECT(Inputs!$M$1),18,66),IF('KS2-4 Attainment TMs'!$N$44="eal",INDEX(INDIRECT(Inputs!$M$1),18,92),"")))))))))</f>
        <v/>
      </c>
      <c r="F49" s="61" t="str">
        <f ca="1">IF(Inputs!$M$1="","",IF(Inputs!$M$1="Please Select","",IF(Inputs!$M$2="Please Select","",IF(Inputs!$M$2="Pupil Numbers",IF('KS2-4 Attainment TMs'!$N$44="Gender",INDEX(INDIRECT(Inputs!$M$1),2,16),IF('KS2-4 Attainment TMs'!$N$44="disadvantage",INDEX(INDIRECT(Inputs!$M$1),2,42),IF('KS2-4 Attainment TMs'!$N$44="sen",INDEX(INDIRECT(Inputs!$M$1),2,68),IF('KS2-4 Attainment TMs'!$N$44="eal",INDEX(INDIRECT(Inputs!$M$1),2,94),"")))),IF(Inputs!$M$2="Pupil Percentages",IF('KS2-4 Attainment TMs'!$N$44="Gender",INDEX(INDIRECT(Inputs!$M$1),18,16),IF('KS2-4 Attainment TMs'!$N$44="disadvantage",INDEX(INDIRECT(Inputs!$M$1),18,42),IF('KS2-4 Attainment TMs'!$N$44="sen",INDEX(INDIRECT(Inputs!$M$1),18,68),IF('KS2-4 Attainment TMs'!$N$44="eal",INDEX(INDIRECT(Inputs!$M$1),18,94),"")))))))))</f>
        <v/>
      </c>
      <c r="H49" s="120"/>
      <c r="I49" s="60" t="s">
        <v>56</v>
      </c>
      <c r="J49" s="61" t="str">
        <f ca="1">IF(Inputs!$M$1="","",IF(Inputs!$M$1="Please Select","",IF(Inputs!$M$2="Please Select","",IF(Inputs!$M$2="Pupil Numbers",IF('KS2-4 Attainment TMs'!$N$44="Gender",INDEX(INDIRECT(Inputs!$M$1),2,27),IF('KS2-4 Attainment TMs'!$N$44="disadvantage",INDEX(INDIRECT(Inputs!$M$1),2,53),IF('KS2-4 Attainment TMs'!$N$44="sen",INDEX(INDIRECT(Inputs!$M$1),2,79),IF('KS2-4 Attainment TMs'!$N$44="eal",INDEX(INDIRECT(Inputs!$M$1),2,105),"")))),IF(Inputs!$M$2="Pupil Percentages",IF('KS2-4 Attainment TMs'!$N$44="Gender",INDEX(INDIRECT(Inputs!$M$1),18,27),IF('KS2-4 Attainment TMs'!$N$44="disadvantage",INDEX(INDIRECT(Inputs!$M$1),18,53),IF('KS2-4 Attainment TMs'!$N$44="sen",INDEX(INDIRECT(Inputs!$M$1),18,79),IF('KS2-4 Attainment TMs'!$N$44="eal",INDEX(INDIRECT(Inputs!$M$1),18,105),"")))))))))</f>
        <v/>
      </c>
      <c r="K49" s="61" t="str">
        <f ca="1">IF(Inputs!$M$1="","",IF(Inputs!$M$1="Please Select","",IF(Inputs!$M$2="Please Select","",IF(Inputs!$M$2="Pupil Numbers",IF('KS2-4 Attainment TMs'!$N$44="Gender",INDEX(INDIRECT(Inputs!$M$1),2,29),IF('KS2-4 Attainment TMs'!$N$44="disadvantage",INDEX(INDIRECT(Inputs!$M$1),2,55),IF('KS2-4 Attainment TMs'!$N$44="sen",INDEX(INDIRECT(Inputs!$M$1),2,81),IF('KS2-4 Attainment TMs'!$N$44="eal",INDEX(INDIRECT(Inputs!$M$1),2,107),"")))),IF(Inputs!$M$2="Pupil Percentages",IF('KS2-4 Attainment TMs'!$N$44="Gender",INDEX(INDIRECT(Inputs!$M$1),18,29),IF('KS2-4 Attainment TMs'!$N$44="disadvantage",INDEX(INDIRECT(Inputs!$M$1),18,55),IF('KS2-4 Attainment TMs'!$N$44="sen",INDEX(INDIRECT(Inputs!$M$1),18,81),IF('KS2-4 Attainment TMs'!$N$44="eal",INDEX(INDIRECT(Inputs!$M$1),18,107),"")))))))))</f>
        <v/>
      </c>
    </row>
    <row r="50" spans="3:23" ht="23.1" customHeight="1" x14ac:dyDescent="0.5">
      <c r="C50" s="120"/>
      <c r="D50" s="60" t="s">
        <v>2</v>
      </c>
      <c r="E50" s="61" t="str">
        <f ca="1">IF(Inputs!$M$1="","",IF(Inputs!$M$1="Please Select","",IF(Inputs!$M$2="Please Select","",IF(Inputs!$M$2="Pupil Numbers",IF('KS2-4 Attainment TMs'!$N$44="Gender",INDEX(INDIRECT(Inputs!$M$1),3,14),IF('KS2-4 Attainment TMs'!$N$44="disadvantage",INDEX(INDIRECT(Inputs!$M$1),3,40),IF('KS2-4 Attainment TMs'!$N$44="sen",INDEX(INDIRECT(Inputs!$M$1),3,66),IF('KS2-4 Attainment TMs'!$N$44="eal",INDEX(INDIRECT(Inputs!$M$1),3,92),"")))),IF(Inputs!$M$2="Pupil Percentages",IF('KS2-4 Attainment TMs'!$N$44="Gender",INDEX(INDIRECT(Inputs!$M$1),19,14),IF('KS2-4 Attainment TMs'!$N$44="disadvantage",INDEX(INDIRECT(Inputs!$M$1),19,40),IF('KS2-4 Attainment TMs'!$N$44="sen",INDEX(INDIRECT(Inputs!$M$1),19,66),IF('KS2-4 Attainment TMs'!$N$44="eal",INDEX(INDIRECT(Inputs!$M$1),19,92),"")))))))))</f>
        <v/>
      </c>
      <c r="F50" s="61" t="str">
        <f ca="1">IF(Inputs!$M$1="","",IF(Inputs!$M$1="Please Select","",IF(Inputs!$M$2="Please Select","",IF(Inputs!$M$2="Pupil Numbers",IF('KS2-4 Attainment TMs'!$N$44="Gender",INDEX(INDIRECT(Inputs!$M$1),3,16),IF('KS2-4 Attainment TMs'!$N$44="disadvantage",INDEX(INDIRECT(Inputs!$M$1),3,42),IF('KS2-4 Attainment TMs'!$N$44="sen",INDEX(INDIRECT(Inputs!$M$1),3,68),IF('KS2-4 Attainment TMs'!$N$44="eal",INDEX(INDIRECT(Inputs!$M$1),3,94),"")))),IF(Inputs!$M$2="Pupil Percentages",IF('KS2-4 Attainment TMs'!$N$44="Gender",INDEX(INDIRECT(Inputs!$M$1),19,16),IF('KS2-4 Attainment TMs'!$N$44="disadvantage",INDEX(INDIRECT(Inputs!$M$1),19,42),IF('KS2-4 Attainment TMs'!$N$44="sen",INDEX(INDIRECT(Inputs!$M$1),19,68),IF('KS2-4 Attainment TMs'!$N$44="eal",INDEX(INDIRECT(Inputs!$M$1),19,94),"")))))))))</f>
        <v/>
      </c>
      <c r="H50" s="120"/>
      <c r="I50" s="60" t="s">
        <v>2</v>
      </c>
      <c r="J50" s="61" t="str">
        <f ca="1">IF(Inputs!$M$1="","",IF(Inputs!$M$1="Please Select","",IF(Inputs!$M$2="Please Select","",IF(Inputs!$M$2="Pupil Numbers",IF('KS2-4 Attainment TMs'!$N$44="Gender",INDEX(INDIRECT(Inputs!$M$1),3,27),IF('KS2-4 Attainment TMs'!$N$44="disadvantage",INDEX(INDIRECT(Inputs!$M$1),3,53),IF('KS2-4 Attainment TMs'!$N$44="sen",INDEX(INDIRECT(Inputs!$M$1),3,79),IF('KS2-4 Attainment TMs'!$N$44="eal",INDEX(INDIRECT(Inputs!$M$1),3,105),"")))),IF(Inputs!$M$2="Pupil Percentages",IF('KS2-4 Attainment TMs'!$N$44="Gender",INDEX(INDIRECT(Inputs!$M$1),19,27),IF('KS2-4 Attainment TMs'!$N$44="disadvantage",INDEX(INDIRECT(Inputs!$M$1),19,53),IF('KS2-4 Attainment TMs'!$N$44="sen",INDEX(INDIRECT(Inputs!$M$1),19,79),IF('KS2-4 Attainment TMs'!$N$44="eal",INDEX(INDIRECT(Inputs!$M$1),19,105),"")))))))))</f>
        <v/>
      </c>
      <c r="K50" s="61" t="str">
        <f ca="1">IF(Inputs!$M$1="","",IF(Inputs!$M$1="Please Select","",IF(Inputs!$M$2="Please Select","",IF(Inputs!$M$2="Pupil Numbers",IF('KS2-4 Attainment TMs'!$N$44="Gender",INDEX(INDIRECT(Inputs!$M$1),3,29),IF('KS2-4 Attainment TMs'!$N$44="disadvantage",INDEX(INDIRECT(Inputs!$M$1),3,55),IF('KS2-4 Attainment TMs'!$N$44="sen",INDEX(INDIRECT(Inputs!$M$1),3,81),IF('KS2-4 Attainment TMs'!$N$44="eal",INDEX(INDIRECT(Inputs!$M$1),3,107),"")))),IF(Inputs!$M$2="Pupil Percentages",IF('KS2-4 Attainment TMs'!$N$44="Gender",INDEX(INDIRECT(Inputs!$M$1),19,29),IF('KS2-4 Attainment TMs'!$N$44="disadvantage",INDEX(INDIRECT(Inputs!$M$1),19,55),IF('KS2-4 Attainment TMs'!$N$44="sen",INDEX(INDIRECT(Inputs!$M$1),19,81),IF('KS2-4 Attainment TMs'!$N$44="eal",INDEX(INDIRECT(Inputs!$M$1),19,107),"")))))))))</f>
        <v/>
      </c>
    </row>
    <row r="51" spans="3:23" ht="23.1" customHeight="1" x14ac:dyDescent="0.5">
      <c r="C51" s="120"/>
      <c r="D51" s="60" t="s">
        <v>3</v>
      </c>
      <c r="E51" s="61" t="str">
        <f ca="1">IF(Inputs!$M$1="","",IF(Inputs!$M$1="Please Select","",IF(Inputs!$M$2="Please Select","",IF(Inputs!$M$2="Pupil Numbers",IF('KS2-4 Attainment TMs'!$N$44="Gender",INDEX(INDIRECT(Inputs!$M$1),4,14),IF('KS2-4 Attainment TMs'!$N$44="disadvantage",INDEX(INDIRECT(Inputs!$M$1),4,40),IF('KS2-4 Attainment TMs'!$N$44="sen",INDEX(INDIRECT(Inputs!$M$1),4,66),IF('KS2-4 Attainment TMs'!$N$44="eal",INDEX(INDIRECT(Inputs!$M$1),4,92),"")))),IF(Inputs!$M$2="Pupil Percentages",IF('KS2-4 Attainment TMs'!$N$44="Gender",INDEX(INDIRECT(Inputs!$M$1),20,14),IF('KS2-4 Attainment TMs'!$N$44="disadvantage",INDEX(INDIRECT(Inputs!$M$1),20,40),IF('KS2-4 Attainment TMs'!$N$44="sen",INDEX(INDIRECT(Inputs!$M$1),20,66),IF('KS2-4 Attainment TMs'!$N$44="eal",INDEX(INDIRECT(Inputs!$M$1),20,92),"")))))))))</f>
        <v/>
      </c>
      <c r="F51" s="61" t="str">
        <f ca="1">IF(Inputs!$M$1="","",IF(Inputs!$M$1="Please Select","",IF(Inputs!$M$2="Please Select","",IF(Inputs!$M$2="Pupil Numbers",IF('KS2-4 Attainment TMs'!$N$44="Gender",INDEX(INDIRECT(Inputs!$M$1),4,16),IF('KS2-4 Attainment TMs'!$N$44="disadvantage",INDEX(INDIRECT(Inputs!$M$1),4,42),IF('KS2-4 Attainment TMs'!$N$44="sen",INDEX(INDIRECT(Inputs!$M$1),4,68),IF('KS2-4 Attainment TMs'!$N$44="eal",INDEX(INDIRECT(Inputs!$M$1),4,94),"")))),IF(Inputs!$M$2="Pupil Percentages",IF('KS2-4 Attainment TMs'!$N$44="Gender",INDEX(INDIRECT(Inputs!$M$1),20,16),IF('KS2-4 Attainment TMs'!$N$44="disadvantage",INDEX(INDIRECT(Inputs!$M$1),20,42),IF('KS2-4 Attainment TMs'!$N$44="sen",INDEX(INDIRECT(Inputs!$M$1),20,68),IF('KS2-4 Attainment TMs'!$N$44="eal",INDEX(INDIRECT(Inputs!$M$1),20,94),"")))))))))</f>
        <v/>
      </c>
      <c r="H51" s="120"/>
      <c r="I51" s="60" t="s">
        <v>3</v>
      </c>
      <c r="J51" s="61" t="str">
        <f ca="1">IF(Inputs!$M$1="","",IF(Inputs!$M$1="Please Select","",IF(Inputs!$M$2="Please Select","",IF(Inputs!$M$2="Pupil Numbers",IF('KS2-4 Attainment TMs'!$N$44="Gender",INDEX(INDIRECT(Inputs!$M$1),4,27),IF('KS2-4 Attainment TMs'!$N$44="disadvantage",INDEX(INDIRECT(Inputs!$M$1),4,53),IF('KS2-4 Attainment TMs'!$N$44="sen",INDEX(INDIRECT(Inputs!$M$1),4,79),IF('KS2-4 Attainment TMs'!$N$44="eal",INDEX(INDIRECT(Inputs!$M$1),4,105),"")))),IF(Inputs!$M$2="Pupil Percentages",IF('KS2-4 Attainment TMs'!$N$44="Gender",INDEX(INDIRECT(Inputs!$M$1),20,27),IF('KS2-4 Attainment TMs'!$N$44="disadvantage",INDEX(INDIRECT(Inputs!$M$1),20,53),IF('KS2-4 Attainment TMs'!$N$44="sen",INDEX(INDIRECT(Inputs!$M$1),20,79),IF('KS2-4 Attainment TMs'!$N$44="eal",INDEX(INDIRECT(Inputs!$M$1),20,105),"")))))))))</f>
        <v/>
      </c>
      <c r="K51" s="61" t="str">
        <f ca="1">IF(Inputs!$M$1="","",IF(Inputs!$M$1="Please Select","",IF(Inputs!$M$2="Please Select","",IF(Inputs!$M$2="Pupil Numbers",IF('KS2-4 Attainment TMs'!$N$44="Gender",INDEX(INDIRECT(Inputs!$M$1),4,29),IF('KS2-4 Attainment TMs'!$N$44="disadvantage",INDEX(INDIRECT(Inputs!$M$1),4,55),IF('KS2-4 Attainment TMs'!$N$44="sen",INDEX(INDIRECT(Inputs!$M$1),4,81),IF('KS2-4 Attainment TMs'!$N$44="eal",INDEX(INDIRECT(Inputs!$M$1),4,107),"")))),IF(Inputs!$M$2="Pupil Percentages",IF('KS2-4 Attainment TMs'!$N$44="Gender",INDEX(INDIRECT(Inputs!$M$1),20,29),IF('KS2-4 Attainment TMs'!$N$44="disadvantage",INDEX(INDIRECT(Inputs!$M$1),20,55),IF('KS2-4 Attainment TMs'!$N$44="sen",INDEX(INDIRECT(Inputs!$M$1),20,81),IF('KS2-4 Attainment TMs'!$N$44="eal",INDEX(INDIRECT(Inputs!$M$1),20,107),"")))))))))</f>
        <v/>
      </c>
    </row>
    <row r="52" spans="3:23" ht="23.1" customHeight="1" x14ac:dyDescent="0.5">
      <c r="C52" s="120"/>
      <c r="D52" s="60" t="s">
        <v>4</v>
      </c>
      <c r="E52" s="61" t="str">
        <f ca="1">IF(Inputs!$M$1="","",IF(Inputs!$M$1="Please Select","",IF(Inputs!$M$2="Please Select","",IF(Inputs!$M$2="Pupil Numbers",IF('KS2-4 Attainment TMs'!$N$44="Gender",INDEX(INDIRECT(Inputs!$M$1),5,14),IF('KS2-4 Attainment TMs'!$N$44="disadvantage",INDEX(INDIRECT(Inputs!$M$1),5,40),IF('KS2-4 Attainment TMs'!$N$44="sen",INDEX(INDIRECT(Inputs!$M$1),5,66),IF('KS2-4 Attainment TMs'!$N$44="eal",INDEX(INDIRECT(Inputs!$M$1),5,92),"")))),IF(Inputs!$M$2="Pupil Percentages",IF('KS2-4 Attainment TMs'!$N$44="Gender",INDEX(INDIRECT(Inputs!$M$1),21,14),IF('KS2-4 Attainment TMs'!$N$44="disadvantage",INDEX(INDIRECT(Inputs!$M$1),21,40),IF('KS2-4 Attainment TMs'!$N$44="sen",INDEX(INDIRECT(Inputs!$M$1),21,66),IF('KS2-4 Attainment TMs'!$N$44="eal",INDEX(INDIRECT(Inputs!$M$1),21,92),"")))))))))</f>
        <v/>
      </c>
      <c r="F52" s="61" t="str">
        <f ca="1">IF(Inputs!$M$1="","",IF(Inputs!$M$1="Please Select","",IF(Inputs!$M$2="Please Select","",IF(Inputs!$M$2="Pupil Numbers",IF('KS2-4 Attainment TMs'!$N$44="Gender",INDEX(INDIRECT(Inputs!$M$1),5,16),IF('KS2-4 Attainment TMs'!$N$44="disadvantage",INDEX(INDIRECT(Inputs!$M$1),5,42),IF('KS2-4 Attainment TMs'!$N$44="sen",INDEX(INDIRECT(Inputs!$M$1),5,68),IF('KS2-4 Attainment TMs'!$N$44="eal",INDEX(INDIRECT(Inputs!$M$1),5,94),"")))),IF(Inputs!$M$2="Pupil Percentages",IF('KS2-4 Attainment TMs'!$N$44="Gender",INDEX(INDIRECT(Inputs!$M$1),21,16),IF('KS2-4 Attainment TMs'!$N$44="disadvantage",INDEX(INDIRECT(Inputs!$M$1),21,42),IF('KS2-4 Attainment TMs'!$N$44="sen",INDEX(INDIRECT(Inputs!$M$1),21,68),IF('KS2-4 Attainment TMs'!$N$44="eal",INDEX(INDIRECT(Inputs!$M$1),21,94),"")))))))))</f>
        <v/>
      </c>
      <c r="H52" s="120"/>
      <c r="I52" s="60" t="s">
        <v>4</v>
      </c>
      <c r="J52" s="61" t="str">
        <f ca="1">IF(Inputs!$M$1="","",IF(Inputs!$M$1="Please Select","",IF(Inputs!$M$2="Please Select","",IF(Inputs!$M$2="Pupil Numbers",IF('KS2-4 Attainment TMs'!$N$44="Gender",INDEX(INDIRECT(Inputs!$M$1),5,27),IF('KS2-4 Attainment TMs'!$N$44="disadvantage",INDEX(INDIRECT(Inputs!$M$1),5,53),IF('KS2-4 Attainment TMs'!$N$44="sen",INDEX(INDIRECT(Inputs!$M$1),5,79),IF('KS2-4 Attainment TMs'!$N$44="eal",INDEX(INDIRECT(Inputs!$M$1),5,105),"")))),IF(Inputs!$M$2="Pupil Percentages",IF('KS2-4 Attainment TMs'!$N$44="Gender",INDEX(INDIRECT(Inputs!$M$1),21,27),IF('KS2-4 Attainment TMs'!$N$44="disadvantage",INDEX(INDIRECT(Inputs!$M$1),21,53),IF('KS2-4 Attainment TMs'!$N$44="sen",INDEX(INDIRECT(Inputs!$M$1),21,79),IF('KS2-4 Attainment TMs'!$N$44="eal",INDEX(INDIRECT(Inputs!$M$1),21,105),"")))))))))</f>
        <v/>
      </c>
      <c r="K52" s="61" t="str">
        <f ca="1">IF(Inputs!$M$1="","",IF(Inputs!$M$1="Please Select","",IF(Inputs!$M$2="Please Select","",IF(Inputs!$M$2="Pupil Numbers",IF('KS2-4 Attainment TMs'!$N$44="Gender",INDEX(INDIRECT(Inputs!$M$1),5,29),IF('KS2-4 Attainment TMs'!$N$44="disadvantage",INDEX(INDIRECT(Inputs!$M$1),5,55),IF('KS2-4 Attainment TMs'!$N$44="sen",INDEX(INDIRECT(Inputs!$M$1),5,81),IF('KS2-4 Attainment TMs'!$N$44="eal",INDEX(INDIRECT(Inputs!$M$1),5,107),"")))),IF(Inputs!$M$2="Pupil Percentages",IF('KS2-4 Attainment TMs'!$N$44="Gender",INDEX(INDIRECT(Inputs!$M$1),21,29),IF('KS2-4 Attainment TMs'!$N$44="disadvantage",INDEX(INDIRECT(Inputs!$M$1),21,55),IF('KS2-4 Attainment TMs'!$N$44="sen",INDEX(INDIRECT(Inputs!$M$1),21,81),IF('KS2-4 Attainment TMs'!$N$44="eal",INDEX(INDIRECT(Inputs!$M$1),21,107),"")))))))))</f>
        <v/>
      </c>
    </row>
    <row r="53" spans="3:23" ht="23.1" customHeight="1" x14ac:dyDescent="0.5">
      <c r="C53" s="120"/>
      <c r="D53" s="60" t="s">
        <v>5</v>
      </c>
      <c r="E53" s="61" t="str">
        <f ca="1">IF(Inputs!$M$1="","",IF(Inputs!$M$1="Please Select","",IF(Inputs!$M$2="Please Select","",IF(Inputs!$M$2="Pupil Numbers",IF('KS2-4 Attainment TMs'!$N$44="Gender",INDEX(INDIRECT(Inputs!$M$1),6,14),IF('KS2-4 Attainment TMs'!$N$44="disadvantage",INDEX(INDIRECT(Inputs!$M$1),6,40),IF('KS2-4 Attainment TMs'!$N$44="sen",INDEX(INDIRECT(Inputs!$M$1),6,66),IF('KS2-4 Attainment TMs'!$N$44="eal",INDEX(INDIRECT(Inputs!$M$1),6,92),"")))),IF(Inputs!$M$2="Pupil Percentages",IF('KS2-4 Attainment TMs'!$N$44="Gender",INDEX(INDIRECT(Inputs!$M$1),22,14),IF('KS2-4 Attainment TMs'!$N$44="disadvantage",INDEX(INDIRECT(Inputs!$M$1),22,40),IF('KS2-4 Attainment TMs'!$N$44="sen",INDEX(INDIRECT(Inputs!$M$1),22,66),IF('KS2-4 Attainment TMs'!$N$44="eal",INDEX(INDIRECT(Inputs!$M$1),22,92),"")))))))))</f>
        <v/>
      </c>
      <c r="F53" s="61" t="str">
        <f ca="1">IF(Inputs!$M$1="","",IF(Inputs!$M$1="Please Select","",IF(Inputs!$M$2="Please Select","",IF(Inputs!$M$2="Pupil Numbers",IF('KS2-4 Attainment TMs'!$N$44="Gender",INDEX(INDIRECT(Inputs!$M$1),6,16),IF('KS2-4 Attainment TMs'!$N$44="disadvantage",INDEX(INDIRECT(Inputs!$M$1),6,42),IF('KS2-4 Attainment TMs'!$N$44="sen",INDEX(INDIRECT(Inputs!$M$1),6,68),IF('KS2-4 Attainment TMs'!$N$44="eal",INDEX(INDIRECT(Inputs!$M$1),6,94),"")))),IF(Inputs!$M$2="Pupil Percentages",IF('KS2-4 Attainment TMs'!$N$44="Gender",INDEX(INDIRECT(Inputs!$M$1),22,16),IF('KS2-4 Attainment TMs'!$N$44="disadvantage",INDEX(INDIRECT(Inputs!$M$1),22,42),IF('KS2-4 Attainment TMs'!$N$44="sen",INDEX(INDIRECT(Inputs!$M$1),22,68),IF('KS2-4 Attainment TMs'!$N$44="eal",INDEX(INDIRECT(Inputs!$M$1),22,94),"")))))))))</f>
        <v/>
      </c>
      <c r="H53" s="120"/>
      <c r="I53" s="60" t="s">
        <v>5</v>
      </c>
      <c r="J53" s="61" t="str">
        <f ca="1">IF(Inputs!$M$1="","",IF(Inputs!$M$1="Please Select","",IF(Inputs!$M$2="Please Select","",IF(Inputs!$M$2="Pupil Numbers",IF('KS2-4 Attainment TMs'!$N$44="Gender",INDEX(INDIRECT(Inputs!$M$1),6,27),IF('KS2-4 Attainment TMs'!$N$44="disadvantage",INDEX(INDIRECT(Inputs!$M$1),6,53),IF('KS2-4 Attainment TMs'!$N$44="sen",INDEX(INDIRECT(Inputs!$M$1),6,79),IF('KS2-4 Attainment TMs'!$N$44="eal",INDEX(INDIRECT(Inputs!$M$1),6,105),"")))),IF(Inputs!$M$2="Pupil Percentages",IF('KS2-4 Attainment TMs'!$N$44="Gender",INDEX(INDIRECT(Inputs!$M$1),22,27),IF('KS2-4 Attainment TMs'!$N$44="disadvantage",INDEX(INDIRECT(Inputs!$M$1),22,53),IF('KS2-4 Attainment TMs'!$N$44="sen",INDEX(INDIRECT(Inputs!$M$1),22,79),IF('KS2-4 Attainment TMs'!$N$44="eal",INDEX(INDIRECT(Inputs!$M$1),22,105),"")))))))))</f>
        <v/>
      </c>
      <c r="K53" s="61" t="str">
        <f ca="1">IF(Inputs!$M$1="","",IF(Inputs!$M$1="Please Select","",IF(Inputs!$M$2="Please Select","",IF(Inputs!$M$2="Pupil Numbers",IF('KS2-4 Attainment TMs'!$N$44="Gender",INDEX(INDIRECT(Inputs!$M$1),6,29),IF('KS2-4 Attainment TMs'!$N$44="disadvantage",INDEX(INDIRECT(Inputs!$M$1),6,55),IF('KS2-4 Attainment TMs'!$N$44="sen",INDEX(INDIRECT(Inputs!$M$1),6,81),IF('KS2-4 Attainment TMs'!$N$44="eal",INDEX(INDIRECT(Inputs!$M$1),6,107),"")))),IF(Inputs!$M$2="Pupil Percentages",IF('KS2-4 Attainment TMs'!$N$44="Gender",INDEX(INDIRECT(Inputs!$M$1),22,29),IF('KS2-4 Attainment TMs'!$N$44="disadvantage",INDEX(INDIRECT(Inputs!$M$1),22,55),IF('KS2-4 Attainment TMs'!$N$44="sen",INDEX(INDIRECT(Inputs!$M$1),22,81),IF('KS2-4 Attainment TMs'!$N$44="eal",INDEX(INDIRECT(Inputs!$M$1),22,107),"")))))))))</f>
        <v/>
      </c>
    </row>
    <row r="54" spans="3:23" ht="23.1" customHeight="1" x14ac:dyDescent="0.5">
      <c r="C54" s="120"/>
      <c r="D54" s="60" t="s">
        <v>6</v>
      </c>
      <c r="E54" s="61" t="str">
        <f ca="1">IF(Inputs!$M$1="","",IF(Inputs!$M$1="Please Select","",IF(Inputs!$M$2="Please Select","",IF(Inputs!$M$2="Pupil Numbers",IF('KS2-4 Attainment TMs'!$N$44="Gender",INDEX(INDIRECT(Inputs!$M$1),7,14),IF('KS2-4 Attainment TMs'!$N$44="disadvantage",INDEX(INDIRECT(Inputs!$M$1),7,40),IF('KS2-4 Attainment TMs'!$N$44="sen",INDEX(INDIRECT(Inputs!$M$1),7,66),IF('KS2-4 Attainment TMs'!$N$44="eal",INDEX(INDIRECT(Inputs!$M$1),7,92),"")))),IF(Inputs!$M$2="Pupil Percentages",IF('KS2-4 Attainment TMs'!$N$44="Gender",INDEX(INDIRECT(Inputs!$M$1),23,14),IF('KS2-4 Attainment TMs'!$N$44="disadvantage",INDEX(INDIRECT(Inputs!$M$1),23,40),IF('KS2-4 Attainment TMs'!$N$44="sen",INDEX(INDIRECT(Inputs!$M$1),23,66),IF('KS2-4 Attainment TMs'!$N$44="eal",INDEX(INDIRECT(Inputs!$M$1),23,92),"")))))))))</f>
        <v/>
      </c>
      <c r="F54" s="61" t="str">
        <f ca="1">IF(Inputs!$M$1="","",IF(Inputs!$M$1="Please Select","",IF(Inputs!$M$2="Please Select","",IF(Inputs!$M$2="Pupil Numbers",IF('KS2-4 Attainment TMs'!$N$44="Gender",INDEX(INDIRECT(Inputs!$M$1),7,16),IF('KS2-4 Attainment TMs'!$N$44="disadvantage",INDEX(INDIRECT(Inputs!$M$1),7,42),IF('KS2-4 Attainment TMs'!$N$44="sen",INDEX(INDIRECT(Inputs!$M$1),7,68),IF('KS2-4 Attainment TMs'!$N$44="eal",INDEX(INDIRECT(Inputs!$M$1),7,94),"")))),IF(Inputs!$M$2="Pupil Percentages",IF('KS2-4 Attainment TMs'!$N$44="Gender",INDEX(INDIRECT(Inputs!$M$1),23,16),IF('KS2-4 Attainment TMs'!$N$44="disadvantage",INDEX(INDIRECT(Inputs!$M$1),23,42),IF('KS2-4 Attainment TMs'!$N$44="sen",INDEX(INDIRECT(Inputs!$M$1),23,68),IF('KS2-4 Attainment TMs'!$N$44="eal",INDEX(INDIRECT(Inputs!$M$1),23,94),"")))))))))</f>
        <v/>
      </c>
      <c r="H54" s="120"/>
      <c r="I54" s="60" t="s">
        <v>6</v>
      </c>
      <c r="J54" s="61" t="str">
        <f ca="1">IF(Inputs!$M$1="","",IF(Inputs!$M$1="Please Select","",IF(Inputs!$M$2="Please Select","",IF(Inputs!$M$2="Pupil Numbers",IF('KS2-4 Attainment TMs'!$N$44="Gender",INDEX(INDIRECT(Inputs!$M$1),7,27),IF('KS2-4 Attainment TMs'!$N$44="disadvantage",INDEX(INDIRECT(Inputs!$M$1),7,53),IF('KS2-4 Attainment TMs'!$N$44="sen",INDEX(INDIRECT(Inputs!$M$1),7,79),IF('KS2-4 Attainment TMs'!$N$44="eal",INDEX(INDIRECT(Inputs!$M$1),7,105),"")))),IF(Inputs!$M$2="Pupil Percentages",IF('KS2-4 Attainment TMs'!$N$44="Gender",INDEX(INDIRECT(Inputs!$M$1),23,27),IF('KS2-4 Attainment TMs'!$N$44="disadvantage",INDEX(INDIRECT(Inputs!$M$1),23,53),IF('KS2-4 Attainment TMs'!$N$44="sen",INDEX(INDIRECT(Inputs!$M$1),23,79),IF('KS2-4 Attainment TMs'!$N$44="eal",INDEX(INDIRECT(Inputs!$M$1),23,105),"")))))))))</f>
        <v/>
      </c>
      <c r="K54" s="61" t="str">
        <f ca="1">IF(Inputs!$M$1="","",IF(Inputs!$M$1="Please Select","",IF(Inputs!$M$2="Please Select","",IF(Inputs!$M$2="Pupil Numbers",IF('KS2-4 Attainment TMs'!$N$44="Gender",INDEX(INDIRECT(Inputs!$M$1),7,29),IF('KS2-4 Attainment TMs'!$N$44="disadvantage",INDEX(INDIRECT(Inputs!$M$1),7,55),IF('KS2-4 Attainment TMs'!$N$44="sen",INDEX(INDIRECT(Inputs!$M$1),7,81),IF('KS2-4 Attainment TMs'!$N$44="eal",INDEX(INDIRECT(Inputs!$M$1),7,107),"")))),IF(Inputs!$M$2="Pupil Percentages",IF('KS2-4 Attainment TMs'!$N$44="Gender",INDEX(INDIRECT(Inputs!$M$1),23,29),IF('KS2-4 Attainment TMs'!$N$44="disadvantage",INDEX(INDIRECT(Inputs!$M$1),23,55),IF('KS2-4 Attainment TMs'!$N$44="sen",INDEX(INDIRECT(Inputs!$M$1),23,81),IF('KS2-4 Attainment TMs'!$N$44="eal",INDEX(INDIRECT(Inputs!$M$1),23,107),"")))))))))</f>
        <v/>
      </c>
    </row>
    <row r="55" spans="3:23" ht="23.1" customHeight="1" x14ac:dyDescent="0.5">
      <c r="C55" s="120"/>
      <c r="D55" s="60" t="s">
        <v>7</v>
      </c>
      <c r="E55" s="61" t="str">
        <f ca="1">IF(Inputs!$M$1="","",IF(Inputs!$M$1="Please Select","",IF(Inputs!$M$2="Please Select","",IF(Inputs!$M$2="Pupil Numbers",IF('KS2-4 Attainment TMs'!$N$44="Gender",INDEX(INDIRECT(Inputs!$M$1),8,14),IF('KS2-4 Attainment TMs'!$N$44="disadvantage",INDEX(INDIRECT(Inputs!$M$1),8,40),IF('KS2-4 Attainment TMs'!$N$44="sen",INDEX(INDIRECT(Inputs!$M$1),8,66),IF('KS2-4 Attainment TMs'!$N$44="eal",INDEX(INDIRECT(Inputs!$M$1),8,92),"")))),IF(Inputs!$M$2="Pupil Percentages",IF('KS2-4 Attainment TMs'!$N$44="Gender",INDEX(INDIRECT(Inputs!$M$1),24,14),IF('KS2-4 Attainment TMs'!$N$44="disadvantage",INDEX(INDIRECT(Inputs!$M$1),24,40),IF('KS2-4 Attainment TMs'!$N$44="sen",INDEX(INDIRECT(Inputs!$M$1),24,66),IF('KS2-4 Attainment TMs'!$N$44="eal",INDEX(INDIRECT(Inputs!$M$1),24,92),"")))))))))</f>
        <v/>
      </c>
      <c r="F55" s="61" t="str">
        <f ca="1">IF(Inputs!$M$1="","",IF(Inputs!$M$1="Please Select","",IF(Inputs!$M$2="Please Select","",IF(Inputs!$M$2="Pupil Numbers",IF('KS2-4 Attainment TMs'!$N$44="Gender",INDEX(INDIRECT(Inputs!$M$1),8,16),IF('KS2-4 Attainment TMs'!$N$44="disadvantage",INDEX(INDIRECT(Inputs!$M$1),8,42),IF('KS2-4 Attainment TMs'!$N$44="sen",INDEX(INDIRECT(Inputs!$M$1),8,68),IF('KS2-4 Attainment TMs'!$N$44="eal",INDEX(INDIRECT(Inputs!$M$1),8,94),"")))),IF(Inputs!$M$2="Pupil Percentages",IF('KS2-4 Attainment TMs'!$N$44="Gender",INDEX(INDIRECT(Inputs!$M$1),24,16),IF('KS2-4 Attainment TMs'!$N$44="disadvantage",INDEX(INDIRECT(Inputs!$M$1),24,42),IF('KS2-4 Attainment TMs'!$N$44="sen",INDEX(INDIRECT(Inputs!$M$1),24,68),IF('KS2-4 Attainment TMs'!$N$44="eal",INDEX(INDIRECT(Inputs!$M$1),24,94),"")))))))))</f>
        <v/>
      </c>
      <c r="H55" s="120"/>
      <c r="I55" s="60" t="s">
        <v>7</v>
      </c>
      <c r="J55" s="61" t="str">
        <f ca="1">IF(Inputs!$M$1="","",IF(Inputs!$M$1="Please Select","",IF(Inputs!$M$2="Please Select","",IF(Inputs!$M$2="Pupil Numbers",IF('KS2-4 Attainment TMs'!$N$44="Gender",INDEX(INDIRECT(Inputs!$M$1),8,27),IF('KS2-4 Attainment TMs'!$N$44="disadvantage",INDEX(INDIRECT(Inputs!$M$1),8,53),IF('KS2-4 Attainment TMs'!$N$44="sen",INDEX(INDIRECT(Inputs!$M$1),8,79),IF('KS2-4 Attainment TMs'!$N$44="eal",INDEX(INDIRECT(Inputs!$M$1),8,105),"")))),IF(Inputs!$M$2="Pupil Percentages",IF('KS2-4 Attainment TMs'!$N$44="Gender",INDEX(INDIRECT(Inputs!$M$1),24,27),IF('KS2-4 Attainment TMs'!$N$44="disadvantage",INDEX(INDIRECT(Inputs!$M$1),24,53),IF('KS2-4 Attainment TMs'!$N$44="sen",INDEX(INDIRECT(Inputs!$M$1),24,79),IF('KS2-4 Attainment TMs'!$N$44="eal",INDEX(INDIRECT(Inputs!$M$1),24,105),"")))))))))</f>
        <v/>
      </c>
      <c r="K55" s="61" t="str">
        <f ca="1">IF(Inputs!$M$1="","",IF(Inputs!$M$1="Please Select","",IF(Inputs!$M$2="Please Select","",IF(Inputs!$M$2="Pupil Numbers",IF('KS2-4 Attainment TMs'!$N$44="Gender",INDEX(INDIRECT(Inputs!$M$1),8,29),IF('KS2-4 Attainment TMs'!$N$44="disadvantage",INDEX(INDIRECT(Inputs!$M$1),8,55),IF('KS2-4 Attainment TMs'!$N$44="sen",INDEX(INDIRECT(Inputs!$M$1),8,81),IF('KS2-4 Attainment TMs'!$N$44="eal",INDEX(INDIRECT(Inputs!$M$1),8,107),"")))),IF(Inputs!$M$2="Pupil Percentages",IF('KS2-4 Attainment TMs'!$N$44="Gender",INDEX(INDIRECT(Inputs!$M$1),24,29),IF('KS2-4 Attainment TMs'!$N$44="disadvantage",INDEX(INDIRECT(Inputs!$M$1),24,55),IF('KS2-4 Attainment TMs'!$N$44="sen",INDEX(INDIRECT(Inputs!$M$1),24,81),IF('KS2-4 Attainment TMs'!$N$44="eal",INDEX(INDIRECT(Inputs!$M$1),24,107),"")))))))))</f>
        <v/>
      </c>
    </row>
    <row r="56" spans="3:23" ht="23.1" customHeight="1" x14ac:dyDescent="0.5">
      <c r="C56" s="120"/>
      <c r="D56" s="60" t="s">
        <v>8</v>
      </c>
      <c r="E56" s="61" t="str">
        <f ca="1">IF(Inputs!$M$1="","",IF(Inputs!$M$1="Please Select","",IF(Inputs!$M$2="Please Select","",IF(Inputs!$M$2="Pupil Numbers",IF('KS2-4 Attainment TMs'!$N$44="Gender",INDEX(INDIRECT(Inputs!$M$1),9,14),IF('KS2-4 Attainment TMs'!$N$44="disadvantage",INDEX(INDIRECT(Inputs!$M$1),9,40),IF('KS2-4 Attainment TMs'!$N$44="sen",INDEX(INDIRECT(Inputs!$M$1),9,66),IF('KS2-4 Attainment TMs'!$N$44="eal",INDEX(INDIRECT(Inputs!$M$1),9,92),"")))),IF(Inputs!$M$2="Pupil Percentages",IF('KS2-4 Attainment TMs'!$N$44="Gender",INDEX(INDIRECT(Inputs!$M$1),25,14),IF('KS2-4 Attainment TMs'!$N$44="disadvantage",INDEX(INDIRECT(Inputs!$M$1),25,40),IF('KS2-4 Attainment TMs'!$N$44="sen",INDEX(INDIRECT(Inputs!$M$1),25,66),IF('KS2-4 Attainment TMs'!$N$44="eal",INDEX(INDIRECT(Inputs!$M$1),25,92),"")))))))))</f>
        <v/>
      </c>
      <c r="F56" s="61" t="str">
        <f ca="1">IF(Inputs!$M$1="","",IF(Inputs!$M$1="Please Select","",IF(Inputs!$M$2="Please Select","",IF(Inputs!$M$2="Pupil Numbers",IF('KS2-4 Attainment TMs'!$N$44="Gender",INDEX(INDIRECT(Inputs!$M$1),9,16),IF('KS2-4 Attainment TMs'!$N$44="disadvantage",INDEX(INDIRECT(Inputs!$M$1),9,42),IF('KS2-4 Attainment TMs'!$N$44="sen",INDEX(INDIRECT(Inputs!$M$1),9,68),IF('KS2-4 Attainment TMs'!$N$44="eal",INDEX(INDIRECT(Inputs!$M$1),9,94),"")))),IF(Inputs!$M$2="Pupil Percentages",IF('KS2-4 Attainment TMs'!$N$44="Gender",INDEX(INDIRECT(Inputs!$M$1),25,16),IF('KS2-4 Attainment TMs'!$N$44="disadvantage",INDEX(INDIRECT(Inputs!$M$1),25,42),IF('KS2-4 Attainment TMs'!$N$44="sen",INDEX(INDIRECT(Inputs!$M$1),25,68),IF('KS2-4 Attainment TMs'!$N$44="eal",INDEX(INDIRECT(Inputs!$M$1),25,94),"")))))))))</f>
        <v/>
      </c>
      <c r="H56" s="120"/>
      <c r="I56" s="60" t="s">
        <v>8</v>
      </c>
      <c r="J56" s="61" t="str">
        <f ca="1">IF(Inputs!$M$1="","",IF(Inputs!$M$1="Please Select","",IF(Inputs!$M$2="Please Select","",IF(Inputs!$M$2="Pupil Numbers",IF('KS2-4 Attainment TMs'!$N$44="Gender",INDEX(INDIRECT(Inputs!$M$1),9,27),IF('KS2-4 Attainment TMs'!$N$44="disadvantage",INDEX(INDIRECT(Inputs!$M$1),9,53),IF('KS2-4 Attainment TMs'!$N$44="sen",INDEX(INDIRECT(Inputs!$M$1),9,79),IF('KS2-4 Attainment TMs'!$N$44="eal",INDEX(INDIRECT(Inputs!$M$1),9,105),"")))),IF(Inputs!$M$2="Pupil Percentages",IF('KS2-4 Attainment TMs'!$N$44="Gender",INDEX(INDIRECT(Inputs!$M$1),25,27),IF('KS2-4 Attainment TMs'!$N$44="disadvantage",INDEX(INDIRECT(Inputs!$M$1),25,53),IF('KS2-4 Attainment TMs'!$N$44="sen",INDEX(INDIRECT(Inputs!$M$1),25,79),IF('KS2-4 Attainment TMs'!$N$44="eal",INDEX(INDIRECT(Inputs!$M$1),25,105),"")))))))))</f>
        <v/>
      </c>
      <c r="K56" s="61" t="str">
        <f ca="1">IF(Inputs!$M$1="","",IF(Inputs!$M$1="Please Select","",IF(Inputs!$M$2="Please Select","",IF(Inputs!$M$2="Pupil Numbers",IF('KS2-4 Attainment TMs'!$N$44="Gender",INDEX(INDIRECT(Inputs!$M$1),9,29),IF('KS2-4 Attainment TMs'!$N$44="disadvantage",INDEX(INDIRECT(Inputs!$M$1),9,55),IF('KS2-4 Attainment TMs'!$N$44="sen",INDEX(INDIRECT(Inputs!$M$1),9,81),IF('KS2-4 Attainment TMs'!$N$44="eal",INDEX(INDIRECT(Inputs!$M$1),9,107),"")))),IF(Inputs!$M$2="Pupil Percentages",IF('KS2-4 Attainment TMs'!$N$44="Gender",INDEX(INDIRECT(Inputs!$M$1),25,29),IF('KS2-4 Attainment TMs'!$N$44="disadvantage",INDEX(INDIRECT(Inputs!$M$1),25,55),IF('KS2-4 Attainment TMs'!$N$44="sen",INDEX(INDIRECT(Inputs!$M$1),25,81),IF('KS2-4 Attainment TMs'!$N$44="eal",INDEX(INDIRECT(Inputs!$M$1),25,107),"")))))))))</f>
        <v/>
      </c>
    </row>
    <row r="57" spans="3:23" ht="23.1" customHeight="1" x14ac:dyDescent="0.5">
      <c r="C57" s="120"/>
      <c r="D57" s="60" t="s">
        <v>9</v>
      </c>
      <c r="E57" s="61" t="str">
        <f ca="1">IF(Inputs!$M$1="","",IF(Inputs!$M$1="Please Select","",IF(Inputs!$M$2="Please Select","",IF(Inputs!$M$2="Pupil Numbers",IF('KS2-4 Attainment TMs'!$N$44="Gender",INDEX(INDIRECT(Inputs!$M$1),10,14),IF('KS2-4 Attainment TMs'!$N$44="disadvantage",INDEX(INDIRECT(Inputs!$M$1),10,40),IF('KS2-4 Attainment TMs'!$N$44="sen",INDEX(INDIRECT(Inputs!$M$1),10,66),IF('KS2-4 Attainment TMs'!$N$44="eal",INDEX(INDIRECT(Inputs!$M$1),10,92),"")))),IF(Inputs!$M$2="Pupil Percentages",IF('KS2-4 Attainment TMs'!$N$44="Gender",INDEX(INDIRECT(Inputs!$M$1),26,14),IF('KS2-4 Attainment TMs'!$N$44="disadvantage",INDEX(INDIRECT(Inputs!$M$1),26,40),IF('KS2-4 Attainment TMs'!$N$44="sen",INDEX(INDIRECT(Inputs!$M$1),26,66),IF('KS2-4 Attainment TMs'!$N$44="eal",INDEX(INDIRECT(Inputs!$M$1),26,92),"")))))))))</f>
        <v/>
      </c>
      <c r="F57" s="61" t="str">
        <f ca="1">IF(Inputs!$M$1="","",IF(Inputs!$M$1="Please Select","",IF(Inputs!$M$2="Please Select","",IF(Inputs!$M$2="Pupil Numbers",IF('KS2-4 Attainment TMs'!$N$44="Gender",INDEX(INDIRECT(Inputs!$M$1),10,16),IF('KS2-4 Attainment TMs'!$N$44="disadvantage",INDEX(INDIRECT(Inputs!$M$1),10,42),IF('KS2-4 Attainment TMs'!$N$44="sen",INDEX(INDIRECT(Inputs!$M$1),10,68),IF('KS2-4 Attainment TMs'!$N$44="eal",INDEX(INDIRECT(Inputs!$M$1),10,94),"")))),IF(Inputs!$M$2="Pupil Percentages",IF('KS2-4 Attainment TMs'!$N$44="Gender",INDEX(INDIRECT(Inputs!$M$1),26,16),IF('KS2-4 Attainment TMs'!$N$44="disadvantage",INDEX(INDIRECT(Inputs!$M$1),26,42),IF('KS2-4 Attainment TMs'!$N$44="sen",INDEX(INDIRECT(Inputs!$M$1),26,68),IF('KS2-4 Attainment TMs'!$N$44="eal",INDEX(INDIRECT(Inputs!$M$1),26,94),"")))))))))</f>
        <v/>
      </c>
      <c r="H57" s="120"/>
      <c r="I57" s="60" t="s">
        <v>9</v>
      </c>
      <c r="J57" s="61" t="str">
        <f ca="1">IF(Inputs!$M$1="","",IF(Inputs!$M$1="Please Select","",IF(Inputs!$M$2="Please Select","",IF(Inputs!$M$2="Pupil Numbers",IF('KS2-4 Attainment TMs'!$N$44="Gender",INDEX(INDIRECT(Inputs!$M$1),10,27),IF('KS2-4 Attainment TMs'!$N$44="disadvantage",INDEX(INDIRECT(Inputs!$M$1),10,53),IF('KS2-4 Attainment TMs'!$N$44="sen",INDEX(INDIRECT(Inputs!$M$1),10,79),IF('KS2-4 Attainment TMs'!$N$44="eal",INDEX(INDIRECT(Inputs!$M$1),10,105),"")))),IF(Inputs!$M$2="Pupil Percentages",IF('KS2-4 Attainment TMs'!$N$44="Gender",INDEX(INDIRECT(Inputs!$M$1),26,27),IF('KS2-4 Attainment TMs'!$N$44="disadvantage",INDEX(INDIRECT(Inputs!$M$1),26,53),IF('KS2-4 Attainment TMs'!$N$44="sen",INDEX(INDIRECT(Inputs!$M$1),26,79),IF('KS2-4 Attainment TMs'!$N$44="eal",INDEX(INDIRECT(Inputs!$M$1),26,105),"")))))))))</f>
        <v/>
      </c>
      <c r="K57" s="61" t="str">
        <f ca="1">IF(Inputs!$M$1="","",IF(Inputs!$M$1="Please Select","",IF(Inputs!$M$2="Please Select","",IF(Inputs!$M$2="Pupil Numbers",IF('KS2-4 Attainment TMs'!$N$44="Gender",INDEX(INDIRECT(Inputs!$M$1),10,29),IF('KS2-4 Attainment TMs'!$N$44="disadvantage",INDEX(INDIRECT(Inputs!$M$1),10,55),IF('KS2-4 Attainment TMs'!$N$44="sen",INDEX(INDIRECT(Inputs!$M$1),10,81),IF('KS2-4 Attainment TMs'!$N$44="eal",INDEX(INDIRECT(Inputs!$M$1),10,107),"")))),IF(Inputs!$M$2="Pupil Percentages",IF('KS2-4 Attainment TMs'!$N$44="Gender",INDEX(INDIRECT(Inputs!$M$1),26,29),IF('KS2-4 Attainment TMs'!$N$44="disadvantage",INDEX(INDIRECT(Inputs!$M$1),26,55),IF('KS2-4 Attainment TMs'!$N$44="sen",INDEX(INDIRECT(Inputs!$M$1),26,81),IF('KS2-4 Attainment TMs'!$N$44="eal",INDEX(INDIRECT(Inputs!$M$1),26,107),"")))))))))</f>
        <v/>
      </c>
    </row>
    <row r="58" spans="3:23" ht="23.1" customHeight="1" x14ac:dyDescent="0.5">
      <c r="C58" s="120"/>
      <c r="D58" s="60" t="s">
        <v>10</v>
      </c>
      <c r="E58" s="61" t="str">
        <f ca="1">IF(Inputs!$M$1="","",IF(Inputs!$M$1="Please Select","",IF(Inputs!$M$2="Please Select","",IF(Inputs!$M$2="Pupil Numbers",IF('KS2-4 Attainment TMs'!$N$44="Gender",INDEX(INDIRECT(Inputs!$M$1),11,14),IF('KS2-4 Attainment TMs'!$N$44="disadvantage",INDEX(INDIRECT(Inputs!$M$1),11,40),IF('KS2-4 Attainment TMs'!$N$44="sen",INDEX(INDIRECT(Inputs!$M$1),11,66),IF('KS2-4 Attainment TMs'!$N$44="eal",INDEX(INDIRECT(Inputs!$M$1),11,92),"")))),IF(Inputs!$M$2="Pupil Percentages",IF('KS2-4 Attainment TMs'!$N$44="Gender",INDEX(INDIRECT(Inputs!$M$1),27,14),IF('KS2-4 Attainment TMs'!$N$44="disadvantage",INDEX(INDIRECT(Inputs!$M$1),27,40),IF('KS2-4 Attainment TMs'!$N$44="sen",INDEX(INDIRECT(Inputs!$M$1),27,66),IF('KS2-4 Attainment TMs'!$N$44="eal",INDEX(INDIRECT(Inputs!$M$1),27,92),"")))))))))</f>
        <v/>
      </c>
      <c r="F58" s="61" t="str">
        <f ca="1">IF(Inputs!$M$1="","",IF(Inputs!$M$1="Please Select","",IF(Inputs!$M$2="Please Select","",IF(Inputs!$M$2="Pupil Numbers",IF('KS2-4 Attainment TMs'!$N$44="Gender",INDEX(INDIRECT(Inputs!$M$1),11,16),IF('KS2-4 Attainment TMs'!$N$44="disadvantage",INDEX(INDIRECT(Inputs!$M$1),11,42),IF('KS2-4 Attainment TMs'!$N$44="sen",INDEX(INDIRECT(Inputs!$M$1),11,68),IF('KS2-4 Attainment TMs'!$N$44="eal",INDEX(INDIRECT(Inputs!$M$1),11,94),"")))),IF(Inputs!$M$2="Pupil Percentages",IF('KS2-4 Attainment TMs'!$N$44="Gender",INDEX(INDIRECT(Inputs!$M$1),27,16),IF('KS2-4 Attainment TMs'!$N$44="disadvantage",INDEX(INDIRECT(Inputs!$M$1),27,42),IF('KS2-4 Attainment TMs'!$N$44="sen",INDEX(INDIRECT(Inputs!$M$1),27,68),IF('KS2-4 Attainment TMs'!$N$44="eal",INDEX(INDIRECT(Inputs!$M$1),27,94),"")))))))))</f>
        <v/>
      </c>
      <c r="H58" s="120"/>
      <c r="I58" s="60" t="s">
        <v>10</v>
      </c>
      <c r="J58" s="61" t="str">
        <f ca="1">IF(Inputs!$M$1="","",IF(Inputs!$M$1="Please Select","",IF(Inputs!$M$2="Please Select","",IF(Inputs!$M$2="Pupil Numbers",IF('KS2-4 Attainment TMs'!$N$44="Gender",INDEX(INDIRECT(Inputs!$M$1),11,27),IF('KS2-4 Attainment TMs'!$N$44="disadvantage",INDEX(INDIRECT(Inputs!$M$1),11,53),IF('KS2-4 Attainment TMs'!$N$44="sen",INDEX(INDIRECT(Inputs!$M$1),11,79),IF('KS2-4 Attainment TMs'!$N$44="eal",INDEX(INDIRECT(Inputs!$M$1),11,105),"")))),IF(Inputs!$M$2="Pupil Percentages",IF('KS2-4 Attainment TMs'!$N$44="Gender",INDEX(INDIRECT(Inputs!$M$1),27,27),IF('KS2-4 Attainment TMs'!$N$44="disadvantage",INDEX(INDIRECT(Inputs!$M$1),27,53),IF('KS2-4 Attainment TMs'!$N$44="sen",INDEX(INDIRECT(Inputs!$M$1),27,79),IF('KS2-4 Attainment TMs'!$N$44="eal",INDEX(INDIRECT(Inputs!$M$1),27,105),"")))))))))</f>
        <v/>
      </c>
      <c r="K58" s="61" t="str">
        <f ca="1">IF(Inputs!$M$1="","",IF(Inputs!$M$1="Please Select","",IF(Inputs!$M$2="Please Select","",IF(Inputs!$M$2="Pupil Numbers",IF('KS2-4 Attainment TMs'!$N$44="Gender",INDEX(INDIRECT(Inputs!$M$1),11,29),IF('KS2-4 Attainment TMs'!$N$44="disadvantage",INDEX(INDIRECT(Inputs!$M$1),11,55),IF('KS2-4 Attainment TMs'!$N$44="sen",INDEX(INDIRECT(Inputs!$M$1),11,81),IF('KS2-4 Attainment TMs'!$N$44="eal",INDEX(INDIRECT(Inputs!$M$1),11,107),"")))),IF(Inputs!$M$2="Pupil Percentages",IF('KS2-4 Attainment TMs'!$N$44="Gender",INDEX(INDIRECT(Inputs!$M$1),27,29),IF('KS2-4 Attainment TMs'!$N$44="disadvantage",INDEX(INDIRECT(Inputs!$M$1),27,55),IF('KS2-4 Attainment TMs'!$N$44="sen",INDEX(INDIRECT(Inputs!$M$1),27,81),IF('KS2-4 Attainment TMs'!$N$44="eal",INDEX(INDIRECT(Inputs!$M$1),27,107),"")))))))))</f>
        <v/>
      </c>
    </row>
    <row r="59" spans="3:23" ht="23.1" customHeight="1" x14ac:dyDescent="0.5">
      <c r="C59" s="121"/>
      <c r="D59" s="60" t="s">
        <v>11</v>
      </c>
      <c r="E59" s="62" t="str">
        <f ca="1">IF(Inputs!$M$1="","",IF(Inputs!$M$1="Please Select","",IF(Inputs!$M$2="Please Select","",IF(Inputs!$M$2="Pupil Numbers",IF('KS2-4 Attainment TMs'!$N$44="Gender",INDEX(INDIRECT(Inputs!$M$1),12,14),IF('KS2-4 Attainment TMs'!$N$44="disadvantage",INDEX(INDIRECT(Inputs!$M$1),12,40),IF('KS2-4 Attainment TMs'!$N$44="sen",INDEX(INDIRECT(Inputs!$M$1),12,66),IF('KS2-4 Attainment TMs'!$N$44="eal",INDEX(INDIRECT(Inputs!$M$1),12,92),"")))),IF(Inputs!$M$2="Pupil Percentages",IF('KS2-4 Attainment TMs'!$N$44="Gender",INDEX(INDIRECT(Inputs!$M$1),28,14),IF('KS2-4 Attainment TMs'!$N$44="disadvantage",INDEX(INDIRECT(Inputs!$M$1),28,40),IF('KS2-4 Attainment TMs'!$N$44="sen",INDEX(INDIRECT(Inputs!$M$1),28,66),IF('KS2-4 Attainment TMs'!$N$44="eal",INDEX(INDIRECT(Inputs!$M$1),28,92),"")))))))))</f>
        <v/>
      </c>
      <c r="F59" s="62" t="str">
        <f ca="1">IF(Inputs!$M$1="","",IF(Inputs!$M$1="Please Select","",IF(Inputs!$M$2="Please Select","",IF(Inputs!$M$2="Pupil Numbers",IF('KS2-4 Attainment TMs'!$N$44="Gender",INDEX(INDIRECT(Inputs!$M$1),12,16),IF('KS2-4 Attainment TMs'!$N$44="disadvantage",INDEX(INDIRECT(Inputs!$M$1),12,42),IF('KS2-4 Attainment TMs'!$N$44="sen",INDEX(INDIRECT(Inputs!$M$1),12,68),IF('KS2-4 Attainment TMs'!$N$44="eal",INDEX(INDIRECT(Inputs!$M$1),12,94),"")))),IF(Inputs!$M$2="Pupil Percentages",IF('KS2-4 Attainment TMs'!$N$44="Gender",INDEX(INDIRECT(Inputs!$M$1),28,16),IF('KS2-4 Attainment TMs'!$N$44="disadvantage",INDEX(INDIRECT(Inputs!$M$1),28,42),IF('KS2-4 Attainment TMs'!$N$44="sen",INDEX(INDIRECT(Inputs!$M$1),28,68),IF('KS2-4 Attainment TMs'!$N$44="eal",INDEX(INDIRECT(Inputs!$M$1),28,94),"")))))))))</f>
        <v/>
      </c>
      <c r="H59" s="121"/>
      <c r="I59" s="60" t="s">
        <v>11</v>
      </c>
      <c r="J59" s="62" t="str">
        <f ca="1">IF(Inputs!$M$1="","",IF(Inputs!$M$1="Please Select","",IF(Inputs!$M$2="Please Select","",IF(Inputs!$M$2="Pupil Numbers",IF('KS2-4 Attainment TMs'!$N$44="Gender",INDEX(INDIRECT(Inputs!$M$1),12,27),IF('KS2-4 Attainment TMs'!$N$44="disadvantage",INDEX(INDIRECT(Inputs!$M$1),12,53),IF('KS2-4 Attainment TMs'!$N$44="sen",INDEX(INDIRECT(Inputs!$M$1),12,79),IF('KS2-4 Attainment TMs'!$N$44="eal",INDEX(INDIRECT(Inputs!$M$1),12,105),"")))),IF(Inputs!$M$2="Pupil Percentages",IF('KS2-4 Attainment TMs'!$N$44="Gender",INDEX(INDIRECT(Inputs!$M$1),28,27),IF('KS2-4 Attainment TMs'!$N$44="disadvantage",INDEX(INDIRECT(Inputs!$M$1),28,53),IF('KS2-4 Attainment TMs'!$N$44="sen",INDEX(INDIRECT(Inputs!$M$1),28,79),IF('KS2-4 Attainment TMs'!$N$44="eal",INDEX(INDIRECT(Inputs!$M$1),28,105),"")))))))))</f>
        <v/>
      </c>
      <c r="K59" s="62" t="str">
        <f ca="1">IF(Inputs!$M$1="","",IF(Inputs!$M$1="Please Select","",IF(Inputs!$M$2="Please Select","",IF(Inputs!$M$2="Pupil Numbers",IF('KS2-4 Attainment TMs'!$N$44="Gender",INDEX(INDIRECT(Inputs!$M$1),12,29),IF('KS2-4 Attainment TMs'!$N$44="disadvantage",INDEX(INDIRECT(Inputs!$M$1),12,55),IF('KS2-4 Attainment TMs'!$N$44="sen",INDEX(INDIRECT(Inputs!$M$1),12,81),IF('KS2-4 Attainment TMs'!$N$44="eal",INDEX(INDIRECT(Inputs!$M$1),12,107),"")))),IF(Inputs!$M$2="Pupil Percentages",IF('KS2-4 Attainment TMs'!$N$44="Gender",INDEX(INDIRECT(Inputs!$M$1),28,29),IF('KS2-4 Attainment TMs'!$N$44="disadvantage",INDEX(INDIRECT(Inputs!$M$1),28,55),IF('KS2-4 Attainment TMs'!$N$44="sen",INDEX(INDIRECT(Inputs!$M$1),28,81),IF('KS2-4 Attainment TMs'!$N$44="eal",INDEX(INDIRECT(Inputs!$M$1),28,107),"")))))))))</f>
        <v/>
      </c>
    </row>
    <row r="61" spans="3:23" ht="17.25" x14ac:dyDescent="0.45">
      <c r="M61" s="125" t="s">
        <v>107</v>
      </c>
      <c r="N61" s="125"/>
      <c r="O61" s="125"/>
      <c r="P61" s="125"/>
      <c r="Q61" s="125"/>
      <c r="R61" s="125"/>
      <c r="S61" s="125"/>
      <c r="T61" s="125"/>
      <c r="U61" s="51"/>
      <c r="V61" s="51"/>
      <c r="W61" s="51"/>
    </row>
    <row r="62" spans="3:23" x14ac:dyDescent="0.45">
      <c r="M62" s="125"/>
      <c r="N62" s="125"/>
      <c r="O62" s="125"/>
      <c r="P62" s="125"/>
      <c r="Q62" s="125"/>
      <c r="R62" s="125"/>
      <c r="S62" s="125"/>
      <c r="T62" s="125"/>
    </row>
    <row r="64" spans="3:23" ht="34.5" customHeight="1" x14ac:dyDescent="0.45"/>
    <row r="66" ht="23.1" customHeight="1" x14ac:dyDescent="0.45"/>
    <row r="67" ht="23.1" customHeight="1" x14ac:dyDescent="0.45"/>
    <row r="68" ht="23.1" customHeight="1" x14ac:dyDescent="0.45"/>
    <row r="69" ht="23.1" customHeight="1" x14ac:dyDescent="0.45"/>
    <row r="70" ht="23.1" customHeight="1" x14ac:dyDescent="0.45"/>
    <row r="71" ht="23.1" customHeight="1" x14ac:dyDescent="0.45"/>
    <row r="72" ht="23.1" customHeight="1" x14ac:dyDescent="0.45"/>
    <row r="73" ht="23.1" customHeight="1" x14ac:dyDescent="0.45"/>
    <row r="74" ht="23.1" customHeight="1" x14ac:dyDescent="0.45"/>
    <row r="75" ht="23.1" customHeight="1" x14ac:dyDescent="0.45"/>
    <row r="76" ht="23.1" customHeight="1" x14ac:dyDescent="0.45"/>
    <row r="77" ht="23.1" customHeight="1" x14ac:dyDescent="0.45"/>
  </sheetData>
  <sheetProtection algorithmName="SHA-512" hashValue="1HEgzaJVYqxsyqP4mbhY/hlQlCnyprS6zA+/gIq/wQwxJTkdFlWmp9agFVK73vnhws+q7ob5z8xNWW7gP86CAw==" saltValue="z+ZHLfNXdUlT0m0NI2Bblw==" spinCount="100000" sheet="1" objects="1" selectLockedCells="1"/>
  <mergeCells count="13">
    <mergeCell ref="L37:U37"/>
    <mergeCell ref="H10:S10"/>
    <mergeCell ref="C12:D14"/>
    <mergeCell ref="C15:C26"/>
    <mergeCell ref="E13:F13"/>
    <mergeCell ref="N44:P44"/>
    <mergeCell ref="M61:T62"/>
    <mergeCell ref="C48:C59"/>
    <mergeCell ref="H45:I47"/>
    <mergeCell ref="J46:K46"/>
    <mergeCell ref="H48:H59"/>
    <mergeCell ref="C45:D47"/>
    <mergeCell ref="E46:F46"/>
  </mergeCells>
  <pageMargins left="0.7" right="0.7" top="0.75" bottom="0.75" header="0.3" footer="0.3"/>
  <pageSetup paperSize="9" orientation="portrait" r:id="rId1"/>
  <drawing r:id="rId2"/>
  <legacyDrawing r:id="rId3"/>
  <controls>
    <mc:AlternateContent xmlns:mc="http://schemas.openxmlformats.org/markup-compatibility/2006">
      <mc:Choice Requires="x14">
        <control shapeId="5127" r:id="rId4" name="ComboBox6">
          <controlPr defaultSize="0" autoLine="0" autoPict="0" altText="Drop-down box to select key stage 2 attainment level" linkedCell="Inputs!M3" listFillRange="prior_2" r:id="rId5">
            <anchor moveWithCells="1">
              <from>
                <xdr:col>8</xdr:col>
                <xdr:colOff>204788</xdr:colOff>
                <xdr:row>38</xdr:row>
                <xdr:rowOff>138113</xdr:rowOff>
              </from>
              <to>
                <xdr:col>10</xdr:col>
                <xdr:colOff>595313</xdr:colOff>
                <xdr:row>40</xdr:row>
                <xdr:rowOff>38100</xdr:rowOff>
              </to>
            </anchor>
          </controlPr>
        </control>
      </mc:Choice>
      <mc:Fallback>
        <control shapeId="5127" r:id="rId4" name="ComboBox6"/>
      </mc:Fallback>
    </mc:AlternateContent>
    <mc:AlternateContent xmlns:mc="http://schemas.openxmlformats.org/markup-compatibility/2006">
      <mc:Choice Requires="x14">
        <control shapeId="5126" r:id="rId6" name="ComboBox5">
          <controlPr defaultSize="0" autoLine="0" altText="Drop-down box to select pupil numbers or percentages" linkedCell="Inputs!M2" listFillRange="datat" r:id="rId7">
            <anchor moveWithCells="1">
              <from>
                <xdr:col>8</xdr:col>
                <xdr:colOff>200025</xdr:colOff>
                <xdr:row>36</xdr:row>
                <xdr:rowOff>123825</xdr:rowOff>
              </from>
              <to>
                <xdr:col>10</xdr:col>
                <xdr:colOff>585788</xdr:colOff>
                <xdr:row>38</xdr:row>
                <xdr:rowOff>0</xdr:rowOff>
              </to>
            </anchor>
          </controlPr>
        </control>
      </mc:Choice>
      <mc:Fallback>
        <control shapeId="5126" r:id="rId6" name="ComboBox5"/>
      </mc:Fallback>
    </mc:AlternateContent>
    <mc:AlternateContent xmlns:mc="http://schemas.openxmlformats.org/markup-compatibility/2006">
      <mc:Choice Requires="x14">
        <control shapeId="5125" r:id="rId8" name="ComboBox4">
          <controlPr defaultSize="0" autoLine="0" autoPict="0" altText="Drop-down box to select key stage 4 attainment category" linkedCell="Inputs!L1" listFillRange="Attainment" r:id="rId9">
            <anchor moveWithCells="1">
              <from>
                <xdr:col>8</xdr:col>
                <xdr:colOff>200025</xdr:colOff>
                <xdr:row>34</xdr:row>
                <xdr:rowOff>100013</xdr:rowOff>
              </from>
              <to>
                <xdr:col>10</xdr:col>
                <xdr:colOff>581025</xdr:colOff>
                <xdr:row>35</xdr:row>
                <xdr:rowOff>209550</xdr:rowOff>
              </to>
            </anchor>
          </controlPr>
        </control>
      </mc:Choice>
      <mc:Fallback>
        <control shapeId="5125" r:id="rId8" name="ComboBox4"/>
      </mc:Fallback>
    </mc:AlternateContent>
    <mc:AlternateContent xmlns:mc="http://schemas.openxmlformats.org/markup-compatibility/2006">
      <mc:Choice Requires="x14">
        <control shapeId="5121" r:id="rId10" name="ComboBox1">
          <controlPr defaultSize="0" autoFill="0" autoLine="0" autoPict="0" altText="Drop-down box to select key stage 4 attainment category" linkedCell="Inputs!J1" listFillRange="Attainment" r:id="rId11">
            <anchor moveWithCells="1">
              <from>
                <xdr:col>8</xdr:col>
                <xdr:colOff>19050</xdr:colOff>
                <xdr:row>3</xdr:row>
                <xdr:rowOff>100013</xdr:rowOff>
              </from>
              <to>
                <xdr:col>10</xdr:col>
                <xdr:colOff>628650</xdr:colOff>
                <xdr:row>5</xdr:row>
                <xdr:rowOff>33338</xdr:rowOff>
              </to>
            </anchor>
          </controlPr>
        </control>
      </mc:Choice>
      <mc:Fallback>
        <control shapeId="5121" r:id="rId10" name="ComboBox1"/>
      </mc:Fallback>
    </mc:AlternateContent>
    <mc:AlternateContent xmlns:mc="http://schemas.openxmlformats.org/markup-compatibility/2006">
      <mc:Choice Requires="x14">
        <control shapeId="5122" r:id="rId12" name="ComboBox2">
          <controlPr defaultSize="0" autoLine="0" autoPict="0" altText="Drop-down box to select pupil numbers or percentages" linkedCell="Inputs!K2" listFillRange="datat" r:id="rId13">
            <anchor moveWithCells="1">
              <from>
                <xdr:col>8</xdr:col>
                <xdr:colOff>14288</xdr:colOff>
                <xdr:row>6</xdr:row>
                <xdr:rowOff>0</xdr:rowOff>
              </from>
              <to>
                <xdr:col>10</xdr:col>
                <xdr:colOff>628650</xdr:colOff>
                <xdr:row>7</xdr:row>
                <xdr:rowOff>95250</xdr:rowOff>
              </to>
            </anchor>
          </controlPr>
        </control>
      </mc:Choice>
      <mc:Fallback>
        <control shapeId="5122" r:id="rId12" name="ComboBox2"/>
      </mc:Fallback>
    </mc:AlternateContent>
    <mc:AlternateContent xmlns:mc="http://schemas.openxmlformats.org/markup-compatibility/2006">
      <mc:Choice Requires="x14">
        <control shapeId="5128" r:id="rId14" name="Spinner 8">
          <controlPr defaultSize="0" autoPict="0" altText="Arrow to select between pupil chracteristic breakdowns: gender, disadvantage, SEN or EAL">
            <anchor moveWithCells="1" sizeWithCells="1">
              <from>
                <xdr:col>16</xdr:col>
                <xdr:colOff>295275</xdr:colOff>
                <xdr:row>42</xdr:row>
                <xdr:rowOff>76200</xdr:rowOff>
              </from>
              <to>
                <xdr:col>17</xdr:col>
                <xdr:colOff>295275</xdr:colOff>
                <xdr:row>44</xdr:row>
                <xdr:rowOff>4763</xdr:rowOff>
              </to>
            </anchor>
          </controlPr>
        </control>
      </mc:Choice>
    </mc:AlternateContent>
  </controls>
  <extLst>
    <ext xmlns:x14="http://schemas.microsoft.com/office/spreadsheetml/2009/9/main" uri="{78C0D931-6437-407d-A8EE-F0AAD7539E65}">
      <x14:conditionalFormattings>
        <x14:conditionalFormatting xmlns:xm="http://schemas.microsoft.com/office/excel/2006/main">
          <x14:cfRule type="expression" priority="3" id="{70D87FAF-DFD3-4F11-B05A-C1332F93A14D}">
            <xm:f>IF(NOT(OR(Inputs!$M$1="Please Select",Inputs!$M$1="",Inputs!$M$2="Please Select",Inputs!$M$2="")),Inputs!$M$3=$D48)</xm:f>
            <x14:dxf>
              <fill>
                <patternFill>
                  <bgColor rgb="FFD4CEDE"/>
                </patternFill>
              </fill>
            </x14:dxf>
          </x14:cfRule>
          <xm:sqref>E48:F59</xm:sqref>
        </x14:conditionalFormatting>
        <x14:conditionalFormatting xmlns:xm="http://schemas.microsoft.com/office/excel/2006/main">
          <x14:cfRule type="expression" priority="1" id="{53CA316A-3AA4-48CF-A08F-5CFF39F40EDD}">
            <xm:f>IF(NOT(OR(Inputs!$M$1="Please Select",Inputs!$M$1="",Inputs!$M$2="Please Select",Inputs!$M$2="")),Inputs!$M$3=$D48)</xm:f>
            <x14:dxf>
              <fill>
                <patternFill>
                  <bgColor rgb="FFD4CEDE"/>
                </patternFill>
              </fill>
            </x14:dxf>
          </x14:cfRule>
          <xm:sqref>J48:K59</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B5:GQ1346"/>
  <sheetViews>
    <sheetView showGridLines="0" showRowColHeaders="0" zoomScale="60" zoomScaleNormal="60" workbookViewId="0">
      <pane xSplit="2" ySplit="6" topLeftCell="C7" activePane="bottomRight" state="frozen"/>
      <selection activeCell="D17" sqref="D17"/>
      <selection pane="topRight" activeCell="D17" sqref="D17"/>
      <selection pane="bottomLeft" activeCell="D17" sqref="D17"/>
      <selection pane="bottomRight" activeCell="C570" sqref="C570"/>
    </sheetView>
  </sheetViews>
  <sheetFormatPr defaultRowHeight="14.25" x14ac:dyDescent="0.45"/>
  <cols>
    <col min="1" max="1" width="4.1328125" customWidth="1"/>
    <col min="2" max="2" width="13.3984375" customWidth="1"/>
    <col min="3" max="3" width="7.1328125" customWidth="1"/>
    <col min="4" max="4" width="6.86328125" customWidth="1"/>
    <col min="5" max="15" width="9.1328125" customWidth="1"/>
    <col min="16" max="16" width="8.3984375" customWidth="1"/>
    <col min="17" max="17" width="8" customWidth="1"/>
    <col min="18" max="28" width="9.1328125" customWidth="1"/>
    <col min="29" max="29" width="7.59765625" customWidth="1"/>
    <col min="30" max="30" width="6.86328125" customWidth="1"/>
    <col min="31" max="41" width="9.1328125" customWidth="1"/>
    <col min="43" max="43" width="6.86328125" customWidth="1"/>
    <col min="44" max="54" width="9.1328125" customWidth="1"/>
    <col min="56" max="56" width="7.59765625" customWidth="1"/>
    <col min="57" max="67" width="9.1328125" customWidth="1"/>
    <col min="69" max="69" width="6.86328125" customWidth="1"/>
    <col min="70" max="80" width="9.1328125" customWidth="1"/>
    <col min="82" max="82" width="6.86328125" customWidth="1"/>
    <col min="83" max="93" width="9.1328125" customWidth="1"/>
    <col min="95" max="95" width="6.86328125" customWidth="1"/>
    <col min="96" max="106" width="9.1328125" customWidth="1"/>
    <col min="108" max="108" width="8" customWidth="1"/>
    <col min="109" max="119" width="9.1328125" customWidth="1"/>
    <col min="121" max="121" width="7.86328125" customWidth="1"/>
    <col min="122" max="133" width="9.1328125" customWidth="1"/>
    <col min="134" max="134" width="9" customWidth="1"/>
    <col min="135" max="145" width="9.1328125" customWidth="1"/>
  </cols>
  <sheetData>
    <row r="5" spans="2:119" ht="14.25" customHeight="1" x14ac:dyDescent="0.45">
      <c r="F5" s="140" t="s">
        <v>23</v>
      </c>
      <c r="G5" s="140"/>
      <c r="H5" s="140"/>
      <c r="I5" s="140"/>
      <c r="J5" s="140"/>
      <c r="K5" s="140"/>
      <c r="L5" s="140"/>
      <c r="M5" s="140"/>
      <c r="N5" s="140"/>
      <c r="O5" s="6"/>
      <c r="P5" s="6"/>
      <c r="Q5" s="6"/>
      <c r="R5" s="6"/>
      <c r="S5" s="139" t="s">
        <v>25</v>
      </c>
      <c r="T5" s="139"/>
      <c r="U5" s="139"/>
      <c r="V5" s="139"/>
      <c r="W5" s="139"/>
      <c r="X5" s="139"/>
      <c r="Y5" s="139"/>
      <c r="Z5" s="139"/>
      <c r="AA5" s="139"/>
      <c r="AB5" s="6"/>
      <c r="AD5" s="6"/>
      <c r="AE5" s="6"/>
      <c r="AF5" s="139" t="s">
        <v>26</v>
      </c>
      <c r="AG5" s="139"/>
      <c r="AH5" s="139"/>
      <c r="AI5" s="139"/>
      <c r="AJ5" s="139"/>
      <c r="AK5" s="139"/>
      <c r="AL5" s="139"/>
      <c r="AM5" s="139"/>
      <c r="AN5" s="139"/>
      <c r="AO5" s="6"/>
      <c r="AP5" s="6"/>
      <c r="AQ5" s="6"/>
      <c r="AR5" s="6"/>
      <c r="AS5" s="147" t="s">
        <v>97</v>
      </c>
      <c r="AT5" s="147"/>
      <c r="AU5" s="147"/>
      <c r="AV5" s="147"/>
      <c r="AW5" s="147"/>
      <c r="AX5" s="147"/>
      <c r="AY5" s="147"/>
      <c r="AZ5" s="147"/>
      <c r="BA5" s="147"/>
      <c r="BF5" s="147" t="s">
        <v>98</v>
      </c>
      <c r="BG5" s="147"/>
      <c r="BH5" s="147"/>
      <c r="BI5" s="147"/>
      <c r="BJ5" s="147"/>
      <c r="BK5" s="147"/>
      <c r="BL5" s="147"/>
      <c r="BM5" s="147"/>
      <c r="BN5" s="147"/>
      <c r="BS5" s="148" t="s">
        <v>99</v>
      </c>
      <c r="BT5" s="148"/>
      <c r="BU5" s="148"/>
      <c r="BV5" s="148"/>
      <c r="BW5" s="148"/>
      <c r="BX5" s="148"/>
      <c r="BY5" s="148"/>
      <c r="BZ5" s="148"/>
      <c r="CA5" s="148"/>
      <c r="CF5" s="148" t="s">
        <v>100</v>
      </c>
      <c r="CG5" s="148"/>
      <c r="CH5" s="148"/>
      <c r="CI5" s="148"/>
      <c r="CJ5" s="148"/>
      <c r="CK5" s="148"/>
      <c r="CL5" s="148"/>
      <c r="CM5" s="148"/>
      <c r="CN5" s="148"/>
      <c r="CS5" s="149" t="s">
        <v>101</v>
      </c>
      <c r="CT5" s="149"/>
      <c r="CU5" s="149"/>
      <c r="CV5" s="149"/>
      <c r="CW5" s="149"/>
      <c r="CX5" s="149"/>
      <c r="CY5" s="149"/>
      <c r="CZ5" s="149"/>
      <c r="DA5" s="149"/>
      <c r="DF5" s="149" t="s">
        <v>102</v>
      </c>
      <c r="DG5" s="149"/>
      <c r="DH5" s="149"/>
      <c r="DI5" s="149"/>
      <c r="DJ5" s="149"/>
      <c r="DK5" s="149"/>
      <c r="DL5" s="149"/>
      <c r="DM5" s="149"/>
      <c r="DN5" s="149"/>
    </row>
    <row r="6" spans="2:119" ht="14.25" customHeight="1" x14ac:dyDescent="0.45">
      <c r="F6" s="140"/>
      <c r="G6" s="140"/>
      <c r="H6" s="140"/>
      <c r="I6" s="140"/>
      <c r="J6" s="140"/>
      <c r="K6" s="140"/>
      <c r="L6" s="140"/>
      <c r="M6" s="140"/>
      <c r="N6" s="140"/>
      <c r="O6" s="6"/>
      <c r="P6" s="6"/>
      <c r="Q6" s="6"/>
      <c r="R6" s="6"/>
      <c r="S6" s="139"/>
      <c r="T6" s="139"/>
      <c r="U6" s="139"/>
      <c r="V6" s="139"/>
      <c r="W6" s="139"/>
      <c r="X6" s="139"/>
      <c r="Y6" s="139"/>
      <c r="Z6" s="139"/>
      <c r="AA6" s="139"/>
      <c r="AB6" s="6"/>
      <c r="AD6" s="6"/>
      <c r="AE6" s="6"/>
      <c r="AF6" s="139"/>
      <c r="AG6" s="139"/>
      <c r="AH6" s="139"/>
      <c r="AI6" s="139"/>
      <c r="AJ6" s="139"/>
      <c r="AK6" s="139"/>
      <c r="AL6" s="139"/>
      <c r="AM6" s="139"/>
      <c r="AN6" s="139"/>
      <c r="AO6" s="6"/>
      <c r="AP6" s="6"/>
      <c r="AQ6" s="6"/>
      <c r="AR6" s="6"/>
      <c r="AS6" s="147"/>
      <c r="AT6" s="147"/>
      <c r="AU6" s="147"/>
      <c r="AV6" s="147"/>
      <c r="AW6" s="147"/>
      <c r="AX6" s="147"/>
      <c r="AY6" s="147"/>
      <c r="AZ6" s="147"/>
      <c r="BA6" s="147"/>
      <c r="BF6" s="147"/>
      <c r="BG6" s="147"/>
      <c r="BH6" s="147"/>
      <c r="BI6" s="147"/>
      <c r="BJ6" s="147"/>
      <c r="BK6" s="147"/>
      <c r="BL6" s="147"/>
      <c r="BM6" s="147"/>
      <c r="BN6" s="147"/>
      <c r="BS6" s="148"/>
      <c r="BT6" s="148"/>
      <c r="BU6" s="148"/>
      <c r="BV6" s="148"/>
      <c r="BW6" s="148"/>
      <c r="BX6" s="148"/>
      <c r="BY6" s="148"/>
      <c r="BZ6" s="148"/>
      <c r="CA6" s="148"/>
      <c r="CF6" s="148"/>
      <c r="CG6" s="148"/>
      <c r="CH6" s="148"/>
      <c r="CI6" s="148"/>
      <c r="CJ6" s="148"/>
      <c r="CK6" s="148"/>
      <c r="CL6" s="148"/>
      <c r="CM6" s="148"/>
      <c r="CN6" s="148"/>
      <c r="CS6" s="149"/>
      <c r="CT6" s="149"/>
      <c r="CU6" s="149"/>
      <c r="CV6" s="149"/>
      <c r="CW6" s="149"/>
      <c r="CX6" s="149"/>
      <c r="CY6" s="149"/>
      <c r="CZ6" s="149"/>
      <c r="DA6" s="149"/>
      <c r="DF6" s="149"/>
      <c r="DG6" s="149"/>
      <c r="DH6" s="149"/>
      <c r="DI6" s="149"/>
      <c r="DJ6" s="149"/>
      <c r="DK6" s="149"/>
      <c r="DL6" s="149"/>
      <c r="DM6" s="149"/>
      <c r="DN6" s="149"/>
    </row>
    <row r="7" spans="2:119" ht="14.25" customHeight="1" x14ac:dyDescent="0.45">
      <c r="C7" s="42"/>
      <c r="D7" s="42"/>
      <c r="E7" s="42"/>
      <c r="F7" s="43"/>
      <c r="G7" s="43"/>
      <c r="H7" s="43"/>
      <c r="I7" s="43"/>
      <c r="J7" s="43"/>
      <c r="K7" s="43"/>
      <c r="L7" s="43"/>
      <c r="M7" s="43"/>
      <c r="N7" s="43"/>
      <c r="O7" s="44"/>
      <c r="P7" s="44"/>
      <c r="Q7" s="44"/>
      <c r="R7" s="44"/>
      <c r="S7" s="43"/>
      <c r="T7" s="43"/>
      <c r="U7" s="43"/>
      <c r="V7" s="43"/>
      <c r="W7" s="43"/>
      <c r="X7" s="43"/>
      <c r="Y7" s="43"/>
      <c r="Z7" s="43"/>
      <c r="AA7" s="43"/>
      <c r="AB7" s="44"/>
      <c r="AC7" s="42"/>
      <c r="AD7" s="44"/>
      <c r="AE7" s="44"/>
      <c r="AF7" s="43"/>
      <c r="AG7" s="43"/>
      <c r="AH7" s="43"/>
      <c r="AI7" s="43"/>
      <c r="AJ7" s="43"/>
      <c r="AK7" s="43"/>
      <c r="AL7" s="43"/>
      <c r="AM7" s="43"/>
      <c r="AN7" s="43"/>
      <c r="AO7" s="44"/>
      <c r="AP7" s="6"/>
      <c r="AQ7" s="6"/>
      <c r="AR7" s="6"/>
      <c r="AS7" s="6"/>
    </row>
    <row r="8" spans="2:119" ht="14.25" customHeight="1" x14ac:dyDescent="0.55000000000000004">
      <c r="C8" s="42"/>
      <c r="D8" s="112" t="s">
        <v>24</v>
      </c>
      <c r="E8" s="112"/>
      <c r="F8" s="45"/>
      <c r="G8" s="45"/>
      <c r="H8" s="45"/>
      <c r="I8" s="45"/>
      <c r="J8" s="45"/>
      <c r="K8" s="45"/>
      <c r="L8" s="45"/>
      <c r="M8" s="45"/>
      <c r="N8" s="45"/>
      <c r="O8" s="45"/>
      <c r="P8" s="42"/>
      <c r="Q8" s="112" t="s">
        <v>24</v>
      </c>
      <c r="R8" s="112"/>
      <c r="S8" s="45"/>
      <c r="T8" s="45"/>
      <c r="U8" s="45"/>
      <c r="V8" s="45"/>
      <c r="W8" s="45"/>
      <c r="X8" s="45"/>
      <c r="Y8" s="45"/>
      <c r="Z8" s="45"/>
      <c r="AA8" s="45"/>
      <c r="AB8" s="45"/>
      <c r="AC8" s="42"/>
      <c r="AD8" s="112" t="s">
        <v>24</v>
      </c>
      <c r="AE8" s="112"/>
      <c r="AF8" s="45"/>
      <c r="AG8" s="45"/>
      <c r="AH8" s="45"/>
      <c r="AI8" s="45"/>
      <c r="AJ8" s="45"/>
      <c r="AK8" s="45"/>
      <c r="AL8" s="45"/>
      <c r="AM8" s="45"/>
      <c r="AN8" s="45"/>
      <c r="AO8" s="45"/>
      <c r="AP8" s="6"/>
      <c r="AQ8" s="112" t="s">
        <v>24</v>
      </c>
      <c r="AR8" s="112"/>
      <c r="AS8" s="45"/>
      <c r="AT8" s="45"/>
      <c r="AU8" s="45"/>
      <c r="AV8" s="45"/>
      <c r="AW8" s="45"/>
      <c r="AX8" s="45"/>
      <c r="AY8" s="45"/>
      <c r="AZ8" s="45"/>
      <c r="BA8" s="45"/>
      <c r="BB8" s="45"/>
      <c r="BC8" s="42"/>
      <c r="BD8" s="112" t="s">
        <v>24</v>
      </c>
      <c r="BE8" s="112"/>
      <c r="BF8" s="45"/>
      <c r="BG8" s="45"/>
      <c r="BH8" s="45"/>
      <c r="BI8" s="45"/>
      <c r="BJ8" s="45"/>
      <c r="BK8" s="45"/>
      <c r="BL8" s="45"/>
      <c r="BM8" s="45"/>
      <c r="BN8" s="45"/>
      <c r="BO8" s="45"/>
      <c r="BQ8" s="112" t="s">
        <v>24</v>
      </c>
      <c r="BR8" s="112"/>
      <c r="BS8" s="45"/>
      <c r="BT8" s="45"/>
      <c r="BU8" s="45"/>
      <c r="BV8" s="45"/>
      <c r="BW8" s="45"/>
      <c r="BX8" s="45"/>
      <c r="BY8" s="45"/>
      <c r="BZ8" s="45"/>
      <c r="CA8" s="45"/>
      <c r="CB8" s="45"/>
      <c r="CC8" s="42"/>
      <c r="CD8" s="112" t="s">
        <v>24</v>
      </c>
      <c r="CE8" s="112"/>
      <c r="CF8" s="45"/>
      <c r="CG8" s="45"/>
      <c r="CH8" s="45"/>
      <c r="CI8" s="45"/>
      <c r="CJ8" s="45"/>
      <c r="CK8" s="45"/>
      <c r="CL8" s="45"/>
      <c r="CM8" s="45"/>
      <c r="CN8" s="45"/>
      <c r="CO8" s="45"/>
      <c r="CQ8" s="112" t="s">
        <v>24</v>
      </c>
      <c r="CR8" s="112"/>
      <c r="CS8" s="45"/>
      <c r="CT8" s="45"/>
      <c r="CU8" s="45"/>
      <c r="CV8" s="45"/>
      <c r="CW8" s="45"/>
      <c r="CX8" s="45"/>
      <c r="CY8" s="45"/>
      <c r="CZ8" s="45"/>
      <c r="DA8" s="45"/>
      <c r="DB8" s="45"/>
      <c r="DC8" s="42"/>
      <c r="DD8" s="112" t="s">
        <v>24</v>
      </c>
      <c r="DE8" s="112"/>
      <c r="DF8" s="45"/>
      <c r="DG8" s="45"/>
      <c r="DH8" s="45"/>
      <c r="DI8" s="45"/>
      <c r="DJ8" s="45"/>
      <c r="DK8" s="45"/>
      <c r="DL8" s="45"/>
      <c r="DM8" s="45"/>
      <c r="DN8" s="45"/>
      <c r="DO8" s="45"/>
    </row>
    <row r="9" spans="2:119" ht="28.9" customHeight="1" x14ac:dyDescent="0.45">
      <c r="C9" s="42"/>
      <c r="D9" s="112"/>
      <c r="E9" s="112"/>
      <c r="F9" s="108" t="s">
        <v>12</v>
      </c>
      <c r="G9" s="108"/>
      <c r="H9" s="108"/>
      <c r="I9" s="108"/>
      <c r="J9" s="108"/>
      <c r="K9" s="108"/>
      <c r="L9" s="108"/>
      <c r="M9" s="108"/>
      <c r="N9" s="108"/>
      <c r="O9" s="108"/>
      <c r="P9" s="42"/>
      <c r="Q9" s="112"/>
      <c r="R9" s="112"/>
      <c r="S9" s="108" t="s">
        <v>12</v>
      </c>
      <c r="T9" s="108"/>
      <c r="U9" s="108"/>
      <c r="V9" s="108"/>
      <c r="W9" s="108"/>
      <c r="X9" s="108"/>
      <c r="Y9" s="108"/>
      <c r="Z9" s="108"/>
      <c r="AA9" s="108"/>
      <c r="AB9" s="108"/>
      <c r="AC9" s="42"/>
      <c r="AD9" s="112"/>
      <c r="AE9" s="112"/>
      <c r="AF9" s="108" t="s">
        <v>12</v>
      </c>
      <c r="AG9" s="108"/>
      <c r="AH9" s="108"/>
      <c r="AI9" s="108"/>
      <c r="AJ9" s="108"/>
      <c r="AK9" s="108"/>
      <c r="AL9" s="108"/>
      <c r="AM9" s="108"/>
      <c r="AN9" s="108"/>
      <c r="AO9" s="108"/>
      <c r="AP9" s="6"/>
      <c r="AQ9" s="112"/>
      <c r="AR9" s="112"/>
      <c r="AS9" s="108" t="s">
        <v>12</v>
      </c>
      <c r="AT9" s="108"/>
      <c r="AU9" s="108"/>
      <c r="AV9" s="108"/>
      <c r="AW9" s="108"/>
      <c r="AX9" s="108"/>
      <c r="AY9" s="108"/>
      <c r="AZ9" s="108"/>
      <c r="BA9" s="108"/>
      <c r="BB9" s="108"/>
      <c r="BC9" s="42"/>
      <c r="BD9" s="112"/>
      <c r="BE9" s="112"/>
      <c r="BF9" s="108" t="s">
        <v>12</v>
      </c>
      <c r="BG9" s="108"/>
      <c r="BH9" s="108"/>
      <c r="BI9" s="108"/>
      <c r="BJ9" s="108"/>
      <c r="BK9" s="108"/>
      <c r="BL9" s="108"/>
      <c r="BM9" s="108"/>
      <c r="BN9" s="108"/>
      <c r="BO9" s="108"/>
      <c r="BQ9" s="112"/>
      <c r="BR9" s="112"/>
      <c r="BS9" s="108" t="s">
        <v>12</v>
      </c>
      <c r="BT9" s="108"/>
      <c r="BU9" s="108"/>
      <c r="BV9" s="108"/>
      <c r="BW9" s="108"/>
      <c r="BX9" s="108"/>
      <c r="BY9" s="108"/>
      <c r="BZ9" s="108"/>
      <c r="CA9" s="108"/>
      <c r="CB9" s="108"/>
      <c r="CC9" s="42"/>
      <c r="CD9" s="112"/>
      <c r="CE9" s="112"/>
      <c r="CF9" s="108" t="s">
        <v>12</v>
      </c>
      <c r="CG9" s="108"/>
      <c r="CH9" s="108"/>
      <c r="CI9" s="108"/>
      <c r="CJ9" s="108"/>
      <c r="CK9" s="108"/>
      <c r="CL9" s="108"/>
      <c r="CM9" s="108"/>
      <c r="CN9" s="108"/>
      <c r="CO9" s="108"/>
      <c r="CQ9" s="112"/>
      <c r="CR9" s="112"/>
      <c r="CS9" s="108" t="s">
        <v>12</v>
      </c>
      <c r="CT9" s="108"/>
      <c r="CU9" s="108"/>
      <c r="CV9" s="108"/>
      <c r="CW9" s="108"/>
      <c r="CX9" s="108"/>
      <c r="CY9" s="108"/>
      <c r="CZ9" s="108"/>
      <c r="DA9" s="108"/>
      <c r="DB9" s="108"/>
      <c r="DC9" s="42"/>
      <c r="DD9" s="112"/>
      <c r="DE9" s="112"/>
      <c r="DF9" s="108" t="s">
        <v>12</v>
      </c>
      <c r="DG9" s="108"/>
      <c r="DH9" s="108"/>
      <c r="DI9" s="108"/>
      <c r="DJ9" s="108"/>
      <c r="DK9" s="108"/>
      <c r="DL9" s="108"/>
      <c r="DM9" s="108"/>
      <c r="DN9" s="108"/>
      <c r="DO9" s="108"/>
    </row>
    <row r="10" spans="2:119" ht="14.25" customHeight="1" x14ac:dyDescent="0.45">
      <c r="C10" s="42"/>
      <c r="D10" s="113"/>
      <c r="E10" s="113"/>
      <c r="F10" s="9" t="s">
        <v>0</v>
      </c>
      <c r="G10" s="9">
        <v>1</v>
      </c>
      <c r="H10" s="9">
        <v>2</v>
      </c>
      <c r="I10" s="9">
        <v>3</v>
      </c>
      <c r="J10" s="9">
        <v>4</v>
      </c>
      <c r="K10" s="9">
        <v>5</v>
      </c>
      <c r="L10" s="9">
        <v>6</v>
      </c>
      <c r="M10" s="9">
        <v>7</v>
      </c>
      <c r="N10" s="9">
        <v>8</v>
      </c>
      <c r="O10" s="9">
        <v>9</v>
      </c>
      <c r="P10" s="42"/>
      <c r="Q10" s="113"/>
      <c r="R10" s="113"/>
      <c r="S10" s="9" t="s">
        <v>0</v>
      </c>
      <c r="T10" s="9">
        <v>1</v>
      </c>
      <c r="U10" s="9">
        <v>2</v>
      </c>
      <c r="V10" s="9">
        <v>3</v>
      </c>
      <c r="W10" s="9">
        <v>4</v>
      </c>
      <c r="X10" s="9">
        <v>5</v>
      </c>
      <c r="Y10" s="9">
        <v>6</v>
      </c>
      <c r="Z10" s="9">
        <v>7</v>
      </c>
      <c r="AA10" s="9">
        <v>8</v>
      </c>
      <c r="AB10" s="9">
        <v>9</v>
      </c>
      <c r="AC10" s="42"/>
      <c r="AD10" s="113"/>
      <c r="AE10" s="113"/>
      <c r="AF10" s="9" t="s">
        <v>0</v>
      </c>
      <c r="AG10" s="9">
        <v>1</v>
      </c>
      <c r="AH10" s="9">
        <v>2</v>
      </c>
      <c r="AI10" s="9">
        <v>3</v>
      </c>
      <c r="AJ10" s="9">
        <v>4</v>
      </c>
      <c r="AK10" s="9">
        <v>5</v>
      </c>
      <c r="AL10" s="9">
        <v>6</v>
      </c>
      <c r="AM10" s="9">
        <v>7</v>
      </c>
      <c r="AN10" s="9">
        <v>8</v>
      </c>
      <c r="AO10" s="9">
        <v>9</v>
      </c>
      <c r="AP10" s="6"/>
      <c r="AQ10" s="113"/>
      <c r="AR10" s="113"/>
      <c r="AS10" s="9" t="s">
        <v>0</v>
      </c>
      <c r="AT10" s="9">
        <v>1</v>
      </c>
      <c r="AU10" s="9">
        <v>2</v>
      </c>
      <c r="AV10" s="9">
        <v>3</v>
      </c>
      <c r="AW10" s="9">
        <v>4</v>
      </c>
      <c r="AX10" s="9">
        <v>5</v>
      </c>
      <c r="AY10" s="9">
        <v>6</v>
      </c>
      <c r="AZ10" s="9">
        <v>7</v>
      </c>
      <c r="BA10" s="9">
        <v>8</v>
      </c>
      <c r="BB10" s="9">
        <v>9</v>
      </c>
      <c r="BC10" s="42"/>
      <c r="BD10" s="113"/>
      <c r="BE10" s="113"/>
      <c r="BF10" s="9" t="s">
        <v>0</v>
      </c>
      <c r="BG10" s="9">
        <v>1</v>
      </c>
      <c r="BH10" s="9">
        <v>2</v>
      </c>
      <c r="BI10" s="9">
        <v>3</v>
      </c>
      <c r="BJ10" s="9">
        <v>4</v>
      </c>
      <c r="BK10" s="9">
        <v>5</v>
      </c>
      <c r="BL10" s="9">
        <v>6</v>
      </c>
      <c r="BM10" s="9">
        <v>7</v>
      </c>
      <c r="BN10" s="9">
        <v>8</v>
      </c>
      <c r="BO10" s="9">
        <v>9</v>
      </c>
      <c r="BQ10" s="113"/>
      <c r="BR10" s="113"/>
      <c r="BS10" s="9" t="s">
        <v>0</v>
      </c>
      <c r="BT10" s="9">
        <v>1</v>
      </c>
      <c r="BU10" s="9">
        <v>2</v>
      </c>
      <c r="BV10" s="9">
        <v>3</v>
      </c>
      <c r="BW10" s="9">
        <v>4</v>
      </c>
      <c r="BX10" s="9">
        <v>5</v>
      </c>
      <c r="BY10" s="9">
        <v>6</v>
      </c>
      <c r="BZ10" s="9">
        <v>7</v>
      </c>
      <c r="CA10" s="9">
        <v>8</v>
      </c>
      <c r="CB10" s="9">
        <v>9</v>
      </c>
      <c r="CC10" s="42"/>
      <c r="CD10" s="113"/>
      <c r="CE10" s="113"/>
      <c r="CF10" s="9" t="s">
        <v>0</v>
      </c>
      <c r="CG10" s="9">
        <v>1</v>
      </c>
      <c r="CH10" s="9">
        <v>2</v>
      </c>
      <c r="CI10" s="9">
        <v>3</v>
      </c>
      <c r="CJ10" s="9">
        <v>4</v>
      </c>
      <c r="CK10" s="9">
        <v>5</v>
      </c>
      <c r="CL10" s="9">
        <v>6</v>
      </c>
      <c r="CM10" s="9">
        <v>7</v>
      </c>
      <c r="CN10" s="9">
        <v>8</v>
      </c>
      <c r="CO10" s="9">
        <v>9</v>
      </c>
      <c r="CQ10" s="113"/>
      <c r="CR10" s="113"/>
      <c r="CS10" s="9" t="s">
        <v>0</v>
      </c>
      <c r="CT10" s="9">
        <v>1</v>
      </c>
      <c r="CU10" s="9">
        <v>2</v>
      </c>
      <c r="CV10" s="9">
        <v>3</v>
      </c>
      <c r="CW10" s="9">
        <v>4</v>
      </c>
      <c r="CX10" s="9">
        <v>5</v>
      </c>
      <c r="CY10" s="9">
        <v>6</v>
      </c>
      <c r="CZ10" s="9">
        <v>7</v>
      </c>
      <c r="DA10" s="9">
        <v>8</v>
      </c>
      <c r="DB10" s="9">
        <v>9</v>
      </c>
      <c r="DC10" s="42"/>
      <c r="DD10" s="113"/>
      <c r="DE10" s="113"/>
      <c r="DF10" s="9" t="s">
        <v>0</v>
      </c>
      <c r="DG10" s="9">
        <v>1</v>
      </c>
      <c r="DH10" s="9">
        <v>2</v>
      </c>
      <c r="DI10" s="9">
        <v>3</v>
      </c>
      <c r="DJ10" s="9">
        <v>4</v>
      </c>
      <c r="DK10" s="9">
        <v>5</v>
      </c>
      <c r="DL10" s="9">
        <v>6</v>
      </c>
      <c r="DM10" s="9">
        <v>7</v>
      </c>
      <c r="DN10" s="9">
        <v>8</v>
      </c>
      <c r="DO10" s="9">
        <v>9</v>
      </c>
    </row>
    <row r="11" spans="2:119" ht="14.25" customHeight="1" x14ac:dyDescent="0.45">
      <c r="B11" s="135" t="s">
        <v>67</v>
      </c>
      <c r="C11" s="42"/>
      <c r="D11" s="109" t="s">
        <v>13</v>
      </c>
      <c r="E11" s="46" t="s">
        <v>1</v>
      </c>
      <c r="F11" s="3">
        <v>6</v>
      </c>
      <c r="G11" s="3">
        <v>11</v>
      </c>
      <c r="H11" s="3">
        <v>22</v>
      </c>
      <c r="I11" s="3">
        <v>18</v>
      </c>
      <c r="J11" s="3">
        <v>10</v>
      </c>
      <c r="K11" s="3">
        <v>6</v>
      </c>
      <c r="L11" s="3">
        <v>2</v>
      </c>
      <c r="M11" s="3">
        <v>0</v>
      </c>
      <c r="N11" s="3">
        <v>0</v>
      </c>
      <c r="O11" s="17">
        <v>0</v>
      </c>
      <c r="P11" s="42"/>
      <c r="Q11" s="109" t="s">
        <v>13</v>
      </c>
      <c r="R11" s="46" t="s">
        <v>1</v>
      </c>
      <c r="S11" s="3">
        <v>2</v>
      </c>
      <c r="T11" s="3">
        <v>2</v>
      </c>
      <c r="U11" s="3">
        <v>5</v>
      </c>
      <c r="V11" s="3">
        <v>9</v>
      </c>
      <c r="W11" s="3">
        <v>6</v>
      </c>
      <c r="X11" s="3">
        <v>5</v>
      </c>
      <c r="Y11" s="3">
        <v>1</v>
      </c>
      <c r="Z11" s="3">
        <v>0</v>
      </c>
      <c r="AA11" s="3">
        <v>0</v>
      </c>
      <c r="AB11" s="17">
        <v>0</v>
      </c>
      <c r="AC11" s="42"/>
      <c r="AD11" s="109" t="s">
        <v>13</v>
      </c>
      <c r="AE11" s="46" t="s">
        <v>1</v>
      </c>
      <c r="AF11" s="3">
        <v>4</v>
      </c>
      <c r="AG11" s="3">
        <v>9</v>
      </c>
      <c r="AH11" s="3">
        <v>17</v>
      </c>
      <c r="AI11" s="3">
        <v>9</v>
      </c>
      <c r="AJ11" s="3">
        <v>4</v>
      </c>
      <c r="AK11" s="3">
        <v>1</v>
      </c>
      <c r="AL11" s="3">
        <v>1</v>
      </c>
      <c r="AM11" s="3">
        <v>0</v>
      </c>
      <c r="AN11" s="3">
        <v>0</v>
      </c>
      <c r="AO11" s="17">
        <v>0</v>
      </c>
      <c r="AP11" s="6"/>
      <c r="AQ11" s="109" t="s">
        <v>13</v>
      </c>
      <c r="AR11" s="46" t="s">
        <v>1</v>
      </c>
      <c r="AS11" s="87">
        <v>3</v>
      </c>
      <c r="AT11" s="87">
        <v>7</v>
      </c>
      <c r="AU11" s="87">
        <v>12</v>
      </c>
      <c r="AV11" s="87">
        <v>9</v>
      </c>
      <c r="AW11" s="87">
        <v>5</v>
      </c>
      <c r="AX11" s="87">
        <v>1</v>
      </c>
      <c r="AY11" s="87">
        <v>1</v>
      </c>
      <c r="AZ11" s="87">
        <v>0</v>
      </c>
      <c r="BA11" s="87">
        <v>0</v>
      </c>
      <c r="BB11" s="17">
        <v>0</v>
      </c>
      <c r="BC11" s="42"/>
      <c r="BD11" s="109" t="s">
        <v>13</v>
      </c>
      <c r="BE11" s="46" t="s">
        <v>1</v>
      </c>
      <c r="BF11" s="87">
        <v>3</v>
      </c>
      <c r="BG11" s="87">
        <v>4</v>
      </c>
      <c r="BH11" s="87">
        <v>10</v>
      </c>
      <c r="BI11" s="87">
        <v>9</v>
      </c>
      <c r="BJ11" s="87">
        <v>5</v>
      </c>
      <c r="BK11" s="87">
        <v>5</v>
      </c>
      <c r="BL11" s="87">
        <v>1</v>
      </c>
      <c r="BM11" s="87">
        <v>0</v>
      </c>
      <c r="BN11" s="87">
        <v>0</v>
      </c>
      <c r="BO11" s="17">
        <v>0</v>
      </c>
      <c r="BQ11" s="109" t="s">
        <v>13</v>
      </c>
      <c r="BR11" s="46" t="s">
        <v>1</v>
      </c>
      <c r="BS11" s="87">
        <v>2</v>
      </c>
      <c r="BT11" s="87">
        <v>9</v>
      </c>
      <c r="BU11" s="87">
        <v>9</v>
      </c>
      <c r="BV11" s="87">
        <v>5</v>
      </c>
      <c r="BW11" s="87">
        <v>1</v>
      </c>
      <c r="BX11" s="87">
        <v>2</v>
      </c>
      <c r="BY11" s="87">
        <v>1</v>
      </c>
      <c r="BZ11" s="87">
        <v>0</v>
      </c>
      <c r="CA11" s="87">
        <v>0</v>
      </c>
      <c r="CB11" s="17">
        <v>0</v>
      </c>
      <c r="CC11" s="42"/>
      <c r="CD11" s="109" t="s">
        <v>13</v>
      </c>
      <c r="CE11" s="46" t="s">
        <v>1</v>
      </c>
      <c r="CF11" s="87">
        <v>4</v>
      </c>
      <c r="CG11" s="87">
        <v>2</v>
      </c>
      <c r="CH11" s="87">
        <v>13</v>
      </c>
      <c r="CI11" s="87">
        <v>13</v>
      </c>
      <c r="CJ11" s="87">
        <v>9</v>
      </c>
      <c r="CK11" s="87">
        <v>4</v>
      </c>
      <c r="CL11" s="87">
        <v>1</v>
      </c>
      <c r="CM11" s="87">
        <v>0</v>
      </c>
      <c r="CN11" s="87">
        <v>0</v>
      </c>
      <c r="CO11" s="17">
        <v>0</v>
      </c>
      <c r="CQ11" s="109" t="s">
        <v>13</v>
      </c>
      <c r="CR11" s="46" t="s">
        <v>1</v>
      </c>
      <c r="CS11" s="87">
        <v>6</v>
      </c>
      <c r="CT11" s="87">
        <v>8</v>
      </c>
      <c r="CU11" s="87">
        <v>18</v>
      </c>
      <c r="CV11" s="87">
        <v>17</v>
      </c>
      <c r="CW11" s="87">
        <v>9</v>
      </c>
      <c r="CX11" s="87">
        <v>5</v>
      </c>
      <c r="CY11" s="87">
        <v>1</v>
      </c>
      <c r="CZ11" s="87">
        <v>0</v>
      </c>
      <c r="DA11" s="87">
        <v>0</v>
      </c>
      <c r="DB11" s="17">
        <v>0</v>
      </c>
      <c r="DC11" s="42"/>
      <c r="DD11" s="109" t="s">
        <v>13</v>
      </c>
      <c r="DE11" s="46" t="s">
        <v>1</v>
      </c>
      <c r="DF11" s="87">
        <v>0</v>
      </c>
      <c r="DG11" s="87">
        <v>3</v>
      </c>
      <c r="DH11" s="87">
        <v>4</v>
      </c>
      <c r="DI11" s="87">
        <v>1</v>
      </c>
      <c r="DJ11" s="87">
        <v>1</v>
      </c>
      <c r="DK11" s="87">
        <v>1</v>
      </c>
      <c r="DL11" s="87">
        <v>1</v>
      </c>
      <c r="DM11" s="87">
        <v>0</v>
      </c>
      <c r="DN11" s="87">
        <v>0</v>
      </c>
      <c r="DO11" s="17">
        <v>0</v>
      </c>
    </row>
    <row r="12" spans="2:119" ht="14.25" customHeight="1" x14ac:dyDescent="0.45">
      <c r="B12" s="135"/>
      <c r="C12" s="42"/>
      <c r="D12" s="110"/>
      <c r="E12" s="46">
        <v>1</v>
      </c>
      <c r="F12" s="3">
        <v>45</v>
      </c>
      <c r="G12" s="3">
        <v>113</v>
      </c>
      <c r="H12" s="3">
        <v>82</v>
      </c>
      <c r="I12" s="3">
        <v>59</v>
      </c>
      <c r="J12" s="3">
        <v>21</v>
      </c>
      <c r="K12" s="3">
        <v>12</v>
      </c>
      <c r="L12" s="3">
        <v>3</v>
      </c>
      <c r="M12" s="3">
        <v>4</v>
      </c>
      <c r="N12" s="3">
        <v>1</v>
      </c>
      <c r="O12" s="3">
        <v>3</v>
      </c>
      <c r="P12" s="42"/>
      <c r="Q12" s="110"/>
      <c r="R12" s="46">
        <v>1</v>
      </c>
      <c r="S12" s="3">
        <v>15</v>
      </c>
      <c r="T12" s="3">
        <v>47</v>
      </c>
      <c r="U12" s="3">
        <v>36</v>
      </c>
      <c r="V12" s="3">
        <v>35</v>
      </c>
      <c r="W12" s="3">
        <v>12</v>
      </c>
      <c r="X12" s="3">
        <v>7</v>
      </c>
      <c r="Y12" s="3">
        <v>1</v>
      </c>
      <c r="Z12" s="3">
        <v>2</v>
      </c>
      <c r="AA12" s="3">
        <v>0</v>
      </c>
      <c r="AB12" s="3">
        <v>2</v>
      </c>
      <c r="AC12" s="42"/>
      <c r="AD12" s="110"/>
      <c r="AE12" s="46">
        <v>1</v>
      </c>
      <c r="AF12" s="3">
        <v>30</v>
      </c>
      <c r="AG12" s="3">
        <v>66</v>
      </c>
      <c r="AH12" s="3">
        <v>46</v>
      </c>
      <c r="AI12" s="3">
        <v>24</v>
      </c>
      <c r="AJ12" s="3">
        <v>9</v>
      </c>
      <c r="AK12" s="3">
        <v>5</v>
      </c>
      <c r="AL12" s="3">
        <v>2</v>
      </c>
      <c r="AM12" s="3">
        <v>2</v>
      </c>
      <c r="AN12" s="3">
        <v>1</v>
      </c>
      <c r="AO12" s="3">
        <v>1</v>
      </c>
      <c r="AP12" s="6"/>
      <c r="AQ12" s="110"/>
      <c r="AR12" s="46">
        <v>1</v>
      </c>
      <c r="AS12" s="87">
        <v>28</v>
      </c>
      <c r="AT12" s="87">
        <v>66</v>
      </c>
      <c r="AU12" s="87">
        <v>43</v>
      </c>
      <c r="AV12" s="87">
        <v>28</v>
      </c>
      <c r="AW12" s="87">
        <v>8</v>
      </c>
      <c r="AX12" s="87">
        <v>3</v>
      </c>
      <c r="AY12" s="87">
        <v>2</v>
      </c>
      <c r="AZ12" s="87">
        <v>2</v>
      </c>
      <c r="BA12" s="87">
        <v>1</v>
      </c>
      <c r="BB12" s="87">
        <v>0</v>
      </c>
      <c r="BC12" s="42"/>
      <c r="BD12" s="110"/>
      <c r="BE12" s="46">
        <v>1</v>
      </c>
      <c r="BF12" s="87">
        <v>17</v>
      </c>
      <c r="BG12" s="87">
        <v>47</v>
      </c>
      <c r="BH12" s="87">
        <v>39</v>
      </c>
      <c r="BI12" s="87">
        <v>31</v>
      </c>
      <c r="BJ12" s="87">
        <v>13</v>
      </c>
      <c r="BK12" s="87">
        <v>9</v>
      </c>
      <c r="BL12" s="87">
        <v>1</v>
      </c>
      <c r="BM12" s="87">
        <v>2</v>
      </c>
      <c r="BN12" s="87">
        <v>0</v>
      </c>
      <c r="BO12" s="87">
        <v>3</v>
      </c>
      <c r="BQ12" s="110"/>
      <c r="BR12" s="46">
        <v>1</v>
      </c>
      <c r="BS12" s="87">
        <v>33</v>
      </c>
      <c r="BT12" s="87">
        <v>91</v>
      </c>
      <c r="BU12" s="87">
        <v>56</v>
      </c>
      <c r="BV12" s="87">
        <v>26</v>
      </c>
      <c r="BW12" s="87">
        <v>6</v>
      </c>
      <c r="BX12" s="87">
        <v>1</v>
      </c>
      <c r="BY12" s="87">
        <v>1</v>
      </c>
      <c r="BZ12" s="87">
        <v>0</v>
      </c>
      <c r="CA12" s="87">
        <v>1</v>
      </c>
      <c r="CB12" s="87">
        <v>0</v>
      </c>
      <c r="CC12" s="42"/>
      <c r="CD12" s="110"/>
      <c r="CE12" s="46">
        <v>1</v>
      </c>
      <c r="CF12" s="87">
        <v>12</v>
      </c>
      <c r="CG12" s="87">
        <v>22</v>
      </c>
      <c r="CH12" s="87">
        <v>26</v>
      </c>
      <c r="CI12" s="87">
        <v>33</v>
      </c>
      <c r="CJ12" s="87">
        <v>15</v>
      </c>
      <c r="CK12" s="87">
        <v>11</v>
      </c>
      <c r="CL12" s="87">
        <v>2</v>
      </c>
      <c r="CM12" s="87">
        <v>4</v>
      </c>
      <c r="CN12" s="87">
        <v>0</v>
      </c>
      <c r="CO12" s="87">
        <v>3</v>
      </c>
      <c r="CQ12" s="110"/>
      <c r="CR12" s="46">
        <v>1</v>
      </c>
      <c r="CS12" s="87">
        <v>25</v>
      </c>
      <c r="CT12" s="87">
        <v>51</v>
      </c>
      <c r="CU12" s="87">
        <v>48</v>
      </c>
      <c r="CV12" s="87">
        <v>42</v>
      </c>
      <c r="CW12" s="87">
        <v>17</v>
      </c>
      <c r="CX12" s="87">
        <v>11</v>
      </c>
      <c r="CY12" s="87">
        <v>2</v>
      </c>
      <c r="CZ12" s="87">
        <v>4</v>
      </c>
      <c r="DA12" s="87">
        <v>0</v>
      </c>
      <c r="DB12" s="87">
        <v>3</v>
      </c>
      <c r="DC12" s="42"/>
      <c r="DD12" s="110"/>
      <c r="DE12" s="46">
        <v>1</v>
      </c>
      <c r="DF12" s="87">
        <v>20</v>
      </c>
      <c r="DG12" s="87">
        <v>62</v>
      </c>
      <c r="DH12" s="87">
        <v>34</v>
      </c>
      <c r="DI12" s="87">
        <v>17</v>
      </c>
      <c r="DJ12" s="87">
        <v>4</v>
      </c>
      <c r="DK12" s="87">
        <v>1</v>
      </c>
      <c r="DL12" s="87">
        <v>1</v>
      </c>
      <c r="DM12" s="87">
        <v>0</v>
      </c>
      <c r="DN12" s="87">
        <v>1</v>
      </c>
      <c r="DO12" s="87">
        <v>0</v>
      </c>
    </row>
    <row r="13" spans="2:119" ht="14.25" customHeight="1" x14ac:dyDescent="0.45">
      <c r="B13" s="135"/>
      <c r="C13" s="42"/>
      <c r="D13" s="110"/>
      <c r="E13" s="46" t="s">
        <v>2</v>
      </c>
      <c r="F13" s="3">
        <v>646</v>
      </c>
      <c r="G13" s="3">
        <v>2210</v>
      </c>
      <c r="H13" s="3">
        <v>3990</v>
      </c>
      <c r="I13" s="3">
        <v>2967</v>
      </c>
      <c r="J13" s="3">
        <v>620</v>
      </c>
      <c r="K13" s="3">
        <v>234</v>
      </c>
      <c r="L13" s="3">
        <v>91</v>
      </c>
      <c r="M13" s="3">
        <v>14</v>
      </c>
      <c r="N13" s="3">
        <v>7</v>
      </c>
      <c r="O13" s="3">
        <v>2</v>
      </c>
      <c r="P13" s="42"/>
      <c r="Q13" s="110"/>
      <c r="R13" s="46" t="s">
        <v>2</v>
      </c>
      <c r="S13" s="3">
        <v>168</v>
      </c>
      <c r="T13" s="3">
        <v>758</v>
      </c>
      <c r="U13" s="3">
        <v>1759</v>
      </c>
      <c r="V13" s="3">
        <v>1493</v>
      </c>
      <c r="W13" s="3">
        <v>314</v>
      </c>
      <c r="X13" s="3">
        <v>130</v>
      </c>
      <c r="Y13" s="3">
        <v>52</v>
      </c>
      <c r="Z13" s="3">
        <v>6</v>
      </c>
      <c r="AA13" s="3">
        <v>5</v>
      </c>
      <c r="AB13" s="3">
        <v>1</v>
      </c>
      <c r="AC13" s="42"/>
      <c r="AD13" s="110"/>
      <c r="AE13" s="46" t="s">
        <v>2</v>
      </c>
      <c r="AF13" s="3">
        <v>478</v>
      </c>
      <c r="AG13" s="3">
        <v>1452</v>
      </c>
      <c r="AH13" s="3">
        <v>2231</v>
      </c>
      <c r="AI13" s="3">
        <v>1474</v>
      </c>
      <c r="AJ13" s="3">
        <v>306</v>
      </c>
      <c r="AK13" s="3">
        <v>104</v>
      </c>
      <c r="AL13" s="3">
        <v>39</v>
      </c>
      <c r="AM13" s="3">
        <v>8</v>
      </c>
      <c r="AN13" s="3">
        <v>2</v>
      </c>
      <c r="AO13" s="3">
        <v>1</v>
      </c>
      <c r="AP13" s="6"/>
      <c r="AQ13" s="110"/>
      <c r="AR13" s="46" t="s">
        <v>2</v>
      </c>
      <c r="AS13" s="87">
        <v>423</v>
      </c>
      <c r="AT13" s="87">
        <v>1344</v>
      </c>
      <c r="AU13" s="87">
        <v>2028</v>
      </c>
      <c r="AV13" s="87">
        <v>1374</v>
      </c>
      <c r="AW13" s="87">
        <v>237</v>
      </c>
      <c r="AX13" s="87">
        <v>81</v>
      </c>
      <c r="AY13" s="87">
        <v>28</v>
      </c>
      <c r="AZ13" s="87">
        <v>5</v>
      </c>
      <c r="BA13" s="87">
        <v>3</v>
      </c>
      <c r="BB13" s="87">
        <v>1</v>
      </c>
      <c r="BC13" s="42"/>
      <c r="BD13" s="110"/>
      <c r="BE13" s="46" t="s">
        <v>2</v>
      </c>
      <c r="BF13" s="87">
        <v>223</v>
      </c>
      <c r="BG13" s="87">
        <v>866</v>
      </c>
      <c r="BH13" s="87">
        <v>1962</v>
      </c>
      <c r="BI13" s="87">
        <v>1593</v>
      </c>
      <c r="BJ13" s="87">
        <v>383</v>
      </c>
      <c r="BK13" s="87">
        <v>153</v>
      </c>
      <c r="BL13" s="87">
        <v>63</v>
      </c>
      <c r="BM13" s="87">
        <v>9</v>
      </c>
      <c r="BN13" s="87">
        <v>4</v>
      </c>
      <c r="BO13" s="87">
        <v>1</v>
      </c>
      <c r="BQ13" s="110"/>
      <c r="BR13" s="46" t="s">
        <v>2</v>
      </c>
      <c r="BS13" s="87">
        <v>502</v>
      </c>
      <c r="BT13" s="87">
        <v>1775</v>
      </c>
      <c r="BU13" s="87">
        <v>2965</v>
      </c>
      <c r="BV13" s="87">
        <v>1872</v>
      </c>
      <c r="BW13" s="87">
        <v>323</v>
      </c>
      <c r="BX13" s="87">
        <v>97</v>
      </c>
      <c r="BY13" s="87">
        <v>31</v>
      </c>
      <c r="BZ13" s="87">
        <v>6</v>
      </c>
      <c r="CA13" s="87">
        <v>3</v>
      </c>
      <c r="CB13" s="87">
        <v>1</v>
      </c>
      <c r="CC13" s="42"/>
      <c r="CD13" s="110"/>
      <c r="CE13" s="46" t="s">
        <v>2</v>
      </c>
      <c r="CF13" s="87">
        <v>144</v>
      </c>
      <c r="CG13" s="87">
        <v>435</v>
      </c>
      <c r="CH13" s="87">
        <v>1025</v>
      </c>
      <c r="CI13" s="87">
        <v>1095</v>
      </c>
      <c r="CJ13" s="87">
        <v>297</v>
      </c>
      <c r="CK13" s="87">
        <v>137</v>
      </c>
      <c r="CL13" s="87">
        <v>60</v>
      </c>
      <c r="CM13" s="87">
        <v>8</v>
      </c>
      <c r="CN13" s="87">
        <v>4</v>
      </c>
      <c r="CO13" s="87">
        <v>1</v>
      </c>
      <c r="CQ13" s="110"/>
      <c r="CR13" s="46" t="s">
        <v>2</v>
      </c>
      <c r="CS13" s="87">
        <v>151</v>
      </c>
      <c r="CT13" s="87">
        <v>445</v>
      </c>
      <c r="CU13" s="87">
        <v>927</v>
      </c>
      <c r="CV13" s="87">
        <v>984</v>
      </c>
      <c r="CW13" s="87">
        <v>289</v>
      </c>
      <c r="CX13" s="87">
        <v>128</v>
      </c>
      <c r="CY13" s="87">
        <v>64</v>
      </c>
      <c r="CZ13" s="87">
        <v>8</v>
      </c>
      <c r="DA13" s="87">
        <v>4</v>
      </c>
      <c r="DB13" s="87">
        <v>1</v>
      </c>
      <c r="DC13" s="42"/>
      <c r="DD13" s="110"/>
      <c r="DE13" s="46" t="s">
        <v>2</v>
      </c>
      <c r="DF13" s="87">
        <v>495</v>
      </c>
      <c r="DG13" s="87">
        <v>1765</v>
      </c>
      <c r="DH13" s="87">
        <v>3063</v>
      </c>
      <c r="DI13" s="87">
        <v>1983</v>
      </c>
      <c r="DJ13" s="87">
        <v>331</v>
      </c>
      <c r="DK13" s="87">
        <v>106</v>
      </c>
      <c r="DL13" s="87">
        <v>27</v>
      </c>
      <c r="DM13" s="87">
        <v>6</v>
      </c>
      <c r="DN13" s="87">
        <v>3</v>
      </c>
      <c r="DO13" s="87">
        <v>1</v>
      </c>
    </row>
    <row r="14" spans="2:119" ht="14.25" customHeight="1" x14ac:dyDescent="0.45">
      <c r="B14" s="135"/>
      <c r="C14" s="42"/>
      <c r="D14" s="110"/>
      <c r="E14" s="46" t="s">
        <v>3</v>
      </c>
      <c r="F14" s="3">
        <v>282</v>
      </c>
      <c r="G14" s="3">
        <v>985</v>
      </c>
      <c r="H14" s="3">
        <v>2398</v>
      </c>
      <c r="I14" s="3">
        <v>2804</v>
      </c>
      <c r="J14" s="3">
        <v>702</v>
      </c>
      <c r="K14" s="3">
        <v>242</v>
      </c>
      <c r="L14" s="3">
        <v>50</v>
      </c>
      <c r="M14" s="3">
        <v>8</v>
      </c>
      <c r="N14" s="3">
        <v>2</v>
      </c>
      <c r="O14" s="3">
        <v>0</v>
      </c>
      <c r="P14" s="42"/>
      <c r="Q14" s="110"/>
      <c r="R14" s="46" t="s">
        <v>3</v>
      </c>
      <c r="S14" s="3">
        <v>59</v>
      </c>
      <c r="T14" s="3">
        <v>273</v>
      </c>
      <c r="U14" s="3">
        <v>973</v>
      </c>
      <c r="V14" s="3">
        <v>1495</v>
      </c>
      <c r="W14" s="3">
        <v>406</v>
      </c>
      <c r="X14" s="3">
        <v>136</v>
      </c>
      <c r="Y14" s="3">
        <v>24</v>
      </c>
      <c r="Z14" s="3">
        <v>4</v>
      </c>
      <c r="AA14" s="3">
        <v>2</v>
      </c>
      <c r="AB14" s="3">
        <v>0</v>
      </c>
      <c r="AC14" s="42"/>
      <c r="AD14" s="110"/>
      <c r="AE14" s="46" t="s">
        <v>3</v>
      </c>
      <c r="AF14" s="3">
        <v>223</v>
      </c>
      <c r="AG14" s="3">
        <v>712</v>
      </c>
      <c r="AH14" s="3">
        <v>1425</v>
      </c>
      <c r="AI14" s="3">
        <v>1309</v>
      </c>
      <c r="AJ14" s="3">
        <v>296</v>
      </c>
      <c r="AK14" s="3">
        <v>106</v>
      </c>
      <c r="AL14" s="3">
        <v>26</v>
      </c>
      <c r="AM14" s="3">
        <v>4</v>
      </c>
      <c r="AN14" s="3">
        <v>0</v>
      </c>
      <c r="AO14" s="3">
        <v>0</v>
      </c>
      <c r="AP14" s="6"/>
      <c r="AQ14" s="110"/>
      <c r="AR14" s="46" t="s">
        <v>3</v>
      </c>
      <c r="AS14" s="87">
        <v>183</v>
      </c>
      <c r="AT14" s="87">
        <v>571</v>
      </c>
      <c r="AU14" s="87">
        <v>1212</v>
      </c>
      <c r="AV14" s="87">
        <v>1182</v>
      </c>
      <c r="AW14" s="87">
        <v>252</v>
      </c>
      <c r="AX14" s="87">
        <v>83</v>
      </c>
      <c r="AY14" s="87">
        <v>14</v>
      </c>
      <c r="AZ14" s="87">
        <v>4</v>
      </c>
      <c r="BA14" s="87">
        <v>0</v>
      </c>
      <c r="BB14" s="87">
        <v>0</v>
      </c>
      <c r="BC14" s="42"/>
      <c r="BD14" s="110"/>
      <c r="BE14" s="46" t="s">
        <v>3</v>
      </c>
      <c r="BF14" s="87">
        <v>99</v>
      </c>
      <c r="BG14" s="87">
        <v>414</v>
      </c>
      <c r="BH14" s="87">
        <v>1186</v>
      </c>
      <c r="BI14" s="87">
        <v>1622</v>
      </c>
      <c r="BJ14" s="87">
        <v>450</v>
      </c>
      <c r="BK14" s="87">
        <v>159</v>
      </c>
      <c r="BL14" s="87">
        <v>36</v>
      </c>
      <c r="BM14" s="87">
        <v>4</v>
      </c>
      <c r="BN14" s="87">
        <v>2</v>
      </c>
      <c r="BO14" s="87">
        <v>0</v>
      </c>
      <c r="BQ14" s="110"/>
      <c r="BR14" s="46" t="s">
        <v>3</v>
      </c>
      <c r="BS14" s="87">
        <v>172</v>
      </c>
      <c r="BT14" s="87">
        <v>657</v>
      </c>
      <c r="BU14" s="87">
        <v>1479</v>
      </c>
      <c r="BV14" s="87">
        <v>1429</v>
      </c>
      <c r="BW14" s="87">
        <v>341</v>
      </c>
      <c r="BX14" s="87">
        <v>109</v>
      </c>
      <c r="BY14" s="87">
        <v>24</v>
      </c>
      <c r="BZ14" s="87">
        <v>1</v>
      </c>
      <c r="CA14" s="87">
        <v>1</v>
      </c>
      <c r="CB14" s="87">
        <v>0</v>
      </c>
      <c r="CC14" s="42"/>
      <c r="CD14" s="110"/>
      <c r="CE14" s="46" t="s">
        <v>3</v>
      </c>
      <c r="CF14" s="87">
        <v>110</v>
      </c>
      <c r="CG14" s="87">
        <v>328</v>
      </c>
      <c r="CH14" s="87">
        <v>919</v>
      </c>
      <c r="CI14" s="87">
        <v>1375</v>
      </c>
      <c r="CJ14" s="87">
        <v>361</v>
      </c>
      <c r="CK14" s="87">
        <v>133</v>
      </c>
      <c r="CL14" s="87">
        <v>26</v>
      </c>
      <c r="CM14" s="87">
        <v>7</v>
      </c>
      <c r="CN14" s="87">
        <v>1</v>
      </c>
      <c r="CO14" s="87">
        <v>0</v>
      </c>
      <c r="CQ14" s="110"/>
      <c r="CR14" s="46" t="s">
        <v>3</v>
      </c>
      <c r="CS14" s="87">
        <v>35</v>
      </c>
      <c r="CT14" s="87">
        <v>140</v>
      </c>
      <c r="CU14" s="87">
        <v>390</v>
      </c>
      <c r="CV14" s="87">
        <v>665</v>
      </c>
      <c r="CW14" s="87">
        <v>218</v>
      </c>
      <c r="CX14" s="87">
        <v>100</v>
      </c>
      <c r="CY14" s="87">
        <v>19</v>
      </c>
      <c r="CZ14" s="87">
        <v>4</v>
      </c>
      <c r="DA14" s="87">
        <v>1</v>
      </c>
      <c r="DB14" s="87">
        <v>0</v>
      </c>
      <c r="DC14" s="42"/>
      <c r="DD14" s="110"/>
      <c r="DE14" s="46" t="s">
        <v>3</v>
      </c>
      <c r="DF14" s="87">
        <v>247</v>
      </c>
      <c r="DG14" s="87">
        <v>845</v>
      </c>
      <c r="DH14" s="87">
        <v>2008</v>
      </c>
      <c r="DI14" s="87">
        <v>2139</v>
      </c>
      <c r="DJ14" s="87">
        <v>484</v>
      </c>
      <c r="DK14" s="87">
        <v>142</v>
      </c>
      <c r="DL14" s="87">
        <v>31</v>
      </c>
      <c r="DM14" s="87">
        <v>4</v>
      </c>
      <c r="DN14" s="87">
        <v>1</v>
      </c>
      <c r="DO14" s="87">
        <v>0</v>
      </c>
    </row>
    <row r="15" spans="2:119" ht="14.25" customHeight="1" x14ac:dyDescent="0.45">
      <c r="B15" s="135"/>
      <c r="C15" s="42"/>
      <c r="D15" s="110"/>
      <c r="E15" s="46" t="s">
        <v>4</v>
      </c>
      <c r="F15" s="3">
        <v>353</v>
      </c>
      <c r="G15" s="3">
        <v>1069</v>
      </c>
      <c r="H15" s="3">
        <v>3122</v>
      </c>
      <c r="I15" s="3">
        <v>4749</v>
      </c>
      <c r="J15" s="3">
        <v>1524</v>
      </c>
      <c r="K15" s="3">
        <v>598</v>
      </c>
      <c r="L15" s="3">
        <v>136</v>
      </c>
      <c r="M15" s="3">
        <v>31</v>
      </c>
      <c r="N15" s="3">
        <v>3</v>
      </c>
      <c r="O15" s="3">
        <v>1</v>
      </c>
      <c r="P15" s="42"/>
      <c r="Q15" s="110"/>
      <c r="R15" s="46" t="s">
        <v>4</v>
      </c>
      <c r="S15" s="3">
        <v>63</v>
      </c>
      <c r="T15" s="3">
        <v>281</v>
      </c>
      <c r="U15" s="3">
        <v>1135</v>
      </c>
      <c r="V15" s="3">
        <v>2486</v>
      </c>
      <c r="W15" s="3">
        <v>926</v>
      </c>
      <c r="X15" s="3">
        <v>399</v>
      </c>
      <c r="Y15" s="3">
        <v>93</v>
      </c>
      <c r="Z15" s="3">
        <v>22</v>
      </c>
      <c r="AA15" s="3">
        <v>2</v>
      </c>
      <c r="AB15" s="3">
        <v>0</v>
      </c>
      <c r="AC15" s="42"/>
      <c r="AD15" s="110"/>
      <c r="AE15" s="46" t="s">
        <v>4</v>
      </c>
      <c r="AF15" s="3">
        <v>290</v>
      </c>
      <c r="AG15" s="3">
        <v>788</v>
      </c>
      <c r="AH15" s="3">
        <v>1987</v>
      </c>
      <c r="AI15" s="3">
        <v>2263</v>
      </c>
      <c r="AJ15" s="3">
        <v>598</v>
      </c>
      <c r="AK15" s="3">
        <v>199</v>
      </c>
      <c r="AL15" s="3">
        <v>43</v>
      </c>
      <c r="AM15" s="3">
        <v>9</v>
      </c>
      <c r="AN15" s="3">
        <v>1</v>
      </c>
      <c r="AO15" s="3">
        <v>1</v>
      </c>
      <c r="AP15" s="6"/>
      <c r="AQ15" s="110"/>
      <c r="AR15" s="46" t="s">
        <v>4</v>
      </c>
      <c r="AS15" s="87">
        <v>239</v>
      </c>
      <c r="AT15" s="87">
        <v>587</v>
      </c>
      <c r="AU15" s="87">
        <v>1559</v>
      </c>
      <c r="AV15" s="87">
        <v>2039</v>
      </c>
      <c r="AW15" s="87">
        <v>534</v>
      </c>
      <c r="AX15" s="87">
        <v>209</v>
      </c>
      <c r="AY15" s="87">
        <v>45</v>
      </c>
      <c r="AZ15" s="87">
        <v>11</v>
      </c>
      <c r="BA15" s="87">
        <v>1</v>
      </c>
      <c r="BB15" s="87">
        <v>0</v>
      </c>
      <c r="BC15" s="42"/>
      <c r="BD15" s="110"/>
      <c r="BE15" s="46" t="s">
        <v>4</v>
      </c>
      <c r="BF15" s="87">
        <v>114</v>
      </c>
      <c r="BG15" s="87">
        <v>482</v>
      </c>
      <c r="BH15" s="87">
        <v>1563</v>
      </c>
      <c r="BI15" s="87">
        <v>2710</v>
      </c>
      <c r="BJ15" s="87">
        <v>990</v>
      </c>
      <c r="BK15" s="87">
        <v>389</v>
      </c>
      <c r="BL15" s="87">
        <v>91</v>
      </c>
      <c r="BM15" s="87">
        <v>20</v>
      </c>
      <c r="BN15" s="87">
        <v>2</v>
      </c>
      <c r="BO15" s="87">
        <v>1</v>
      </c>
      <c r="BQ15" s="110"/>
      <c r="BR15" s="46" t="s">
        <v>4</v>
      </c>
      <c r="BS15" s="87">
        <v>211</v>
      </c>
      <c r="BT15" s="87">
        <v>635</v>
      </c>
      <c r="BU15" s="87">
        <v>1642</v>
      </c>
      <c r="BV15" s="87">
        <v>1899</v>
      </c>
      <c r="BW15" s="87">
        <v>562</v>
      </c>
      <c r="BX15" s="87">
        <v>193</v>
      </c>
      <c r="BY15" s="87">
        <v>36</v>
      </c>
      <c r="BZ15" s="87">
        <v>2</v>
      </c>
      <c r="CA15" s="87">
        <v>0</v>
      </c>
      <c r="CB15" s="87">
        <v>0</v>
      </c>
      <c r="CC15" s="42"/>
      <c r="CD15" s="110"/>
      <c r="CE15" s="46" t="s">
        <v>4</v>
      </c>
      <c r="CF15" s="87">
        <v>142</v>
      </c>
      <c r="CG15" s="87">
        <v>434</v>
      </c>
      <c r="CH15" s="87">
        <v>1480</v>
      </c>
      <c r="CI15" s="87">
        <v>2850</v>
      </c>
      <c r="CJ15" s="87">
        <v>962</v>
      </c>
      <c r="CK15" s="87">
        <v>405</v>
      </c>
      <c r="CL15" s="87">
        <v>100</v>
      </c>
      <c r="CM15" s="87">
        <v>29</v>
      </c>
      <c r="CN15" s="87">
        <v>3</v>
      </c>
      <c r="CO15" s="87">
        <v>1</v>
      </c>
      <c r="CQ15" s="110"/>
      <c r="CR15" s="46" t="s">
        <v>4</v>
      </c>
      <c r="CS15" s="87">
        <v>37</v>
      </c>
      <c r="CT15" s="87">
        <v>121</v>
      </c>
      <c r="CU15" s="87">
        <v>441</v>
      </c>
      <c r="CV15" s="87">
        <v>973</v>
      </c>
      <c r="CW15" s="87">
        <v>412</v>
      </c>
      <c r="CX15" s="87">
        <v>211</v>
      </c>
      <c r="CY15" s="87">
        <v>65</v>
      </c>
      <c r="CZ15" s="87">
        <v>19</v>
      </c>
      <c r="DA15" s="87">
        <v>3</v>
      </c>
      <c r="DB15" s="87">
        <v>0</v>
      </c>
      <c r="DC15" s="42"/>
      <c r="DD15" s="110"/>
      <c r="DE15" s="46" t="s">
        <v>4</v>
      </c>
      <c r="DF15" s="87">
        <v>316</v>
      </c>
      <c r="DG15" s="87">
        <v>948</v>
      </c>
      <c r="DH15" s="87">
        <v>2681</v>
      </c>
      <c r="DI15" s="87">
        <v>3776</v>
      </c>
      <c r="DJ15" s="87">
        <v>1112</v>
      </c>
      <c r="DK15" s="87">
        <v>387</v>
      </c>
      <c r="DL15" s="87">
        <v>71</v>
      </c>
      <c r="DM15" s="87">
        <v>12</v>
      </c>
      <c r="DN15" s="87">
        <v>0</v>
      </c>
      <c r="DO15" s="87">
        <v>1</v>
      </c>
    </row>
    <row r="16" spans="2:119" ht="14.25" customHeight="1" x14ac:dyDescent="0.45">
      <c r="B16" s="135"/>
      <c r="C16" s="42"/>
      <c r="D16" s="110"/>
      <c r="E16" s="46" t="s">
        <v>5</v>
      </c>
      <c r="F16" s="3">
        <v>400</v>
      </c>
      <c r="G16" s="3">
        <v>1300</v>
      </c>
      <c r="H16" s="3">
        <v>4010</v>
      </c>
      <c r="I16" s="3">
        <v>8757</v>
      </c>
      <c r="J16" s="3">
        <v>3876</v>
      </c>
      <c r="K16" s="3">
        <v>1690</v>
      </c>
      <c r="L16" s="3">
        <v>510</v>
      </c>
      <c r="M16" s="3">
        <v>100</v>
      </c>
      <c r="N16" s="3">
        <v>30</v>
      </c>
      <c r="O16" s="3">
        <v>4</v>
      </c>
      <c r="P16" s="42"/>
      <c r="Q16" s="110"/>
      <c r="R16" s="46" t="s">
        <v>5</v>
      </c>
      <c r="S16" s="3">
        <v>69</v>
      </c>
      <c r="T16" s="3">
        <v>339</v>
      </c>
      <c r="U16" s="3">
        <v>1414</v>
      </c>
      <c r="V16" s="3">
        <v>4434</v>
      </c>
      <c r="W16" s="3">
        <v>2400</v>
      </c>
      <c r="X16" s="3">
        <v>1142</v>
      </c>
      <c r="Y16" s="3">
        <v>360</v>
      </c>
      <c r="Z16" s="3">
        <v>64</v>
      </c>
      <c r="AA16" s="3">
        <v>22</v>
      </c>
      <c r="AB16" s="3">
        <v>4</v>
      </c>
      <c r="AC16" s="42"/>
      <c r="AD16" s="110"/>
      <c r="AE16" s="46" t="s">
        <v>5</v>
      </c>
      <c r="AF16" s="3">
        <v>331</v>
      </c>
      <c r="AG16" s="3">
        <v>961</v>
      </c>
      <c r="AH16" s="3">
        <v>2596</v>
      </c>
      <c r="AI16" s="3">
        <v>4323</v>
      </c>
      <c r="AJ16" s="3">
        <v>1476</v>
      </c>
      <c r="AK16" s="3">
        <v>548</v>
      </c>
      <c r="AL16" s="3">
        <v>150</v>
      </c>
      <c r="AM16" s="3">
        <v>36</v>
      </c>
      <c r="AN16" s="3">
        <v>8</v>
      </c>
      <c r="AO16" s="3">
        <v>0</v>
      </c>
      <c r="AP16" s="6"/>
      <c r="AQ16" s="110"/>
      <c r="AR16" s="46" t="s">
        <v>5</v>
      </c>
      <c r="AS16" s="87">
        <v>238</v>
      </c>
      <c r="AT16" s="87">
        <v>740</v>
      </c>
      <c r="AU16" s="87">
        <v>2001</v>
      </c>
      <c r="AV16" s="87">
        <v>3389</v>
      </c>
      <c r="AW16" s="87">
        <v>1254</v>
      </c>
      <c r="AX16" s="87">
        <v>516</v>
      </c>
      <c r="AY16" s="87">
        <v>132</v>
      </c>
      <c r="AZ16" s="87">
        <v>29</v>
      </c>
      <c r="BA16" s="87">
        <v>7</v>
      </c>
      <c r="BB16" s="87">
        <v>1</v>
      </c>
      <c r="BC16" s="42"/>
      <c r="BD16" s="110"/>
      <c r="BE16" s="46" t="s">
        <v>5</v>
      </c>
      <c r="BF16" s="87">
        <v>162</v>
      </c>
      <c r="BG16" s="87">
        <v>560</v>
      </c>
      <c r="BH16" s="87">
        <v>2009</v>
      </c>
      <c r="BI16" s="87">
        <v>5368</v>
      </c>
      <c r="BJ16" s="87">
        <v>2622</v>
      </c>
      <c r="BK16" s="87">
        <v>1174</v>
      </c>
      <c r="BL16" s="87">
        <v>378</v>
      </c>
      <c r="BM16" s="87">
        <v>71</v>
      </c>
      <c r="BN16" s="87">
        <v>23</v>
      </c>
      <c r="BO16" s="87">
        <v>3</v>
      </c>
      <c r="BQ16" s="110"/>
      <c r="BR16" s="46" t="s">
        <v>5</v>
      </c>
      <c r="BS16" s="87">
        <v>202</v>
      </c>
      <c r="BT16" s="87">
        <v>630</v>
      </c>
      <c r="BU16" s="87">
        <v>1742</v>
      </c>
      <c r="BV16" s="87">
        <v>2655</v>
      </c>
      <c r="BW16" s="87">
        <v>889</v>
      </c>
      <c r="BX16" s="87">
        <v>349</v>
      </c>
      <c r="BY16" s="87">
        <v>107</v>
      </c>
      <c r="BZ16" s="87">
        <v>20</v>
      </c>
      <c r="CA16" s="87">
        <v>9</v>
      </c>
      <c r="CB16" s="87">
        <v>1</v>
      </c>
      <c r="CC16" s="42"/>
      <c r="CD16" s="110"/>
      <c r="CE16" s="46" t="s">
        <v>5</v>
      </c>
      <c r="CF16" s="87">
        <v>198</v>
      </c>
      <c r="CG16" s="87">
        <v>670</v>
      </c>
      <c r="CH16" s="87">
        <v>2268</v>
      </c>
      <c r="CI16" s="87">
        <v>6102</v>
      </c>
      <c r="CJ16" s="87">
        <v>2987</v>
      </c>
      <c r="CK16" s="87">
        <v>1341</v>
      </c>
      <c r="CL16" s="87">
        <v>403</v>
      </c>
      <c r="CM16" s="87">
        <v>80</v>
      </c>
      <c r="CN16" s="87">
        <v>21</v>
      </c>
      <c r="CO16" s="87">
        <v>3</v>
      </c>
      <c r="CQ16" s="110"/>
      <c r="CR16" s="46" t="s">
        <v>5</v>
      </c>
      <c r="CS16" s="87">
        <v>36</v>
      </c>
      <c r="CT16" s="87">
        <v>105</v>
      </c>
      <c r="CU16" s="87">
        <v>435</v>
      </c>
      <c r="CV16" s="87">
        <v>1463</v>
      </c>
      <c r="CW16" s="87">
        <v>833</v>
      </c>
      <c r="CX16" s="87">
        <v>431</v>
      </c>
      <c r="CY16" s="87">
        <v>163</v>
      </c>
      <c r="CZ16" s="87">
        <v>38</v>
      </c>
      <c r="DA16" s="87">
        <v>9</v>
      </c>
      <c r="DB16" s="87">
        <v>2</v>
      </c>
      <c r="DC16" s="42"/>
      <c r="DD16" s="110"/>
      <c r="DE16" s="46" t="s">
        <v>5</v>
      </c>
      <c r="DF16" s="87">
        <v>364</v>
      </c>
      <c r="DG16" s="87">
        <v>1195</v>
      </c>
      <c r="DH16" s="87">
        <v>3575</v>
      </c>
      <c r="DI16" s="87">
        <v>7294</v>
      </c>
      <c r="DJ16" s="87">
        <v>3043</v>
      </c>
      <c r="DK16" s="87">
        <v>1259</v>
      </c>
      <c r="DL16" s="87">
        <v>347</v>
      </c>
      <c r="DM16" s="87">
        <v>62</v>
      </c>
      <c r="DN16" s="87">
        <v>21</v>
      </c>
      <c r="DO16" s="87">
        <v>2</v>
      </c>
    </row>
    <row r="17" spans="2:119" ht="14.25" customHeight="1" x14ac:dyDescent="0.45">
      <c r="B17" s="135"/>
      <c r="C17" s="42"/>
      <c r="D17" s="110"/>
      <c r="E17" s="46" t="s">
        <v>6</v>
      </c>
      <c r="F17" s="3">
        <v>637</v>
      </c>
      <c r="G17" s="3">
        <v>1738</v>
      </c>
      <c r="H17" s="3">
        <v>5668</v>
      </c>
      <c r="I17" s="3">
        <v>16617</v>
      </c>
      <c r="J17" s="3">
        <v>10006</v>
      </c>
      <c r="K17" s="3">
        <v>5956</v>
      </c>
      <c r="L17" s="3">
        <v>2011</v>
      </c>
      <c r="M17" s="3">
        <v>372</v>
      </c>
      <c r="N17" s="3">
        <v>94</v>
      </c>
      <c r="O17" s="3">
        <v>26</v>
      </c>
      <c r="P17" s="42"/>
      <c r="Q17" s="110"/>
      <c r="R17" s="46" t="s">
        <v>6</v>
      </c>
      <c r="S17" s="3">
        <v>112</v>
      </c>
      <c r="T17" s="3">
        <v>408</v>
      </c>
      <c r="U17" s="3">
        <v>1747</v>
      </c>
      <c r="V17" s="3">
        <v>7625</v>
      </c>
      <c r="W17" s="3">
        <v>5862</v>
      </c>
      <c r="X17" s="3">
        <v>3947</v>
      </c>
      <c r="Y17" s="3">
        <v>1432</v>
      </c>
      <c r="Z17" s="3">
        <v>278</v>
      </c>
      <c r="AA17" s="3">
        <v>66</v>
      </c>
      <c r="AB17" s="3">
        <v>19</v>
      </c>
      <c r="AC17" s="42"/>
      <c r="AD17" s="110"/>
      <c r="AE17" s="46" t="s">
        <v>6</v>
      </c>
      <c r="AF17" s="3">
        <v>525</v>
      </c>
      <c r="AG17" s="3">
        <v>1330</v>
      </c>
      <c r="AH17" s="3">
        <v>3921</v>
      </c>
      <c r="AI17" s="3">
        <v>8992</v>
      </c>
      <c r="AJ17" s="3">
        <v>4144</v>
      </c>
      <c r="AK17" s="3">
        <v>2009</v>
      </c>
      <c r="AL17" s="3">
        <v>579</v>
      </c>
      <c r="AM17" s="3">
        <v>94</v>
      </c>
      <c r="AN17" s="3">
        <v>28</v>
      </c>
      <c r="AO17" s="3">
        <v>7</v>
      </c>
      <c r="AP17" s="6"/>
      <c r="AQ17" s="110"/>
      <c r="AR17" s="46" t="s">
        <v>6</v>
      </c>
      <c r="AS17" s="87">
        <v>370</v>
      </c>
      <c r="AT17" s="87">
        <v>1005</v>
      </c>
      <c r="AU17" s="87">
        <v>2792</v>
      </c>
      <c r="AV17" s="87">
        <v>6249</v>
      </c>
      <c r="AW17" s="87">
        <v>3089</v>
      </c>
      <c r="AX17" s="87">
        <v>1670</v>
      </c>
      <c r="AY17" s="87">
        <v>521</v>
      </c>
      <c r="AZ17" s="87">
        <v>106</v>
      </c>
      <c r="BA17" s="87">
        <v>27</v>
      </c>
      <c r="BB17" s="87">
        <v>8</v>
      </c>
      <c r="BC17" s="42"/>
      <c r="BD17" s="110"/>
      <c r="BE17" s="46" t="s">
        <v>6</v>
      </c>
      <c r="BF17" s="87">
        <v>267</v>
      </c>
      <c r="BG17" s="87">
        <v>733</v>
      </c>
      <c r="BH17" s="87">
        <v>2876</v>
      </c>
      <c r="BI17" s="87">
        <v>10368</v>
      </c>
      <c r="BJ17" s="87">
        <v>6917</v>
      </c>
      <c r="BK17" s="87">
        <v>4286</v>
      </c>
      <c r="BL17" s="87">
        <v>1490</v>
      </c>
      <c r="BM17" s="87">
        <v>266</v>
      </c>
      <c r="BN17" s="87">
        <v>67</v>
      </c>
      <c r="BO17" s="87">
        <v>18</v>
      </c>
      <c r="BQ17" s="110"/>
      <c r="BR17" s="46" t="s">
        <v>6</v>
      </c>
      <c r="BS17" s="87">
        <v>253</v>
      </c>
      <c r="BT17" s="87">
        <v>718</v>
      </c>
      <c r="BU17" s="87">
        <v>1855</v>
      </c>
      <c r="BV17" s="87">
        <v>3584</v>
      </c>
      <c r="BW17" s="87">
        <v>1440</v>
      </c>
      <c r="BX17" s="87">
        <v>769</v>
      </c>
      <c r="BY17" s="87">
        <v>218</v>
      </c>
      <c r="BZ17" s="87">
        <v>49</v>
      </c>
      <c r="CA17" s="87">
        <v>14</v>
      </c>
      <c r="CB17" s="87">
        <v>5</v>
      </c>
      <c r="CC17" s="42"/>
      <c r="CD17" s="110"/>
      <c r="CE17" s="46" t="s">
        <v>6</v>
      </c>
      <c r="CF17" s="87">
        <v>384</v>
      </c>
      <c r="CG17" s="87">
        <v>1020</v>
      </c>
      <c r="CH17" s="87">
        <v>3813</v>
      </c>
      <c r="CI17" s="87">
        <v>13033</v>
      </c>
      <c r="CJ17" s="87">
        <v>8566</v>
      </c>
      <c r="CK17" s="87">
        <v>5187</v>
      </c>
      <c r="CL17" s="87">
        <v>1793</v>
      </c>
      <c r="CM17" s="87">
        <v>323</v>
      </c>
      <c r="CN17" s="87">
        <v>80</v>
      </c>
      <c r="CO17" s="87">
        <v>21</v>
      </c>
      <c r="CQ17" s="110"/>
      <c r="CR17" s="46" t="s">
        <v>6</v>
      </c>
      <c r="CS17" s="87">
        <v>54</v>
      </c>
      <c r="CT17" s="87">
        <v>150</v>
      </c>
      <c r="CU17" s="87">
        <v>579</v>
      </c>
      <c r="CV17" s="87">
        <v>2404</v>
      </c>
      <c r="CW17" s="87">
        <v>1827</v>
      </c>
      <c r="CX17" s="87">
        <v>1258</v>
      </c>
      <c r="CY17" s="87">
        <v>512</v>
      </c>
      <c r="CZ17" s="87">
        <v>108</v>
      </c>
      <c r="DA17" s="87">
        <v>32</v>
      </c>
      <c r="DB17" s="87">
        <v>7</v>
      </c>
      <c r="DC17" s="42"/>
      <c r="DD17" s="110"/>
      <c r="DE17" s="46" t="s">
        <v>6</v>
      </c>
      <c r="DF17" s="87">
        <v>583</v>
      </c>
      <c r="DG17" s="87">
        <v>1588</v>
      </c>
      <c r="DH17" s="87">
        <v>5089</v>
      </c>
      <c r="DI17" s="87">
        <v>14213</v>
      </c>
      <c r="DJ17" s="87">
        <v>8179</v>
      </c>
      <c r="DK17" s="87">
        <v>4698</v>
      </c>
      <c r="DL17" s="87">
        <v>1499</v>
      </c>
      <c r="DM17" s="87">
        <v>264</v>
      </c>
      <c r="DN17" s="87">
        <v>62</v>
      </c>
      <c r="DO17" s="87">
        <v>19</v>
      </c>
    </row>
    <row r="18" spans="2:119" ht="14.25" customHeight="1" x14ac:dyDescent="0.45">
      <c r="B18" s="135"/>
      <c r="C18" s="42"/>
      <c r="D18" s="110"/>
      <c r="E18" s="46" t="s">
        <v>7</v>
      </c>
      <c r="F18" s="3">
        <v>816</v>
      </c>
      <c r="G18" s="3">
        <v>1895</v>
      </c>
      <c r="H18" s="3">
        <v>6380</v>
      </c>
      <c r="I18" s="3">
        <v>23760</v>
      </c>
      <c r="J18" s="3">
        <v>20307</v>
      </c>
      <c r="K18" s="3">
        <v>16029</v>
      </c>
      <c r="L18" s="3">
        <v>7049</v>
      </c>
      <c r="M18" s="3">
        <v>1901</v>
      </c>
      <c r="N18" s="3">
        <v>540</v>
      </c>
      <c r="O18" s="3">
        <v>110</v>
      </c>
      <c r="P18" s="42"/>
      <c r="Q18" s="110"/>
      <c r="R18" s="46" t="s">
        <v>7</v>
      </c>
      <c r="S18" s="3">
        <v>132</v>
      </c>
      <c r="T18" s="3">
        <v>445</v>
      </c>
      <c r="U18" s="3">
        <v>1810</v>
      </c>
      <c r="V18" s="3">
        <v>9580</v>
      </c>
      <c r="W18" s="3">
        <v>10824</v>
      </c>
      <c r="X18" s="3">
        <v>10053</v>
      </c>
      <c r="Y18" s="3">
        <v>4885</v>
      </c>
      <c r="Z18" s="3">
        <v>1441</v>
      </c>
      <c r="AA18" s="3">
        <v>400</v>
      </c>
      <c r="AB18" s="3">
        <v>79</v>
      </c>
      <c r="AC18" s="42"/>
      <c r="AD18" s="110"/>
      <c r="AE18" s="46" t="s">
        <v>7</v>
      </c>
      <c r="AF18" s="3">
        <v>684</v>
      </c>
      <c r="AG18" s="3">
        <v>1450</v>
      </c>
      <c r="AH18" s="3">
        <v>4570</v>
      </c>
      <c r="AI18" s="3">
        <v>14180</v>
      </c>
      <c r="AJ18" s="3">
        <v>9483</v>
      </c>
      <c r="AK18" s="3">
        <v>5976</v>
      </c>
      <c r="AL18" s="3">
        <v>2164</v>
      </c>
      <c r="AM18" s="3">
        <v>460</v>
      </c>
      <c r="AN18" s="3">
        <v>140</v>
      </c>
      <c r="AO18" s="3">
        <v>31</v>
      </c>
      <c r="AP18" s="6"/>
      <c r="AQ18" s="110"/>
      <c r="AR18" s="46" t="s">
        <v>7</v>
      </c>
      <c r="AS18" s="87">
        <v>470</v>
      </c>
      <c r="AT18" s="87">
        <v>1111</v>
      </c>
      <c r="AU18" s="87">
        <v>3059</v>
      </c>
      <c r="AV18" s="87">
        <v>8616</v>
      </c>
      <c r="AW18" s="87">
        <v>5891</v>
      </c>
      <c r="AX18" s="87">
        <v>4227</v>
      </c>
      <c r="AY18" s="87">
        <v>1673</v>
      </c>
      <c r="AZ18" s="87">
        <v>423</v>
      </c>
      <c r="BA18" s="87">
        <v>118</v>
      </c>
      <c r="BB18" s="87">
        <v>26</v>
      </c>
      <c r="BC18" s="42"/>
      <c r="BD18" s="110"/>
      <c r="BE18" s="46" t="s">
        <v>7</v>
      </c>
      <c r="BF18" s="87">
        <v>346</v>
      </c>
      <c r="BG18" s="87">
        <v>784</v>
      </c>
      <c r="BH18" s="87">
        <v>3321</v>
      </c>
      <c r="BI18" s="87">
        <v>15144</v>
      </c>
      <c r="BJ18" s="87">
        <v>14416</v>
      </c>
      <c r="BK18" s="87">
        <v>11802</v>
      </c>
      <c r="BL18" s="87">
        <v>5376</v>
      </c>
      <c r="BM18" s="87">
        <v>1478</v>
      </c>
      <c r="BN18" s="87">
        <v>422</v>
      </c>
      <c r="BO18" s="87">
        <v>84</v>
      </c>
      <c r="BQ18" s="110"/>
      <c r="BR18" s="46" t="s">
        <v>7</v>
      </c>
      <c r="BS18" s="87">
        <v>261</v>
      </c>
      <c r="BT18" s="87">
        <v>604</v>
      </c>
      <c r="BU18" s="87">
        <v>1660</v>
      </c>
      <c r="BV18" s="87">
        <v>3749</v>
      </c>
      <c r="BW18" s="87">
        <v>2125</v>
      </c>
      <c r="BX18" s="87">
        <v>1296</v>
      </c>
      <c r="BY18" s="87">
        <v>541</v>
      </c>
      <c r="BZ18" s="87">
        <v>135</v>
      </c>
      <c r="CA18" s="87">
        <v>46</v>
      </c>
      <c r="CB18" s="87">
        <v>7</v>
      </c>
      <c r="CC18" s="42"/>
      <c r="CD18" s="110"/>
      <c r="CE18" s="46" t="s">
        <v>7</v>
      </c>
      <c r="CF18" s="87">
        <v>555</v>
      </c>
      <c r="CG18" s="87">
        <v>1291</v>
      </c>
      <c r="CH18" s="87">
        <v>4720</v>
      </c>
      <c r="CI18" s="87">
        <v>20011</v>
      </c>
      <c r="CJ18" s="87">
        <v>18182</v>
      </c>
      <c r="CK18" s="87">
        <v>14733</v>
      </c>
      <c r="CL18" s="87">
        <v>6508</v>
      </c>
      <c r="CM18" s="87">
        <v>1766</v>
      </c>
      <c r="CN18" s="87">
        <v>494</v>
      </c>
      <c r="CO18" s="87">
        <v>103</v>
      </c>
      <c r="CQ18" s="110"/>
      <c r="CR18" s="46" t="s">
        <v>7</v>
      </c>
      <c r="CS18" s="87">
        <v>65</v>
      </c>
      <c r="CT18" s="87">
        <v>129</v>
      </c>
      <c r="CU18" s="87">
        <v>575</v>
      </c>
      <c r="CV18" s="87">
        <v>3032</v>
      </c>
      <c r="CW18" s="87">
        <v>3147</v>
      </c>
      <c r="CX18" s="87">
        <v>2933</v>
      </c>
      <c r="CY18" s="87">
        <v>1460</v>
      </c>
      <c r="CZ18" s="87">
        <v>440</v>
      </c>
      <c r="DA18" s="87">
        <v>143</v>
      </c>
      <c r="DB18" s="87">
        <v>27</v>
      </c>
      <c r="DC18" s="42"/>
      <c r="DD18" s="110"/>
      <c r="DE18" s="46" t="s">
        <v>7</v>
      </c>
      <c r="DF18" s="87">
        <v>751</v>
      </c>
      <c r="DG18" s="87">
        <v>1766</v>
      </c>
      <c r="DH18" s="87">
        <v>5805</v>
      </c>
      <c r="DI18" s="87">
        <v>20728</v>
      </c>
      <c r="DJ18" s="87">
        <v>17160</v>
      </c>
      <c r="DK18" s="87">
        <v>13096</v>
      </c>
      <c r="DL18" s="87">
        <v>5589</v>
      </c>
      <c r="DM18" s="87">
        <v>1461</v>
      </c>
      <c r="DN18" s="87">
        <v>397</v>
      </c>
      <c r="DO18" s="87">
        <v>83</v>
      </c>
    </row>
    <row r="19" spans="2:119" ht="14.25" customHeight="1" x14ac:dyDescent="0.45">
      <c r="B19" s="135"/>
      <c r="C19" s="42"/>
      <c r="D19" s="110"/>
      <c r="E19" s="46" t="s">
        <v>8</v>
      </c>
      <c r="F19" s="3">
        <v>574</v>
      </c>
      <c r="G19" s="3">
        <v>1278</v>
      </c>
      <c r="H19" s="3">
        <v>4233</v>
      </c>
      <c r="I19" s="3">
        <v>20128</v>
      </c>
      <c r="J19" s="3">
        <v>24206</v>
      </c>
      <c r="K19" s="3">
        <v>26899</v>
      </c>
      <c r="L19" s="3">
        <v>16735</v>
      </c>
      <c r="M19" s="3">
        <v>6026</v>
      </c>
      <c r="N19" s="3">
        <v>2183</v>
      </c>
      <c r="O19" s="3">
        <v>574</v>
      </c>
      <c r="P19" s="42"/>
      <c r="Q19" s="110"/>
      <c r="R19" s="46" t="s">
        <v>8</v>
      </c>
      <c r="S19" s="3">
        <v>94</v>
      </c>
      <c r="T19" s="3">
        <v>267</v>
      </c>
      <c r="U19" s="3">
        <v>1004</v>
      </c>
      <c r="V19" s="3">
        <v>6875</v>
      </c>
      <c r="W19" s="3">
        <v>11188</v>
      </c>
      <c r="X19" s="3">
        <v>15343</v>
      </c>
      <c r="Y19" s="3">
        <v>11131</v>
      </c>
      <c r="Z19" s="3">
        <v>4425</v>
      </c>
      <c r="AA19" s="3">
        <v>1685</v>
      </c>
      <c r="AB19" s="3">
        <v>449</v>
      </c>
      <c r="AC19" s="42"/>
      <c r="AD19" s="110"/>
      <c r="AE19" s="46" t="s">
        <v>8</v>
      </c>
      <c r="AF19" s="3">
        <v>480</v>
      </c>
      <c r="AG19" s="3">
        <v>1011</v>
      </c>
      <c r="AH19" s="3">
        <v>3229</v>
      </c>
      <c r="AI19" s="3">
        <v>13253</v>
      </c>
      <c r="AJ19" s="3">
        <v>13018</v>
      </c>
      <c r="AK19" s="3">
        <v>11556</v>
      </c>
      <c r="AL19" s="3">
        <v>5604</v>
      </c>
      <c r="AM19" s="3">
        <v>1601</v>
      </c>
      <c r="AN19" s="3">
        <v>498</v>
      </c>
      <c r="AO19" s="3">
        <v>125</v>
      </c>
      <c r="AP19" s="6"/>
      <c r="AQ19" s="110"/>
      <c r="AR19" s="46" t="s">
        <v>8</v>
      </c>
      <c r="AS19" s="87">
        <v>285</v>
      </c>
      <c r="AT19" s="87">
        <v>722</v>
      </c>
      <c r="AU19" s="87">
        <v>1989</v>
      </c>
      <c r="AV19" s="87">
        <v>6900</v>
      </c>
      <c r="AW19" s="87">
        <v>6411</v>
      </c>
      <c r="AX19" s="87">
        <v>6143</v>
      </c>
      <c r="AY19" s="87">
        <v>3508</v>
      </c>
      <c r="AZ19" s="87">
        <v>1176</v>
      </c>
      <c r="BA19" s="87">
        <v>437</v>
      </c>
      <c r="BB19" s="87">
        <v>118</v>
      </c>
      <c r="BC19" s="42"/>
      <c r="BD19" s="110"/>
      <c r="BE19" s="46" t="s">
        <v>8</v>
      </c>
      <c r="BF19" s="87">
        <v>289</v>
      </c>
      <c r="BG19" s="87">
        <v>556</v>
      </c>
      <c r="BH19" s="87">
        <v>2244</v>
      </c>
      <c r="BI19" s="87">
        <v>13228</v>
      </c>
      <c r="BJ19" s="87">
        <v>17795</v>
      </c>
      <c r="BK19" s="87">
        <v>20756</v>
      </c>
      <c r="BL19" s="87">
        <v>13227</v>
      </c>
      <c r="BM19" s="87">
        <v>4850</v>
      </c>
      <c r="BN19" s="87">
        <v>1746</v>
      </c>
      <c r="BO19" s="87">
        <v>456</v>
      </c>
      <c r="BQ19" s="110"/>
      <c r="BR19" s="46" t="s">
        <v>8</v>
      </c>
      <c r="BS19" s="87">
        <v>157</v>
      </c>
      <c r="BT19" s="87">
        <v>351</v>
      </c>
      <c r="BU19" s="87">
        <v>983</v>
      </c>
      <c r="BV19" s="87">
        <v>2563</v>
      </c>
      <c r="BW19" s="87">
        <v>1902</v>
      </c>
      <c r="BX19" s="87">
        <v>1606</v>
      </c>
      <c r="BY19" s="87">
        <v>857</v>
      </c>
      <c r="BZ19" s="87">
        <v>312</v>
      </c>
      <c r="CA19" s="87">
        <v>106</v>
      </c>
      <c r="CB19" s="87">
        <v>33</v>
      </c>
      <c r="CC19" s="42"/>
      <c r="CD19" s="110"/>
      <c r="CE19" s="46" t="s">
        <v>8</v>
      </c>
      <c r="CF19" s="87">
        <v>417</v>
      </c>
      <c r="CG19" s="87">
        <v>927</v>
      </c>
      <c r="CH19" s="87">
        <v>3250</v>
      </c>
      <c r="CI19" s="87">
        <v>17565</v>
      </c>
      <c r="CJ19" s="87">
        <v>22304</v>
      </c>
      <c r="CK19" s="87">
        <v>25293</v>
      </c>
      <c r="CL19" s="87">
        <v>15878</v>
      </c>
      <c r="CM19" s="87">
        <v>5714</v>
      </c>
      <c r="CN19" s="87">
        <v>2077</v>
      </c>
      <c r="CO19" s="87">
        <v>541</v>
      </c>
      <c r="CQ19" s="110"/>
      <c r="CR19" s="46" t="s">
        <v>8</v>
      </c>
      <c r="CS19" s="87">
        <v>32</v>
      </c>
      <c r="CT19" s="87">
        <v>91</v>
      </c>
      <c r="CU19" s="87">
        <v>346</v>
      </c>
      <c r="CV19" s="87">
        <v>2161</v>
      </c>
      <c r="CW19" s="87">
        <v>3052</v>
      </c>
      <c r="CX19" s="87">
        <v>3935</v>
      </c>
      <c r="CY19" s="87">
        <v>2753</v>
      </c>
      <c r="CZ19" s="87">
        <v>1076</v>
      </c>
      <c r="DA19" s="87">
        <v>471</v>
      </c>
      <c r="DB19" s="87">
        <v>141</v>
      </c>
      <c r="DC19" s="42"/>
      <c r="DD19" s="110"/>
      <c r="DE19" s="46" t="s">
        <v>8</v>
      </c>
      <c r="DF19" s="87">
        <v>542</v>
      </c>
      <c r="DG19" s="87">
        <v>1187</v>
      </c>
      <c r="DH19" s="87">
        <v>3887</v>
      </c>
      <c r="DI19" s="87">
        <v>17967</v>
      </c>
      <c r="DJ19" s="87">
        <v>21154</v>
      </c>
      <c r="DK19" s="87">
        <v>22964</v>
      </c>
      <c r="DL19" s="87">
        <v>13982</v>
      </c>
      <c r="DM19" s="87">
        <v>4950</v>
      </c>
      <c r="DN19" s="87">
        <v>1712</v>
      </c>
      <c r="DO19" s="87">
        <v>433</v>
      </c>
    </row>
    <row r="20" spans="2:119" ht="14.25" customHeight="1" x14ac:dyDescent="0.45">
      <c r="B20" s="135"/>
      <c r="C20" s="42"/>
      <c r="D20" s="110"/>
      <c r="E20" s="46" t="s">
        <v>9</v>
      </c>
      <c r="F20" s="3">
        <v>279</v>
      </c>
      <c r="G20" s="3">
        <v>593</v>
      </c>
      <c r="H20" s="3">
        <v>1875</v>
      </c>
      <c r="I20" s="3">
        <v>10715</v>
      </c>
      <c r="J20" s="3">
        <v>18250</v>
      </c>
      <c r="K20" s="3">
        <v>28577</v>
      </c>
      <c r="L20" s="3">
        <v>25757</v>
      </c>
      <c r="M20" s="3">
        <v>12868</v>
      </c>
      <c r="N20" s="3">
        <v>6122</v>
      </c>
      <c r="O20" s="3">
        <v>2102</v>
      </c>
      <c r="P20" s="42"/>
      <c r="Q20" s="110"/>
      <c r="R20" s="46" t="s">
        <v>9</v>
      </c>
      <c r="S20" s="3">
        <v>51</v>
      </c>
      <c r="T20" s="3">
        <v>103</v>
      </c>
      <c r="U20" s="3">
        <v>385</v>
      </c>
      <c r="V20" s="3">
        <v>2683</v>
      </c>
      <c r="W20" s="3">
        <v>6616</v>
      </c>
      <c r="X20" s="3">
        <v>13805</v>
      </c>
      <c r="Y20" s="3">
        <v>15046</v>
      </c>
      <c r="Z20" s="3">
        <v>8660</v>
      </c>
      <c r="AA20" s="3">
        <v>4481</v>
      </c>
      <c r="AB20" s="3">
        <v>1620</v>
      </c>
      <c r="AC20" s="42"/>
      <c r="AD20" s="110"/>
      <c r="AE20" s="46" t="s">
        <v>9</v>
      </c>
      <c r="AF20" s="3">
        <v>228</v>
      </c>
      <c r="AG20" s="3">
        <v>490</v>
      </c>
      <c r="AH20" s="3">
        <v>1490</v>
      </c>
      <c r="AI20" s="3">
        <v>8032</v>
      </c>
      <c r="AJ20" s="3">
        <v>11634</v>
      </c>
      <c r="AK20" s="3">
        <v>14772</v>
      </c>
      <c r="AL20" s="3">
        <v>10711</v>
      </c>
      <c r="AM20" s="3">
        <v>4208</v>
      </c>
      <c r="AN20" s="3">
        <v>1641</v>
      </c>
      <c r="AO20" s="3">
        <v>482</v>
      </c>
      <c r="AP20" s="6"/>
      <c r="AQ20" s="110"/>
      <c r="AR20" s="46" t="s">
        <v>9</v>
      </c>
      <c r="AS20" s="87">
        <v>150</v>
      </c>
      <c r="AT20" s="87">
        <v>304</v>
      </c>
      <c r="AU20" s="87">
        <v>814</v>
      </c>
      <c r="AV20" s="87">
        <v>3332</v>
      </c>
      <c r="AW20" s="87">
        <v>4323</v>
      </c>
      <c r="AX20" s="87">
        <v>5746</v>
      </c>
      <c r="AY20" s="87">
        <v>4363</v>
      </c>
      <c r="AZ20" s="87">
        <v>2038</v>
      </c>
      <c r="BA20" s="87">
        <v>975</v>
      </c>
      <c r="BB20" s="87">
        <v>311</v>
      </c>
      <c r="BC20" s="42"/>
      <c r="BD20" s="110"/>
      <c r="BE20" s="46" t="s">
        <v>9</v>
      </c>
      <c r="BF20" s="87">
        <v>129</v>
      </c>
      <c r="BG20" s="87">
        <v>289</v>
      </c>
      <c r="BH20" s="87">
        <v>1061</v>
      </c>
      <c r="BI20" s="87">
        <v>7383</v>
      </c>
      <c r="BJ20" s="87">
        <v>13927</v>
      </c>
      <c r="BK20" s="87">
        <v>22831</v>
      </c>
      <c r="BL20" s="87">
        <v>21394</v>
      </c>
      <c r="BM20" s="87">
        <v>10830</v>
      </c>
      <c r="BN20" s="87">
        <v>5147</v>
      </c>
      <c r="BO20" s="87">
        <v>1791</v>
      </c>
      <c r="BQ20" s="110"/>
      <c r="BR20" s="46" t="s">
        <v>9</v>
      </c>
      <c r="BS20" s="87">
        <v>96</v>
      </c>
      <c r="BT20" s="87">
        <v>160</v>
      </c>
      <c r="BU20" s="87">
        <v>393</v>
      </c>
      <c r="BV20" s="87">
        <v>1187</v>
      </c>
      <c r="BW20" s="87">
        <v>1210</v>
      </c>
      <c r="BX20" s="87">
        <v>1468</v>
      </c>
      <c r="BY20" s="87">
        <v>1114</v>
      </c>
      <c r="BZ20" s="87">
        <v>477</v>
      </c>
      <c r="CA20" s="87">
        <v>266</v>
      </c>
      <c r="CB20" s="87">
        <v>91</v>
      </c>
      <c r="CC20" s="42"/>
      <c r="CD20" s="110"/>
      <c r="CE20" s="46" t="s">
        <v>9</v>
      </c>
      <c r="CF20" s="87">
        <v>183</v>
      </c>
      <c r="CG20" s="87">
        <v>433</v>
      </c>
      <c r="CH20" s="87">
        <v>1482</v>
      </c>
      <c r="CI20" s="87">
        <v>9528</v>
      </c>
      <c r="CJ20" s="87">
        <v>17040</v>
      </c>
      <c r="CK20" s="87">
        <v>27109</v>
      </c>
      <c r="CL20" s="87">
        <v>24643</v>
      </c>
      <c r="CM20" s="87">
        <v>12391</v>
      </c>
      <c r="CN20" s="87">
        <v>5856</v>
      </c>
      <c r="CO20" s="87">
        <v>2011</v>
      </c>
      <c r="CQ20" s="110"/>
      <c r="CR20" s="46" t="s">
        <v>9</v>
      </c>
      <c r="CS20" s="87">
        <v>25</v>
      </c>
      <c r="CT20" s="87">
        <v>33</v>
      </c>
      <c r="CU20" s="87">
        <v>133</v>
      </c>
      <c r="CV20" s="87">
        <v>1012</v>
      </c>
      <c r="CW20" s="87">
        <v>1950</v>
      </c>
      <c r="CX20" s="87">
        <v>3468</v>
      </c>
      <c r="CY20" s="87">
        <v>3669</v>
      </c>
      <c r="CZ20" s="87">
        <v>1985</v>
      </c>
      <c r="DA20" s="87">
        <v>961</v>
      </c>
      <c r="DB20" s="87">
        <v>328</v>
      </c>
      <c r="DC20" s="42"/>
      <c r="DD20" s="110"/>
      <c r="DE20" s="46" t="s">
        <v>9</v>
      </c>
      <c r="DF20" s="87">
        <v>254</v>
      </c>
      <c r="DG20" s="87">
        <v>560</v>
      </c>
      <c r="DH20" s="87">
        <v>1742</v>
      </c>
      <c r="DI20" s="87">
        <v>9703</v>
      </c>
      <c r="DJ20" s="87">
        <v>16300</v>
      </c>
      <c r="DK20" s="87">
        <v>25109</v>
      </c>
      <c r="DL20" s="87">
        <v>22088</v>
      </c>
      <c r="DM20" s="87">
        <v>10883</v>
      </c>
      <c r="DN20" s="87">
        <v>5161</v>
      </c>
      <c r="DO20" s="87">
        <v>1774</v>
      </c>
    </row>
    <row r="21" spans="2:119" ht="14.25" customHeight="1" x14ac:dyDescent="0.45">
      <c r="B21" s="135"/>
      <c r="C21" s="42"/>
      <c r="D21" s="110"/>
      <c r="E21" s="46" t="s">
        <v>10</v>
      </c>
      <c r="F21" s="3">
        <v>105</v>
      </c>
      <c r="G21" s="3">
        <v>179</v>
      </c>
      <c r="H21" s="3">
        <v>480</v>
      </c>
      <c r="I21" s="3">
        <v>3302</v>
      </c>
      <c r="J21" s="3">
        <v>8050</v>
      </c>
      <c r="K21" s="3">
        <v>18249</v>
      </c>
      <c r="L21" s="3">
        <v>25417</v>
      </c>
      <c r="M21" s="3">
        <v>18663</v>
      </c>
      <c r="N21" s="3">
        <v>12312</v>
      </c>
      <c r="O21" s="3">
        <v>6120</v>
      </c>
      <c r="P21" s="42"/>
      <c r="Q21" s="110"/>
      <c r="R21" s="46" t="s">
        <v>10</v>
      </c>
      <c r="S21" s="3">
        <v>18</v>
      </c>
      <c r="T21" s="3">
        <v>29</v>
      </c>
      <c r="U21" s="3">
        <v>91</v>
      </c>
      <c r="V21" s="3">
        <v>672</v>
      </c>
      <c r="W21" s="3">
        <v>2223</v>
      </c>
      <c r="X21" s="3">
        <v>6858</v>
      </c>
      <c r="Y21" s="3">
        <v>12183</v>
      </c>
      <c r="Z21" s="3">
        <v>10495</v>
      </c>
      <c r="AA21" s="3">
        <v>7778</v>
      </c>
      <c r="AB21" s="3">
        <v>4258</v>
      </c>
      <c r="AC21" s="42"/>
      <c r="AD21" s="110"/>
      <c r="AE21" s="46" t="s">
        <v>10</v>
      </c>
      <c r="AF21" s="3">
        <v>87</v>
      </c>
      <c r="AG21" s="3">
        <v>150</v>
      </c>
      <c r="AH21" s="3">
        <v>389</v>
      </c>
      <c r="AI21" s="3">
        <v>2630</v>
      </c>
      <c r="AJ21" s="3">
        <v>5827</v>
      </c>
      <c r="AK21" s="3">
        <v>11391</v>
      </c>
      <c r="AL21" s="3">
        <v>13234</v>
      </c>
      <c r="AM21" s="3">
        <v>8168</v>
      </c>
      <c r="AN21" s="3">
        <v>4534</v>
      </c>
      <c r="AO21" s="3">
        <v>1862</v>
      </c>
      <c r="AP21" s="6"/>
      <c r="AQ21" s="110"/>
      <c r="AR21" s="46" t="s">
        <v>10</v>
      </c>
      <c r="AS21" s="87">
        <v>60</v>
      </c>
      <c r="AT21" s="87">
        <v>74</v>
      </c>
      <c r="AU21" s="87">
        <v>202</v>
      </c>
      <c r="AV21" s="87">
        <v>996</v>
      </c>
      <c r="AW21" s="87">
        <v>1651</v>
      </c>
      <c r="AX21" s="87">
        <v>3009</v>
      </c>
      <c r="AY21" s="87">
        <v>3430</v>
      </c>
      <c r="AZ21" s="87">
        <v>2144</v>
      </c>
      <c r="BA21" s="87">
        <v>1395</v>
      </c>
      <c r="BB21" s="87">
        <v>590</v>
      </c>
      <c r="BC21" s="42"/>
      <c r="BD21" s="110"/>
      <c r="BE21" s="46" t="s">
        <v>10</v>
      </c>
      <c r="BF21" s="87">
        <v>45</v>
      </c>
      <c r="BG21" s="87">
        <v>105</v>
      </c>
      <c r="BH21" s="87">
        <v>278</v>
      </c>
      <c r="BI21" s="87">
        <v>2306</v>
      </c>
      <c r="BJ21" s="87">
        <v>6399</v>
      </c>
      <c r="BK21" s="87">
        <v>15240</v>
      </c>
      <c r="BL21" s="87">
        <v>21987</v>
      </c>
      <c r="BM21" s="87">
        <v>16519</v>
      </c>
      <c r="BN21" s="87">
        <v>10917</v>
      </c>
      <c r="BO21" s="87">
        <v>5530</v>
      </c>
      <c r="BQ21" s="110"/>
      <c r="BR21" s="46" t="s">
        <v>10</v>
      </c>
      <c r="BS21" s="87">
        <v>24</v>
      </c>
      <c r="BT21" s="87">
        <v>47</v>
      </c>
      <c r="BU21" s="87">
        <v>94</v>
      </c>
      <c r="BV21" s="87">
        <v>325</v>
      </c>
      <c r="BW21" s="87">
        <v>477</v>
      </c>
      <c r="BX21" s="87">
        <v>809</v>
      </c>
      <c r="BY21" s="87">
        <v>881</v>
      </c>
      <c r="BZ21" s="87">
        <v>592</v>
      </c>
      <c r="CA21" s="87">
        <v>417</v>
      </c>
      <c r="CB21" s="87">
        <v>238</v>
      </c>
      <c r="CC21" s="42"/>
      <c r="CD21" s="110"/>
      <c r="CE21" s="46" t="s">
        <v>10</v>
      </c>
      <c r="CF21" s="87">
        <v>81</v>
      </c>
      <c r="CG21" s="87">
        <v>132</v>
      </c>
      <c r="CH21" s="87">
        <v>386</v>
      </c>
      <c r="CI21" s="87">
        <v>2977</v>
      </c>
      <c r="CJ21" s="87">
        <v>7573</v>
      </c>
      <c r="CK21" s="87">
        <v>17440</v>
      </c>
      <c r="CL21" s="87">
        <v>24536</v>
      </c>
      <c r="CM21" s="87">
        <v>18071</v>
      </c>
      <c r="CN21" s="87">
        <v>11895</v>
      </c>
      <c r="CO21" s="87">
        <v>5882</v>
      </c>
      <c r="CQ21" s="110"/>
      <c r="CR21" s="46" t="s">
        <v>10</v>
      </c>
      <c r="CS21" s="87">
        <v>6</v>
      </c>
      <c r="CT21" s="87">
        <v>9</v>
      </c>
      <c r="CU21" s="87">
        <v>23</v>
      </c>
      <c r="CV21" s="87">
        <v>306</v>
      </c>
      <c r="CW21" s="87">
        <v>800</v>
      </c>
      <c r="CX21" s="87">
        <v>2070</v>
      </c>
      <c r="CY21" s="87">
        <v>3148</v>
      </c>
      <c r="CZ21" s="87">
        <v>2508</v>
      </c>
      <c r="DA21" s="87">
        <v>1731</v>
      </c>
      <c r="DB21" s="87">
        <v>927</v>
      </c>
      <c r="DC21" s="42"/>
      <c r="DD21" s="110"/>
      <c r="DE21" s="46" t="s">
        <v>10</v>
      </c>
      <c r="DF21" s="87">
        <v>99</v>
      </c>
      <c r="DG21" s="87">
        <v>170</v>
      </c>
      <c r="DH21" s="87">
        <v>457</v>
      </c>
      <c r="DI21" s="87">
        <v>2996</v>
      </c>
      <c r="DJ21" s="87">
        <v>7250</v>
      </c>
      <c r="DK21" s="87">
        <v>16179</v>
      </c>
      <c r="DL21" s="87">
        <v>22269</v>
      </c>
      <c r="DM21" s="87">
        <v>16155</v>
      </c>
      <c r="DN21" s="87">
        <v>10581</v>
      </c>
      <c r="DO21" s="87">
        <v>5193</v>
      </c>
    </row>
    <row r="22" spans="2:119" ht="14.25" customHeight="1" x14ac:dyDescent="0.45">
      <c r="B22" s="135"/>
      <c r="C22" s="42"/>
      <c r="D22" s="111"/>
      <c r="E22" s="46" t="s">
        <v>11</v>
      </c>
      <c r="F22" s="3">
        <v>7</v>
      </c>
      <c r="G22" s="3">
        <v>3</v>
      </c>
      <c r="H22" s="3">
        <v>29</v>
      </c>
      <c r="I22" s="3">
        <v>171</v>
      </c>
      <c r="J22" s="3">
        <v>534</v>
      </c>
      <c r="K22" s="3">
        <v>1981</v>
      </c>
      <c r="L22" s="3">
        <v>4512</v>
      </c>
      <c r="M22" s="3">
        <v>5415</v>
      </c>
      <c r="N22" s="3">
        <v>5343</v>
      </c>
      <c r="O22" s="3">
        <v>4568</v>
      </c>
      <c r="P22" s="42"/>
      <c r="Q22" s="111"/>
      <c r="R22" s="46" t="s">
        <v>11</v>
      </c>
      <c r="S22" s="3">
        <v>1</v>
      </c>
      <c r="T22" s="3">
        <v>0</v>
      </c>
      <c r="U22" s="3">
        <v>4</v>
      </c>
      <c r="V22" s="3">
        <v>37</v>
      </c>
      <c r="W22" s="3">
        <v>120</v>
      </c>
      <c r="X22" s="3">
        <v>595</v>
      </c>
      <c r="Y22" s="3">
        <v>1754</v>
      </c>
      <c r="Z22" s="3">
        <v>2661</v>
      </c>
      <c r="AA22" s="3">
        <v>3062</v>
      </c>
      <c r="AB22" s="3">
        <v>2908</v>
      </c>
      <c r="AC22" s="42"/>
      <c r="AD22" s="111"/>
      <c r="AE22" s="46" t="s">
        <v>11</v>
      </c>
      <c r="AF22" s="3">
        <v>6</v>
      </c>
      <c r="AG22" s="3">
        <v>3</v>
      </c>
      <c r="AH22" s="3">
        <v>25</v>
      </c>
      <c r="AI22" s="3">
        <v>134</v>
      </c>
      <c r="AJ22" s="3">
        <v>414</v>
      </c>
      <c r="AK22" s="3">
        <v>1386</v>
      </c>
      <c r="AL22" s="3">
        <v>2758</v>
      </c>
      <c r="AM22" s="3">
        <v>2754</v>
      </c>
      <c r="AN22" s="3">
        <v>2281</v>
      </c>
      <c r="AO22" s="3">
        <v>1660</v>
      </c>
      <c r="AP22" s="6"/>
      <c r="AQ22" s="111"/>
      <c r="AR22" s="46" t="s">
        <v>11</v>
      </c>
      <c r="AS22" s="87">
        <v>5</v>
      </c>
      <c r="AT22" s="87">
        <v>1</v>
      </c>
      <c r="AU22" s="87">
        <v>9</v>
      </c>
      <c r="AV22" s="87">
        <v>46</v>
      </c>
      <c r="AW22" s="87">
        <v>94</v>
      </c>
      <c r="AX22" s="87">
        <v>248</v>
      </c>
      <c r="AY22" s="87">
        <v>428</v>
      </c>
      <c r="AZ22" s="87">
        <v>416</v>
      </c>
      <c r="BA22" s="87">
        <v>387</v>
      </c>
      <c r="BB22" s="87">
        <v>298</v>
      </c>
      <c r="BC22" s="42"/>
      <c r="BD22" s="111"/>
      <c r="BE22" s="46" t="s">
        <v>11</v>
      </c>
      <c r="BF22" s="87">
        <v>2</v>
      </c>
      <c r="BG22" s="87">
        <v>2</v>
      </c>
      <c r="BH22" s="87">
        <v>20</v>
      </c>
      <c r="BI22" s="87">
        <v>125</v>
      </c>
      <c r="BJ22" s="87">
        <v>440</v>
      </c>
      <c r="BK22" s="87">
        <v>1733</v>
      </c>
      <c r="BL22" s="87">
        <v>4084</v>
      </c>
      <c r="BM22" s="87">
        <v>4999</v>
      </c>
      <c r="BN22" s="87">
        <v>4956</v>
      </c>
      <c r="BO22" s="87">
        <v>4270</v>
      </c>
      <c r="BQ22" s="111"/>
      <c r="BR22" s="46" t="s">
        <v>11</v>
      </c>
      <c r="BS22" s="87">
        <v>1</v>
      </c>
      <c r="BT22" s="87">
        <v>2</v>
      </c>
      <c r="BU22" s="87">
        <v>8</v>
      </c>
      <c r="BV22" s="87">
        <v>25</v>
      </c>
      <c r="BW22" s="87">
        <v>47</v>
      </c>
      <c r="BX22" s="87">
        <v>82</v>
      </c>
      <c r="BY22" s="87">
        <v>132</v>
      </c>
      <c r="BZ22" s="87">
        <v>151</v>
      </c>
      <c r="CA22" s="87">
        <v>145</v>
      </c>
      <c r="CB22" s="87">
        <v>124</v>
      </c>
      <c r="CC22" s="42"/>
      <c r="CD22" s="111"/>
      <c r="CE22" s="46" t="s">
        <v>11</v>
      </c>
      <c r="CF22" s="87">
        <v>6</v>
      </c>
      <c r="CG22" s="87">
        <v>1</v>
      </c>
      <c r="CH22" s="87">
        <v>21</v>
      </c>
      <c r="CI22" s="87">
        <v>146</v>
      </c>
      <c r="CJ22" s="87">
        <v>487</v>
      </c>
      <c r="CK22" s="87">
        <v>1899</v>
      </c>
      <c r="CL22" s="87">
        <v>4380</v>
      </c>
      <c r="CM22" s="87">
        <v>5264</v>
      </c>
      <c r="CN22" s="87">
        <v>5198</v>
      </c>
      <c r="CO22" s="87">
        <v>4444</v>
      </c>
      <c r="CQ22" s="111"/>
      <c r="CR22" s="46" t="s">
        <v>11</v>
      </c>
      <c r="CS22" s="87">
        <v>0</v>
      </c>
      <c r="CT22" s="87">
        <v>0</v>
      </c>
      <c r="CU22" s="87">
        <v>2</v>
      </c>
      <c r="CV22" s="87">
        <v>14</v>
      </c>
      <c r="CW22" s="87">
        <v>49</v>
      </c>
      <c r="CX22" s="87">
        <v>186</v>
      </c>
      <c r="CY22" s="87">
        <v>437</v>
      </c>
      <c r="CZ22" s="87">
        <v>615</v>
      </c>
      <c r="DA22" s="87">
        <v>631</v>
      </c>
      <c r="DB22" s="87">
        <v>598</v>
      </c>
      <c r="DC22" s="42"/>
      <c r="DD22" s="111"/>
      <c r="DE22" s="46" t="s">
        <v>11</v>
      </c>
      <c r="DF22" s="87">
        <v>7</v>
      </c>
      <c r="DG22" s="87">
        <v>3</v>
      </c>
      <c r="DH22" s="87">
        <v>27</v>
      </c>
      <c r="DI22" s="87">
        <v>157</v>
      </c>
      <c r="DJ22" s="87">
        <v>485</v>
      </c>
      <c r="DK22" s="87">
        <v>1795</v>
      </c>
      <c r="DL22" s="87">
        <v>4075</v>
      </c>
      <c r="DM22" s="87">
        <v>4800</v>
      </c>
      <c r="DN22" s="87">
        <v>4712</v>
      </c>
      <c r="DO22" s="87">
        <v>3970</v>
      </c>
    </row>
    <row r="23" spans="2:119" ht="14.25" customHeight="1" x14ac:dyDescent="0.45">
      <c r="B23" s="99"/>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6"/>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Q23" s="42"/>
      <c r="BR23" s="42"/>
      <c r="BS23" s="42"/>
      <c r="BT23" s="42"/>
      <c r="BU23" s="42"/>
      <c r="BV23" s="42"/>
      <c r="BW23" s="42"/>
      <c r="BX23" s="42"/>
      <c r="BY23" s="42"/>
      <c r="BZ23" s="42"/>
      <c r="CA23" s="42"/>
      <c r="CB23" s="42"/>
      <c r="CC23" s="42"/>
      <c r="CD23" s="42"/>
      <c r="CE23" s="42"/>
      <c r="CF23" s="42"/>
      <c r="CG23" s="42"/>
      <c r="CH23" s="42"/>
      <c r="CI23" s="42"/>
      <c r="CJ23" s="42"/>
      <c r="CK23" s="42"/>
      <c r="CL23" s="42"/>
      <c r="CM23" s="42"/>
      <c r="CN23" s="42"/>
      <c r="CO23" s="42"/>
      <c r="CQ23" s="42"/>
      <c r="CR23" s="42"/>
      <c r="CS23" s="42"/>
      <c r="CT23" s="42"/>
      <c r="CU23" s="42"/>
      <c r="CV23" s="42"/>
      <c r="CW23" s="42"/>
      <c r="CX23" s="42"/>
      <c r="CY23" s="42"/>
      <c r="CZ23" s="42"/>
      <c r="DA23" s="42"/>
      <c r="DB23" s="42"/>
      <c r="DC23" s="42"/>
      <c r="DD23" s="42"/>
      <c r="DE23" s="42"/>
      <c r="DF23" s="42"/>
      <c r="DG23" s="42"/>
      <c r="DH23" s="42"/>
      <c r="DI23" s="42"/>
      <c r="DJ23" s="42"/>
      <c r="DK23" s="42"/>
      <c r="DL23" s="42"/>
      <c r="DM23" s="42"/>
      <c r="DN23" s="42"/>
      <c r="DO23" s="42"/>
    </row>
    <row r="24" spans="2:119" ht="14.25" customHeight="1" x14ac:dyDescent="0.55000000000000004">
      <c r="B24" s="99"/>
      <c r="C24" s="42"/>
      <c r="D24" s="112" t="s">
        <v>16</v>
      </c>
      <c r="E24" s="112"/>
      <c r="F24" s="45"/>
      <c r="G24" s="45"/>
      <c r="H24" s="45"/>
      <c r="I24" s="45"/>
      <c r="J24" s="45"/>
      <c r="K24" s="45"/>
      <c r="L24" s="45"/>
      <c r="M24" s="45"/>
      <c r="N24" s="45"/>
      <c r="O24" s="45"/>
      <c r="P24" s="42"/>
      <c r="Q24" s="112" t="s">
        <v>16</v>
      </c>
      <c r="R24" s="112"/>
      <c r="S24" s="45"/>
      <c r="T24" s="45"/>
      <c r="U24" s="45"/>
      <c r="V24" s="45"/>
      <c r="W24" s="45"/>
      <c r="X24" s="45"/>
      <c r="Y24" s="45"/>
      <c r="Z24" s="45"/>
      <c r="AA24" s="45"/>
      <c r="AB24" s="45"/>
      <c r="AC24" s="42"/>
      <c r="AD24" s="112" t="s">
        <v>16</v>
      </c>
      <c r="AE24" s="112"/>
      <c r="AF24" s="45"/>
      <c r="AG24" s="45"/>
      <c r="AH24" s="45"/>
      <c r="AI24" s="45"/>
      <c r="AJ24" s="45"/>
      <c r="AK24" s="45"/>
      <c r="AL24" s="45"/>
      <c r="AM24" s="45"/>
      <c r="AN24" s="45"/>
      <c r="AO24" s="45"/>
      <c r="AP24" s="6"/>
      <c r="AQ24" s="112" t="s">
        <v>16</v>
      </c>
      <c r="AR24" s="112"/>
      <c r="AS24" s="45"/>
      <c r="AT24" s="45"/>
      <c r="AU24" s="45"/>
      <c r="AV24" s="45"/>
      <c r="AW24" s="45"/>
      <c r="AX24" s="45"/>
      <c r="AY24" s="45"/>
      <c r="AZ24" s="45"/>
      <c r="BA24" s="45"/>
      <c r="BB24" s="45"/>
      <c r="BC24" s="42"/>
      <c r="BD24" s="112" t="s">
        <v>16</v>
      </c>
      <c r="BE24" s="112"/>
      <c r="BF24" s="45"/>
      <c r="BG24" s="45"/>
      <c r="BH24" s="45"/>
      <c r="BI24" s="45"/>
      <c r="BJ24" s="45"/>
      <c r="BK24" s="45"/>
      <c r="BL24" s="45"/>
      <c r="BM24" s="45"/>
      <c r="BN24" s="45"/>
      <c r="BO24" s="45"/>
      <c r="BQ24" s="112" t="s">
        <v>16</v>
      </c>
      <c r="BR24" s="112"/>
      <c r="BS24" s="45"/>
      <c r="BT24" s="45"/>
      <c r="BU24" s="45"/>
      <c r="BV24" s="45"/>
      <c r="BW24" s="45"/>
      <c r="BX24" s="45"/>
      <c r="BY24" s="45"/>
      <c r="BZ24" s="45"/>
      <c r="CA24" s="45"/>
      <c r="CB24" s="45"/>
      <c r="CC24" s="42"/>
      <c r="CD24" s="112" t="s">
        <v>16</v>
      </c>
      <c r="CE24" s="112"/>
      <c r="CF24" s="45"/>
      <c r="CG24" s="45"/>
      <c r="CH24" s="45"/>
      <c r="CI24" s="45"/>
      <c r="CJ24" s="45"/>
      <c r="CK24" s="45"/>
      <c r="CL24" s="45"/>
      <c r="CM24" s="45"/>
      <c r="CN24" s="45"/>
      <c r="CO24" s="45"/>
      <c r="CQ24" s="112" t="s">
        <v>16</v>
      </c>
      <c r="CR24" s="112"/>
      <c r="CS24" s="45"/>
      <c r="CT24" s="45"/>
      <c r="CU24" s="45"/>
      <c r="CV24" s="45"/>
      <c r="CW24" s="45"/>
      <c r="CX24" s="45"/>
      <c r="CY24" s="45"/>
      <c r="CZ24" s="45"/>
      <c r="DA24" s="45"/>
      <c r="DB24" s="45"/>
      <c r="DC24" s="42"/>
      <c r="DD24" s="112" t="s">
        <v>16</v>
      </c>
      <c r="DE24" s="112"/>
      <c r="DF24" s="45"/>
      <c r="DG24" s="45"/>
      <c r="DH24" s="45"/>
      <c r="DI24" s="45"/>
      <c r="DJ24" s="45"/>
      <c r="DK24" s="45"/>
      <c r="DL24" s="45"/>
      <c r="DM24" s="45"/>
      <c r="DN24" s="45"/>
      <c r="DO24" s="45"/>
    </row>
    <row r="25" spans="2:119" ht="28.9" customHeight="1" x14ac:dyDescent="0.45">
      <c r="B25" s="99"/>
      <c r="C25" s="42"/>
      <c r="D25" s="112"/>
      <c r="E25" s="112"/>
      <c r="F25" s="108" t="s">
        <v>12</v>
      </c>
      <c r="G25" s="108"/>
      <c r="H25" s="108"/>
      <c r="I25" s="108"/>
      <c r="J25" s="108"/>
      <c r="K25" s="108"/>
      <c r="L25" s="108"/>
      <c r="M25" s="108"/>
      <c r="N25" s="108"/>
      <c r="O25" s="108"/>
      <c r="P25" s="42"/>
      <c r="Q25" s="112"/>
      <c r="R25" s="112"/>
      <c r="S25" s="108" t="s">
        <v>12</v>
      </c>
      <c r="T25" s="108"/>
      <c r="U25" s="108"/>
      <c r="V25" s="108"/>
      <c r="W25" s="108"/>
      <c r="X25" s="108"/>
      <c r="Y25" s="108"/>
      <c r="Z25" s="108"/>
      <c r="AA25" s="108"/>
      <c r="AB25" s="108"/>
      <c r="AC25" s="42"/>
      <c r="AD25" s="112"/>
      <c r="AE25" s="112"/>
      <c r="AF25" s="131" t="s">
        <v>12</v>
      </c>
      <c r="AG25" s="132"/>
      <c r="AH25" s="132"/>
      <c r="AI25" s="132"/>
      <c r="AJ25" s="132"/>
      <c r="AK25" s="132"/>
      <c r="AL25" s="132"/>
      <c r="AM25" s="132"/>
      <c r="AN25" s="132"/>
      <c r="AO25" s="133"/>
      <c r="AP25" s="6"/>
      <c r="AQ25" s="112"/>
      <c r="AR25" s="112"/>
      <c r="AS25" s="108" t="s">
        <v>12</v>
      </c>
      <c r="AT25" s="108"/>
      <c r="AU25" s="108"/>
      <c r="AV25" s="108"/>
      <c r="AW25" s="108"/>
      <c r="AX25" s="108"/>
      <c r="AY25" s="108"/>
      <c r="AZ25" s="108"/>
      <c r="BA25" s="108"/>
      <c r="BB25" s="108"/>
      <c r="BC25" s="42"/>
      <c r="BD25" s="112"/>
      <c r="BE25" s="112"/>
      <c r="BF25" s="108" t="s">
        <v>12</v>
      </c>
      <c r="BG25" s="108"/>
      <c r="BH25" s="108"/>
      <c r="BI25" s="108"/>
      <c r="BJ25" s="108"/>
      <c r="BK25" s="108"/>
      <c r="BL25" s="108"/>
      <c r="BM25" s="108"/>
      <c r="BN25" s="108"/>
      <c r="BO25" s="108"/>
      <c r="BQ25" s="112"/>
      <c r="BR25" s="112"/>
      <c r="BS25" s="108" t="s">
        <v>12</v>
      </c>
      <c r="BT25" s="108"/>
      <c r="BU25" s="108"/>
      <c r="BV25" s="108"/>
      <c r="BW25" s="108"/>
      <c r="BX25" s="108"/>
      <c r="BY25" s="108"/>
      <c r="BZ25" s="108"/>
      <c r="CA25" s="108"/>
      <c r="CB25" s="108"/>
      <c r="CC25" s="42"/>
      <c r="CD25" s="112"/>
      <c r="CE25" s="112"/>
      <c r="CF25" s="108" t="s">
        <v>12</v>
      </c>
      <c r="CG25" s="108"/>
      <c r="CH25" s="108"/>
      <c r="CI25" s="108"/>
      <c r="CJ25" s="108"/>
      <c r="CK25" s="108"/>
      <c r="CL25" s="108"/>
      <c r="CM25" s="108"/>
      <c r="CN25" s="108"/>
      <c r="CO25" s="108"/>
      <c r="CQ25" s="112"/>
      <c r="CR25" s="112"/>
      <c r="CS25" s="108" t="s">
        <v>12</v>
      </c>
      <c r="CT25" s="108"/>
      <c r="CU25" s="108"/>
      <c r="CV25" s="108"/>
      <c r="CW25" s="108"/>
      <c r="CX25" s="108"/>
      <c r="CY25" s="108"/>
      <c r="CZ25" s="108"/>
      <c r="DA25" s="108"/>
      <c r="DB25" s="108"/>
      <c r="DC25" s="42"/>
      <c r="DD25" s="112"/>
      <c r="DE25" s="112"/>
      <c r="DF25" s="108" t="s">
        <v>12</v>
      </c>
      <c r="DG25" s="108"/>
      <c r="DH25" s="108"/>
      <c r="DI25" s="108"/>
      <c r="DJ25" s="108"/>
      <c r="DK25" s="108"/>
      <c r="DL25" s="108"/>
      <c r="DM25" s="108"/>
      <c r="DN25" s="108"/>
      <c r="DO25" s="108"/>
    </row>
    <row r="26" spans="2:119" ht="14.25" customHeight="1" x14ac:dyDescent="0.45">
      <c r="B26" s="99"/>
      <c r="C26" s="42"/>
      <c r="D26" s="113"/>
      <c r="E26" s="113"/>
      <c r="F26" s="9" t="s">
        <v>0</v>
      </c>
      <c r="G26" s="9">
        <v>1</v>
      </c>
      <c r="H26" s="9">
        <v>2</v>
      </c>
      <c r="I26" s="9">
        <v>3</v>
      </c>
      <c r="J26" s="9">
        <v>4</v>
      </c>
      <c r="K26" s="9">
        <v>5</v>
      </c>
      <c r="L26" s="9">
        <v>6</v>
      </c>
      <c r="M26" s="9">
        <v>7</v>
      </c>
      <c r="N26" s="9">
        <v>8</v>
      </c>
      <c r="O26" s="9">
        <v>9</v>
      </c>
      <c r="P26" s="42"/>
      <c r="Q26" s="113"/>
      <c r="R26" s="113"/>
      <c r="S26" s="9" t="s">
        <v>0</v>
      </c>
      <c r="T26" s="9">
        <v>1</v>
      </c>
      <c r="U26" s="9">
        <v>2</v>
      </c>
      <c r="V26" s="9">
        <v>3</v>
      </c>
      <c r="W26" s="9">
        <v>4</v>
      </c>
      <c r="X26" s="9">
        <v>5</v>
      </c>
      <c r="Y26" s="9">
        <v>6</v>
      </c>
      <c r="Z26" s="9">
        <v>7</v>
      </c>
      <c r="AA26" s="9">
        <v>8</v>
      </c>
      <c r="AB26" s="9">
        <v>9</v>
      </c>
      <c r="AC26" s="42"/>
      <c r="AD26" s="113"/>
      <c r="AE26" s="113"/>
      <c r="AF26" s="9" t="s">
        <v>0</v>
      </c>
      <c r="AG26" s="9">
        <v>1</v>
      </c>
      <c r="AH26" s="9">
        <v>2</v>
      </c>
      <c r="AI26" s="9">
        <v>3</v>
      </c>
      <c r="AJ26" s="9">
        <v>4</v>
      </c>
      <c r="AK26" s="9">
        <v>5</v>
      </c>
      <c r="AL26" s="9">
        <v>6</v>
      </c>
      <c r="AM26" s="9">
        <v>7</v>
      </c>
      <c r="AN26" s="9">
        <v>8</v>
      </c>
      <c r="AO26" s="9">
        <v>9</v>
      </c>
      <c r="AP26" s="6"/>
      <c r="AQ26" s="113"/>
      <c r="AR26" s="113"/>
      <c r="AS26" s="9" t="s">
        <v>0</v>
      </c>
      <c r="AT26" s="9">
        <v>1</v>
      </c>
      <c r="AU26" s="9">
        <v>2</v>
      </c>
      <c r="AV26" s="9">
        <v>3</v>
      </c>
      <c r="AW26" s="9">
        <v>4</v>
      </c>
      <c r="AX26" s="9">
        <v>5</v>
      </c>
      <c r="AY26" s="9">
        <v>6</v>
      </c>
      <c r="AZ26" s="9">
        <v>7</v>
      </c>
      <c r="BA26" s="9">
        <v>8</v>
      </c>
      <c r="BB26" s="9">
        <v>9</v>
      </c>
      <c r="BC26" s="42"/>
      <c r="BD26" s="113"/>
      <c r="BE26" s="113"/>
      <c r="BF26" s="9" t="s">
        <v>0</v>
      </c>
      <c r="BG26" s="9">
        <v>1</v>
      </c>
      <c r="BH26" s="9">
        <v>2</v>
      </c>
      <c r="BI26" s="9">
        <v>3</v>
      </c>
      <c r="BJ26" s="9">
        <v>4</v>
      </c>
      <c r="BK26" s="9">
        <v>5</v>
      </c>
      <c r="BL26" s="9">
        <v>6</v>
      </c>
      <c r="BM26" s="9">
        <v>7</v>
      </c>
      <c r="BN26" s="9">
        <v>8</v>
      </c>
      <c r="BO26" s="9">
        <v>9</v>
      </c>
      <c r="BQ26" s="113"/>
      <c r="BR26" s="113"/>
      <c r="BS26" s="9" t="s">
        <v>0</v>
      </c>
      <c r="BT26" s="9">
        <v>1</v>
      </c>
      <c r="BU26" s="9">
        <v>2</v>
      </c>
      <c r="BV26" s="9">
        <v>3</v>
      </c>
      <c r="BW26" s="9">
        <v>4</v>
      </c>
      <c r="BX26" s="9">
        <v>5</v>
      </c>
      <c r="BY26" s="9">
        <v>6</v>
      </c>
      <c r="BZ26" s="9">
        <v>7</v>
      </c>
      <c r="CA26" s="9">
        <v>8</v>
      </c>
      <c r="CB26" s="9">
        <v>9</v>
      </c>
      <c r="CC26" s="42"/>
      <c r="CD26" s="113"/>
      <c r="CE26" s="113"/>
      <c r="CF26" s="9" t="s">
        <v>0</v>
      </c>
      <c r="CG26" s="9">
        <v>1</v>
      </c>
      <c r="CH26" s="9">
        <v>2</v>
      </c>
      <c r="CI26" s="9">
        <v>3</v>
      </c>
      <c r="CJ26" s="9">
        <v>4</v>
      </c>
      <c r="CK26" s="9">
        <v>5</v>
      </c>
      <c r="CL26" s="9">
        <v>6</v>
      </c>
      <c r="CM26" s="9">
        <v>7</v>
      </c>
      <c r="CN26" s="9">
        <v>8</v>
      </c>
      <c r="CO26" s="9">
        <v>9</v>
      </c>
      <c r="CQ26" s="113"/>
      <c r="CR26" s="113"/>
      <c r="CS26" s="9" t="s">
        <v>0</v>
      </c>
      <c r="CT26" s="9">
        <v>1</v>
      </c>
      <c r="CU26" s="9">
        <v>2</v>
      </c>
      <c r="CV26" s="9">
        <v>3</v>
      </c>
      <c r="CW26" s="9">
        <v>4</v>
      </c>
      <c r="CX26" s="9">
        <v>5</v>
      </c>
      <c r="CY26" s="9">
        <v>6</v>
      </c>
      <c r="CZ26" s="9">
        <v>7</v>
      </c>
      <c r="DA26" s="9">
        <v>8</v>
      </c>
      <c r="DB26" s="9">
        <v>9</v>
      </c>
      <c r="DC26" s="42"/>
      <c r="DD26" s="113"/>
      <c r="DE26" s="113"/>
      <c r="DF26" s="9" t="s">
        <v>0</v>
      </c>
      <c r="DG26" s="9">
        <v>1</v>
      </c>
      <c r="DH26" s="9">
        <v>2</v>
      </c>
      <c r="DI26" s="9">
        <v>3</v>
      </c>
      <c r="DJ26" s="9">
        <v>4</v>
      </c>
      <c r="DK26" s="9">
        <v>5</v>
      </c>
      <c r="DL26" s="9">
        <v>6</v>
      </c>
      <c r="DM26" s="9">
        <v>7</v>
      </c>
      <c r="DN26" s="9">
        <v>8</v>
      </c>
      <c r="DO26" s="9">
        <v>9</v>
      </c>
    </row>
    <row r="27" spans="2:119" ht="14.25" customHeight="1" x14ac:dyDescent="0.45">
      <c r="B27" s="99"/>
      <c r="C27" s="42"/>
      <c r="D27" s="109" t="s">
        <v>13</v>
      </c>
      <c r="E27" s="47" t="s">
        <v>1</v>
      </c>
      <c r="F27" s="3">
        <v>8</v>
      </c>
      <c r="G27" s="3">
        <v>14.666666666666666</v>
      </c>
      <c r="H27" s="3">
        <v>29.333333333333332</v>
      </c>
      <c r="I27" s="3">
        <v>24</v>
      </c>
      <c r="J27" s="3">
        <v>13.333333333333334</v>
      </c>
      <c r="K27" s="3">
        <v>8</v>
      </c>
      <c r="L27" s="3">
        <v>2.666666666666667</v>
      </c>
      <c r="M27" s="3">
        <v>0</v>
      </c>
      <c r="N27" s="3">
        <v>0</v>
      </c>
      <c r="O27" s="17">
        <v>0</v>
      </c>
      <c r="P27" s="42"/>
      <c r="Q27" s="109" t="s">
        <v>13</v>
      </c>
      <c r="R27" s="46" t="s">
        <v>1</v>
      </c>
      <c r="S27" s="3">
        <v>6.666666666666667</v>
      </c>
      <c r="T27" s="3">
        <v>6.666666666666667</v>
      </c>
      <c r="U27" s="3">
        <v>16.666666666666664</v>
      </c>
      <c r="V27" s="3">
        <v>30</v>
      </c>
      <c r="W27" s="3">
        <v>20</v>
      </c>
      <c r="X27" s="3">
        <v>16.666666666666664</v>
      </c>
      <c r="Y27" s="3">
        <v>3.3333333333333335</v>
      </c>
      <c r="Z27" s="3">
        <v>0</v>
      </c>
      <c r="AA27" s="3">
        <v>0</v>
      </c>
      <c r="AB27" s="17">
        <v>0</v>
      </c>
      <c r="AC27" s="42"/>
      <c r="AD27" s="109" t="s">
        <v>13</v>
      </c>
      <c r="AE27" s="46" t="s">
        <v>1</v>
      </c>
      <c r="AF27" s="3">
        <v>8.8888888888888893</v>
      </c>
      <c r="AG27" s="3">
        <v>20</v>
      </c>
      <c r="AH27" s="3">
        <v>37.777777777777779</v>
      </c>
      <c r="AI27" s="3">
        <v>20</v>
      </c>
      <c r="AJ27" s="3">
        <v>8.8888888888888893</v>
      </c>
      <c r="AK27" s="3">
        <v>2.2222222222222223</v>
      </c>
      <c r="AL27" s="3">
        <v>2.2222222222222223</v>
      </c>
      <c r="AM27" s="3">
        <v>0</v>
      </c>
      <c r="AN27" s="3">
        <v>0</v>
      </c>
      <c r="AO27" s="17">
        <v>0</v>
      </c>
      <c r="AP27" s="6"/>
      <c r="AQ27" s="109" t="s">
        <v>13</v>
      </c>
      <c r="AR27" s="46" t="s">
        <v>1</v>
      </c>
      <c r="AS27" s="87">
        <v>7.8947368421052628</v>
      </c>
      <c r="AT27" s="87">
        <v>18.421052631578945</v>
      </c>
      <c r="AU27" s="87">
        <v>31.578947368421051</v>
      </c>
      <c r="AV27" s="87">
        <v>23.684210526315788</v>
      </c>
      <c r="AW27" s="87">
        <v>13.157894736842104</v>
      </c>
      <c r="AX27" s="87">
        <v>2.6315789473684208</v>
      </c>
      <c r="AY27" s="87">
        <v>2.6315789473684208</v>
      </c>
      <c r="AZ27" s="87">
        <v>0</v>
      </c>
      <c r="BA27" s="87">
        <v>0</v>
      </c>
      <c r="BB27" s="17">
        <v>0</v>
      </c>
      <c r="BC27" s="42"/>
      <c r="BD27" s="109" t="s">
        <v>13</v>
      </c>
      <c r="BE27" s="46" t="s">
        <v>1</v>
      </c>
      <c r="BF27" s="87">
        <v>8.1081081081081088</v>
      </c>
      <c r="BG27" s="87">
        <v>10.810810810810811</v>
      </c>
      <c r="BH27" s="87">
        <v>27.027027027027028</v>
      </c>
      <c r="BI27" s="87">
        <v>24.324324324324326</v>
      </c>
      <c r="BJ27" s="87">
        <v>13.513513513513514</v>
      </c>
      <c r="BK27" s="87">
        <v>13.513513513513514</v>
      </c>
      <c r="BL27" s="87">
        <v>2.7027027027027026</v>
      </c>
      <c r="BM27" s="87">
        <v>0</v>
      </c>
      <c r="BN27" s="87">
        <v>0</v>
      </c>
      <c r="BO27" s="17">
        <v>0</v>
      </c>
      <c r="BQ27" s="109" t="s">
        <v>13</v>
      </c>
      <c r="BR27" s="46" t="s">
        <v>1</v>
      </c>
      <c r="BS27" s="87">
        <v>6.8965517241379306</v>
      </c>
      <c r="BT27" s="87">
        <v>31.03448275862069</v>
      </c>
      <c r="BU27" s="87">
        <v>31.03448275862069</v>
      </c>
      <c r="BV27" s="87">
        <v>17.241379310344829</v>
      </c>
      <c r="BW27" s="87">
        <v>3.4482758620689653</v>
      </c>
      <c r="BX27" s="87">
        <v>6.8965517241379306</v>
      </c>
      <c r="BY27" s="87">
        <v>3.4482758620689653</v>
      </c>
      <c r="BZ27" s="87">
        <v>0</v>
      </c>
      <c r="CA27" s="87">
        <v>0</v>
      </c>
      <c r="CB27" s="17">
        <v>0</v>
      </c>
      <c r="CC27" s="42"/>
      <c r="CD27" s="109" t="s">
        <v>13</v>
      </c>
      <c r="CE27" s="46" t="s">
        <v>1</v>
      </c>
      <c r="CF27" s="87">
        <v>8.695652173913043</v>
      </c>
      <c r="CG27" s="87">
        <v>4.3478260869565215</v>
      </c>
      <c r="CH27" s="87">
        <v>28.260869565217391</v>
      </c>
      <c r="CI27" s="87">
        <v>28.260869565217391</v>
      </c>
      <c r="CJ27" s="87">
        <v>19.565217391304348</v>
      </c>
      <c r="CK27" s="87">
        <v>8.695652173913043</v>
      </c>
      <c r="CL27" s="87">
        <v>2.1739130434782608</v>
      </c>
      <c r="CM27" s="87">
        <v>0</v>
      </c>
      <c r="CN27" s="87">
        <v>0</v>
      </c>
      <c r="CO27" s="17">
        <v>0</v>
      </c>
      <c r="CQ27" s="109" t="s">
        <v>13</v>
      </c>
      <c r="CR27" s="46" t="s">
        <v>1</v>
      </c>
      <c r="CS27" s="87">
        <v>9.375</v>
      </c>
      <c r="CT27" s="87">
        <v>12.5</v>
      </c>
      <c r="CU27" s="87">
        <v>28.125</v>
      </c>
      <c r="CV27" s="87">
        <v>26.5625</v>
      </c>
      <c r="CW27" s="87">
        <v>14.0625</v>
      </c>
      <c r="CX27" s="87">
        <v>7.8125</v>
      </c>
      <c r="CY27" s="87">
        <v>1.5625</v>
      </c>
      <c r="CZ27" s="87">
        <v>0</v>
      </c>
      <c r="DA27" s="87">
        <v>0</v>
      </c>
      <c r="DB27" s="17">
        <v>0</v>
      </c>
      <c r="DC27" s="42"/>
      <c r="DD27" s="109" t="s">
        <v>13</v>
      </c>
      <c r="DE27" s="46" t="s">
        <v>1</v>
      </c>
      <c r="DF27" s="87">
        <v>0</v>
      </c>
      <c r="DG27" s="87">
        <v>27.27272727272727</v>
      </c>
      <c r="DH27" s="87">
        <v>36.363636363636367</v>
      </c>
      <c r="DI27" s="87">
        <v>9.0909090909090917</v>
      </c>
      <c r="DJ27" s="87">
        <v>9.0909090909090917</v>
      </c>
      <c r="DK27" s="87">
        <v>9.0909090909090917</v>
      </c>
      <c r="DL27" s="87">
        <v>9.0909090909090917</v>
      </c>
      <c r="DM27" s="87">
        <v>0</v>
      </c>
      <c r="DN27" s="87">
        <v>0</v>
      </c>
      <c r="DO27" s="17">
        <v>0</v>
      </c>
    </row>
    <row r="28" spans="2:119" ht="14.25" customHeight="1" x14ac:dyDescent="0.45">
      <c r="B28" s="99"/>
      <c r="C28" s="42"/>
      <c r="D28" s="110"/>
      <c r="E28" s="47">
        <v>1</v>
      </c>
      <c r="F28" s="3">
        <v>13.119533527696792</v>
      </c>
      <c r="G28" s="3">
        <v>32.944606413994173</v>
      </c>
      <c r="H28" s="3">
        <v>23.906705539358601</v>
      </c>
      <c r="I28" s="3">
        <v>17.201166180758019</v>
      </c>
      <c r="J28" s="3">
        <v>6.1224489795918364</v>
      </c>
      <c r="K28" s="3">
        <v>3.4985422740524781</v>
      </c>
      <c r="L28" s="3">
        <v>0.87463556851311952</v>
      </c>
      <c r="M28" s="3">
        <v>1.1661807580174928</v>
      </c>
      <c r="N28" s="3">
        <v>0.29154518950437319</v>
      </c>
      <c r="O28" s="3">
        <v>0.87463556851311952</v>
      </c>
      <c r="P28" s="42"/>
      <c r="Q28" s="110"/>
      <c r="R28" s="46">
        <v>1</v>
      </c>
      <c r="S28" s="3">
        <v>9.5541401273885356</v>
      </c>
      <c r="T28" s="3">
        <v>29.936305732484076</v>
      </c>
      <c r="U28" s="3">
        <v>22.929936305732486</v>
      </c>
      <c r="V28" s="3">
        <v>22.29299363057325</v>
      </c>
      <c r="W28" s="3">
        <v>7.6433121019108281</v>
      </c>
      <c r="X28" s="3">
        <v>4.4585987261146496</v>
      </c>
      <c r="Y28" s="3">
        <v>0.63694267515923575</v>
      </c>
      <c r="Z28" s="3">
        <v>1.2738853503184715</v>
      </c>
      <c r="AA28" s="3">
        <v>0</v>
      </c>
      <c r="AB28" s="3">
        <v>1.2738853503184715</v>
      </c>
      <c r="AC28" s="42"/>
      <c r="AD28" s="110"/>
      <c r="AE28" s="46">
        <v>1</v>
      </c>
      <c r="AF28" s="3">
        <v>16.129032258064516</v>
      </c>
      <c r="AG28" s="3">
        <v>35.483870967741936</v>
      </c>
      <c r="AH28" s="3">
        <v>24.731182795698924</v>
      </c>
      <c r="AI28" s="3">
        <v>12.903225806451612</v>
      </c>
      <c r="AJ28" s="3">
        <v>4.838709677419355</v>
      </c>
      <c r="AK28" s="3">
        <v>2.6881720430107525</v>
      </c>
      <c r="AL28" s="3">
        <v>1.0752688172043012</v>
      </c>
      <c r="AM28" s="3">
        <v>1.0752688172043012</v>
      </c>
      <c r="AN28" s="3">
        <v>0.53763440860215062</v>
      </c>
      <c r="AO28" s="3">
        <v>0.53763440860215062</v>
      </c>
      <c r="AP28" s="6"/>
      <c r="AQ28" s="110"/>
      <c r="AR28" s="46">
        <v>1</v>
      </c>
      <c r="AS28" s="87">
        <v>15.469613259668508</v>
      </c>
      <c r="AT28" s="87">
        <v>36.464088397790057</v>
      </c>
      <c r="AU28" s="87">
        <v>23.756906077348066</v>
      </c>
      <c r="AV28" s="87">
        <v>15.469613259668508</v>
      </c>
      <c r="AW28" s="87">
        <v>4.4198895027624303</v>
      </c>
      <c r="AX28" s="87">
        <v>1.6574585635359116</v>
      </c>
      <c r="AY28" s="87">
        <v>1.1049723756906076</v>
      </c>
      <c r="AZ28" s="87">
        <v>1.1049723756906076</v>
      </c>
      <c r="BA28" s="87">
        <v>0.55248618784530379</v>
      </c>
      <c r="BB28" s="87">
        <v>0</v>
      </c>
      <c r="BC28" s="42"/>
      <c r="BD28" s="110"/>
      <c r="BE28" s="46">
        <v>1</v>
      </c>
      <c r="BF28" s="87">
        <v>10.493827160493826</v>
      </c>
      <c r="BG28" s="87">
        <v>29.012345679012348</v>
      </c>
      <c r="BH28" s="87">
        <v>24.074074074074073</v>
      </c>
      <c r="BI28" s="87">
        <v>19.1358024691358</v>
      </c>
      <c r="BJ28" s="87">
        <v>8.0246913580246915</v>
      </c>
      <c r="BK28" s="87">
        <v>5.5555555555555554</v>
      </c>
      <c r="BL28" s="87">
        <v>0.61728395061728392</v>
      </c>
      <c r="BM28" s="87">
        <v>1.2345679012345678</v>
      </c>
      <c r="BN28" s="87">
        <v>0</v>
      </c>
      <c r="BO28" s="87">
        <v>1.8518518518518516</v>
      </c>
      <c r="BQ28" s="110"/>
      <c r="BR28" s="46">
        <v>1</v>
      </c>
      <c r="BS28" s="87">
        <v>15.348837209302326</v>
      </c>
      <c r="BT28" s="87">
        <v>42.325581395348841</v>
      </c>
      <c r="BU28" s="87">
        <v>26.046511627906977</v>
      </c>
      <c r="BV28" s="87">
        <v>12.093023255813954</v>
      </c>
      <c r="BW28" s="87">
        <v>2.7906976744186047</v>
      </c>
      <c r="BX28" s="87">
        <v>0.46511627906976744</v>
      </c>
      <c r="BY28" s="87">
        <v>0.46511627906976744</v>
      </c>
      <c r="BZ28" s="87">
        <v>0</v>
      </c>
      <c r="CA28" s="87">
        <v>0.46511627906976744</v>
      </c>
      <c r="CB28" s="87">
        <v>0</v>
      </c>
      <c r="CC28" s="42"/>
      <c r="CD28" s="110"/>
      <c r="CE28" s="46">
        <v>1</v>
      </c>
      <c r="CF28" s="87">
        <v>9.375</v>
      </c>
      <c r="CG28" s="87">
        <v>17.1875</v>
      </c>
      <c r="CH28" s="87">
        <v>20.3125</v>
      </c>
      <c r="CI28" s="87">
        <v>25.78125</v>
      </c>
      <c r="CJ28" s="87">
        <v>11.71875</v>
      </c>
      <c r="CK28" s="87">
        <v>8.59375</v>
      </c>
      <c r="CL28" s="87">
        <v>1.5625</v>
      </c>
      <c r="CM28" s="87">
        <v>3.125</v>
      </c>
      <c r="CN28" s="87">
        <v>0</v>
      </c>
      <c r="CO28" s="87">
        <v>2.34375</v>
      </c>
      <c r="CQ28" s="110"/>
      <c r="CR28" s="46">
        <v>1</v>
      </c>
      <c r="CS28" s="87">
        <v>12.315270935960591</v>
      </c>
      <c r="CT28" s="87">
        <v>25.123152709359609</v>
      </c>
      <c r="CU28" s="87">
        <v>23.645320197044335</v>
      </c>
      <c r="CV28" s="87">
        <v>20.689655172413794</v>
      </c>
      <c r="CW28" s="87">
        <v>8.3743842364532011</v>
      </c>
      <c r="CX28" s="87">
        <v>5.4187192118226601</v>
      </c>
      <c r="CY28" s="87">
        <v>0.98522167487684731</v>
      </c>
      <c r="CZ28" s="87">
        <v>1.9704433497536946</v>
      </c>
      <c r="DA28" s="87">
        <v>0</v>
      </c>
      <c r="DB28" s="87">
        <v>1.4778325123152709</v>
      </c>
      <c r="DC28" s="42"/>
      <c r="DD28" s="110"/>
      <c r="DE28" s="46">
        <v>1</v>
      </c>
      <c r="DF28" s="87">
        <v>14.285714285714285</v>
      </c>
      <c r="DG28" s="87">
        <v>44.285714285714285</v>
      </c>
      <c r="DH28" s="87">
        <v>24.285714285714285</v>
      </c>
      <c r="DI28" s="87">
        <v>12.142857142857142</v>
      </c>
      <c r="DJ28" s="87">
        <v>2.8571428571428572</v>
      </c>
      <c r="DK28" s="87">
        <v>0.7142857142857143</v>
      </c>
      <c r="DL28" s="87">
        <v>0.7142857142857143</v>
      </c>
      <c r="DM28" s="87">
        <v>0</v>
      </c>
      <c r="DN28" s="87">
        <v>0.7142857142857143</v>
      </c>
      <c r="DO28" s="87">
        <v>0</v>
      </c>
    </row>
    <row r="29" spans="2:119" ht="14.25" customHeight="1" x14ac:dyDescent="0.45">
      <c r="B29" s="99"/>
      <c r="C29" s="42"/>
      <c r="D29" s="110"/>
      <c r="E29" s="47" t="s">
        <v>2</v>
      </c>
      <c r="F29" s="3">
        <v>5.9920230034319637</v>
      </c>
      <c r="G29" s="3">
        <v>20.499026064372508</v>
      </c>
      <c r="H29" s="3">
        <v>37.009553844726831</v>
      </c>
      <c r="I29" s="3">
        <v>27.52063815972544</v>
      </c>
      <c r="J29" s="3">
        <v>5.7508579909099344</v>
      </c>
      <c r="K29" s="3">
        <v>2.1704851126982656</v>
      </c>
      <c r="L29" s="3">
        <v>0.8440775438271032</v>
      </c>
      <c r="M29" s="3">
        <v>0.1298580836657082</v>
      </c>
      <c r="N29" s="3">
        <v>6.4929041832854098E-2</v>
      </c>
      <c r="O29" s="3">
        <v>1.8551154809386884E-2</v>
      </c>
      <c r="P29" s="42"/>
      <c r="Q29" s="110"/>
      <c r="R29" s="46" t="s">
        <v>2</v>
      </c>
      <c r="S29" s="3">
        <v>3.5851472471190782</v>
      </c>
      <c r="T29" s="3">
        <v>16.175842936406319</v>
      </c>
      <c r="U29" s="3">
        <v>37.537345283824159</v>
      </c>
      <c r="V29" s="3">
        <v>31.860862142552282</v>
      </c>
      <c r="W29" s="3">
        <v>6.7008109261630393</v>
      </c>
      <c r="X29" s="3">
        <v>2.774221084080239</v>
      </c>
      <c r="Y29" s="3">
        <v>1.1096884336320956</v>
      </c>
      <c r="Z29" s="3">
        <v>0.12804097311139565</v>
      </c>
      <c r="AA29" s="3">
        <v>0.10670081092616304</v>
      </c>
      <c r="AB29" s="3">
        <v>2.134016218523261E-2</v>
      </c>
      <c r="AC29" s="42"/>
      <c r="AD29" s="110"/>
      <c r="AE29" s="46" t="s">
        <v>2</v>
      </c>
      <c r="AF29" s="3">
        <v>7.8424938474159145</v>
      </c>
      <c r="AG29" s="3">
        <v>23.822805578342905</v>
      </c>
      <c r="AH29" s="3">
        <v>36.60377358490566</v>
      </c>
      <c r="AI29" s="3">
        <v>24.183757178014766</v>
      </c>
      <c r="AJ29" s="3">
        <v>5.0205086136177197</v>
      </c>
      <c r="AK29" s="3">
        <v>1.7063166529942577</v>
      </c>
      <c r="AL29" s="3">
        <v>0.63986874487284662</v>
      </c>
      <c r="AM29" s="3">
        <v>0.13125512715340443</v>
      </c>
      <c r="AN29" s="3">
        <v>3.2813781788351107E-2</v>
      </c>
      <c r="AO29" s="3">
        <v>1.6406890894175553E-2</v>
      </c>
      <c r="AP29" s="6"/>
      <c r="AQ29" s="110"/>
      <c r="AR29" s="46" t="s">
        <v>2</v>
      </c>
      <c r="AS29" s="87">
        <v>7.6574945691527878</v>
      </c>
      <c r="AT29" s="87">
        <v>24.330195510499639</v>
      </c>
      <c r="AU29" s="87">
        <v>36.712527154236064</v>
      </c>
      <c r="AV29" s="87">
        <v>24.873280231716148</v>
      </c>
      <c r="AW29" s="87">
        <v>4.2903692976104271</v>
      </c>
      <c r="AX29" s="87">
        <v>1.4663287472845763</v>
      </c>
      <c r="AY29" s="87">
        <v>0.50687907313540914</v>
      </c>
      <c r="AZ29" s="87">
        <v>9.0514120202751625E-2</v>
      </c>
      <c r="BA29" s="87">
        <v>5.4308472121650977E-2</v>
      </c>
      <c r="BB29" s="87">
        <v>1.8102824040550324E-2</v>
      </c>
      <c r="BC29" s="42"/>
      <c r="BD29" s="110"/>
      <c r="BE29" s="46" t="s">
        <v>2</v>
      </c>
      <c r="BF29" s="87">
        <v>4.2419630968232838</v>
      </c>
      <c r="BG29" s="87">
        <v>16.47327373026441</v>
      </c>
      <c r="BH29" s="87">
        <v>37.321666349629069</v>
      </c>
      <c r="BI29" s="87">
        <v>30.302453871029105</v>
      </c>
      <c r="BJ29" s="87">
        <v>7.2855240631538907</v>
      </c>
      <c r="BK29" s="87">
        <v>2.9104051740536425</v>
      </c>
      <c r="BL29" s="87">
        <v>1.1984021304926764</v>
      </c>
      <c r="BM29" s="87">
        <v>0.17120030435609665</v>
      </c>
      <c r="BN29" s="87">
        <v>7.608902415826517E-2</v>
      </c>
      <c r="BO29" s="87">
        <v>1.9022256039566292E-2</v>
      </c>
      <c r="BQ29" s="110"/>
      <c r="BR29" s="46" t="s">
        <v>2</v>
      </c>
      <c r="BS29" s="87">
        <v>6.6270627062706273</v>
      </c>
      <c r="BT29" s="87">
        <v>23.432343234323433</v>
      </c>
      <c r="BU29" s="87">
        <v>39.14191419141914</v>
      </c>
      <c r="BV29" s="87">
        <v>24.712871287128714</v>
      </c>
      <c r="BW29" s="87">
        <v>4.2640264026402637</v>
      </c>
      <c r="BX29" s="87">
        <v>1.2805280528052805</v>
      </c>
      <c r="BY29" s="87">
        <v>0.40924092409240925</v>
      </c>
      <c r="BZ29" s="87">
        <v>7.9207920792079209E-2</v>
      </c>
      <c r="CA29" s="87">
        <v>3.9603960396039604E-2</v>
      </c>
      <c r="CB29" s="87">
        <v>1.32013201320132E-2</v>
      </c>
      <c r="CC29" s="42"/>
      <c r="CD29" s="110"/>
      <c r="CE29" s="46" t="s">
        <v>2</v>
      </c>
      <c r="CF29" s="87">
        <v>4.4915782907049282</v>
      </c>
      <c r="CG29" s="87">
        <v>13.568309419837805</v>
      </c>
      <c r="CH29" s="87">
        <v>31.971303805364943</v>
      </c>
      <c r="CI29" s="87">
        <v>34.154709918902057</v>
      </c>
      <c r="CJ29" s="87">
        <v>9.263880224578914</v>
      </c>
      <c r="CK29" s="87">
        <v>4.2732376793512161</v>
      </c>
      <c r="CL29" s="87">
        <v>1.8714909544603868</v>
      </c>
      <c r="CM29" s="87">
        <v>0.24953212726138491</v>
      </c>
      <c r="CN29" s="87">
        <v>0.12476606363069245</v>
      </c>
      <c r="CO29" s="87">
        <v>3.1191515907673113E-2</v>
      </c>
      <c r="CQ29" s="110"/>
      <c r="CR29" s="46" t="s">
        <v>2</v>
      </c>
      <c r="CS29" s="87">
        <v>5.0316561146284569</v>
      </c>
      <c r="CT29" s="87">
        <v>14.828390536487838</v>
      </c>
      <c r="CU29" s="87">
        <v>30.889703432189268</v>
      </c>
      <c r="CV29" s="87">
        <v>32.789070309896701</v>
      </c>
      <c r="CW29" s="87">
        <v>9.6301232922359219</v>
      </c>
      <c r="CX29" s="87">
        <v>4.2652449183605468</v>
      </c>
      <c r="CY29" s="87">
        <v>2.1326224591802734</v>
      </c>
      <c r="CZ29" s="87">
        <v>0.26657780739753417</v>
      </c>
      <c r="DA29" s="87">
        <v>0.13328890369876709</v>
      </c>
      <c r="DB29" s="87">
        <v>3.3322225924691772E-2</v>
      </c>
      <c r="DC29" s="42"/>
      <c r="DD29" s="110"/>
      <c r="DE29" s="46" t="s">
        <v>2</v>
      </c>
      <c r="DF29" s="87">
        <v>6.3624678663239083</v>
      </c>
      <c r="DG29" s="87">
        <v>22.686375321336762</v>
      </c>
      <c r="DH29" s="87">
        <v>39.37017994858612</v>
      </c>
      <c r="DI29" s="87">
        <v>25.488431876606683</v>
      </c>
      <c r="DJ29" s="87">
        <v>4.2544987146529563</v>
      </c>
      <c r="DK29" s="87">
        <v>1.3624678663239074</v>
      </c>
      <c r="DL29" s="87">
        <v>0.34704370179948585</v>
      </c>
      <c r="DM29" s="87">
        <v>7.7120822622107968E-2</v>
      </c>
      <c r="DN29" s="87">
        <v>3.8560411311053984E-2</v>
      </c>
      <c r="DO29" s="87">
        <v>1.2853470437017993E-2</v>
      </c>
    </row>
    <row r="30" spans="2:119" ht="14.25" customHeight="1" x14ac:dyDescent="0.45">
      <c r="B30" s="99"/>
      <c r="C30" s="42"/>
      <c r="D30" s="110"/>
      <c r="E30" s="47" t="s">
        <v>3</v>
      </c>
      <c r="F30" s="3">
        <v>3.7735849056603774</v>
      </c>
      <c r="G30" s="3">
        <v>13.180784156295999</v>
      </c>
      <c r="H30" s="3">
        <v>32.088853204870873</v>
      </c>
      <c r="I30" s="3">
        <v>37.521744948481199</v>
      </c>
      <c r="J30" s="3">
        <v>9.3938177438779604</v>
      </c>
      <c r="K30" s="3">
        <v>3.238324635353941</v>
      </c>
      <c r="L30" s="3">
        <v>0.66907533788304563</v>
      </c>
      <c r="M30" s="3">
        <v>0.1070520540612873</v>
      </c>
      <c r="N30" s="3">
        <v>2.6763013515321826E-2</v>
      </c>
      <c r="O30" s="3">
        <v>0</v>
      </c>
      <c r="P30" s="42"/>
      <c r="Q30" s="110"/>
      <c r="R30" s="46" t="s">
        <v>3</v>
      </c>
      <c r="S30" s="3">
        <v>1.749703440094899</v>
      </c>
      <c r="T30" s="3">
        <v>8.0960854092526695</v>
      </c>
      <c r="U30" s="3">
        <v>28.855278766310793</v>
      </c>
      <c r="V30" s="3">
        <v>44.33570581257414</v>
      </c>
      <c r="W30" s="3">
        <v>12.040332147093713</v>
      </c>
      <c r="X30" s="3">
        <v>4.0332147093712933</v>
      </c>
      <c r="Y30" s="3">
        <v>0.71174377224199281</v>
      </c>
      <c r="Z30" s="3">
        <v>0.11862396204033215</v>
      </c>
      <c r="AA30" s="3">
        <v>5.9311981020166077E-2</v>
      </c>
      <c r="AB30" s="3">
        <v>0</v>
      </c>
      <c r="AC30" s="42"/>
      <c r="AD30" s="110"/>
      <c r="AE30" s="46" t="s">
        <v>3</v>
      </c>
      <c r="AF30" s="3">
        <v>5.4376981224091692</v>
      </c>
      <c r="AG30" s="3">
        <v>17.361619117288466</v>
      </c>
      <c r="AH30" s="3">
        <v>34.747622531089981</v>
      </c>
      <c r="AI30" s="3">
        <v>31.919044135576691</v>
      </c>
      <c r="AJ30" s="3">
        <v>7.2177517678614969</v>
      </c>
      <c r="AK30" s="3">
        <v>2.5847354303828332</v>
      </c>
      <c r="AL30" s="3">
        <v>0.63399170933918558</v>
      </c>
      <c r="AM30" s="3">
        <v>9.7537186052182395E-2</v>
      </c>
      <c r="AN30" s="3">
        <v>0</v>
      </c>
      <c r="AO30" s="3">
        <v>0</v>
      </c>
      <c r="AP30" s="6"/>
      <c r="AQ30" s="110"/>
      <c r="AR30" s="46" t="s">
        <v>3</v>
      </c>
      <c r="AS30" s="87">
        <v>5.2270779777206506</v>
      </c>
      <c r="AT30" s="87">
        <v>16.309625821193944</v>
      </c>
      <c r="AU30" s="87">
        <v>34.618680377035133</v>
      </c>
      <c r="AV30" s="87">
        <v>33.761782347900599</v>
      </c>
      <c r="AW30" s="87">
        <v>7.1979434447300772</v>
      </c>
      <c r="AX30" s="87">
        <v>2.3707512139388749</v>
      </c>
      <c r="AY30" s="87">
        <v>0.39988574692944878</v>
      </c>
      <c r="AZ30" s="87">
        <v>0.11425307055127107</v>
      </c>
      <c r="BA30" s="87">
        <v>0</v>
      </c>
      <c r="BB30" s="87">
        <v>0</v>
      </c>
      <c r="BC30" s="42"/>
      <c r="BD30" s="110"/>
      <c r="BE30" s="46" t="s">
        <v>3</v>
      </c>
      <c r="BF30" s="87">
        <v>2.4924471299093658</v>
      </c>
      <c r="BG30" s="87">
        <v>10.42296072507553</v>
      </c>
      <c r="BH30" s="87">
        <v>29.85901309164149</v>
      </c>
      <c r="BI30" s="87">
        <v>40.835850956696881</v>
      </c>
      <c r="BJ30" s="87">
        <v>11.329305135951662</v>
      </c>
      <c r="BK30" s="87">
        <v>4.0030211480362539</v>
      </c>
      <c r="BL30" s="87">
        <v>0.90634441087613304</v>
      </c>
      <c r="BM30" s="87">
        <v>0.10070493454179255</v>
      </c>
      <c r="BN30" s="87">
        <v>5.0352467270896276E-2</v>
      </c>
      <c r="BO30" s="87">
        <v>0</v>
      </c>
      <c r="BQ30" s="110"/>
      <c r="BR30" s="46" t="s">
        <v>3</v>
      </c>
      <c r="BS30" s="87">
        <v>4.0826014716354146</v>
      </c>
      <c r="BT30" s="87">
        <v>15.594588179444576</v>
      </c>
      <c r="BU30" s="87">
        <v>35.105625445051032</v>
      </c>
      <c r="BV30" s="87">
        <v>33.918822691668645</v>
      </c>
      <c r="BW30" s="87">
        <v>8.093994778067886</v>
      </c>
      <c r="BX30" s="87">
        <v>2.5872300023736057</v>
      </c>
      <c r="BY30" s="87">
        <v>0.56966532162354611</v>
      </c>
      <c r="BZ30" s="87">
        <v>2.3736055067647758E-2</v>
      </c>
      <c r="CA30" s="87">
        <v>2.3736055067647758E-2</v>
      </c>
      <c r="CB30" s="87">
        <v>0</v>
      </c>
      <c r="CC30" s="42"/>
      <c r="CD30" s="110"/>
      <c r="CE30" s="46" t="s">
        <v>3</v>
      </c>
      <c r="CF30" s="87">
        <v>3.3742331288343559</v>
      </c>
      <c r="CG30" s="87">
        <v>10.061349693251534</v>
      </c>
      <c r="CH30" s="87">
        <v>28.190184049079754</v>
      </c>
      <c r="CI30" s="87">
        <v>42.177914110429448</v>
      </c>
      <c r="CJ30" s="87">
        <v>11.07361963190184</v>
      </c>
      <c r="CK30" s="87">
        <v>4.0797546012269938</v>
      </c>
      <c r="CL30" s="87">
        <v>0.79754601226993871</v>
      </c>
      <c r="CM30" s="87">
        <v>0.21472392638036811</v>
      </c>
      <c r="CN30" s="87">
        <v>3.0674846625766874E-2</v>
      </c>
      <c r="CO30" s="87">
        <v>0</v>
      </c>
      <c r="CQ30" s="110"/>
      <c r="CR30" s="46" t="s">
        <v>3</v>
      </c>
      <c r="CS30" s="87">
        <v>2.2264631043256999</v>
      </c>
      <c r="CT30" s="87">
        <v>8.9058524173027998</v>
      </c>
      <c r="CU30" s="87">
        <v>24.809160305343511</v>
      </c>
      <c r="CV30" s="87">
        <v>42.302798982188293</v>
      </c>
      <c r="CW30" s="87">
        <v>13.867684478371501</v>
      </c>
      <c r="CX30" s="87">
        <v>6.3613231552162848</v>
      </c>
      <c r="CY30" s="87">
        <v>1.2086513994910941</v>
      </c>
      <c r="CZ30" s="87">
        <v>0.2544529262086514</v>
      </c>
      <c r="DA30" s="87">
        <v>6.3613231552162849E-2</v>
      </c>
      <c r="DB30" s="87">
        <v>0</v>
      </c>
      <c r="DC30" s="42"/>
      <c r="DD30" s="110"/>
      <c r="DE30" s="46" t="s">
        <v>3</v>
      </c>
      <c r="DF30" s="87">
        <v>4.185731231994577</v>
      </c>
      <c r="DG30" s="87">
        <v>14.319606846297237</v>
      </c>
      <c r="DH30" s="87">
        <v>34.028130825283846</v>
      </c>
      <c r="DI30" s="87">
        <v>36.248093543467206</v>
      </c>
      <c r="DJ30" s="87">
        <v>8.2019996610743942</v>
      </c>
      <c r="DK30" s="87">
        <v>2.4063718013895947</v>
      </c>
      <c r="DL30" s="87">
        <v>0.52533468903575664</v>
      </c>
      <c r="DM30" s="87">
        <v>6.7785121165904086E-2</v>
      </c>
      <c r="DN30" s="87">
        <v>1.6946280291476021E-2</v>
      </c>
      <c r="DO30" s="87">
        <v>0</v>
      </c>
    </row>
    <row r="31" spans="2:119" ht="14.25" customHeight="1" x14ac:dyDescent="0.45">
      <c r="B31" s="99"/>
      <c r="C31" s="42"/>
      <c r="D31" s="110"/>
      <c r="E31" s="47" t="s">
        <v>4</v>
      </c>
      <c r="F31" s="3">
        <v>3.0467805972725701</v>
      </c>
      <c r="G31" s="3">
        <v>9.2266528568962549</v>
      </c>
      <c r="H31" s="3">
        <v>26.946314517521149</v>
      </c>
      <c r="I31" s="3">
        <v>40.989124805800103</v>
      </c>
      <c r="J31" s="3">
        <v>13.153806317969963</v>
      </c>
      <c r="K31" s="3">
        <v>5.1614016916968755</v>
      </c>
      <c r="L31" s="3">
        <v>1.1738304850681858</v>
      </c>
      <c r="M31" s="3">
        <v>0.2675643017434835</v>
      </c>
      <c r="N31" s="3">
        <v>2.589331952356292E-2</v>
      </c>
      <c r="O31" s="3">
        <v>8.6311065078543067E-3</v>
      </c>
      <c r="P31" s="42"/>
      <c r="Q31" s="110"/>
      <c r="R31" s="46" t="s">
        <v>4</v>
      </c>
      <c r="S31" s="3">
        <v>1.1651562788977252</v>
      </c>
      <c r="T31" s="3">
        <v>5.1969668947660441</v>
      </c>
      <c r="U31" s="3">
        <v>20.991307564268542</v>
      </c>
      <c r="V31" s="3">
        <v>45.977436656186427</v>
      </c>
      <c r="W31" s="3">
        <v>17.12594784538561</v>
      </c>
      <c r="X31" s="3">
        <v>7.3793230996855934</v>
      </c>
      <c r="Y31" s="3">
        <v>1.7199926021823562</v>
      </c>
      <c r="Z31" s="3">
        <v>0.40687997040872942</v>
      </c>
      <c r="AA31" s="3">
        <v>3.6989088218975404E-2</v>
      </c>
      <c r="AB31" s="3">
        <v>0</v>
      </c>
      <c r="AC31" s="42"/>
      <c r="AD31" s="110"/>
      <c r="AE31" s="46" t="s">
        <v>4</v>
      </c>
      <c r="AF31" s="3">
        <v>4.69331607056158</v>
      </c>
      <c r="AG31" s="3">
        <v>12.752872633112153</v>
      </c>
      <c r="AH31" s="3">
        <v>32.157307007606406</v>
      </c>
      <c r="AI31" s="3">
        <v>36.624049198899499</v>
      </c>
      <c r="AJ31" s="3">
        <v>9.6779414144683606</v>
      </c>
      <c r="AK31" s="3">
        <v>3.2205858553163944</v>
      </c>
      <c r="AL31" s="3">
        <v>0.69590548632464799</v>
      </c>
      <c r="AM31" s="3">
        <v>0.14565463667260073</v>
      </c>
      <c r="AN31" s="3">
        <v>1.6183848519177861E-2</v>
      </c>
      <c r="AO31" s="3">
        <v>1.6183848519177861E-2</v>
      </c>
      <c r="AP31" s="6"/>
      <c r="AQ31" s="110"/>
      <c r="AR31" s="46" t="s">
        <v>4</v>
      </c>
      <c r="AS31" s="87">
        <v>4.5750382848392039</v>
      </c>
      <c r="AT31" s="87">
        <v>11.236600306278714</v>
      </c>
      <c r="AU31" s="87">
        <v>29.843032159264933</v>
      </c>
      <c r="AV31" s="87">
        <v>39.031393568147017</v>
      </c>
      <c r="AW31" s="87">
        <v>10.222052067381316</v>
      </c>
      <c r="AX31" s="87">
        <v>4.0007656967840735</v>
      </c>
      <c r="AY31" s="87">
        <v>0.86140888208269517</v>
      </c>
      <c r="AZ31" s="87">
        <v>0.21056661562021439</v>
      </c>
      <c r="BA31" s="87">
        <v>1.9142419601837674E-2</v>
      </c>
      <c r="BB31" s="87">
        <v>0</v>
      </c>
      <c r="BC31" s="42"/>
      <c r="BD31" s="110"/>
      <c r="BE31" s="46" t="s">
        <v>4</v>
      </c>
      <c r="BF31" s="87">
        <v>1.7918893429739076</v>
      </c>
      <c r="BG31" s="87">
        <v>7.5762338887142411</v>
      </c>
      <c r="BH31" s="87">
        <v>24.56774599182647</v>
      </c>
      <c r="BI31" s="87">
        <v>42.596667714555167</v>
      </c>
      <c r="BJ31" s="87">
        <v>15.561144294247093</v>
      </c>
      <c r="BK31" s="87">
        <v>6.1144294247092112</v>
      </c>
      <c r="BL31" s="87">
        <v>1.4303678088651368</v>
      </c>
      <c r="BM31" s="87">
        <v>0.31436655139893116</v>
      </c>
      <c r="BN31" s="87">
        <v>3.1436655139893112E-2</v>
      </c>
      <c r="BO31" s="87">
        <v>1.5718327569946556E-2</v>
      </c>
      <c r="BQ31" s="110"/>
      <c r="BR31" s="46" t="s">
        <v>4</v>
      </c>
      <c r="BS31" s="87">
        <v>4.0733590733590734</v>
      </c>
      <c r="BT31" s="87">
        <v>12.258687258687258</v>
      </c>
      <c r="BU31" s="87">
        <v>31.698841698841701</v>
      </c>
      <c r="BV31" s="87">
        <v>36.660231660231659</v>
      </c>
      <c r="BW31" s="87">
        <v>10.849420849420849</v>
      </c>
      <c r="BX31" s="87">
        <v>3.7258687258687258</v>
      </c>
      <c r="BY31" s="87">
        <v>0.69498069498069492</v>
      </c>
      <c r="BZ31" s="87">
        <v>3.8610038610038609E-2</v>
      </c>
      <c r="CA31" s="87">
        <v>0</v>
      </c>
      <c r="CB31" s="87">
        <v>0</v>
      </c>
      <c r="CC31" s="42"/>
      <c r="CD31" s="110"/>
      <c r="CE31" s="46" t="s">
        <v>4</v>
      </c>
      <c r="CF31" s="87">
        <v>2.2166718701217611</v>
      </c>
      <c r="CG31" s="87">
        <v>6.774898532625663</v>
      </c>
      <c r="CH31" s="87">
        <v>23.103340618170463</v>
      </c>
      <c r="CI31" s="87">
        <v>44.489541055260695</v>
      </c>
      <c r="CJ31" s="87">
        <v>15.017171401810803</v>
      </c>
      <c r="CK31" s="87">
        <v>6.3221979394317822</v>
      </c>
      <c r="CL31" s="87">
        <v>1.5610365282547611</v>
      </c>
      <c r="CM31" s="87">
        <v>0.45270059319388073</v>
      </c>
      <c r="CN31" s="87">
        <v>4.6831095847642834E-2</v>
      </c>
      <c r="CO31" s="87">
        <v>1.5610365282547613E-2</v>
      </c>
      <c r="CQ31" s="110"/>
      <c r="CR31" s="46" t="s">
        <v>4</v>
      </c>
      <c r="CS31" s="87">
        <v>1.6213847502191059</v>
      </c>
      <c r="CT31" s="87">
        <v>5.30236634531113</v>
      </c>
      <c r="CU31" s="87">
        <v>19.325153374233128</v>
      </c>
      <c r="CV31" s="87">
        <v>42.638036809815951</v>
      </c>
      <c r="CW31" s="87">
        <v>18.054338299737072</v>
      </c>
      <c r="CX31" s="87">
        <v>9.2462751971954429</v>
      </c>
      <c r="CY31" s="87">
        <v>2.8483786152497812</v>
      </c>
      <c r="CZ31" s="87">
        <v>0.83260297984224363</v>
      </c>
      <c r="DA31" s="87">
        <v>0.13146362839614373</v>
      </c>
      <c r="DB31" s="87">
        <v>0</v>
      </c>
      <c r="DC31" s="42"/>
      <c r="DD31" s="110"/>
      <c r="DE31" s="46" t="s">
        <v>4</v>
      </c>
      <c r="DF31" s="87">
        <v>3.3963886500429927</v>
      </c>
      <c r="DG31" s="87">
        <v>10.189165950128977</v>
      </c>
      <c r="DH31" s="87">
        <v>28.81556319862425</v>
      </c>
      <c r="DI31" s="87">
        <v>40.58469475494411</v>
      </c>
      <c r="DJ31" s="87">
        <v>11.951848667239897</v>
      </c>
      <c r="DK31" s="87">
        <v>4.1595012897678423</v>
      </c>
      <c r="DL31" s="87">
        <v>0.76311263972484955</v>
      </c>
      <c r="DM31" s="87">
        <v>0.12897678417884781</v>
      </c>
      <c r="DN31" s="87">
        <v>0</v>
      </c>
      <c r="DO31" s="87">
        <v>1.0748065348237317E-2</v>
      </c>
    </row>
    <row r="32" spans="2:119" ht="14.25" customHeight="1" x14ac:dyDescent="0.45">
      <c r="B32" s="99"/>
      <c r="C32" s="42"/>
      <c r="D32" s="110"/>
      <c r="E32" s="47" t="s">
        <v>5</v>
      </c>
      <c r="F32" s="3">
        <v>1.9345166126614113</v>
      </c>
      <c r="G32" s="3">
        <v>6.2871789911495863</v>
      </c>
      <c r="H32" s="3">
        <v>19.393529041930648</v>
      </c>
      <c r="I32" s="3">
        <v>42.351404942689946</v>
      </c>
      <c r="J32" s="3">
        <v>18.745465976689076</v>
      </c>
      <c r="K32" s="3">
        <v>8.1733326884944635</v>
      </c>
      <c r="L32" s="3">
        <v>2.4665086811432992</v>
      </c>
      <c r="M32" s="3">
        <v>0.48362915316535282</v>
      </c>
      <c r="N32" s="3">
        <v>0.14508874594960586</v>
      </c>
      <c r="O32" s="3">
        <v>1.9345166126614112E-2</v>
      </c>
      <c r="P32" s="42"/>
      <c r="Q32" s="110"/>
      <c r="R32" s="46" t="s">
        <v>5</v>
      </c>
      <c r="S32" s="3">
        <v>0.67330210772833721</v>
      </c>
      <c r="T32" s="3">
        <v>3.3079625292740049</v>
      </c>
      <c r="U32" s="3">
        <v>13.797814207650273</v>
      </c>
      <c r="V32" s="3">
        <v>43.266978922716625</v>
      </c>
      <c r="W32" s="3">
        <v>23.419203747072601</v>
      </c>
      <c r="X32" s="3">
        <v>11.143637782982045</v>
      </c>
      <c r="Y32" s="3">
        <v>3.5128805620608898</v>
      </c>
      <c r="Z32" s="3">
        <v>0.62451209992193601</v>
      </c>
      <c r="AA32" s="3">
        <v>0.21467603434816551</v>
      </c>
      <c r="AB32" s="3">
        <v>3.9032006245121001E-2</v>
      </c>
      <c r="AC32" s="42"/>
      <c r="AD32" s="110"/>
      <c r="AE32" s="46" t="s">
        <v>5</v>
      </c>
      <c r="AF32" s="3">
        <v>3.1738421708696904</v>
      </c>
      <c r="AG32" s="3">
        <v>9.2146898072681953</v>
      </c>
      <c r="AH32" s="3">
        <v>24.892127720778596</v>
      </c>
      <c r="AI32" s="3">
        <v>41.451721162144025</v>
      </c>
      <c r="AJ32" s="3">
        <v>14.152843033847923</v>
      </c>
      <c r="AK32" s="3">
        <v>5.2545785789625086</v>
      </c>
      <c r="AL32" s="3">
        <v>1.4382970562853581</v>
      </c>
      <c r="AM32" s="3">
        <v>0.34519129350848593</v>
      </c>
      <c r="AN32" s="3">
        <v>7.6709176335219106E-2</v>
      </c>
      <c r="AO32" s="3">
        <v>0</v>
      </c>
      <c r="AP32" s="6"/>
      <c r="AQ32" s="110"/>
      <c r="AR32" s="46" t="s">
        <v>5</v>
      </c>
      <c r="AS32" s="87">
        <v>2.8650535692789214</v>
      </c>
      <c r="AT32" s="87">
        <v>8.9081497532201759</v>
      </c>
      <c r="AU32" s="87">
        <v>24.088118454315637</v>
      </c>
      <c r="AV32" s="87">
        <v>40.796918261706992</v>
      </c>
      <c r="AW32" s="87">
        <v>15.095702419646081</v>
      </c>
      <c r="AX32" s="87">
        <v>6.2116287468400149</v>
      </c>
      <c r="AY32" s="87">
        <v>1.5890213073311665</v>
      </c>
      <c r="AZ32" s="87">
        <v>0.34910316600457447</v>
      </c>
      <c r="BA32" s="87">
        <v>8.4266281449380045E-2</v>
      </c>
      <c r="BB32" s="87">
        <v>1.2038040207054292E-2</v>
      </c>
      <c r="BC32" s="42"/>
      <c r="BD32" s="110"/>
      <c r="BE32" s="46" t="s">
        <v>5</v>
      </c>
      <c r="BF32" s="87">
        <v>1.3096200485044462</v>
      </c>
      <c r="BG32" s="87">
        <v>4.5270816491511718</v>
      </c>
      <c r="BH32" s="87">
        <v>16.240905416329827</v>
      </c>
      <c r="BI32" s="87">
        <v>43.395311236863378</v>
      </c>
      <c r="BJ32" s="87">
        <v>21.196443007275668</v>
      </c>
      <c r="BK32" s="87">
        <v>9.4907033144704922</v>
      </c>
      <c r="BL32" s="87">
        <v>3.0557801131770415</v>
      </c>
      <c r="BM32" s="87">
        <v>0.57396928051738072</v>
      </c>
      <c r="BN32" s="87">
        <v>0.18593371059013741</v>
      </c>
      <c r="BO32" s="87">
        <v>2.4252223120452707E-2</v>
      </c>
      <c r="BQ32" s="110"/>
      <c r="BR32" s="46" t="s">
        <v>5</v>
      </c>
      <c r="BS32" s="87">
        <v>3.0587522713506963</v>
      </c>
      <c r="BT32" s="87">
        <v>9.5396729254996959</v>
      </c>
      <c r="BU32" s="87">
        <v>26.377952755905511</v>
      </c>
      <c r="BV32" s="87">
        <v>40.202907328891577</v>
      </c>
      <c r="BW32" s="87">
        <v>13.461538461538462</v>
      </c>
      <c r="BX32" s="87">
        <v>5.2846759539672927</v>
      </c>
      <c r="BY32" s="87">
        <v>1.62023016353725</v>
      </c>
      <c r="BZ32" s="87">
        <v>0.30284675953967294</v>
      </c>
      <c r="CA32" s="87">
        <v>0.13628104179285283</v>
      </c>
      <c r="CB32" s="87">
        <v>1.5142337976983646E-2</v>
      </c>
      <c r="CC32" s="42"/>
      <c r="CD32" s="110"/>
      <c r="CE32" s="46" t="s">
        <v>5</v>
      </c>
      <c r="CF32" s="87">
        <v>1.4069494777232998</v>
      </c>
      <c r="CG32" s="87">
        <v>4.760889646841469</v>
      </c>
      <c r="CH32" s="87">
        <v>16.115966744830526</v>
      </c>
      <c r="CI32" s="87">
        <v>43.359624813472607</v>
      </c>
      <c r="CJ32" s="87">
        <v>21.225040858381298</v>
      </c>
      <c r="CK32" s="87">
        <v>9.5288850991259864</v>
      </c>
      <c r="CL32" s="87">
        <v>2.8636395935479286</v>
      </c>
      <c r="CM32" s="87">
        <v>0.56846443544375758</v>
      </c>
      <c r="CN32" s="87">
        <v>0.14922191430398635</v>
      </c>
      <c r="CO32" s="87">
        <v>2.1317416329140908E-2</v>
      </c>
      <c r="CQ32" s="110"/>
      <c r="CR32" s="46" t="s">
        <v>5</v>
      </c>
      <c r="CS32" s="87">
        <v>1.0241820768136558</v>
      </c>
      <c r="CT32" s="87">
        <v>2.9871977240398291</v>
      </c>
      <c r="CU32" s="87">
        <v>12.375533428165006</v>
      </c>
      <c r="CV32" s="87">
        <v>41.621621621621621</v>
      </c>
      <c r="CW32" s="87">
        <v>23.698435277382647</v>
      </c>
      <c r="CX32" s="87">
        <v>12.261735419630156</v>
      </c>
      <c r="CY32" s="87">
        <v>4.6372688477951636</v>
      </c>
      <c r="CZ32" s="87">
        <v>1.0810810810810811</v>
      </c>
      <c r="DA32" s="87">
        <v>0.25604551920341395</v>
      </c>
      <c r="DB32" s="87">
        <v>5.6899004267425328E-2</v>
      </c>
      <c r="DC32" s="42"/>
      <c r="DD32" s="110"/>
      <c r="DE32" s="46" t="s">
        <v>5</v>
      </c>
      <c r="DF32" s="87">
        <v>2.1209649225032048</v>
      </c>
      <c r="DG32" s="87">
        <v>6.9630579186574986</v>
      </c>
      <c r="DH32" s="87">
        <v>20.830905488870759</v>
      </c>
      <c r="DI32" s="87">
        <v>42.500874024006521</v>
      </c>
      <c r="DJ32" s="87">
        <v>17.731033679058385</v>
      </c>
      <c r="DK32" s="87">
        <v>7.3359748281086112</v>
      </c>
      <c r="DL32" s="87">
        <v>2.0219088684302529</v>
      </c>
      <c r="DM32" s="87">
        <v>0.36126325603076564</v>
      </c>
      <c r="DN32" s="87">
        <v>0.12236336091364644</v>
      </c>
      <c r="DO32" s="87">
        <v>1.1653653420347279E-2</v>
      </c>
    </row>
    <row r="33" spans="2:119" ht="14.25" customHeight="1" x14ac:dyDescent="0.45">
      <c r="B33" s="99"/>
      <c r="C33" s="42"/>
      <c r="D33" s="110"/>
      <c r="E33" s="47" t="s">
        <v>6</v>
      </c>
      <c r="F33" s="3">
        <v>1.4771014492753622</v>
      </c>
      <c r="G33" s="3">
        <v>4.0301449275362318</v>
      </c>
      <c r="H33" s="3">
        <v>13.143188405797101</v>
      </c>
      <c r="I33" s="3">
        <v>38.532173913043479</v>
      </c>
      <c r="J33" s="3">
        <v>23.202318840579711</v>
      </c>
      <c r="K33" s="3">
        <v>13.811014492753623</v>
      </c>
      <c r="L33" s="3">
        <v>4.6631884057971016</v>
      </c>
      <c r="M33" s="3">
        <v>0.8626086956521738</v>
      </c>
      <c r="N33" s="3">
        <v>0.21797101449275361</v>
      </c>
      <c r="O33" s="3">
        <v>6.0289855072463767E-2</v>
      </c>
      <c r="P33" s="42"/>
      <c r="Q33" s="110"/>
      <c r="R33" s="46" t="s">
        <v>6</v>
      </c>
      <c r="S33" s="3">
        <v>0.52102716784518055</v>
      </c>
      <c r="T33" s="3">
        <v>1.8980275400074433</v>
      </c>
      <c r="U33" s="3">
        <v>8.1270934127279499</v>
      </c>
      <c r="V33" s="3">
        <v>35.471715668031258</v>
      </c>
      <c r="W33" s="3">
        <v>27.270189802754004</v>
      </c>
      <c r="X33" s="3">
        <v>18.361555638258281</v>
      </c>
      <c r="Y33" s="3">
        <v>6.6617045031633797</v>
      </c>
      <c r="Z33" s="3">
        <v>1.2932638630442872</v>
      </c>
      <c r="AA33" s="3">
        <v>0.30703386676590994</v>
      </c>
      <c r="AB33" s="3">
        <v>8.8388537402307413E-2</v>
      </c>
      <c r="AC33" s="42"/>
      <c r="AD33" s="110"/>
      <c r="AE33" s="46" t="s">
        <v>6</v>
      </c>
      <c r="AF33" s="3">
        <v>2.4272966850062416</v>
      </c>
      <c r="AG33" s="3">
        <v>6.1491516020158121</v>
      </c>
      <c r="AH33" s="3">
        <v>18.128438670303758</v>
      </c>
      <c r="AI33" s="3">
        <v>41.573812936335472</v>
      </c>
      <c r="AJ33" s="3">
        <v>19.159461833649267</v>
      </c>
      <c r="AK33" s="3">
        <v>9.2884553146238851</v>
      </c>
      <c r="AL33" s="3">
        <v>2.6769614868925982</v>
      </c>
      <c r="AM33" s="3">
        <v>0.43460169217254607</v>
      </c>
      <c r="AN33" s="3">
        <v>0.12945582320033289</v>
      </c>
      <c r="AO33" s="3">
        <v>3.2363955800083222E-2</v>
      </c>
      <c r="AP33" s="6"/>
      <c r="AQ33" s="110"/>
      <c r="AR33" s="46" t="s">
        <v>6</v>
      </c>
      <c r="AS33" s="87">
        <v>2.336301067121298</v>
      </c>
      <c r="AT33" s="87">
        <v>6.3458988444781204</v>
      </c>
      <c r="AU33" s="87">
        <v>17.629601565953148</v>
      </c>
      <c r="AV33" s="87">
        <v>39.458230725516195</v>
      </c>
      <c r="AW33" s="87">
        <v>19.504956746858625</v>
      </c>
      <c r="AX33" s="87">
        <v>10.544926438088021</v>
      </c>
      <c r="AY33" s="87">
        <v>3.2897644755951259</v>
      </c>
      <c r="AZ33" s="87">
        <v>0.6693186840942098</v>
      </c>
      <c r="BA33" s="87">
        <v>0.17048683462777042</v>
      </c>
      <c r="BB33" s="87">
        <v>5.0514617667487528E-2</v>
      </c>
      <c r="BC33" s="42"/>
      <c r="BD33" s="110"/>
      <c r="BE33" s="46" t="s">
        <v>6</v>
      </c>
      <c r="BF33" s="87">
        <v>0.97845206684256802</v>
      </c>
      <c r="BG33" s="87">
        <v>2.6861624157138673</v>
      </c>
      <c r="BH33" s="87">
        <v>10.539431251832307</v>
      </c>
      <c r="BI33" s="87">
        <v>37.994722955145114</v>
      </c>
      <c r="BJ33" s="87">
        <v>25.348138375842861</v>
      </c>
      <c r="BK33" s="87">
        <v>15.70653767223688</v>
      </c>
      <c r="BL33" s="87">
        <v>5.4602755790090889</v>
      </c>
      <c r="BM33" s="87">
        <v>0.97478745236001163</v>
      </c>
      <c r="BN33" s="87">
        <v>0.24552917033128116</v>
      </c>
      <c r="BO33" s="87">
        <v>6.5963060686015831E-2</v>
      </c>
      <c r="BQ33" s="110"/>
      <c r="BR33" s="46" t="s">
        <v>6</v>
      </c>
      <c r="BS33" s="87">
        <v>2.8411005053340821</v>
      </c>
      <c r="BT33" s="87">
        <v>8.0628860190903993</v>
      </c>
      <c r="BU33" s="87">
        <v>20.830993823694556</v>
      </c>
      <c r="BV33" s="87">
        <v>40.247052217855142</v>
      </c>
      <c r="BW33" s="87">
        <v>16.170690623245367</v>
      </c>
      <c r="BX33" s="87">
        <v>8.6355979786636734</v>
      </c>
      <c r="BY33" s="87">
        <v>2.4480628860190907</v>
      </c>
      <c r="BZ33" s="87">
        <v>0.55025266704098819</v>
      </c>
      <c r="CA33" s="87">
        <v>0.15721504772599665</v>
      </c>
      <c r="CB33" s="87">
        <v>5.6148231330713089E-2</v>
      </c>
      <c r="CC33" s="42"/>
      <c r="CD33" s="110"/>
      <c r="CE33" s="46" t="s">
        <v>6</v>
      </c>
      <c r="CF33" s="87">
        <v>1.1221507890122735</v>
      </c>
      <c r="CG33" s="87">
        <v>2.9807130333138514</v>
      </c>
      <c r="CH33" s="87">
        <v>11.14260666277031</v>
      </c>
      <c r="CI33" s="87">
        <v>38.085914669783755</v>
      </c>
      <c r="CJ33" s="87">
        <v>25.032144944476915</v>
      </c>
      <c r="CK33" s="87">
        <v>15.157802454704852</v>
      </c>
      <c r="CL33" s="87">
        <v>5.2396259497369959</v>
      </c>
      <c r="CM33" s="87">
        <v>0.94389246054938625</v>
      </c>
      <c r="CN33" s="87">
        <v>0.23378141437755698</v>
      </c>
      <c r="CO33" s="87">
        <v>6.1367621274108705E-2</v>
      </c>
      <c r="CQ33" s="110"/>
      <c r="CR33" s="46" t="s">
        <v>6</v>
      </c>
      <c r="CS33" s="87">
        <v>0.77910835377290433</v>
      </c>
      <c r="CT33" s="87">
        <v>2.1641898715914007</v>
      </c>
      <c r="CU33" s="87">
        <v>8.3537729043428079</v>
      </c>
      <c r="CV33" s="87">
        <v>34.684749675371521</v>
      </c>
      <c r="CW33" s="87">
        <v>26.359832635983267</v>
      </c>
      <c r="CX33" s="87">
        <v>18.150339056413216</v>
      </c>
      <c r="CY33" s="87">
        <v>7.3871014283653151</v>
      </c>
      <c r="CZ33" s="87">
        <v>1.5582167075458087</v>
      </c>
      <c r="DA33" s="87">
        <v>0.4616938392728322</v>
      </c>
      <c r="DB33" s="87">
        <v>0.10099552734093205</v>
      </c>
      <c r="DC33" s="42"/>
      <c r="DD33" s="110"/>
      <c r="DE33" s="46" t="s">
        <v>6</v>
      </c>
      <c r="DF33" s="87">
        <v>1.6107642150632702</v>
      </c>
      <c r="DG33" s="87">
        <v>4.3874675360556994</v>
      </c>
      <c r="DH33" s="87">
        <v>14.060341493065149</v>
      </c>
      <c r="DI33" s="87">
        <v>39.268939603249159</v>
      </c>
      <c r="DJ33" s="87">
        <v>22.597668121788143</v>
      </c>
      <c r="DK33" s="87">
        <v>12.98005194231088</v>
      </c>
      <c r="DL33" s="87">
        <v>4.1415704260374646</v>
      </c>
      <c r="DM33" s="87">
        <v>0.72940266342487703</v>
      </c>
      <c r="DN33" s="87">
        <v>0.17129911034978174</v>
      </c>
      <c r="DO33" s="87">
        <v>5.2494888655578269E-2</v>
      </c>
    </row>
    <row r="34" spans="2:119" ht="14.25" customHeight="1" x14ac:dyDescent="0.45">
      <c r="B34" s="99"/>
      <c r="C34" s="42"/>
      <c r="D34" s="110"/>
      <c r="E34" s="47" t="s">
        <v>7</v>
      </c>
      <c r="F34" s="3">
        <v>1.0357038597738204</v>
      </c>
      <c r="G34" s="3">
        <v>2.4052191351365071</v>
      </c>
      <c r="H34" s="3">
        <v>8.0977826291139401</v>
      </c>
      <c r="I34" s="3">
        <v>30.157259446355361</v>
      </c>
      <c r="J34" s="3">
        <v>25.774556716209528</v>
      </c>
      <c r="K34" s="3">
        <v>20.34472692195413</v>
      </c>
      <c r="L34" s="3">
        <v>8.9469074847373289</v>
      </c>
      <c r="M34" s="3">
        <v>2.4128346046936677</v>
      </c>
      <c r="N34" s="3">
        <v>0.6853922601444401</v>
      </c>
      <c r="O34" s="3">
        <v>0.13961694188127483</v>
      </c>
      <c r="P34" s="42"/>
      <c r="Q34" s="110"/>
      <c r="R34" s="46" t="s">
        <v>7</v>
      </c>
      <c r="S34" s="3">
        <v>0.3329213851547328</v>
      </c>
      <c r="T34" s="3">
        <v>1.1223486090443644</v>
      </c>
      <c r="U34" s="3">
        <v>4.5650583873489872</v>
      </c>
      <c r="V34" s="3">
        <v>24.162021740775302</v>
      </c>
      <c r="W34" s="3">
        <v>27.299553582688084</v>
      </c>
      <c r="X34" s="3">
        <v>25.354990037579761</v>
      </c>
      <c r="Y34" s="3">
        <v>12.320613382430832</v>
      </c>
      <c r="Z34" s="3">
        <v>3.6343917879391658</v>
      </c>
      <c r="AA34" s="3">
        <v>1.0088526822870691</v>
      </c>
      <c r="AB34" s="3">
        <v>0.19924840475169614</v>
      </c>
      <c r="AC34" s="42"/>
      <c r="AD34" s="110"/>
      <c r="AE34" s="46" t="s">
        <v>7</v>
      </c>
      <c r="AF34" s="3">
        <v>1.7476621186570598</v>
      </c>
      <c r="AG34" s="3">
        <v>3.7048392866268078</v>
      </c>
      <c r="AH34" s="3">
        <v>11.676631406816904</v>
      </c>
      <c r="AI34" s="3">
        <v>36.230773161633195</v>
      </c>
      <c r="AJ34" s="3">
        <v>24.229648934539323</v>
      </c>
      <c r="AK34" s="3">
        <v>15.269047984056417</v>
      </c>
      <c r="AL34" s="3">
        <v>5.529153252593388</v>
      </c>
      <c r="AM34" s="3">
        <v>1.1753283254126425</v>
      </c>
      <c r="AN34" s="3">
        <v>0.35770862077776072</v>
      </c>
      <c r="AO34" s="3">
        <v>7.9206908886504168E-2</v>
      </c>
      <c r="AP34" s="6"/>
      <c r="AQ34" s="110"/>
      <c r="AR34" s="46" t="s">
        <v>7</v>
      </c>
      <c r="AS34" s="87">
        <v>1.8349340204575622</v>
      </c>
      <c r="AT34" s="87">
        <v>4.3374716951667054</v>
      </c>
      <c r="AU34" s="87">
        <v>11.942687592722729</v>
      </c>
      <c r="AV34" s="87">
        <v>33.637854298430547</v>
      </c>
      <c r="AW34" s="87">
        <v>22.999141094713828</v>
      </c>
      <c r="AX34" s="87">
        <v>16.50269383930663</v>
      </c>
      <c r="AY34" s="87">
        <v>6.5315842898414926</v>
      </c>
      <c r="AZ34" s="87">
        <v>1.651440618411806</v>
      </c>
      <c r="BA34" s="87">
        <v>0.46068556258296245</v>
      </c>
      <c r="BB34" s="87">
        <v>0.10150698836573749</v>
      </c>
      <c r="BC34" s="42"/>
      <c r="BD34" s="110"/>
      <c r="BE34" s="46" t="s">
        <v>7</v>
      </c>
      <c r="BF34" s="87">
        <v>0.65070618547006931</v>
      </c>
      <c r="BG34" s="87">
        <v>1.4744325127414291</v>
      </c>
      <c r="BH34" s="87">
        <v>6.2456509882835274</v>
      </c>
      <c r="BI34" s="87">
        <v>28.48061986346454</v>
      </c>
      <c r="BJ34" s="87">
        <v>27.111503958776073</v>
      </c>
      <c r="BK34" s="87">
        <v>22.195475147161154</v>
      </c>
      <c r="BL34" s="87">
        <v>10.110394373084084</v>
      </c>
      <c r="BM34" s="87">
        <v>2.7796061911120304</v>
      </c>
      <c r="BN34" s="87">
        <v>0.79363586782765694</v>
      </c>
      <c r="BO34" s="87">
        <v>0.15797491207943881</v>
      </c>
      <c r="BQ34" s="110"/>
      <c r="BR34" s="46" t="s">
        <v>7</v>
      </c>
      <c r="BS34" s="87">
        <v>2.5038372985418262</v>
      </c>
      <c r="BT34" s="87">
        <v>5.7943207981580969</v>
      </c>
      <c r="BU34" s="87">
        <v>15.924788948580199</v>
      </c>
      <c r="BV34" s="87">
        <v>35.965080583269376</v>
      </c>
      <c r="BW34" s="87">
        <v>20.385648503453567</v>
      </c>
      <c r="BX34" s="87">
        <v>12.432847275518036</v>
      </c>
      <c r="BY34" s="87">
        <v>5.1899462778204146</v>
      </c>
      <c r="BZ34" s="87">
        <v>1.295088257866462</v>
      </c>
      <c r="CA34" s="87">
        <v>0.44128933231005368</v>
      </c>
      <c r="CB34" s="87">
        <v>6.7152724481964701E-2</v>
      </c>
      <c r="CC34" s="42"/>
      <c r="CD34" s="110"/>
      <c r="CE34" s="46" t="s">
        <v>7</v>
      </c>
      <c r="CF34" s="87">
        <v>0.81184266342904787</v>
      </c>
      <c r="CG34" s="87">
        <v>1.8884484297061275</v>
      </c>
      <c r="CH34" s="87">
        <v>6.9043195880812718</v>
      </c>
      <c r="CI34" s="87">
        <v>29.271682050231853</v>
      </c>
      <c r="CJ34" s="87">
        <v>26.596258209850358</v>
      </c>
      <c r="CK34" s="87">
        <v>21.551131460000292</v>
      </c>
      <c r="CL34" s="87">
        <v>9.5197694659391772</v>
      </c>
      <c r="CM34" s="87">
        <v>2.5832687272354931</v>
      </c>
      <c r="CN34" s="87">
        <v>0.72261310943053991</v>
      </c>
      <c r="CO34" s="87">
        <v>0.15066629609584131</v>
      </c>
      <c r="CQ34" s="110"/>
      <c r="CR34" s="46" t="s">
        <v>7</v>
      </c>
      <c r="CS34" s="87">
        <v>0.54388754079156554</v>
      </c>
      <c r="CT34" s="87">
        <v>1.0794075809555688</v>
      </c>
      <c r="CU34" s="87">
        <v>4.8113128608484645</v>
      </c>
      <c r="CV34" s="87">
        <v>25.370261902769641</v>
      </c>
      <c r="CW34" s="87">
        <v>26.332524474939333</v>
      </c>
      <c r="CX34" s="87">
        <v>24.54187934064095</v>
      </c>
      <c r="CY34" s="87">
        <v>12.216550916241319</v>
      </c>
      <c r="CZ34" s="87">
        <v>3.6817002761275206</v>
      </c>
      <c r="DA34" s="87">
        <v>1.1965525897414442</v>
      </c>
      <c r="DB34" s="87">
        <v>0.22592251694418877</v>
      </c>
      <c r="DC34" s="42"/>
      <c r="DD34" s="110"/>
      <c r="DE34" s="46" t="s">
        <v>7</v>
      </c>
      <c r="DF34" s="87">
        <v>1.123645939314142</v>
      </c>
      <c r="DG34" s="87">
        <v>2.6422885869890478</v>
      </c>
      <c r="DH34" s="87">
        <v>8.6854389849781555</v>
      </c>
      <c r="DI34" s="87">
        <v>31.013226404931476</v>
      </c>
      <c r="DJ34" s="87">
        <v>25.674786043449636</v>
      </c>
      <c r="DK34" s="87">
        <v>19.594230654138489</v>
      </c>
      <c r="DL34" s="87">
        <v>8.3622598599557119</v>
      </c>
      <c r="DM34" s="87">
        <v>2.1859476928601351</v>
      </c>
      <c r="DN34" s="87">
        <v>0.59399126219402709</v>
      </c>
      <c r="DO34" s="87">
        <v>0.12418457118917947</v>
      </c>
    </row>
    <row r="35" spans="2:119" ht="14.25" customHeight="1" x14ac:dyDescent="0.45">
      <c r="B35" s="99"/>
      <c r="C35" s="42"/>
      <c r="D35" s="110"/>
      <c r="E35" s="47" t="s">
        <v>8</v>
      </c>
      <c r="F35" s="3">
        <v>0.55817029055972611</v>
      </c>
      <c r="G35" s="3">
        <v>1.2427554552880316</v>
      </c>
      <c r="H35" s="3">
        <v>4.1162627873507329</v>
      </c>
      <c r="I35" s="3">
        <v>19.572912209732003</v>
      </c>
      <c r="J35" s="3">
        <v>23.538449570189428</v>
      </c>
      <c r="K35" s="3">
        <v>26.157182309696992</v>
      </c>
      <c r="L35" s="3">
        <v>16.273483993932086</v>
      </c>
      <c r="M35" s="3">
        <v>5.8598156287681356</v>
      </c>
      <c r="N35" s="3">
        <v>2.1227974639231397</v>
      </c>
      <c r="O35" s="3">
        <v>0.55817029055972611</v>
      </c>
      <c r="P35" s="42"/>
      <c r="Q35" s="110"/>
      <c r="R35" s="46" t="s">
        <v>8</v>
      </c>
      <c r="S35" s="3">
        <v>0.17918072472884619</v>
      </c>
      <c r="T35" s="3">
        <v>0.50894950534682903</v>
      </c>
      <c r="U35" s="3">
        <v>1.9138026343378891</v>
      </c>
      <c r="V35" s="3">
        <v>13.104973218200186</v>
      </c>
      <c r="W35" s="3">
        <v>21.326318598577991</v>
      </c>
      <c r="X35" s="3">
        <v>29.246487867177525</v>
      </c>
      <c r="Y35" s="3">
        <v>21.217666456987093</v>
      </c>
      <c r="Z35" s="3">
        <v>8.434837307714302</v>
      </c>
      <c r="AA35" s="3">
        <v>3.2119097996607007</v>
      </c>
      <c r="AB35" s="3">
        <v>0.85587388726863756</v>
      </c>
      <c r="AC35" s="42"/>
      <c r="AD35" s="110"/>
      <c r="AE35" s="46" t="s">
        <v>8</v>
      </c>
      <c r="AF35" s="3">
        <v>0.95285359801488834</v>
      </c>
      <c r="AG35" s="3">
        <v>2.0069478908188585</v>
      </c>
      <c r="AH35" s="3">
        <v>6.4099255583126551</v>
      </c>
      <c r="AI35" s="3">
        <v>26.308684863523574</v>
      </c>
      <c r="AJ35" s="3">
        <v>25.842183622828784</v>
      </c>
      <c r="AK35" s="3">
        <v>22.939950372208436</v>
      </c>
      <c r="AL35" s="3">
        <v>11.124565756823822</v>
      </c>
      <c r="AM35" s="3">
        <v>3.1781637717121587</v>
      </c>
      <c r="AN35" s="3">
        <v>0.98858560794044659</v>
      </c>
      <c r="AO35" s="3">
        <v>0.24813895781637718</v>
      </c>
      <c r="AP35" s="6"/>
      <c r="AQ35" s="110"/>
      <c r="AR35" s="46" t="s">
        <v>8</v>
      </c>
      <c r="AS35" s="87">
        <v>1.0292896095922568</v>
      </c>
      <c r="AT35" s="87">
        <v>2.6075336776337172</v>
      </c>
      <c r="AU35" s="87">
        <v>7.1833580122070142</v>
      </c>
      <c r="AV35" s="87">
        <v>24.919643179602009</v>
      </c>
      <c r="AW35" s="87">
        <v>23.153598902091083</v>
      </c>
      <c r="AX35" s="87">
        <v>22.185705514825383</v>
      </c>
      <c r="AY35" s="87">
        <v>12.669291054209253</v>
      </c>
      <c r="AZ35" s="87">
        <v>4.247173968001734</v>
      </c>
      <c r="BA35" s="87">
        <v>1.5782440680414604</v>
      </c>
      <c r="BB35" s="87">
        <v>0.42616201379609231</v>
      </c>
      <c r="BC35" s="42"/>
      <c r="BD35" s="110"/>
      <c r="BE35" s="46" t="s">
        <v>8</v>
      </c>
      <c r="BF35" s="87">
        <v>0.38457955740082772</v>
      </c>
      <c r="BG35" s="87">
        <v>0.7398831623351565</v>
      </c>
      <c r="BH35" s="87">
        <v>2.9861471515828972</v>
      </c>
      <c r="BI35" s="87">
        <v>17.602831783038578</v>
      </c>
      <c r="BJ35" s="87">
        <v>23.680253370061347</v>
      </c>
      <c r="BK35" s="87">
        <v>27.620530427029689</v>
      </c>
      <c r="BL35" s="87">
        <v>17.601501057926463</v>
      </c>
      <c r="BM35" s="87">
        <v>6.454016793750915</v>
      </c>
      <c r="BN35" s="87">
        <v>2.3234460457503294</v>
      </c>
      <c r="BO35" s="87">
        <v>0.60681065112379728</v>
      </c>
      <c r="BQ35" s="110"/>
      <c r="BR35" s="46" t="s">
        <v>8</v>
      </c>
      <c r="BS35" s="87">
        <v>1.770011273957159</v>
      </c>
      <c r="BT35" s="87">
        <v>3.9571589627959409</v>
      </c>
      <c r="BU35" s="87">
        <v>11.082299887260429</v>
      </c>
      <c r="BV35" s="87">
        <v>28.895152198421648</v>
      </c>
      <c r="BW35" s="87">
        <v>21.443066516347237</v>
      </c>
      <c r="BX35" s="87">
        <v>18.105975197294249</v>
      </c>
      <c r="BY35" s="87">
        <v>9.6617812852311165</v>
      </c>
      <c r="BZ35" s="87">
        <v>3.5174746335963922</v>
      </c>
      <c r="CA35" s="87">
        <v>1.1950394588500564</v>
      </c>
      <c r="CB35" s="87">
        <v>0.3720405862457723</v>
      </c>
      <c r="CC35" s="42"/>
      <c r="CD35" s="110"/>
      <c r="CE35" s="46" t="s">
        <v>8</v>
      </c>
      <c r="CF35" s="87">
        <v>0.44377753655577545</v>
      </c>
      <c r="CG35" s="87">
        <v>0.98652704169593253</v>
      </c>
      <c r="CH35" s="87">
        <v>3.4586978268735504</v>
      </c>
      <c r="CI35" s="87">
        <v>18.692931485856587</v>
      </c>
      <c r="CJ35" s="87">
        <v>23.736245024796204</v>
      </c>
      <c r="CK35" s="87">
        <v>26.917182810803908</v>
      </c>
      <c r="CL35" s="87">
        <v>16.897601260030225</v>
      </c>
      <c r="CM35" s="87">
        <v>6.0809228870016812</v>
      </c>
      <c r="CN35" s="87">
        <v>2.2103739650511889</v>
      </c>
      <c r="CO35" s="87">
        <v>0.57574016133495098</v>
      </c>
      <c r="CQ35" s="110"/>
      <c r="CR35" s="46" t="s">
        <v>8</v>
      </c>
      <c r="CS35" s="87">
        <v>0.22762839664248113</v>
      </c>
      <c r="CT35" s="87">
        <v>0.64731825295205581</v>
      </c>
      <c r="CU35" s="87">
        <v>2.4612320386968274</v>
      </c>
      <c r="CV35" s="87">
        <v>15.372030160762556</v>
      </c>
      <c r="CW35" s="87">
        <v>21.71005832977664</v>
      </c>
      <c r="CX35" s="87">
        <v>27.991179399630106</v>
      </c>
      <c r="CY35" s="87">
        <v>19.583155498648456</v>
      </c>
      <c r="CZ35" s="87">
        <v>7.6540048371034288</v>
      </c>
      <c r="DA35" s="87">
        <v>3.3504054630815197</v>
      </c>
      <c r="DB35" s="87">
        <v>1.0029876227059327</v>
      </c>
      <c r="DC35" s="42"/>
      <c r="DD35" s="110"/>
      <c r="DE35" s="46" t="s">
        <v>8</v>
      </c>
      <c r="DF35" s="87">
        <v>0.61051161323751379</v>
      </c>
      <c r="DG35" s="87">
        <v>1.3370429610939647</v>
      </c>
      <c r="DH35" s="87">
        <v>4.3783369753767829</v>
      </c>
      <c r="DI35" s="87">
        <v>20.238122057266438</v>
      </c>
      <c r="DJ35" s="87">
        <v>23.827975399310642</v>
      </c>
      <c r="DK35" s="87">
        <v>25.866768794070605</v>
      </c>
      <c r="DL35" s="87">
        <v>15.749397373223095</v>
      </c>
      <c r="DM35" s="87">
        <v>5.575705692851832</v>
      </c>
      <c r="DN35" s="87">
        <v>1.9284056860934016</v>
      </c>
      <c r="DO35" s="87">
        <v>0.487733447475726</v>
      </c>
    </row>
    <row r="36" spans="2:119" ht="14.25" customHeight="1" x14ac:dyDescent="0.45">
      <c r="B36" s="99"/>
      <c r="C36" s="42"/>
      <c r="D36" s="110"/>
      <c r="E36" s="47" t="s">
        <v>9</v>
      </c>
      <c r="F36" s="3">
        <v>0.26041180533517522</v>
      </c>
      <c r="G36" s="3">
        <v>0.55349175829304265</v>
      </c>
      <c r="H36" s="3">
        <v>1.7500793369299408</v>
      </c>
      <c r="I36" s="3">
        <v>10.001120050775635</v>
      </c>
      <c r="J36" s="3">
        <v>17.034105546118091</v>
      </c>
      <c r="K36" s="3">
        <v>26.673075846105021</v>
      </c>
      <c r="L36" s="3">
        <v>24.040956523362393</v>
      </c>
      <c r="M36" s="3">
        <v>12.010677817394388</v>
      </c>
      <c r="N36" s="3">
        <v>5.7141257070320517</v>
      </c>
      <c r="O36" s="3">
        <v>1.9619556086542589</v>
      </c>
      <c r="P36" s="42"/>
      <c r="Q36" s="110"/>
      <c r="R36" s="46" t="s">
        <v>9</v>
      </c>
      <c r="S36" s="3">
        <v>9.5416276894293731E-2</v>
      </c>
      <c r="T36" s="3">
        <v>0.19270346117867165</v>
      </c>
      <c r="U36" s="3">
        <v>0.72029934518241345</v>
      </c>
      <c r="V36" s="3">
        <v>5.0196445275958839</v>
      </c>
      <c r="W36" s="3">
        <v>12.377923292797007</v>
      </c>
      <c r="X36" s="3">
        <v>25.827876520112252</v>
      </c>
      <c r="Y36" s="3">
        <v>28.149672591206738</v>
      </c>
      <c r="Z36" s="3">
        <v>16.202057998129092</v>
      </c>
      <c r="AA36" s="3">
        <v>8.3835360149672589</v>
      </c>
      <c r="AB36" s="3">
        <v>3.0308699719363892</v>
      </c>
      <c r="AC36" s="42"/>
      <c r="AD36" s="110"/>
      <c r="AE36" s="46" t="s">
        <v>9</v>
      </c>
      <c r="AF36" s="3">
        <v>0.42467590523021903</v>
      </c>
      <c r="AG36" s="3">
        <v>0.91268067352108484</v>
      </c>
      <c r="AH36" s="3">
        <v>2.77529429295187</v>
      </c>
      <c r="AI36" s="3">
        <v>14.960512591268069</v>
      </c>
      <c r="AJ36" s="3">
        <v>21.669646848457756</v>
      </c>
      <c r="AK36" s="3">
        <v>27.514528386231561</v>
      </c>
      <c r="AL36" s="3">
        <v>19.950454477723142</v>
      </c>
      <c r="AM36" s="3">
        <v>7.8378781105647448</v>
      </c>
      <c r="AN36" s="3">
        <v>3.0565489494859186</v>
      </c>
      <c r="AO36" s="3">
        <v>0.89777976456563846</v>
      </c>
      <c r="AP36" s="6"/>
      <c r="AQ36" s="110"/>
      <c r="AR36" s="46" t="s">
        <v>9</v>
      </c>
      <c r="AS36" s="87">
        <v>0.6709608158883521</v>
      </c>
      <c r="AT36" s="87">
        <v>1.3598139202003936</v>
      </c>
      <c r="AU36" s="87">
        <v>3.6410806942207907</v>
      </c>
      <c r="AV36" s="87">
        <v>14.90427625693326</v>
      </c>
      <c r="AW36" s="87">
        <v>19.33709071390231</v>
      </c>
      <c r="AX36" s="87">
        <v>25.70227232062981</v>
      </c>
      <c r="AY36" s="87">
        <v>19.5160135981392</v>
      </c>
      <c r="AZ36" s="87">
        <v>9.1161209518697444</v>
      </c>
      <c r="BA36" s="87">
        <v>4.3612453032742886</v>
      </c>
      <c r="BB36" s="87">
        <v>1.3911254249418501</v>
      </c>
      <c r="BC36" s="42"/>
      <c r="BD36" s="110"/>
      <c r="BE36" s="46" t="s">
        <v>9</v>
      </c>
      <c r="BF36" s="87">
        <v>0.15215493854827675</v>
      </c>
      <c r="BG36" s="87">
        <v>0.34087424217404638</v>
      </c>
      <c r="BH36" s="87">
        <v>1.2514448821683848</v>
      </c>
      <c r="BI36" s="87">
        <v>8.7082163666816061</v>
      </c>
      <c r="BJ36" s="87">
        <v>16.426835884975585</v>
      </c>
      <c r="BK36" s="87">
        <v>26.929065131749663</v>
      </c>
      <c r="BL36" s="87">
        <v>25.234129886060717</v>
      </c>
      <c r="BM36" s="87">
        <v>12.773937864169282</v>
      </c>
      <c r="BN36" s="87">
        <v>6.0708640985114766</v>
      </c>
      <c r="BO36" s="87">
        <v>2.1124767049609585</v>
      </c>
      <c r="BQ36" s="110"/>
      <c r="BR36" s="46" t="s">
        <v>9</v>
      </c>
      <c r="BS36" s="87">
        <v>1.4856081708449396</v>
      </c>
      <c r="BT36" s="87">
        <v>2.4760136180748993</v>
      </c>
      <c r="BU36" s="87">
        <v>6.0817084493964719</v>
      </c>
      <c r="BV36" s="87">
        <v>18.36892602909316</v>
      </c>
      <c r="BW36" s="87">
        <v>18.724852986691428</v>
      </c>
      <c r="BX36" s="87">
        <v>22.717424945837202</v>
      </c>
      <c r="BY36" s="87">
        <v>17.23924481584649</v>
      </c>
      <c r="BZ36" s="87">
        <v>7.3816155988857934</v>
      </c>
      <c r="CA36" s="87">
        <v>4.1163726400495202</v>
      </c>
      <c r="CB36" s="87">
        <v>1.4082327452800989</v>
      </c>
      <c r="CC36" s="42"/>
      <c r="CD36" s="110"/>
      <c r="CE36" s="46" t="s">
        <v>9</v>
      </c>
      <c r="CF36" s="87">
        <v>0.18177122650880051</v>
      </c>
      <c r="CG36" s="87">
        <v>0.43009257419841862</v>
      </c>
      <c r="CH36" s="87">
        <v>1.4720489491040565</v>
      </c>
      <c r="CI36" s="87">
        <v>9.4640232031467271</v>
      </c>
      <c r="CJ36" s="87">
        <v>16.925583058524374</v>
      </c>
      <c r="CK36" s="87">
        <v>26.926973658071436</v>
      </c>
      <c r="CL36" s="87">
        <v>24.477531884461044</v>
      </c>
      <c r="CM36" s="87">
        <v>12.307799276888236</v>
      </c>
      <c r="CN36" s="87">
        <v>5.8166792482816163</v>
      </c>
      <c r="CO36" s="87">
        <v>1.9974969208152886</v>
      </c>
      <c r="CQ36" s="110"/>
      <c r="CR36" s="46" t="s">
        <v>9</v>
      </c>
      <c r="CS36" s="87">
        <v>0.18431141256266589</v>
      </c>
      <c r="CT36" s="87">
        <v>0.24329106458271893</v>
      </c>
      <c r="CU36" s="87">
        <v>0.98053671483338245</v>
      </c>
      <c r="CV36" s="87">
        <v>7.4609259805367145</v>
      </c>
      <c r="CW36" s="87">
        <v>14.376290179887938</v>
      </c>
      <c r="CX36" s="87">
        <v>25.567679150693014</v>
      </c>
      <c r="CY36" s="87">
        <v>27.049542907696843</v>
      </c>
      <c r="CZ36" s="87">
        <v>14.634326157475671</v>
      </c>
      <c r="DA36" s="87">
        <v>7.0849306989088774</v>
      </c>
      <c r="DB36" s="87">
        <v>2.4181657328221764</v>
      </c>
      <c r="DC36" s="42"/>
      <c r="DD36" s="110"/>
      <c r="DE36" s="46" t="s">
        <v>9</v>
      </c>
      <c r="DF36" s="87">
        <v>0.27144292217923782</v>
      </c>
      <c r="DG36" s="87">
        <v>0.5984568363006818</v>
      </c>
      <c r="DH36" s="87">
        <v>1.8616282300639067</v>
      </c>
      <c r="DI36" s="87">
        <v>10.369333361831277</v>
      </c>
      <c r="DJ36" s="87">
        <v>17.419368628037706</v>
      </c>
      <c r="DK36" s="87">
        <v>26.833308397631821</v>
      </c>
      <c r="DL36" s="87">
        <v>23.604847500374035</v>
      </c>
      <c r="DM36" s="87">
        <v>11.630367409750573</v>
      </c>
      <c r="DN36" s="87">
        <v>5.5154209502639624</v>
      </c>
      <c r="DO36" s="87">
        <v>1.8958257635668028</v>
      </c>
    </row>
    <row r="37" spans="2:119" ht="14.25" customHeight="1" x14ac:dyDescent="0.45">
      <c r="B37" s="99"/>
      <c r="C37" s="42"/>
      <c r="D37" s="110"/>
      <c r="E37" s="47" t="s">
        <v>10</v>
      </c>
      <c r="F37" s="3">
        <v>0.11305274718175651</v>
      </c>
      <c r="G37" s="3">
        <v>0.1927280166241373</v>
      </c>
      <c r="H37" s="3">
        <v>0.51681255854517261</v>
      </c>
      <c r="I37" s="3">
        <v>3.5552397256586667</v>
      </c>
      <c r="J37" s="3">
        <v>8.6673772839346661</v>
      </c>
      <c r="K37" s="3">
        <v>19.64856746018928</v>
      </c>
      <c r="L37" s="3">
        <v>27.366301667797195</v>
      </c>
      <c r="M37" s="3">
        <v>20.094318291934492</v>
      </c>
      <c r="N37" s="3">
        <v>13.256242126683679</v>
      </c>
      <c r="O37" s="3">
        <v>6.5893601214509516</v>
      </c>
      <c r="P37" s="42"/>
      <c r="Q37" s="110"/>
      <c r="R37" s="46" t="s">
        <v>10</v>
      </c>
      <c r="S37" s="3">
        <v>4.0354220378881291E-2</v>
      </c>
      <c r="T37" s="3">
        <v>6.5015132832642084E-2</v>
      </c>
      <c r="U37" s="3">
        <v>0.20401300302656653</v>
      </c>
      <c r="V37" s="3">
        <v>1.5065575608115682</v>
      </c>
      <c r="W37" s="3">
        <v>4.9837462167918396</v>
      </c>
      <c r="X37" s="3">
        <v>15.374957964353772</v>
      </c>
      <c r="Y37" s="3">
        <v>27.313081493106157</v>
      </c>
      <c r="Z37" s="3">
        <v>23.528752382019952</v>
      </c>
      <c r="AA37" s="3">
        <v>17.43750700594104</v>
      </c>
      <c r="AB37" s="3">
        <v>9.5460150207375865</v>
      </c>
      <c r="AC37" s="42"/>
      <c r="AD37" s="110"/>
      <c r="AE37" s="46" t="s">
        <v>10</v>
      </c>
      <c r="AF37" s="3">
        <v>0.18022870401060656</v>
      </c>
      <c r="AG37" s="3">
        <v>0.31073914484587339</v>
      </c>
      <c r="AH37" s="3">
        <v>0.80585018230029826</v>
      </c>
      <c r="AI37" s="3">
        <v>5.4482930062976473</v>
      </c>
      <c r="AJ37" s="3">
        <v>12.071179980112696</v>
      </c>
      <c r="AK37" s="3">
        <v>23.597530659595627</v>
      </c>
      <c r="AL37" s="3">
        <v>27.415478952601923</v>
      </c>
      <c r="AM37" s="3">
        <v>16.920782234007291</v>
      </c>
      <c r="AN37" s="3">
        <v>9.3926085515412669</v>
      </c>
      <c r="AO37" s="3">
        <v>3.8573085846867752</v>
      </c>
      <c r="AP37" s="6"/>
      <c r="AQ37" s="110"/>
      <c r="AR37" s="46" t="s">
        <v>10</v>
      </c>
      <c r="AS37" s="87">
        <v>0.44277175116227585</v>
      </c>
      <c r="AT37" s="87">
        <v>0.54608515976680683</v>
      </c>
      <c r="AU37" s="87">
        <v>1.490664895579662</v>
      </c>
      <c r="AV37" s="87">
        <v>7.3500110692937781</v>
      </c>
      <c r="AW37" s="87">
        <v>12.183602686148625</v>
      </c>
      <c r="AX37" s="87">
        <v>22.205003320788133</v>
      </c>
      <c r="AY37" s="87">
        <v>25.311785108110101</v>
      </c>
      <c r="AZ37" s="87">
        <v>15.821710574865325</v>
      </c>
      <c r="BA37" s="87">
        <v>10.294443214522914</v>
      </c>
      <c r="BB37" s="87">
        <v>4.3539222197623797</v>
      </c>
      <c r="BC37" s="42"/>
      <c r="BD37" s="110"/>
      <c r="BE37" s="46" t="s">
        <v>10</v>
      </c>
      <c r="BF37" s="87">
        <v>5.6727932834127526E-2</v>
      </c>
      <c r="BG37" s="87">
        <v>0.13236517661296424</v>
      </c>
      <c r="BH37" s="87">
        <v>0.35045256284194337</v>
      </c>
      <c r="BI37" s="87">
        <v>2.9069914025666237</v>
      </c>
      <c r="BJ37" s="87">
        <v>8.0667120490129332</v>
      </c>
      <c r="BK37" s="87">
        <v>19.211859919824523</v>
      </c>
      <c r="BL37" s="87">
        <v>27.717267982754706</v>
      </c>
      <c r="BM37" s="87">
        <v>20.824193833043392</v>
      </c>
      <c r="BN37" s="87">
        <v>13.762196505559338</v>
      </c>
      <c r="BO37" s="87">
        <v>6.9712326349494491</v>
      </c>
      <c r="BQ37" s="110"/>
      <c r="BR37" s="46" t="s">
        <v>10</v>
      </c>
      <c r="BS37" s="87">
        <v>0.61475409836065575</v>
      </c>
      <c r="BT37" s="87">
        <v>1.2038934426229508</v>
      </c>
      <c r="BU37" s="87">
        <v>2.4077868852459017</v>
      </c>
      <c r="BV37" s="87">
        <v>8.3247950819672134</v>
      </c>
      <c r="BW37" s="87">
        <v>12.218237704918032</v>
      </c>
      <c r="BX37" s="87">
        <v>20.722336065573771</v>
      </c>
      <c r="BY37" s="87">
        <v>22.566598360655739</v>
      </c>
      <c r="BZ37" s="87">
        <v>15.163934426229508</v>
      </c>
      <c r="CA37" s="87">
        <v>10.681352459016393</v>
      </c>
      <c r="CB37" s="87">
        <v>6.096311475409836</v>
      </c>
      <c r="CC37" s="42"/>
      <c r="CD37" s="110"/>
      <c r="CE37" s="46" t="s">
        <v>10</v>
      </c>
      <c r="CF37" s="87">
        <v>9.1038854483944567E-2</v>
      </c>
      <c r="CG37" s="87">
        <v>0.14835961471457632</v>
      </c>
      <c r="CH37" s="87">
        <v>0.43383947939262474</v>
      </c>
      <c r="CI37" s="87">
        <v>3.3459588864037402</v>
      </c>
      <c r="CJ37" s="87">
        <v>8.5115709260112631</v>
      </c>
      <c r="CK37" s="87">
        <v>19.601452125925842</v>
      </c>
      <c r="CL37" s="87">
        <v>27.576905353309435</v>
      </c>
      <c r="CM37" s="87">
        <v>20.31065604172052</v>
      </c>
      <c r="CN37" s="87">
        <v>13.369224371438527</v>
      </c>
      <c r="CO37" s="87">
        <v>6.6109943465995302</v>
      </c>
      <c r="CQ37" s="110"/>
      <c r="CR37" s="46" t="s">
        <v>10</v>
      </c>
      <c r="CS37" s="87">
        <v>5.2047189451769602E-2</v>
      </c>
      <c r="CT37" s="87">
        <v>7.8070784177654409E-2</v>
      </c>
      <c r="CU37" s="87">
        <v>0.19951422623178347</v>
      </c>
      <c r="CV37" s="87">
        <v>2.65440666204025</v>
      </c>
      <c r="CW37" s="87">
        <v>6.9396252602359469</v>
      </c>
      <c r="CX37" s="87">
        <v>17.956280360860514</v>
      </c>
      <c r="CY37" s="87">
        <v>27.30742539902845</v>
      </c>
      <c r="CZ37" s="87">
        <v>21.755725190839694</v>
      </c>
      <c r="DA37" s="87">
        <v>15.015614156835531</v>
      </c>
      <c r="DB37" s="87">
        <v>8.0412907702984029</v>
      </c>
      <c r="DC37" s="42"/>
      <c r="DD37" s="110"/>
      <c r="DE37" s="46" t="s">
        <v>10</v>
      </c>
      <c r="DF37" s="87">
        <v>0.12169786967264502</v>
      </c>
      <c r="DG37" s="87">
        <v>0.20897613984191568</v>
      </c>
      <c r="DH37" s="87">
        <v>0.56177703475150287</v>
      </c>
      <c r="DI37" s="87">
        <v>3.6828971468610554</v>
      </c>
      <c r="DJ37" s="87">
        <v>8.912217728552287</v>
      </c>
      <c r="DK37" s="87">
        <v>19.888382155896199</v>
      </c>
      <c r="DL37" s="87">
        <v>27.374645047880119</v>
      </c>
      <c r="DM37" s="87">
        <v>19.858879642036165</v>
      </c>
      <c r="DN37" s="87">
        <v>13.006920798043001</v>
      </c>
      <c r="DO37" s="87">
        <v>6.3836064364651071</v>
      </c>
    </row>
    <row r="38" spans="2:119" ht="14.25" customHeight="1" x14ac:dyDescent="0.45">
      <c r="B38" s="99"/>
      <c r="C38" s="42"/>
      <c r="D38" s="111"/>
      <c r="E38" s="47" t="s">
        <v>11</v>
      </c>
      <c r="F38" s="3">
        <v>3.1024243230066924E-2</v>
      </c>
      <c r="G38" s="3">
        <v>1.3296104241457253E-2</v>
      </c>
      <c r="H38" s="3">
        <v>0.12852900766742012</v>
      </c>
      <c r="I38" s="3">
        <v>0.75787794176306345</v>
      </c>
      <c r="J38" s="3">
        <v>2.3667065549793911</v>
      </c>
      <c r="K38" s="3">
        <v>8.7798608341089395</v>
      </c>
      <c r="L38" s="3">
        <v>19.99734077915171</v>
      </c>
      <c r="M38" s="3">
        <v>23.999468155830343</v>
      </c>
      <c r="N38" s="3">
        <v>23.680361654035366</v>
      </c>
      <c r="O38" s="3">
        <v>20.245534724992247</v>
      </c>
      <c r="P38" s="42"/>
      <c r="Q38" s="111"/>
      <c r="R38" s="46" t="s">
        <v>11</v>
      </c>
      <c r="S38" s="3">
        <v>8.9750493627714957E-3</v>
      </c>
      <c r="T38" s="3">
        <v>0</v>
      </c>
      <c r="U38" s="3">
        <v>3.5900197451085983E-2</v>
      </c>
      <c r="V38" s="3">
        <v>0.33207682642254532</v>
      </c>
      <c r="W38" s="3">
        <v>1.0770059235325793</v>
      </c>
      <c r="X38" s="3">
        <v>5.3401543708490395</v>
      </c>
      <c r="Y38" s="3">
        <v>15.742236582301203</v>
      </c>
      <c r="Z38" s="3">
        <v>23.88260635433495</v>
      </c>
      <c r="AA38" s="3">
        <v>27.481601148806316</v>
      </c>
      <c r="AB38" s="3">
        <v>26.099443546939511</v>
      </c>
      <c r="AC38" s="42"/>
      <c r="AD38" s="111"/>
      <c r="AE38" s="46" t="s">
        <v>11</v>
      </c>
      <c r="AF38" s="3">
        <v>5.2534804307853955E-2</v>
      </c>
      <c r="AG38" s="3">
        <v>2.6267402153926978E-2</v>
      </c>
      <c r="AH38" s="3">
        <v>0.21889501794939148</v>
      </c>
      <c r="AI38" s="3">
        <v>1.1732772962087383</v>
      </c>
      <c r="AJ38" s="3">
        <v>3.6249014972419227</v>
      </c>
      <c r="AK38" s="3">
        <v>12.135539795114262</v>
      </c>
      <c r="AL38" s="3">
        <v>24.148498380176868</v>
      </c>
      <c r="AM38" s="3">
        <v>24.113475177304963</v>
      </c>
      <c r="AN38" s="3">
        <v>19.971981437702478</v>
      </c>
      <c r="AO38" s="3">
        <v>14.534629191839594</v>
      </c>
      <c r="AP38" s="6"/>
      <c r="AQ38" s="111"/>
      <c r="AR38" s="46" t="s">
        <v>11</v>
      </c>
      <c r="AS38" s="87">
        <v>0.25879917184265011</v>
      </c>
      <c r="AT38" s="87">
        <v>5.1759834368530024E-2</v>
      </c>
      <c r="AU38" s="87">
        <v>0.46583850931677018</v>
      </c>
      <c r="AV38" s="87">
        <v>2.3809523809523809</v>
      </c>
      <c r="AW38" s="87">
        <v>4.8654244306418217</v>
      </c>
      <c r="AX38" s="87">
        <v>12.836438923395447</v>
      </c>
      <c r="AY38" s="87">
        <v>22.153209109730849</v>
      </c>
      <c r="AZ38" s="87">
        <v>21.532091097308488</v>
      </c>
      <c r="BA38" s="87">
        <v>20.031055900621116</v>
      </c>
      <c r="BB38" s="87">
        <v>15.424430641821946</v>
      </c>
      <c r="BC38" s="42"/>
      <c r="BD38" s="111"/>
      <c r="BE38" s="46" t="s">
        <v>11</v>
      </c>
      <c r="BF38" s="87">
        <v>9.6941495807280308E-3</v>
      </c>
      <c r="BG38" s="87">
        <v>9.6941495807280308E-3</v>
      </c>
      <c r="BH38" s="87">
        <v>9.6941495807280315E-2</v>
      </c>
      <c r="BI38" s="87">
        <v>0.6058843487955019</v>
      </c>
      <c r="BJ38" s="87">
        <v>2.1327129077601668</v>
      </c>
      <c r="BK38" s="87">
        <v>8.3999806117008387</v>
      </c>
      <c r="BL38" s="87">
        <v>19.79545344384664</v>
      </c>
      <c r="BM38" s="87">
        <v>24.23052687702971</v>
      </c>
      <c r="BN38" s="87">
        <v>24.022102661044059</v>
      </c>
      <c r="BO38" s="87">
        <v>20.697009354854345</v>
      </c>
      <c r="BQ38" s="111"/>
      <c r="BR38" s="46" t="s">
        <v>11</v>
      </c>
      <c r="BS38" s="87">
        <v>0.1394700139470014</v>
      </c>
      <c r="BT38" s="87">
        <v>0.2789400278940028</v>
      </c>
      <c r="BU38" s="87">
        <v>1.1157601115760112</v>
      </c>
      <c r="BV38" s="87">
        <v>3.4867503486750349</v>
      </c>
      <c r="BW38" s="87">
        <v>6.5550906555090656</v>
      </c>
      <c r="BX38" s="87">
        <v>11.436541143654114</v>
      </c>
      <c r="BY38" s="87">
        <v>18.410041841004183</v>
      </c>
      <c r="BZ38" s="87">
        <v>21.059972105997211</v>
      </c>
      <c r="CA38" s="87">
        <v>20.223152022315201</v>
      </c>
      <c r="CB38" s="87">
        <v>17.294281729428175</v>
      </c>
      <c r="CC38" s="42"/>
      <c r="CD38" s="111"/>
      <c r="CE38" s="46" t="s">
        <v>11</v>
      </c>
      <c r="CF38" s="87">
        <v>2.7464982147761604E-2</v>
      </c>
      <c r="CG38" s="87">
        <v>4.577497024626934E-3</v>
      </c>
      <c r="CH38" s="87">
        <v>9.6127437517165612E-2</v>
      </c>
      <c r="CI38" s="87">
        <v>0.66831456559553237</v>
      </c>
      <c r="CJ38" s="87">
        <v>2.2292410509933167</v>
      </c>
      <c r="CK38" s="87">
        <v>8.6926668497665478</v>
      </c>
      <c r="CL38" s="87">
        <v>20.049436967865972</v>
      </c>
      <c r="CM38" s="87">
        <v>24.09594433763618</v>
      </c>
      <c r="CN38" s="87">
        <v>23.793829534010801</v>
      </c>
      <c r="CO38" s="87">
        <v>20.342396777442097</v>
      </c>
      <c r="CQ38" s="111"/>
      <c r="CR38" s="46" t="s">
        <v>11</v>
      </c>
      <c r="CS38" s="87">
        <v>0</v>
      </c>
      <c r="CT38" s="87">
        <v>0</v>
      </c>
      <c r="CU38" s="87">
        <v>7.8988941548183256E-2</v>
      </c>
      <c r="CV38" s="87">
        <v>0.55292259083728279</v>
      </c>
      <c r="CW38" s="87">
        <v>1.9352290679304898</v>
      </c>
      <c r="CX38" s="87">
        <v>7.3459715639810419</v>
      </c>
      <c r="CY38" s="87">
        <v>17.259083728278039</v>
      </c>
      <c r="CZ38" s="87">
        <v>24.289099526066352</v>
      </c>
      <c r="DA38" s="87">
        <v>24.921011058451818</v>
      </c>
      <c r="DB38" s="87">
        <v>23.617693522906794</v>
      </c>
      <c r="DC38" s="42"/>
      <c r="DD38" s="111"/>
      <c r="DE38" s="46" t="s">
        <v>11</v>
      </c>
      <c r="DF38" s="87">
        <v>3.4945833957366085E-2</v>
      </c>
      <c r="DG38" s="87">
        <v>1.4976785981728321E-2</v>
      </c>
      <c r="DH38" s="87">
        <v>0.13479107383555489</v>
      </c>
      <c r="DI38" s="87">
        <v>0.78378513304378206</v>
      </c>
      <c r="DJ38" s="87">
        <v>2.4212470670460786</v>
      </c>
      <c r="DK38" s="87">
        <v>8.9611102790674462</v>
      </c>
      <c r="DL38" s="87">
        <v>20.343467625180971</v>
      </c>
      <c r="DM38" s="87">
        <v>23.962857570765316</v>
      </c>
      <c r="DN38" s="87">
        <v>23.523538515301283</v>
      </c>
      <c r="DO38" s="87">
        <v>19.819280115820479</v>
      </c>
    </row>
    <row r="39" spans="2:119" ht="14.25" customHeight="1" x14ac:dyDescent="0.45">
      <c r="B39" s="99"/>
      <c r="C39" s="42"/>
      <c r="D39" s="42"/>
      <c r="E39" s="42"/>
      <c r="F39" s="43"/>
      <c r="G39" s="43"/>
      <c r="H39" s="43"/>
      <c r="I39" s="43"/>
      <c r="J39" s="43"/>
      <c r="K39" s="43"/>
      <c r="L39" s="43"/>
      <c r="M39" s="43"/>
      <c r="N39" s="43"/>
      <c r="O39" s="44"/>
      <c r="P39" s="44"/>
      <c r="Q39" s="44"/>
      <c r="R39" s="44"/>
      <c r="S39" s="43"/>
      <c r="T39" s="43"/>
      <c r="U39" s="43"/>
      <c r="V39" s="43"/>
      <c r="W39" s="43"/>
      <c r="X39" s="43"/>
      <c r="Y39" s="43"/>
      <c r="Z39" s="43"/>
      <c r="AA39" s="43"/>
      <c r="AB39" s="44"/>
      <c r="AC39" s="42"/>
      <c r="AD39" s="44"/>
      <c r="AE39" s="44"/>
      <c r="AF39" s="43"/>
      <c r="AG39" s="43"/>
      <c r="AH39" s="43"/>
      <c r="AI39" s="43"/>
      <c r="AJ39" s="43"/>
      <c r="AK39" s="43"/>
      <c r="AL39" s="43"/>
      <c r="AM39" s="43"/>
      <c r="AN39" s="43"/>
      <c r="AO39" s="44"/>
      <c r="AP39" s="6"/>
      <c r="AQ39" s="44"/>
      <c r="AR39" s="44"/>
      <c r="AS39" s="43"/>
      <c r="AT39" s="43"/>
      <c r="AU39" s="43"/>
      <c r="AV39" s="43"/>
      <c r="AW39" s="43"/>
      <c r="AX39" s="43"/>
      <c r="AY39" s="43"/>
      <c r="AZ39" s="43"/>
      <c r="BA39" s="43"/>
      <c r="BB39" s="44"/>
      <c r="BC39" s="42"/>
      <c r="BD39" s="44"/>
      <c r="BE39" s="44"/>
      <c r="BF39" s="43"/>
      <c r="BG39" s="43"/>
      <c r="BH39" s="43"/>
      <c r="BI39" s="43"/>
      <c r="BJ39" s="43"/>
      <c r="BK39" s="43"/>
      <c r="BL39" s="43"/>
      <c r="BM39" s="43"/>
      <c r="BN39" s="43"/>
      <c r="BO39" s="44"/>
      <c r="BQ39" s="44"/>
      <c r="BR39" s="44"/>
      <c r="BS39" s="43"/>
      <c r="BT39" s="43"/>
      <c r="BU39" s="43"/>
      <c r="BV39" s="43"/>
      <c r="BW39" s="43"/>
      <c r="BX39" s="43"/>
      <c r="BY39" s="43"/>
      <c r="BZ39" s="43"/>
      <c r="CA39" s="43"/>
      <c r="CB39" s="44"/>
      <c r="CC39" s="42"/>
      <c r="CD39" s="44"/>
      <c r="CE39" s="44"/>
      <c r="CF39" s="43"/>
      <c r="CG39" s="43"/>
      <c r="CH39" s="43"/>
      <c r="CI39" s="43"/>
      <c r="CJ39" s="43"/>
      <c r="CK39" s="43"/>
      <c r="CL39" s="43"/>
      <c r="CM39" s="43"/>
      <c r="CN39" s="43"/>
      <c r="CO39" s="44"/>
      <c r="CQ39" s="44"/>
      <c r="CR39" s="44"/>
      <c r="CS39" s="43"/>
      <c r="CT39" s="43"/>
      <c r="CU39" s="43"/>
      <c r="CV39" s="43"/>
      <c r="CW39" s="43"/>
      <c r="CX39" s="43"/>
      <c r="CY39" s="43"/>
      <c r="CZ39" s="43"/>
      <c r="DA39" s="43"/>
      <c r="DB39" s="44"/>
      <c r="DC39" s="42"/>
      <c r="DD39" s="44"/>
      <c r="DE39" s="44"/>
      <c r="DF39" s="43"/>
      <c r="DG39" s="43"/>
      <c r="DH39" s="43"/>
      <c r="DI39" s="43"/>
      <c r="DJ39" s="43"/>
      <c r="DK39" s="43"/>
      <c r="DL39" s="43"/>
      <c r="DM39" s="43"/>
      <c r="DN39" s="43"/>
      <c r="DO39" s="44"/>
    </row>
    <row r="40" spans="2:119" ht="14.25" customHeight="1" x14ac:dyDescent="0.45">
      <c r="B40" s="99"/>
      <c r="C40" s="42"/>
      <c r="D40" s="42"/>
      <c r="E40" s="42"/>
      <c r="F40" s="43"/>
      <c r="G40" s="43"/>
      <c r="H40" s="43"/>
      <c r="I40" s="43"/>
      <c r="J40" s="43"/>
      <c r="K40" s="43"/>
      <c r="L40" s="43"/>
      <c r="M40" s="43"/>
      <c r="N40" s="43"/>
      <c r="O40" s="44"/>
      <c r="P40" s="44"/>
      <c r="Q40" s="44"/>
      <c r="R40" s="44"/>
      <c r="S40" s="43"/>
      <c r="T40" s="43"/>
      <c r="U40" s="43"/>
      <c r="V40" s="43"/>
      <c r="W40" s="43"/>
      <c r="X40" s="43"/>
      <c r="Y40" s="43"/>
      <c r="Z40" s="43"/>
      <c r="AA40" s="43"/>
      <c r="AB40" s="44"/>
      <c r="AC40" s="42"/>
      <c r="AD40" s="44"/>
      <c r="AE40" s="44"/>
      <c r="AF40" s="43"/>
      <c r="AG40" s="43"/>
      <c r="AH40" s="43"/>
      <c r="AI40" s="43"/>
      <c r="AJ40" s="43"/>
      <c r="AK40" s="43"/>
      <c r="AL40" s="43"/>
      <c r="AM40" s="43"/>
      <c r="AN40" s="43"/>
      <c r="AO40" s="44"/>
      <c r="AP40" s="6"/>
      <c r="AQ40" s="44"/>
      <c r="AR40" s="44"/>
      <c r="AS40" s="43"/>
      <c r="AT40" s="43"/>
      <c r="AU40" s="43"/>
      <c r="AV40" s="43"/>
      <c r="AW40" s="43"/>
      <c r="AX40" s="43"/>
      <c r="AY40" s="43"/>
      <c r="AZ40" s="43"/>
      <c r="BA40" s="43"/>
      <c r="BB40" s="44"/>
      <c r="BC40" s="42"/>
      <c r="BD40" s="44"/>
      <c r="BE40" s="44"/>
      <c r="BF40" s="43"/>
      <c r="BG40" s="43"/>
      <c r="BH40" s="43"/>
      <c r="BI40" s="43"/>
      <c r="BJ40" s="43"/>
      <c r="BK40" s="43"/>
      <c r="BL40" s="43"/>
      <c r="BM40" s="43"/>
      <c r="BN40" s="43"/>
      <c r="BO40" s="44"/>
      <c r="BQ40" s="44"/>
      <c r="BR40" s="44"/>
      <c r="BS40" s="43"/>
      <c r="BT40" s="43"/>
      <c r="BU40" s="43"/>
      <c r="BV40" s="43"/>
      <c r="BW40" s="43"/>
      <c r="BX40" s="43"/>
      <c r="BY40" s="43"/>
      <c r="BZ40" s="43"/>
      <c r="CA40" s="43"/>
      <c r="CB40" s="44"/>
      <c r="CC40" s="42"/>
      <c r="CD40" s="44"/>
      <c r="CE40" s="44"/>
      <c r="CF40" s="43"/>
      <c r="CG40" s="43"/>
      <c r="CH40" s="43"/>
      <c r="CI40" s="43"/>
      <c r="CJ40" s="43"/>
      <c r="CK40" s="43"/>
      <c r="CL40" s="43"/>
      <c r="CM40" s="43"/>
      <c r="CN40" s="43"/>
      <c r="CO40" s="44"/>
      <c r="CQ40" s="44"/>
      <c r="CR40" s="44"/>
      <c r="CS40" s="43"/>
      <c r="CT40" s="43"/>
      <c r="CU40" s="43"/>
      <c r="CV40" s="43"/>
      <c r="CW40" s="43"/>
      <c r="CX40" s="43"/>
      <c r="CY40" s="43"/>
      <c r="CZ40" s="43"/>
      <c r="DA40" s="43"/>
      <c r="DB40" s="44"/>
      <c r="DC40" s="42"/>
      <c r="DD40" s="44"/>
      <c r="DE40" s="44"/>
      <c r="DF40" s="43"/>
      <c r="DG40" s="43"/>
      <c r="DH40" s="43"/>
      <c r="DI40" s="43"/>
      <c r="DJ40" s="43"/>
      <c r="DK40" s="43"/>
      <c r="DL40" s="43"/>
      <c r="DM40" s="43"/>
      <c r="DN40" s="43"/>
      <c r="DO40" s="44"/>
    </row>
    <row r="41" spans="2:119" ht="14.25" customHeight="1" x14ac:dyDescent="0.55000000000000004">
      <c r="B41" s="99"/>
      <c r="C41" s="42"/>
      <c r="D41" s="112" t="s">
        <v>24</v>
      </c>
      <c r="E41" s="112"/>
      <c r="F41" s="45"/>
      <c r="G41" s="45"/>
      <c r="H41" s="45"/>
      <c r="I41" s="45"/>
      <c r="J41" s="45"/>
      <c r="K41" s="45"/>
      <c r="L41" s="45"/>
      <c r="M41" s="45"/>
      <c r="N41" s="45"/>
      <c r="O41" s="45"/>
      <c r="P41" s="42"/>
      <c r="Q41" s="112" t="s">
        <v>24</v>
      </c>
      <c r="R41" s="112"/>
      <c r="S41" s="45"/>
      <c r="T41" s="45"/>
      <c r="U41" s="45"/>
      <c r="V41" s="45"/>
      <c r="W41" s="45"/>
      <c r="X41" s="45"/>
      <c r="Y41" s="45"/>
      <c r="Z41" s="45"/>
      <c r="AA41" s="45"/>
      <c r="AB41" s="45"/>
      <c r="AC41" s="42"/>
      <c r="AD41" s="112" t="s">
        <v>24</v>
      </c>
      <c r="AE41" s="112"/>
      <c r="AF41" s="45"/>
      <c r="AG41" s="45"/>
      <c r="AH41" s="45"/>
      <c r="AI41" s="45"/>
      <c r="AJ41" s="45"/>
      <c r="AK41" s="45"/>
      <c r="AL41" s="45"/>
      <c r="AM41" s="45"/>
      <c r="AN41" s="45"/>
      <c r="AO41" s="45"/>
      <c r="AP41" s="6"/>
      <c r="AQ41" s="112" t="s">
        <v>24</v>
      </c>
      <c r="AR41" s="112"/>
      <c r="AS41" s="45"/>
      <c r="AT41" s="45"/>
      <c r="AU41" s="45"/>
      <c r="AV41" s="45"/>
      <c r="AW41" s="45"/>
      <c r="AX41" s="45"/>
      <c r="AY41" s="45"/>
      <c r="AZ41" s="45"/>
      <c r="BA41" s="45"/>
      <c r="BB41" s="45"/>
      <c r="BC41" s="42"/>
      <c r="BD41" s="112" t="s">
        <v>24</v>
      </c>
      <c r="BE41" s="112"/>
      <c r="BF41" s="45"/>
      <c r="BG41" s="45"/>
      <c r="BH41" s="45"/>
      <c r="BI41" s="45"/>
      <c r="BJ41" s="45"/>
      <c r="BK41" s="45"/>
      <c r="BL41" s="45"/>
      <c r="BM41" s="45"/>
      <c r="BN41" s="45"/>
      <c r="BO41" s="45"/>
      <c r="BQ41" s="112" t="s">
        <v>24</v>
      </c>
      <c r="BR41" s="112"/>
      <c r="BS41" s="45"/>
      <c r="BT41" s="45"/>
      <c r="BU41" s="45"/>
      <c r="BV41" s="45"/>
      <c r="BW41" s="45"/>
      <c r="BX41" s="45"/>
      <c r="BY41" s="45"/>
      <c r="BZ41" s="45"/>
      <c r="CA41" s="45"/>
      <c r="CB41" s="45"/>
      <c r="CC41" s="42"/>
      <c r="CD41" s="112" t="s">
        <v>24</v>
      </c>
      <c r="CE41" s="112"/>
      <c r="CF41" s="45"/>
      <c r="CG41" s="45"/>
      <c r="CH41" s="45"/>
      <c r="CI41" s="45"/>
      <c r="CJ41" s="45"/>
      <c r="CK41" s="45"/>
      <c r="CL41" s="45"/>
      <c r="CM41" s="45"/>
      <c r="CN41" s="45"/>
      <c r="CO41" s="45"/>
      <c r="CQ41" s="112" t="s">
        <v>24</v>
      </c>
      <c r="CR41" s="112"/>
      <c r="CS41" s="45"/>
      <c r="CT41" s="45"/>
      <c r="CU41" s="45"/>
      <c r="CV41" s="45"/>
      <c r="CW41" s="45"/>
      <c r="CX41" s="45"/>
      <c r="CY41" s="45"/>
      <c r="CZ41" s="45"/>
      <c r="DA41" s="45"/>
      <c r="DB41" s="45"/>
      <c r="DC41" s="42"/>
      <c r="DD41" s="112" t="s">
        <v>24</v>
      </c>
      <c r="DE41" s="112"/>
      <c r="DF41" s="45"/>
      <c r="DG41" s="45"/>
      <c r="DH41" s="45"/>
      <c r="DI41" s="45"/>
      <c r="DJ41" s="45"/>
      <c r="DK41" s="45"/>
      <c r="DL41" s="45"/>
      <c r="DM41" s="45"/>
      <c r="DN41" s="45"/>
      <c r="DO41" s="45"/>
    </row>
    <row r="42" spans="2:119" ht="28.9" customHeight="1" x14ac:dyDescent="0.45">
      <c r="B42" s="99"/>
      <c r="C42" s="42"/>
      <c r="D42" s="112"/>
      <c r="E42" s="112"/>
      <c r="F42" s="108" t="s">
        <v>12</v>
      </c>
      <c r="G42" s="108"/>
      <c r="H42" s="108"/>
      <c r="I42" s="108"/>
      <c r="J42" s="108"/>
      <c r="K42" s="108"/>
      <c r="L42" s="108"/>
      <c r="M42" s="108"/>
      <c r="N42" s="108"/>
      <c r="O42" s="108"/>
      <c r="P42" s="42"/>
      <c r="Q42" s="112"/>
      <c r="R42" s="112"/>
      <c r="S42" s="108" t="s">
        <v>12</v>
      </c>
      <c r="T42" s="108"/>
      <c r="U42" s="108"/>
      <c r="V42" s="108"/>
      <c r="W42" s="108"/>
      <c r="X42" s="108"/>
      <c r="Y42" s="108"/>
      <c r="Z42" s="108"/>
      <c r="AA42" s="108"/>
      <c r="AB42" s="108"/>
      <c r="AC42" s="42"/>
      <c r="AD42" s="112"/>
      <c r="AE42" s="112"/>
      <c r="AF42" s="108" t="s">
        <v>12</v>
      </c>
      <c r="AG42" s="108"/>
      <c r="AH42" s="108"/>
      <c r="AI42" s="108"/>
      <c r="AJ42" s="108"/>
      <c r="AK42" s="108"/>
      <c r="AL42" s="108"/>
      <c r="AM42" s="108"/>
      <c r="AN42" s="108"/>
      <c r="AO42" s="108"/>
      <c r="AP42" s="6"/>
      <c r="AQ42" s="112"/>
      <c r="AR42" s="112"/>
      <c r="AS42" s="108" t="s">
        <v>12</v>
      </c>
      <c r="AT42" s="108"/>
      <c r="AU42" s="108"/>
      <c r="AV42" s="108"/>
      <c r="AW42" s="108"/>
      <c r="AX42" s="108"/>
      <c r="AY42" s="108"/>
      <c r="AZ42" s="108"/>
      <c r="BA42" s="108"/>
      <c r="BB42" s="108"/>
      <c r="BC42" s="42"/>
      <c r="BD42" s="112"/>
      <c r="BE42" s="112"/>
      <c r="BF42" s="108" t="s">
        <v>12</v>
      </c>
      <c r="BG42" s="108"/>
      <c r="BH42" s="108"/>
      <c r="BI42" s="108"/>
      <c r="BJ42" s="108"/>
      <c r="BK42" s="108"/>
      <c r="BL42" s="108"/>
      <c r="BM42" s="108"/>
      <c r="BN42" s="108"/>
      <c r="BO42" s="108"/>
      <c r="BQ42" s="112"/>
      <c r="BR42" s="112"/>
      <c r="BS42" s="108" t="s">
        <v>12</v>
      </c>
      <c r="BT42" s="108"/>
      <c r="BU42" s="108"/>
      <c r="BV42" s="108"/>
      <c r="BW42" s="108"/>
      <c r="BX42" s="108"/>
      <c r="BY42" s="108"/>
      <c r="BZ42" s="108"/>
      <c r="CA42" s="108"/>
      <c r="CB42" s="108"/>
      <c r="CC42" s="42"/>
      <c r="CD42" s="112"/>
      <c r="CE42" s="112"/>
      <c r="CF42" s="108" t="s">
        <v>12</v>
      </c>
      <c r="CG42" s="108"/>
      <c r="CH42" s="108"/>
      <c r="CI42" s="108"/>
      <c r="CJ42" s="108"/>
      <c r="CK42" s="108"/>
      <c r="CL42" s="108"/>
      <c r="CM42" s="108"/>
      <c r="CN42" s="108"/>
      <c r="CO42" s="108"/>
      <c r="CQ42" s="112"/>
      <c r="CR42" s="112"/>
      <c r="CS42" s="108" t="s">
        <v>12</v>
      </c>
      <c r="CT42" s="108"/>
      <c r="CU42" s="108"/>
      <c r="CV42" s="108"/>
      <c r="CW42" s="108"/>
      <c r="CX42" s="108"/>
      <c r="CY42" s="108"/>
      <c r="CZ42" s="108"/>
      <c r="DA42" s="108"/>
      <c r="DB42" s="108"/>
      <c r="DC42" s="42"/>
      <c r="DD42" s="112"/>
      <c r="DE42" s="112"/>
      <c r="DF42" s="108" t="s">
        <v>12</v>
      </c>
      <c r="DG42" s="108"/>
      <c r="DH42" s="108"/>
      <c r="DI42" s="108"/>
      <c r="DJ42" s="108"/>
      <c r="DK42" s="108"/>
      <c r="DL42" s="108"/>
      <c r="DM42" s="108"/>
      <c r="DN42" s="108"/>
      <c r="DO42" s="108"/>
    </row>
    <row r="43" spans="2:119" ht="14.25" customHeight="1" x14ac:dyDescent="0.45">
      <c r="B43" s="99"/>
      <c r="C43" s="42"/>
      <c r="D43" s="113"/>
      <c r="E43" s="113"/>
      <c r="F43" s="9" t="s">
        <v>0</v>
      </c>
      <c r="G43" s="9">
        <v>1</v>
      </c>
      <c r="H43" s="9">
        <v>2</v>
      </c>
      <c r="I43" s="9">
        <v>3</v>
      </c>
      <c r="J43" s="9">
        <v>4</v>
      </c>
      <c r="K43" s="9">
        <v>5</v>
      </c>
      <c r="L43" s="9">
        <v>6</v>
      </c>
      <c r="M43" s="9">
        <v>7</v>
      </c>
      <c r="N43" s="9">
        <v>8</v>
      </c>
      <c r="O43" s="9">
        <v>9</v>
      </c>
      <c r="P43" s="42"/>
      <c r="Q43" s="113"/>
      <c r="R43" s="113"/>
      <c r="S43" s="9" t="s">
        <v>0</v>
      </c>
      <c r="T43" s="9">
        <v>1</v>
      </c>
      <c r="U43" s="9">
        <v>2</v>
      </c>
      <c r="V43" s="9">
        <v>3</v>
      </c>
      <c r="W43" s="9">
        <v>4</v>
      </c>
      <c r="X43" s="9">
        <v>5</v>
      </c>
      <c r="Y43" s="9">
        <v>6</v>
      </c>
      <c r="Z43" s="9">
        <v>7</v>
      </c>
      <c r="AA43" s="9">
        <v>8</v>
      </c>
      <c r="AB43" s="9">
        <v>9</v>
      </c>
      <c r="AC43" s="42"/>
      <c r="AD43" s="113"/>
      <c r="AE43" s="113"/>
      <c r="AF43" s="9" t="s">
        <v>0</v>
      </c>
      <c r="AG43" s="9">
        <v>1</v>
      </c>
      <c r="AH43" s="9">
        <v>2</v>
      </c>
      <c r="AI43" s="9">
        <v>3</v>
      </c>
      <c r="AJ43" s="9">
        <v>4</v>
      </c>
      <c r="AK43" s="9">
        <v>5</v>
      </c>
      <c r="AL43" s="9">
        <v>6</v>
      </c>
      <c r="AM43" s="9">
        <v>7</v>
      </c>
      <c r="AN43" s="9">
        <v>8</v>
      </c>
      <c r="AO43" s="9">
        <v>9</v>
      </c>
      <c r="AP43" s="6"/>
      <c r="AQ43" s="113"/>
      <c r="AR43" s="113"/>
      <c r="AS43" s="9" t="s">
        <v>0</v>
      </c>
      <c r="AT43" s="9">
        <v>1</v>
      </c>
      <c r="AU43" s="9">
        <v>2</v>
      </c>
      <c r="AV43" s="9">
        <v>3</v>
      </c>
      <c r="AW43" s="9">
        <v>4</v>
      </c>
      <c r="AX43" s="9">
        <v>5</v>
      </c>
      <c r="AY43" s="9">
        <v>6</v>
      </c>
      <c r="AZ43" s="9">
        <v>7</v>
      </c>
      <c r="BA43" s="9">
        <v>8</v>
      </c>
      <c r="BB43" s="9">
        <v>9</v>
      </c>
      <c r="BC43" s="42"/>
      <c r="BD43" s="113"/>
      <c r="BE43" s="113"/>
      <c r="BF43" s="9" t="s">
        <v>0</v>
      </c>
      <c r="BG43" s="9">
        <v>1</v>
      </c>
      <c r="BH43" s="9">
        <v>2</v>
      </c>
      <c r="BI43" s="9">
        <v>3</v>
      </c>
      <c r="BJ43" s="9">
        <v>4</v>
      </c>
      <c r="BK43" s="9">
        <v>5</v>
      </c>
      <c r="BL43" s="9">
        <v>6</v>
      </c>
      <c r="BM43" s="9">
        <v>7</v>
      </c>
      <c r="BN43" s="9">
        <v>8</v>
      </c>
      <c r="BO43" s="9">
        <v>9</v>
      </c>
      <c r="BQ43" s="113"/>
      <c r="BR43" s="113"/>
      <c r="BS43" s="9" t="s">
        <v>0</v>
      </c>
      <c r="BT43" s="9">
        <v>1</v>
      </c>
      <c r="BU43" s="9">
        <v>2</v>
      </c>
      <c r="BV43" s="9">
        <v>3</v>
      </c>
      <c r="BW43" s="9">
        <v>4</v>
      </c>
      <c r="BX43" s="9">
        <v>5</v>
      </c>
      <c r="BY43" s="9">
        <v>6</v>
      </c>
      <c r="BZ43" s="9">
        <v>7</v>
      </c>
      <c r="CA43" s="9">
        <v>8</v>
      </c>
      <c r="CB43" s="9">
        <v>9</v>
      </c>
      <c r="CC43" s="42"/>
      <c r="CD43" s="113"/>
      <c r="CE43" s="113"/>
      <c r="CF43" s="9" t="s">
        <v>0</v>
      </c>
      <c r="CG43" s="9">
        <v>1</v>
      </c>
      <c r="CH43" s="9">
        <v>2</v>
      </c>
      <c r="CI43" s="9">
        <v>3</v>
      </c>
      <c r="CJ43" s="9">
        <v>4</v>
      </c>
      <c r="CK43" s="9">
        <v>5</v>
      </c>
      <c r="CL43" s="9">
        <v>6</v>
      </c>
      <c r="CM43" s="9">
        <v>7</v>
      </c>
      <c r="CN43" s="9">
        <v>8</v>
      </c>
      <c r="CO43" s="9">
        <v>9</v>
      </c>
      <c r="CQ43" s="113"/>
      <c r="CR43" s="113"/>
      <c r="CS43" s="9" t="s">
        <v>0</v>
      </c>
      <c r="CT43" s="9">
        <v>1</v>
      </c>
      <c r="CU43" s="9">
        <v>2</v>
      </c>
      <c r="CV43" s="9">
        <v>3</v>
      </c>
      <c r="CW43" s="9">
        <v>4</v>
      </c>
      <c r="CX43" s="9">
        <v>5</v>
      </c>
      <c r="CY43" s="9">
        <v>6</v>
      </c>
      <c r="CZ43" s="9">
        <v>7</v>
      </c>
      <c r="DA43" s="9">
        <v>8</v>
      </c>
      <c r="DB43" s="9">
        <v>9</v>
      </c>
      <c r="DC43" s="42"/>
      <c r="DD43" s="113"/>
      <c r="DE43" s="113"/>
      <c r="DF43" s="9" t="s">
        <v>0</v>
      </c>
      <c r="DG43" s="9">
        <v>1</v>
      </c>
      <c r="DH43" s="9">
        <v>2</v>
      </c>
      <c r="DI43" s="9">
        <v>3</v>
      </c>
      <c r="DJ43" s="9">
        <v>4</v>
      </c>
      <c r="DK43" s="9">
        <v>5</v>
      </c>
      <c r="DL43" s="9">
        <v>6</v>
      </c>
      <c r="DM43" s="9">
        <v>7</v>
      </c>
      <c r="DN43" s="9">
        <v>8</v>
      </c>
      <c r="DO43" s="9">
        <v>9</v>
      </c>
    </row>
    <row r="44" spans="2:119" ht="14.25" customHeight="1" x14ac:dyDescent="0.45">
      <c r="B44" s="135" t="s">
        <v>27</v>
      </c>
      <c r="C44" s="42"/>
      <c r="D44" s="109" t="s">
        <v>13</v>
      </c>
      <c r="E44" s="46" t="s">
        <v>1</v>
      </c>
      <c r="F44" s="103">
        <v>9</v>
      </c>
      <c r="G44" s="103">
        <v>7</v>
      </c>
      <c r="H44" s="103">
        <v>12</v>
      </c>
      <c r="I44" s="103">
        <v>17</v>
      </c>
      <c r="J44" s="103">
        <v>16</v>
      </c>
      <c r="K44" s="103">
        <v>6</v>
      </c>
      <c r="L44" s="103">
        <v>4</v>
      </c>
      <c r="M44" s="103">
        <v>1</v>
      </c>
      <c r="N44" s="103">
        <v>0</v>
      </c>
      <c r="O44" s="17">
        <v>0</v>
      </c>
      <c r="P44" s="42"/>
      <c r="Q44" s="109" t="s">
        <v>13</v>
      </c>
      <c r="R44" s="46" t="s">
        <v>1</v>
      </c>
      <c r="S44" s="103">
        <v>5</v>
      </c>
      <c r="T44" s="103">
        <v>1</v>
      </c>
      <c r="U44" s="103">
        <v>2</v>
      </c>
      <c r="V44" s="103">
        <v>7</v>
      </c>
      <c r="W44" s="103">
        <v>9</v>
      </c>
      <c r="X44" s="103">
        <v>6</v>
      </c>
      <c r="Y44" s="103">
        <v>1</v>
      </c>
      <c r="Z44" s="103">
        <v>0</v>
      </c>
      <c r="AA44" s="103">
        <v>0</v>
      </c>
      <c r="AB44" s="17">
        <v>0</v>
      </c>
      <c r="AC44" s="42"/>
      <c r="AD44" s="109" t="s">
        <v>13</v>
      </c>
      <c r="AE44" s="46" t="s">
        <v>1</v>
      </c>
      <c r="AF44" s="103">
        <v>4</v>
      </c>
      <c r="AG44" s="103">
        <v>6</v>
      </c>
      <c r="AH44" s="103">
        <v>10</v>
      </c>
      <c r="AI44" s="103">
        <v>10</v>
      </c>
      <c r="AJ44" s="103">
        <v>7</v>
      </c>
      <c r="AK44" s="103">
        <v>0</v>
      </c>
      <c r="AL44" s="103">
        <v>3</v>
      </c>
      <c r="AM44" s="103">
        <v>1</v>
      </c>
      <c r="AN44" s="103">
        <v>0</v>
      </c>
      <c r="AO44" s="17">
        <v>0</v>
      </c>
      <c r="AP44" s="6"/>
      <c r="AQ44" s="109" t="s">
        <v>13</v>
      </c>
      <c r="AR44" s="46" t="s">
        <v>1</v>
      </c>
      <c r="AS44" s="103">
        <v>6</v>
      </c>
      <c r="AT44" s="103">
        <v>5</v>
      </c>
      <c r="AU44" s="103">
        <v>5</v>
      </c>
      <c r="AV44" s="103">
        <v>9</v>
      </c>
      <c r="AW44" s="103">
        <v>9</v>
      </c>
      <c r="AX44" s="103">
        <v>1</v>
      </c>
      <c r="AY44" s="103">
        <v>3</v>
      </c>
      <c r="AZ44" s="103">
        <v>0</v>
      </c>
      <c r="BA44" s="103">
        <v>0</v>
      </c>
      <c r="BB44" s="17">
        <v>0</v>
      </c>
      <c r="BC44" s="42"/>
      <c r="BD44" s="109" t="s">
        <v>13</v>
      </c>
      <c r="BE44" s="46" t="s">
        <v>1</v>
      </c>
      <c r="BF44" s="103">
        <v>3</v>
      </c>
      <c r="BG44" s="103">
        <v>2</v>
      </c>
      <c r="BH44" s="103">
        <v>7</v>
      </c>
      <c r="BI44" s="103">
        <v>8</v>
      </c>
      <c r="BJ44" s="103">
        <v>7</v>
      </c>
      <c r="BK44" s="103">
        <v>5</v>
      </c>
      <c r="BL44" s="103">
        <v>1</v>
      </c>
      <c r="BM44" s="103">
        <v>1</v>
      </c>
      <c r="BN44" s="103">
        <v>0</v>
      </c>
      <c r="BO44" s="17">
        <v>0</v>
      </c>
      <c r="BQ44" s="109" t="s">
        <v>13</v>
      </c>
      <c r="BR44" s="46" t="s">
        <v>1</v>
      </c>
      <c r="BS44" s="103">
        <v>3</v>
      </c>
      <c r="BT44" s="103">
        <v>5</v>
      </c>
      <c r="BU44" s="103">
        <v>4</v>
      </c>
      <c r="BV44" s="103">
        <v>2</v>
      </c>
      <c r="BW44" s="103">
        <v>6</v>
      </c>
      <c r="BX44" s="103">
        <v>1</v>
      </c>
      <c r="BY44" s="103">
        <v>2</v>
      </c>
      <c r="BZ44" s="103">
        <v>1</v>
      </c>
      <c r="CA44" s="103">
        <v>0</v>
      </c>
      <c r="CB44" s="17">
        <v>0</v>
      </c>
      <c r="CC44" s="42"/>
      <c r="CD44" s="109" t="s">
        <v>13</v>
      </c>
      <c r="CE44" s="46" t="s">
        <v>1</v>
      </c>
      <c r="CF44" s="103">
        <v>6</v>
      </c>
      <c r="CG44" s="103">
        <v>2</v>
      </c>
      <c r="CH44" s="103">
        <v>8</v>
      </c>
      <c r="CI44" s="103">
        <v>15</v>
      </c>
      <c r="CJ44" s="103">
        <v>10</v>
      </c>
      <c r="CK44" s="103">
        <v>5</v>
      </c>
      <c r="CL44" s="103">
        <v>2</v>
      </c>
      <c r="CM44" s="103">
        <v>0</v>
      </c>
      <c r="CN44" s="103">
        <v>0</v>
      </c>
      <c r="CO44" s="17">
        <v>0</v>
      </c>
      <c r="CQ44" s="109" t="s">
        <v>13</v>
      </c>
      <c r="CR44" s="46" t="s">
        <v>1</v>
      </c>
      <c r="CS44" s="103">
        <v>8</v>
      </c>
      <c r="CT44" s="103">
        <v>6</v>
      </c>
      <c r="CU44" s="103">
        <v>12</v>
      </c>
      <c r="CV44" s="103">
        <v>16</v>
      </c>
      <c r="CW44" s="103">
        <v>16</v>
      </c>
      <c r="CX44" s="103">
        <v>4</v>
      </c>
      <c r="CY44" s="103">
        <v>3</v>
      </c>
      <c r="CZ44" s="103">
        <v>0</v>
      </c>
      <c r="DA44" s="103">
        <v>0</v>
      </c>
      <c r="DB44" s="17">
        <v>0</v>
      </c>
      <c r="DC44" s="42"/>
      <c r="DD44" s="109" t="s">
        <v>13</v>
      </c>
      <c r="DE44" s="46" t="s">
        <v>1</v>
      </c>
      <c r="DF44" s="103">
        <v>1</v>
      </c>
      <c r="DG44" s="103">
        <v>1</v>
      </c>
      <c r="DH44" s="103">
        <v>0</v>
      </c>
      <c r="DI44" s="103">
        <v>1</v>
      </c>
      <c r="DJ44" s="103">
        <v>0</v>
      </c>
      <c r="DK44" s="103">
        <v>2</v>
      </c>
      <c r="DL44" s="103">
        <v>1</v>
      </c>
      <c r="DM44" s="103">
        <v>1</v>
      </c>
      <c r="DN44" s="103">
        <v>0</v>
      </c>
      <c r="DO44" s="17">
        <v>0</v>
      </c>
    </row>
    <row r="45" spans="2:119" ht="14.25" customHeight="1" x14ac:dyDescent="0.45">
      <c r="B45" s="135"/>
      <c r="C45" s="42"/>
      <c r="D45" s="110"/>
      <c r="E45" s="46">
        <v>1</v>
      </c>
      <c r="F45" s="103">
        <v>73</v>
      </c>
      <c r="G45" s="103">
        <v>78</v>
      </c>
      <c r="H45" s="103">
        <v>56</v>
      </c>
      <c r="I45" s="103">
        <v>48</v>
      </c>
      <c r="J45" s="103">
        <v>25</v>
      </c>
      <c r="K45" s="103">
        <v>11</v>
      </c>
      <c r="L45" s="103">
        <v>5</v>
      </c>
      <c r="M45" s="103">
        <v>6</v>
      </c>
      <c r="N45" s="103">
        <v>2</v>
      </c>
      <c r="O45" s="103">
        <v>3</v>
      </c>
      <c r="P45" s="42"/>
      <c r="Q45" s="110"/>
      <c r="R45" s="46">
        <v>1</v>
      </c>
      <c r="S45" s="103">
        <v>29</v>
      </c>
      <c r="T45" s="103">
        <v>34</v>
      </c>
      <c r="U45" s="103">
        <v>24</v>
      </c>
      <c r="V45" s="103">
        <v>28</v>
      </c>
      <c r="W45" s="103">
        <v>17</v>
      </c>
      <c r="X45" s="103">
        <v>7</v>
      </c>
      <c r="Y45" s="103">
        <v>2</v>
      </c>
      <c r="Z45" s="103">
        <v>5</v>
      </c>
      <c r="AA45" s="103">
        <v>1</v>
      </c>
      <c r="AB45" s="103">
        <v>1</v>
      </c>
      <c r="AC45" s="42"/>
      <c r="AD45" s="110"/>
      <c r="AE45" s="46">
        <v>1</v>
      </c>
      <c r="AF45" s="103">
        <v>44</v>
      </c>
      <c r="AG45" s="103">
        <v>44</v>
      </c>
      <c r="AH45" s="103">
        <v>32</v>
      </c>
      <c r="AI45" s="103">
        <v>20</v>
      </c>
      <c r="AJ45" s="103">
        <v>8</v>
      </c>
      <c r="AK45" s="103">
        <v>4</v>
      </c>
      <c r="AL45" s="103">
        <v>3</v>
      </c>
      <c r="AM45" s="103">
        <v>1</v>
      </c>
      <c r="AN45" s="103">
        <v>1</v>
      </c>
      <c r="AO45" s="103">
        <v>2</v>
      </c>
      <c r="AP45" s="6"/>
      <c r="AQ45" s="110"/>
      <c r="AR45" s="46">
        <v>1</v>
      </c>
      <c r="AS45" s="103">
        <v>43</v>
      </c>
      <c r="AT45" s="103">
        <v>43</v>
      </c>
      <c r="AU45" s="103">
        <v>34</v>
      </c>
      <c r="AV45" s="103">
        <v>20</v>
      </c>
      <c r="AW45" s="103">
        <v>11</v>
      </c>
      <c r="AX45" s="103">
        <v>5</v>
      </c>
      <c r="AY45" s="103">
        <v>0</v>
      </c>
      <c r="AZ45" s="103">
        <v>0</v>
      </c>
      <c r="BA45" s="103">
        <v>1</v>
      </c>
      <c r="BB45" s="103">
        <v>2</v>
      </c>
      <c r="BC45" s="42"/>
      <c r="BD45" s="110"/>
      <c r="BE45" s="46">
        <v>1</v>
      </c>
      <c r="BF45" s="103">
        <v>30</v>
      </c>
      <c r="BG45" s="103">
        <v>35</v>
      </c>
      <c r="BH45" s="103">
        <v>22</v>
      </c>
      <c r="BI45" s="103">
        <v>28</v>
      </c>
      <c r="BJ45" s="103">
        <v>14</v>
      </c>
      <c r="BK45" s="103">
        <v>6</v>
      </c>
      <c r="BL45" s="103">
        <v>5</v>
      </c>
      <c r="BM45" s="103">
        <v>6</v>
      </c>
      <c r="BN45" s="103">
        <v>1</v>
      </c>
      <c r="BO45" s="103">
        <v>1</v>
      </c>
      <c r="BQ45" s="110"/>
      <c r="BR45" s="46">
        <v>1</v>
      </c>
      <c r="BS45" s="103">
        <v>52</v>
      </c>
      <c r="BT45" s="103">
        <v>58</v>
      </c>
      <c r="BU45" s="103">
        <v>41</v>
      </c>
      <c r="BV45" s="103">
        <v>20</v>
      </c>
      <c r="BW45" s="103">
        <v>6</v>
      </c>
      <c r="BX45" s="103">
        <v>1</v>
      </c>
      <c r="BY45" s="103">
        <v>0</v>
      </c>
      <c r="BZ45" s="103">
        <v>0</v>
      </c>
      <c r="CA45" s="103">
        <v>0</v>
      </c>
      <c r="CB45" s="103">
        <v>1</v>
      </c>
      <c r="CC45" s="42"/>
      <c r="CD45" s="110"/>
      <c r="CE45" s="46">
        <v>1</v>
      </c>
      <c r="CF45" s="103">
        <v>21</v>
      </c>
      <c r="CG45" s="103">
        <v>20</v>
      </c>
      <c r="CH45" s="103">
        <v>15</v>
      </c>
      <c r="CI45" s="103">
        <v>28</v>
      </c>
      <c r="CJ45" s="103">
        <v>19</v>
      </c>
      <c r="CK45" s="103">
        <v>10</v>
      </c>
      <c r="CL45" s="103">
        <v>5</v>
      </c>
      <c r="CM45" s="103">
        <v>6</v>
      </c>
      <c r="CN45" s="103">
        <v>2</v>
      </c>
      <c r="CO45" s="103">
        <v>2</v>
      </c>
      <c r="CQ45" s="110"/>
      <c r="CR45" s="46">
        <v>1</v>
      </c>
      <c r="CS45" s="103">
        <v>48</v>
      </c>
      <c r="CT45" s="103">
        <v>45</v>
      </c>
      <c r="CU45" s="103">
        <v>26</v>
      </c>
      <c r="CV45" s="103">
        <v>39</v>
      </c>
      <c r="CW45" s="103">
        <v>20</v>
      </c>
      <c r="CX45" s="103">
        <v>10</v>
      </c>
      <c r="CY45" s="103">
        <v>5</v>
      </c>
      <c r="CZ45" s="103">
        <v>6</v>
      </c>
      <c r="DA45" s="103">
        <v>2</v>
      </c>
      <c r="DB45" s="103">
        <v>2</v>
      </c>
      <c r="DC45" s="42"/>
      <c r="DD45" s="110"/>
      <c r="DE45" s="46">
        <v>1</v>
      </c>
      <c r="DF45" s="103">
        <v>25</v>
      </c>
      <c r="DG45" s="103">
        <v>33</v>
      </c>
      <c r="DH45" s="103">
        <v>30</v>
      </c>
      <c r="DI45" s="103">
        <v>9</v>
      </c>
      <c r="DJ45" s="103">
        <v>5</v>
      </c>
      <c r="DK45" s="103">
        <v>1</v>
      </c>
      <c r="DL45" s="103">
        <v>0</v>
      </c>
      <c r="DM45" s="103">
        <v>0</v>
      </c>
      <c r="DN45" s="103">
        <v>0</v>
      </c>
      <c r="DO45" s="103">
        <v>1</v>
      </c>
    </row>
    <row r="46" spans="2:119" ht="14.25" customHeight="1" x14ac:dyDescent="0.45">
      <c r="B46" s="135"/>
      <c r="C46" s="42"/>
      <c r="D46" s="110"/>
      <c r="E46" s="46" t="s">
        <v>2</v>
      </c>
      <c r="F46" s="103">
        <v>1165</v>
      </c>
      <c r="G46" s="103">
        <v>2553</v>
      </c>
      <c r="H46" s="103">
        <v>2817</v>
      </c>
      <c r="I46" s="103">
        <v>2075</v>
      </c>
      <c r="J46" s="103">
        <v>907</v>
      </c>
      <c r="K46" s="103">
        <v>372</v>
      </c>
      <c r="L46" s="103">
        <v>124</v>
      </c>
      <c r="M46" s="103">
        <v>40</v>
      </c>
      <c r="N46" s="103">
        <v>12</v>
      </c>
      <c r="O46" s="103">
        <v>1</v>
      </c>
      <c r="P46" s="42"/>
      <c r="Q46" s="110"/>
      <c r="R46" s="46" t="s">
        <v>2</v>
      </c>
      <c r="S46" s="103">
        <v>365</v>
      </c>
      <c r="T46" s="103">
        <v>1006</v>
      </c>
      <c r="U46" s="103">
        <v>1239</v>
      </c>
      <c r="V46" s="103">
        <v>1076</v>
      </c>
      <c r="W46" s="103">
        <v>482</v>
      </c>
      <c r="X46" s="103">
        <v>199</v>
      </c>
      <c r="Y46" s="103">
        <v>75</v>
      </c>
      <c r="Z46" s="103">
        <v>27</v>
      </c>
      <c r="AA46" s="103">
        <v>9</v>
      </c>
      <c r="AB46" s="103">
        <v>1</v>
      </c>
      <c r="AC46" s="42"/>
      <c r="AD46" s="110"/>
      <c r="AE46" s="46" t="s">
        <v>2</v>
      </c>
      <c r="AF46" s="103">
        <v>800</v>
      </c>
      <c r="AG46" s="103">
        <v>1547</v>
      </c>
      <c r="AH46" s="103">
        <v>1578</v>
      </c>
      <c r="AI46" s="103">
        <v>999</v>
      </c>
      <c r="AJ46" s="103">
        <v>425</v>
      </c>
      <c r="AK46" s="103">
        <v>173</v>
      </c>
      <c r="AL46" s="103">
        <v>49</v>
      </c>
      <c r="AM46" s="103">
        <v>13</v>
      </c>
      <c r="AN46" s="103">
        <v>3</v>
      </c>
      <c r="AO46" s="103">
        <v>0</v>
      </c>
      <c r="AP46" s="6"/>
      <c r="AQ46" s="110"/>
      <c r="AR46" s="46" t="s">
        <v>2</v>
      </c>
      <c r="AS46" s="103">
        <v>753</v>
      </c>
      <c r="AT46" s="103">
        <v>1415</v>
      </c>
      <c r="AU46" s="103">
        <v>1429</v>
      </c>
      <c r="AV46" s="103">
        <v>957</v>
      </c>
      <c r="AW46" s="103">
        <v>386</v>
      </c>
      <c r="AX46" s="103">
        <v>141</v>
      </c>
      <c r="AY46" s="103">
        <v>41</v>
      </c>
      <c r="AZ46" s="103">
        <v>11</v>
      </c>
      <c r="BA46" s="103">
        <v>5</v>
      </c>
      <c r="BB46" s="103">
        <v>0</v>
      </c>
      <c r="BC46" s="42"/>
      <c r="BD46" s="110"/>
      <c r="BE46" s="46" t="s">
        <v>2</v>
      </c>
      <c r="BF46" s="103">
        <v>412</v>
      </c>
      <c r="BG46" s="103">
        <v>1138</v>
      </c>
      <c r="BH46" s="103">
        <v>1388</v>
      </c>
      <c r="BI46" s="103">
        <v>1118</v>
      </c>
      <c r="BJ46" s="103">
        <v>521</v>
      </c>
      <c r="BK46" s="103">
        <v>231</v>
      </c>
      <c r="BL46" s="103">
        <v>83</v>
      </c>
      <c r="BM46" s="103">
        <v>29</v>
      </c>
      <c r="BN46" s="103">
        <v>7</v>
      </c>
      <c r="BO46" s="103">
        <v>1</v>
      </c>
      <c r="BQ46" s="110"/>
      <c r="BR46" s="46" t="s">
        <v>2</v>
      </c>
      <c r="BS46" s="103">
        <v>904</v>
      </c>
      <c r="BT46" s="103">
        <v>1963</v>
      </c>
      <c r="BU46" s="103">
        <v>2008</v>
      </c>
      <c r="BV46" s="103">
        <v>1333</v>
      </c>
      <c r="BW46" s="103">
        <v>480</v>
      </c>
      <c r="BX46" s="103">
        <v>168</v>
      </c>
      <c r="BY46" s="103">
        <v>39</v>
      </c>
      <c r="BZ46" s="103">
        <v>14</v>
      </c>
      <c r="CA46" s="103">
        <v>4</v>
      </c>
      <c r="CB46" s="103">
        <v>0</v>
      </c>
      <c r="CC46" s="42"/>
      <c r="CD46" s="110"/>
      <c r="CE46" s="46" t="s">
        <v>2</v>
      </c>
      <c r="CF46" s="103">
        <v>261</v>
      </c>
      <c r="CG46" s="103">
        <v>590</v>
      </c>
      <c r="CH46" s="103">
        <v>809</v>
      </c>
      <c r="CI46" s="103">
        <v>742</v>
      </c>
      <c r="CJ46" s="103">
        <v>427</v>
      </c>
      <c r="CK46" s="103">
        <v>204</v>
      </c>
      <c r="CL46" s="103">
        <v>85</v>
      </c>
      <c r="CM46" s="103">
        <v>26</v>
      </c>
      <c r="CN46" s="103">
        <v>8</v>
      </c>
      <c r="CO46" s="103">
        <v>1</v>
      </c>
      <c r="CQ46" s="110"/>
      <c r="CR46" s="46" t="s">
        <v>2</v>
      </c>
      <c r="CS46" s="103">
        <v>257</v>
      </c>
      <c r="CT46" s="103">
        <v>513</v>
      </c>
      <c r="CU46" s="103">
        <v>695</v>
      </c>
      <c r="CV46" s="103">
        <v>689</v>
      </c>
      <c r="CW46" s="103">
        <v>428</v>
      </c>
      <c r="CX46" s="103">
        <v>203</v>
      </c>
      <c r="CY46" s="103">
        <v>95</v>
      </c>
      <c r="CZ46" s="103">
        <v>27</v>
      </c>
      <c r="DA46" s="103">
        <v>9</v>
      </c>
      <c r="DB46" s="103">
        <v>1</v>
      </c>
      <c r="DC46" s="42"/>
      <c r="DD46" s="110"/>
      <c r="DE46" s="46" t="s">
        <v>2</v>
      </c>
      <c r="DF46" s="103">
        <v>908</v>
      </c>
      <c r="DG46" s="103">
        <v>2040</v>
      </c>
      <c r="DH46" s="103">
        <v>2122</v>
      </c>
      <c r="DI46" s="103">
        <v>1386</v>
      </c>
      <c r="DJ46" s="103">
        <v>479</v>
      </c>
      <c r="DK46" s="103">
        <v>169</v>
      </c>
      <c r="DL46" s="103">
        <v>29</v>
      </c>
      <c r="DM46" s="103">
        <v>13</v>
      </c>
      <c r="DN46" s="103">
        <v>3</v>
      </c>
      <c r="DO46" s="103">
        <v>0</v>
      </c>
    </row>
    <row r="47" spans="2:119" ht="14.25" customHeight="1" x14ac:dyDescent="0.45">
      <c r="B47" s="135"/>
      <c r="C47" s="42"/>
      <c r="D47" s="110"/>
      <c r="E47" s="46" t="s">
        <v>3</v>
      </c>
      <c r="F47" s="103">
        <v>536</v>
      </c>
      <c r="G47" s="103">
        <v>1307</v>
      </c>
      <c r="H47" s="103">
        <v>1956</v>
      </c>
      <c r="I47" s="103">
        <v>1952</v>
      </c>
      <c r="J47" s="103">
        <v>930</v>
      </c>
      <c r="K47" s="103">
        <v>368</v>
      </c>
      <c r="L47" s="103">
        <v>114</v>
      </c>
      <c r="M47" s="103">
        <v>30</v>
      </c>
      <c r="N47" s="103">
        <v>5</v>
      </c>
      <c r="O47" s="103">
        <v>0</v>
      </c>
      <c r="P47" s="42"/>
      <c r="Q47" s="110"/>
      <c r="R47" s="46" t="s">
        <v>3</v>
      </c>
      <c r="S47" s="103">
        <v>128</v>
      </c>
      <c r="T47" s="103">
        <v>456</v>
      </c>
      <c r="U47" s="103">
        <v>842</v>
      </c>
      <c r="V47" s="103">
        <v>1027</v>
      </c>
      <c r="W47" s="103">
        <v>529</v>
      </c>
      <c r="X47" s="103">
        <v>217</v>
      </c>
      <c r="Y47" s="103">
        <v>72</v>
      </c>
      <c r="Z47" s="103">
        <v>14</v>
      </c>
      <c r="AA47" s="103">
        <v>4</v>
      </c>
      <c r="AB47" s="103">
        <v>0</v>
      </c>
      <c r="AC47" s="42"/>
      <c r="AD47" s="110"/>
      <c r="AE47" s="46" t="s">
        <v>3</v>
      </c>
      <c r="AF47" s="103">
        <v>408</v>
      </c>
      <c r="AG47" s="103">
        <v>851</v>
      </c>
      <c r="AH47" s="103">
        <v>1114</v>
      </c>
      <c r="AI47" s="103">
        <v>925</v>
      </c>
      <c r="AJ47" s="103">
        <v>401</v>
      </c>
      <c r="AK47" s="103">
        <v>151</v>
      </c>
      <c r="AL47" s="103">
        <v>42</v>
      </c>
      <c r="AM47" s="103">
        <v>16</v>
      </c>
      <c r="AN47" s="103">
        <v>1</v>
      </c>
      <c r="AO47" s="103">
        <v>0</v>
      </c>
      <c r="AP47" s="6"/>
      <c r="AQ47" s="110"/>
      <c r="AR47" s="46" t="s">
        <v>3</v>
      </c>
      <c r="AS47" s="103">
        <v>347</v>
      </c>
      <c r="AT47" s="103">
        <v>719</v>
      </c>
      <c r="AU47" s="103">
        <v>888</v>
      </c>
      <c r="AV47" s="103">
        <v>836</v>
      </c>
      <c r="AW47" s="103">
        <v>376</v>
      </c>
      <c r="AX47" s="103">
        <v>140</v>
      </c>
      <c r="AY47" s="103">
        <v>38</v>
      </c>
      <c r="AZ47" s="103">
        <v>9</v>
      </c>
      <c r="BA47" s="103">
        <v>3</v>
      </c>
      <c r="BB47" s="103">
        <v>0</v>
      </c>
      <c r="BC47" s="42"/>
      <c r="BD47" s="110"/>
      <c r="BE47" s="46" t="s">
        <v>3</v>
      </c>
      <c r="BF47" s="103">
        <v>189</v>
      </c>
      <c r="BG47" s="103">
        <v>588</v>
      </c>
      <c r="BH47" s="103">
        <v>1068</v>
      </c>
      <c r="BI47" s="103">
        <v>1116</v>
      </c>
      <c r="BJ47" s="103">
        <v>554</v>
      </c>
      <c r="BK47" s="103">
        <v>228</v>
      </c>
      <c r="BL47" s="103">
        <v>76</v>
      </c>
      <c r="BM47" s="103">
        <v>21</v>
      </c>
      <c r="BN47" s="103">
        <v>2</v>
      </c>
      <c r="BO47" s="103">
        <v>0</v>
      </c>
      <c r="BQ47" s="110"/>
      <c r="BR47" s="46" t="s">
        <v>3</v>
      </c>
      <c r="BS47" s="103">
        <v>343</v>
      </c>
      <c r="BT47" s="103">
        <v>826</v>
      </c>
      <c r="BU47" s="103">
        <v>1131</v>
      </c>
      <c r="BV47" s="103">
        <v>1020</v>
      </c>
      <c r="BW47" s="103">
        <v>449</v>
      </c>
      <c r="BX47" s="103">
        <v>153</v>
      </c>
      <c r="BY47" s="103">
        <v>43</v>
      </c>
      <c r="BZ47" s="103">
        <v>12</v>
      </c>
      <c r="CA47" s="103">
        <v>4</v>
      </c>
      <c r="CB47" s="103">
        <v>0</v>
      </c>
      <c r="CC47" s="42"/>
      <c r="CD47" s="110"/>
      <c r="CE47" s="46" t="s">
        <v>3</v>
      </c>
      <c r="CF47" s="103">
        <v>193</v>
      </c>
      <c r="CG47" s="103">
        <v>481</v>
      </c>
      <c r="CH47" s="103">
        <v>825</v>
      </c>
      <c r="CI47" s="103">
        <v>932</v>
      </c>
      <c r="CJ47" s="103">
        <v>481</v>
      </c>
      <c r="CK47" s="103">
        <v>215</v>
      </c>
      <c r="CL47" s="103">
        <v>71</v>
      </c>
      <c r="CM47" s="103">
        <v>18</v>
      </c>
      <c r="CN47" s="103">
        <v>1</v>
      </c>
      <c r="CO47" s="103">
        <v>0</v>
      </c>
      <c r="CQ47" s="110"/>
      <c r="CR47" s="46" t="s">
        <v>3</v>
      </c>
      <c r="CS47" s="103">
        <v>72</v>
      </c>
      <c r="CT47" s="103">
        <v>185</v>
      </c>
      <c r="CU47" s="103">
        <v>319</v>
      </c>
      <c r="CV47" s="103">
        <v>463</v>
      </c>
      <c r="CW47" s="103">
        <v>277</v>
      </c>
      <c r="CX47" s="103">
        <v>159</v>
      </c>
      <c r="CY47" s="103">
        <v>59</v>
      </c>
      <c r="CZ47" s="103">
        <v>17</v>
      </c>
      <c r="DA47" s="103">
        <v>3</v>
      </c>
      <c r="DB47" s="103">
        <v>0</v>
      </c>
      <c r="DC47" s="42"/>
      <c r="DD47" s="110"/>
      <c r="DE47" s="46" t="s">
        <v>3</v>
      </c>
      <c r="DF47" s="103">
        <v>464</v>
      </c>
      <c r="DG47" s="103">
        <v>1122</v>
      </c>
      <c r="DH47" s="103">
        <v>1637</v>
      </c>
      <c r="DI47" s="103">
        <v>1489</v>
      </c>
      <c r="DJ47" s="103">
        <v>653</v>
      </c>
      <c r="DK47" s="103">
        <v>209</v>
      </c>
      <c r="DL47" s="103">
        <v>55</v>
      </c>
      <c r="DM47" s="103">
        <v>13</v>
      </c>
      <c r="DN47" s="103">
        <v>2</v>
      </c>
      <c r="DO47" s="103">
        <v>0</v>
      </c>
    </row>
    <row r="48" spans="2:119" ht="14.25" customHeight="1" x14ac:dyDescent="0.45">
      <c r="B48" s="135"/>
      <c r="C48" s="42"/>
      <c r="D48" s="110"/>
      <c r="E48" s="46" t="s">
        <v>4</v>
      </c>
      <c r="F48" s="103">
        <v>665</v>
      </c>
      <c r="G48" s="103">
        <v>1601</v>
      </c>
      <c r="H48" s="103">
        <v>2743</v>
      </c>
      <c r="I48" s="103">
        <v>3257</v>
      </c>
      <c r="J48" s="103">
        <v>1838</v>
      </c>
      <c r="K48" s="103">
        <v>873</v>
      </c>
      <c r="L48" s="103">
        <v>237</v>
      </c>
      <c r="M48" s="103">
        <v>60</v>
      </c>
      <c r="N48" s="103">
        <v>19</v>
      </c>
      <c r="O48" s="103">
        <v>6</v>
      </c>
      <c r="P48" s="42"/>
      <c r="Q48" s="110"/>
      <c r="R48" s="46" t="s">
        <v>4</v>
      </c>
      <c r="S48" s="103">
        <v>166</v>
      </c>
      <c r="T48" s="103">
        <v>507</v>
      </c>
      <c r="U48" s="103">
        <v>1114</v>
      </c>
      <c r="V48" s="103">
        <v>1701</v>
      </c>
      <c r="W48" s="103">
        <v>1034</v>
      </c>
      <c r="X48" s="103">
        <v>575</v>
      </c>
      <c r="Y48" s="103">
        <v>166</v>
      </c>
      <c r="Z48" s="103">
        <v>47</v>
      </c>
      <c r="AA48" s="103">
        <v>15</v>
      </c>
      <c r="AB48" s="103">
        <v>5</v>
      </c>
      <c r="AC48" s="42"/>
      <c r="AD48" s="110"/>
      <c r="AE48" s="46" t="s">
        <v>4</v>
      </c>
      <c r="AF48" s="103">
        <v>499</v>
      </c>
      <c r="AG48" s="103">
        <v>1094</v>
      </c>
      <c r="AH48" s="103">
        <v>1629</v>
      </c>
      <c r="AI48" s="103">
        <v>1556</v>
      </c>
      <c r="AJ48" s="103">
        <v>804</v>
      </c>
      <c r="AK48" s="103">
        <v>298</v>
      </c>
      <c r="AL48" s="103">
        <v>71</v>
      </c>
      <c r="AM48" s="103">
        <v>13</v>
      </c>
      <c r="AN48" s="103">
        <v>4</v>
      </c>
      <c r="AO48" s="103">
        <v>1</v>
      </c>
      <c r="AP48" s="6"/>
      <c r="AQ48" s="110"/>
      <c r="AR48" s="46" t="s">
        <v>4</v>
      </c>
      <c r="AS48" s="103">
        <v>420</v>
      </c>
      <c r="AT48" s="103">
        <v>850</v>
      </c>
      <c r="AU48" s="103">
        <v>1260</v>
      </c>
      <c r="AV48" s="103">
        <v>1380</v>
      </c>
      <c r="AW48" s="103">
        <v>726</v>
      </c>
      <c r="AX48" s="103">
        <v>312</v>
      </c>
      <c r="AY48" s="103">
        <v>75</v>
      </c>
      <c r="AZ48" s="103">
        <v>24</v>
      </c>
      <c r="BA48" s="103">
        <v>7</v>
      </c>
      <c r="BB48" s="103">
        <v>3</v>
      </c>
      <c r="BC48" s="42"/>
      <c r="BD48" s="110"/>
      <c r="BE48" s="46" t="s">
        <v>4</v>
      </c>
      <c r="BF48" s="103">
        <v>245</v>
      </c>
      <c r="BG48" s="103">
        <v>751</v>
      </c>
      <c r="BH48" s="103">
        <v>1483</v>
      </c>
      <c r="BI48" s="103">
        <v>1877</v>
      </c>
      <c r="BJ48" s="103">
        <v>1112</v>
      </c>
      <c r="BK48" s="103">
        <v>561</v>
      </c>
      <c r="BL48" s="103">
        <v>162</v>
      </c>
      <c r="BM48" s="103">
        <v>36</v>
      </c>
      <c r="BN48" s="103">
        <v>12</v>
      </c>
      <c r="BO48" s="103">
        <v>3</v>
      </c>
      <c r="BQ48" s="110"/>
      <c r="BR48" s="46" t="s">
        <v>4</v>
      </c>
      <c r="BS48" s="103">
        <v>382</v>
      </c>
      <c r="BT48" s="103">
        <v>866</v>
      </c>
      <c r="BU48" s="103">
        <v>1330</v>
      </c>
      <c r="BV48" s="103">
        <v>1336</v>
      </c>
      <c r="BW48" s="103">
        <v>671</v>
      </c>
      <c r="BX48" s="103">
        <v>285</v>
      </c>
      <c r="BY48" s="103">
        <v>78</v>
      </c>
      <c r="BZ48" s="103">
        <v>9</v>
      </c>
      <c r="CA48" s="103">
        <v>2</v>
      </c>
      <c r="CB48" s="103">
        <v>0</v>
      </c>
      <c r="CC48" s="42"/>
      <c r="CD48" s="110"/>
      <c r="CE48" s="46" t="s">
        <v>4</v>
      </c>
      <c r="CF48" s="103">
        <v>283</v>
      </c>
      <c r="CG48" s="103">
        <v>735</v>
      </c>
      <c r="CH48" s="103">
        <v>1413</v>
      </c>
      <c r="CI48" s="103">
        <v>1921</v>
      </c>
      <c r="CJ48" s="103">
        <v>1167</v>
      </c>
      <c r="CK48" s="103">
        <v>588</v>
      </c>
      <c r="CL48" s="103">
        <v>159</v>
      </c>
      <c r="CM48" s="103">
        <v>51</v>
      </c>
      <c r="CN48" s="103">
        <v>17</v>
      </c>
      <c r="CO48" s="103">
        <v>6</v>
      </c>
      <c r="CQ48" s="110"/>
      <c r="CR48" s="46" t="s">
        <v>4</v>
      </c>
      <c r="CS48" s="103">
        <v>64</v>
      </c>
      <c r="CT48" s="103">
        <v>195</v>
      </c>
      <c r="CU48" s="103">
        <v>409</v>
      </c>
      <c r="CV48" s="103">
        <v>629</v>
      </c>
      <c r="CW48" s="103">
        <v>514</v>
      </c>
      <c r="CX48" s="103">
        <v>274</v>
      </c>
      <c r="CY48" s="103">
        <v>113</v>
      </c>
      <c r="CZ48" s="103">
        <v>35</v>
      </c>
      <c r="DA48" s="103">
        <v>12</v>
      </c>
      <c r="DB48" s="103">
        <v>6</v>
      </c>
      <c r="DC48" s="42"/>
      <c r="DD48" s="110"/>
      <c r="DE48" s="46" t="s">
        <v>4</v>
      </c>
      <c r="DF48" s="103">
        <v>601</v>
      </c>
      <c r="DG48" s="103">
        <v>1406</v>
      </c>
      <c r="DH48" s="103">
        <v>2334</v>
      </c>
      <c r="DI48" s="103">
        <v>2628</v>
      </c>
      <c r="DJ48" s="103">
        <v>1324</v>
      </c>
      <c r="DK48" s="103">
        <v>599</v>
      </c>
      <c r="DL48" s="103">
        <v>124</v>
      </c>
      <c r="DM48" s="103">
        <v>25</v>
      </c>
      <c r="DN48" s="103">
        <v>7</v>
      </c>
      <c r="DO48" s="103">
        <v>0</v>
      </c>
    </row>
    <row r="49" spans="2:119" ht="14.25" customHeight="1" x14ac:dyDescent="0.45">
      <c r="B49" s="135"/>
      <c r="C49" s="42"/>
      <c r="D49" s="110"/>
      <c r="E49" s="46" t="s">
        <v>5</v>
      </c>
      <c r="F49" s="103">
        <v>807</v>
      </c>
      <c r="G49" s="103">
        <v>2057</v>
      </c>
      <c r="H49" s="103">
        <v>4027</v>
      </c>
      <c r="I49" s="103">
        <v>5921</v>
      </c>
      <c r="J49" s="103">
        <v>4142</v>
      </c>
      <c r="K49" s="103">
        <v>2226</v>
      </c>
      <c r="L49" s="103">
        <v>847</v>
      </c>
      <c r="M49" s="103">
        <v>202</v>
      </c>
      <c r="N49" s="103">
        <v>51</v>
      </c>
      <c r="O49" s="103">
        <v>10</v>
      </c>
      <c r="P49" s="42"/>
      <c r="Q49" s="110"/>
      <c r="R49" s="46" t="s">
        <v>5</v>
      </c>
      <c r="S49" s="103">
        <v>183</v>
      </c>
      <c r="T49" s="103">
        <v>625</v>
      </c>
      <c r="U49" s="103">
        <v>1673</v>
      </c>
      <c r="V49" s="103">
        <v>3004</v>
      </c>
      <c r="W49" s="103">
        <v>2454</v>
      </c>
      <c r="X49" s="103">
        <v>1407</v>
      </c>
      <c r="Y49" s="103">
        <v>583</v>
      </c>
      <c r="Z49" s="103">
        <v>151</v>
      </c>
      <c r="AA49" s="103">
        <v>40</v>
      </c>
      <c r="AB49" s="103">
        <v>7</v>
      </c>
      <c r="AC49" s="42"/>
      <c r="AD49" s="110"/>
      <c r="AE49" s="46" t="s">
        <v>5</v>
      </c>
      <c r="AF49" s="103">
        <v>624</v>
      </c>
      <c r="AG49" s="103">
        <v>1432</v>
      </c>
      <c r="AH49" s="103">
        <v>2354</v>
      </c>
      <c r="AI49" s="103">
        <v>2917</v>
      </c>
      <c r="AJ49" s="103">
        <v>1688</v>
      </c>
      <c r="AK49" s="103">
        <v>819</v>
      </c>
      <c r="AL49" s="103">
        <v>264</v>
      </c>
      <c r="AM49" s="103">
        <v>51</v>
      </c>
      <c r="AN49" s="103">
        <v>11</v>
      </c>
      <c r="AO49" s="103">
        <v>3</v>
      </c>
      <c r="AP49" s="6"/>
      <c r="AQ49" s="110"/>
      <c r="AR49" s="46" t="s">
        <v>5</v>
      </c>
      <c r="AS49" s="103">
        <v>469</v>
      </c>
      <c r="AT49" s="103">
        <v>1095</v>
      </c>
      <c r="AU49" s="103">
        <v>1775</v>
      </c>
      <c r="AV49" s="103">
        <v>2324</v>
      </c>
      <c r="AW49" s="103">
        <v>1394</v>
      </c>
      <c r="AX49" s="103">
        <v>703</v>
      </c>
      <c r="AY49" s="103">
        <v>249</v>
      </c>
      <c r="AZ49" s="103">
        <v>57</v>
      </c>
      <c r="BA49" s="103">
        <v>19</v>
      </c>
      <c r="BB49" s="103">
        <v>1</v>
      </c>
      <c r="BC49" s="42"/>
      <c r="BD49" s="110"/>
      <c r="BE49" s="46" t="s">
        <v>5</v>
      </c>
      <c r="BF49" s="103">
        <v>338</v>
      </c>
      <c r="BG49" s="103">
        <v>962</v>
      </c>
      <c r="BH49" s="103">
        <v>2252</v>
      </c>
      <c r="BI49" s="103">
        <v>3597</v>
      </c>
      <c r="BJ49" s="103">
        <v>2748</v>
      </c>
      <c r="BK49" s="103">
        <v>1523</v>
      </c>
      <c r="BL49" s="103">
        <v>598</v>
      </c>
      <c r="BM49" s="103">
        <v>145</v>
      </c>
      <c r="BN49" s="103">
        <v>32</v>
      </c>
      <c r="BO49" s="103">
        <v>9</v>
      </c>
      <c r="BQ49" s="110"/>
      <c r="BR49" s="46" t="s">
        <v>5</v>
      </c>
      <c r="BS49" s="103">
        <v>360</v>
      </c>
      <c r="BT49" s="103">
        <v>922</v>
      </c>
      <c r="BU49" s="103">
        <v>1555</v>
      </c>
      <c r="BV49" s="103">
        <v>1748</v>
      </c>
      <c r="BW49" s="103">
        <v>1024</v>
      </c>
      <c r="BX49" s="103">
        <v>484</v>
      </c>
      <c r="BY49" s="103">
        <v>182</v>
      </c>
      <c r="BZ49" s="103">
        <v>33</v>
      </c>
      <c r="CA49" s="103">
        <v>7</v>
      </c>
      <c r="CB49" s="103">
        <v>3</v>
      </c>
      <c r="CC49" s="42"/>
      <c r="CD49" s="110"/>
      <c r="CE49" s="46" t="s">
        <v>5</v>
      </c>
      <c r="CF49" s="103">
        <v>447</v>
      </c>
      <c r="CG49" s="103">
        <v>1135</v>
      </c>
      <c r="CH49" s="103">
        <v>2472</v>
      </c>
      <c r="CI49" s="103">
        <v>4173</v>
      </c>
      <c r="CJ49" s="103">
        <v>3118</v>
      </c>
      <c r="CK49" s="103">
        <v>1742</v>
      </c>
      <c r="CL49" s="103">
        <v>665</v>
      </c>
      <c r="CM49" s="103">
        <v>169</v>
      </c>
      <c r="CN49" s="103">
        <v>44</v>
      </c>
      <c r="CO49" s="103">
        <v>7</v>
      </c>
      <c r="CQ49" s="110"/>
      <c r="CR49" s="46" t="s">
        <v>5</v>
      </c>
      <c r="CS49" s="103">
        <v>58</v>
      </c>
      <c r="CT49" s="103">
        <v>195</v>
      </c>
      <c r="CU49" s="103">
        <v>470</v>
      </c>
      <c r="CV49" s="103">
        <v>907</v>
      </c>
      <c r="CW49" s="103">
        <v>863</v>
      </c>
      <c r="CX49" s="103">
        <v>595</v>
      </c>
      <c r="CY49" s="103">
        <v>294</v>
      </c>
      <c r="CZ49" s="103">
        <v>82</v>
      </c>
      <c r="DA49" s="103">
        <v>24</v>
      </c>
      <c r="DB49" s="103">
        <v>2</v>
      </c>
      <c r="DC49" s="42"/>
      <c r="DD49" s="110"/>
      <c r="DE49" s="46" t="s">
        <v>5</v>
      </c>
      <c r="DF49" s="103">
        <v>749</v>
      </c>
      <c r="DG49" s="103">
        <v>1862</v>
      </c>
      <c r="DH49" s="103">
        <v>3557</v>
      </c>
      <c r="DI49" s="103">
        <v>5014</v>
      </c>
      <c r="DJ49" s="103">
        <v>3279</v>
      </c>
      <c r="DK49" s="103">
        <v>1631</v>
      </c>
      <c r="DL49" s="103">
        <v>553</v>
      </c>
      <c r="DM49" s="103">
        <v>120</v>
      </c>
      <c r="DN49" s="103">
        <v>27</v>
      </c>
      <c r="DO49" s="103">
        <v>8</v>
      </c>
    </row>
    <row r="50" spans="2:119" ht="14.25" customHeight="1" x14ac:dyDescent="0.45">
      <c r="B50" s="135"/>
      <c r="C50" s="42"/>
      <c r="D50" s="110"/>
      <c r="E50" s="46" t="s">
        <v>6</v>
      </c>
      <c r="F50" s="103">
        <v>1183</v>
      </c>
      <c r="G50" s="103">
        <v>2903</v>
      </c>
      <c r="H50" s="103">
        <v>6401</v>
      </c>
      <c r="I50" s="103">
        <v>11361</v>
      </c>
      <c r="J50" s="103">
        <v>10219</v>
      </c>
      <c r="K50" s="103">
        <v>6747</v>
      </c>
      <c r="L50" s="103">
        <v>2727</v>
      </c>
      <c r="M50" s="103">
        <v>756</v>
      </c>
      <c r="N50" s="103">
        <v>234</v>
      </c>
      <c r="O50" s="103">
        <v>54</v>
      </c>
      <c r="P50" s="42"/>
      <c r="Q50" s="110"/>
      <c r="R50" s="46" t="s">
        <v>6</v>
      </c>
      <c r="S50" s="103">
        <v>271</v>
      </c>
      <c r="T50" s="103">
        <v>801</v>
      </c>
      <c r="U50" s="103">
        <v>2262</v>
      </c>
      <c r="V50" s="103">
        <v>5254</v>
      </c>
      <c r="W50" s="103">
        <v>5772</v>
      </c>
      <c r="X50" s="103">
        <v>4288</v>
      </c>
      <c r="Y50" s="103">
        <v>1909</v>
      </c>
      <c r="Z50" s="103">
        <v>577</v>
      </c>
      <c r="AA50" s="103">
        <v>166</v>
      </c>
      <c r="AB50" s="103">
        <v>40</v>
      </c>
      <c r="AC50" s="42"/>
      <c r="AD50" s="110"/>
      <c r="AE50" s="46" t="s">
        <v>6</v>
      </c>
      <c r="AF50" s="103">
        <v>912</v>
      </c>
      <c r="AG50" s="103">
        <v>2102</v>
      </c>
      <c r="AH50" s="103">
        <v>4139</v>
      </c>
      <c r="AI50" s="103">
        <v>6107</v>
      </c>
      <c r="AJ50" s="103">
        <v>4447</v>
      </c>
      <c r="AK50" s="103">
        <v>2459</v>
      </c>
      <c r="AL50" s="103">
        <v>818</v>
      </c>
      <c r="AM50" s="103">
        <v>179</v>
      </c>
      <c r="AN50" s="103">
        <v>68</v>
      </c>
      <c r="AO50" s="103">
        <v>14</v>
      </c>
      <c r="AP50" s="6"/>
      <c r="AQ50" s="110"/>
      <c r="AR50" s="46" t="s">
        <v>6</v>
      </c>
      <c r="AS50" s="103">
        <v>699</v>
      </c>
      <c r="AT50" s="103">
        <v>1486</v>
      </c>
      <c r="AU50" s="103">
        <v>2803</v>
      </c>
      <c r="AV50" s="103">
        <v>4258</v>
      </c>
      <c r="AW50" s="103">
        <v>3216</v>
      </c>
      <c r="AX50" s="103">
        <v>1993</v>
      </c>
      <c r="AY50" s="103">
        <v>758</v>
      </c>
      <c r="AZ50" s="103">
        <v>238</v>
      </c>
      <c r="BA50" s="103">
        <v>54</v>
      </c>
      <c r="BB50" s="103">
        <v>20</v>
      </c>
      <c r="BC50" s="42"/>
      <c r="BD50" s="110"/>
      <c r="BE50" s="46" t="s">
        <v>6</v>
      </c>
      <c r="BF50" s="103">
        <v>484</v>
      </c>
      <c r="BG50" s="103">
        <v>1417</v>
      </c>
      <c r="BH50" s="103">
        <v>3598</v>
      </c>
      <c r="BI50" s="103">
        <v>7103</v>
      </c>
      <c r="BJ50" s="103">
        <v>7003</v>
      </c>
      <c r="BK50" s="103">
        <v>4754</v>
      </c>
      <c r="BL50" s="103">
        <v>1969</v>
      </c>
      <c r="BM50" s="103">
        <v>518</v>
      </c>
      <c r="BN50" s="103">
        <v>180</v>
      </c>
      <c r="BO50" s="103">
        <v>34</v>
      </c>
      <c r="BQ50" s="110"/>
      <c r="BR50" s="46" t="s">
        <v>6</v>
      </c>
      <c r="BS50" s="103">
        <v>471</v>
      </c>
      <c r="BT50" s="103">
        <v>975</v>
      </c>
      <c r="BU50" s="103">
        <v>1760</v>
      </c>
      <c r="BV50" s="103">
        <v>2318</v>
      </c>
      <c r="BW50" s="103">
        <v>1690</v>
      </c>
      <c r="BX50" s="103">
        <v>893</v>
      </c>
      <c r="BY50" s="103">
        <v>323</v>
      </c>
      <c r="BZ50" s="103">
        <v>81</v>
      </c>
      <c r="CA50" s="103">
        <v>28</v>
      </c>
      <c r="CB50" s="103">
        <v>5</v>
      </c>
      <c r="CC50" s="42"/>
      <c r="CD50" s="110"/>
      <c r="CE50" s="46" t="s">
        <v>6</v>
      </c>
      <c r="CF50" s="103">
        <v>712</v>
      </c>
      <c r="CG50" s="103">
        <v>1928</v>
      </c>
      <c r="CH50" s="103">
        <v>4641</v>
      </c>
      <c r="CI50" s="103">
        <v>9043</v>
      </c>
      <c r="CJ50" s="103">
        <v>8529</v>
      </c>
      <c r="CK50" s="103">
        <v>5854</v>
      </c>
      <c r="CL50" s="103">
        <v>2404</v>
      </c>
      <c r="CM50" s="103">
        <v>675</v>
      </c>
      <c r="CN50" s="103">
        <v>206</v>
      </c>
      <c r="CO50" s="103">
        <v>49</v>
      </c>
      <c r="CQ50" s="110"/>
      <c r="CR50" s="46" t="s">
        <v>6</v>
      </c>
      <c r="CS50" s="103">
        <v>89</v>
      </c>
      <c r="CT50" s="103">
        <v>270</v>
      </c>
      <c r="CU50" s="103">
        <v>623</v>
      </c>
      <c r="CV50" s="103">
        <v>1506</v>
      </c>
      <c r="CW50" s="103">
        <v>1760</v>
      </c>
      <c r="CX50" s="103">
        <v>1490</v>
      </c>
      <c r="CY50" s="103">
        <v>784</v>
      </c>
      <c r="CZ50" s="103">
        <v>246</v>
      </c>
      <c r="DA50" s="103">
        <v>99</v>
      </c>
      <c r="DB50" s="103">
        <v>23</v>
      </c>
      <c r="DC50" s="42"/>
      <c r="DD50" s="110"/>
      <c r="DE50" s="46" t="s">
        <v>6</v>
      </c>
      <c r="DF50" s="103">
        <v>1094</v>
      </c>
      <c r="DG50" s="103">
        <v>2633</v>
      </c>
      <c r="DH50" s="103">
        <v>5778</v>
      </c>
      <c r="DI50" s="103">
        <v>9855</v>
      </c>
      <c r="DJ50" s="103">
        <v>8459</v>
      </c>
      <c r="DK50" s="103">
        <v>5257</v>
      </c>
      <c r="DL50" s="103">
        <v>1943</v>
      </c>
      <c r="DM50" s="103">
        <v>510</v>
      </c>
      <c r="DN50" s="103">
        <v>135</v>
      </c>
      <c r="DO50" s="103">
        <v>31</v>
      </c>
    </row>
    <row r="51" spans="2:119" ht="14.25" customHeight="1" x14ac:dyDescent="0.45">
      <c r="B51" s="135"/>
      <c r="C51" s="42"/>
      <c r="D51" s="110"/>
      <c r="E51" s="46" t="s">
        <v>7</v>
      </c>
      <c r="F51" s="103">
        <v>1433</v>
      </c>
      <c r="G51" s="103">
        <v>3421</v>
      </c>
      <c r="H51" s="103">
        <v>7850</v>
      </c>
      <c r="I51" s="103">
        <v>16942</v>
      </c>
      <c r="J51" s="103">
        <v>19623</v>
      </c>
      <c r="K51" s="103">
        <v>16266</v>
      </c>
      <c r="L51" s="103">
        <v>8517</v>
      </c>
      <c r="M51" s="103">
        <v>2891</v>
      </c>
      <c r="N51" s="103">
        <v>965</v>
      </c>
      <c r="O51" s="103">
        <v>214</v>
      </c>
      <c r="P51" s="42"/>
      <c r="Q51" s="110"/>
      <c r="R51" s="46" t="s">
        <v>7</v>
      </c>
      <c r="S51" s="103">
        <v>308</v>
      </c>
      <c r="T51" s="103">
        <v>911</v>
      </c>
      <c r="U51" s="103">
        <v>2514</v>
      </c>
      <c r="V51" s="103">
        <v>6948</v>
      </c>
      <c r="W51" s="103">
        <v>10160</v>
      </c>
      <c r="X51" s="103">
        <v>9757</v>
      </c>
      <c r="Y51" s="103">
        <v>5824</v>
      </c>
      <c r="Z51" s="103">
        <v>2113</v>
      </c>
      <c r="AA51" s="103">
        <v>729</v>
      </c>
      <c r="AB51" s="103">
        <v>168</v>
      </c>
      <c r="AC51" s="42"/>
      <c r="AD51" s="110"/>
      <c r="AE51" s="46" t="s">
        <v>7</v>
      </c>
      <c r="AF51" s="103">
        <v>1125</v>
      </c>
      <c r="AG51" s="103">
        <v>2510</v>
      </c>
      <c r="AH51" s="103">
        <v>5336</v>
      </c>
      <c r="AI51" s="103">
        <v>9994</v>
      </c>
      <c r="AJ51" s="103">
        <v>9463</v>
      </c>
      <c r="AK51" s="103">
        <v>6509</v>
      </c>
      <c r="AL51" s="103">
        <v>2693</v>
      </c>
      <c r="AM51" s="103">
        <v>778</v>
      </c>
      <c r="AN51" s="103">
        <v>236</v>
      </c>
      <c r="AO51" s="103">
        <v>46</v>
      </c>
      <c r="AP51" s="6"/>
      <c r="AQ51" s="110"/>
      <c r="AR51" s="46" t="s">
        <v>7</v>
      </c>
      <c r="AS51" s="103">
        <v>800</v>
      </c>
      <c r="AT51" s="103">
        <v>1747</v>
      </c>
      <c r="AU51" s="103">
        <v>3361</v>
      </c>
      <c r="AV51" s="103">
        <v>6028</v>
      </c>
      <c r="AW51" s="103">
        <v>5851</v>
      </c>
      <c r="AX51" s="103">
        <v>4358</v>
      </c>
      <c r="AY51" s="103">
        <v>2097</v>
      </c>
      <c r="AZ51" s="103">
        <v>713</v>
      </c>
      <c r="BA51" s="103">
        <v>236</v>
      </c>
      <c r="BB51" s="103">
        <v>56</v>
      </c>
      <c r="BC51" s="42"/>
      <c r="BD51" s="110"/>
      <c r="BE51" s="46" t="s">
        <v>7</v>
      </c>
      <c r="BF51" s="103">
        <v>633</v>
      </c>
      <c r="BG51" s="103">
        <v>1674</v>
      </c>
      <c r="BH51" s="103">
        <v>4489</v>
      </c>
      <c r="BI51" s="103">
        <v>10914</v>
      </c>
      <c r="BJ51" s="103">
        <v>13772</v>
      </c>
      <c r="BK51" s="103">
        <v>11908</v>
      </c>
      <c r="BL51" s="103">
        <v>6420</v>
      </c>
      <c r="BM51" s="103">
        <v>2178</v>
      </c>
      <c r="BN51" s="103">
        <v>729</v>
      </c>
      <c r="BO51" s="103">
        <v>158</v>
      </c>
      <c r="BQ51" s="110"/>
      <c r="BR51" s="46" t="s">
        <v>7</v>
      </c>
      <c r="BS51" s="103">
        <v>436</v>
      </c>
      <c r="BT51" s="103">
        <v>853</v>
      </c>
      <c r="BU51" s="103">
        <v>1685</v>
      </c>
      <c r="BV51" s="103">
        <v>2555</v>
      </c>
      <c r="BW51" s="103">
        <v>2170</v>
      </c>
      <c r="BX51" s="103">
        <v>1413</v>
      </c>
      <c r="BY51" s="103">
        <v>638</v>
      </c>
      <c r="BZ51" s="103">
        <v>207</v>
      </c>
      <c r="CA51" s="103">
        <v>64</v>
      </c>
      <c r="CB51" s="103">
        <v>19</v>
      </c>
      <c r="CC51" s="42"/>
      <c r="CD51" s="110"/>
      <c r="CE51" s="46" t="s">
        <v>7</v>
      </c>
      <c r="CF51" s="103">
        <v>997</v>
      </c>
      <c r="CG51" s="103">
        <v>2568</v>
      </c>
      <c r="CH51" s="103">
        <v>6165</v>
      </c>
      <c r="CI51" s="103">
        <v>14387</v>
      </c>
      <c r="CJ51" s="103">
        <v>17453</v>
      </c>
      <c r="CK51" s="103">
        <v>14853</v>
      </c>
      <c r="CL51" s="103">
        <v>7879</v>
      </c>
      <c r="CM51" s="103">
        <v>2684</v>
      </c>
      <c r="CN51" s="103">
        <v>901</v>
      </c>
      <c r="CO51" s="103">
        <v>195</v>
      </c>
      <c r="CQ51" s="110"/>
      <c r="CR51" s="46" t="s">
        <v>7</v>
      </c>
      <c r="CS51" s="103">
        <v>110</v>
      </c>
      <c r="CT51" s="103">
        <v>261</v>
      </c>
      <c r="CU51" s="103">
        <v>686</v>
      </c>
      <c r="CV51" s="103">
        <v>1998</v>
      </c>
      <c r="CW51" s="103">
        <v>2791</v>
      </c>
      <c r="CX51" s="103">
        <v>2976</v>
      </c>
      <c r="CY51" s="103">
        <v>1945</v>
      </c>
      <c r="CZ51" s="103">
        <v>777</v>
      </c>
      <c r="DA51" s="103">
        <v>297</v>
      </c>
      <c r="DB51" s="103">
        <v>78</v>
      </c>
      <c r="DC51" s="42"/>
      <c r="DD51" s="110"/>
      <c r="DE51" s="46" t="s">
        <v>7</v>
      </c>
      <c r="DF51" s="103">
        <v>1323</v>
      </c>
      <c r="DG51" s="103">
        <v>3160</v>
      </c>
      <c r="DH51" s="103">
        <v>7164</v>
      </c>
      <c r="DI51" s="103">
        <v>14944</v>
      </c>
      <c r="DJ51" s="103">
        <v>16832</v>
      </c>
      <c r="DK51" s="103">
        <v>13290</v>
      </c>
      <c r="DL51" s="103">
        <v>6572</v>
      </c>
      <c r="DM51" s="103">
        <v>2114</v>
      </c>
      <c r="DN51" s="103">
        <v>668</v>
      </c>
      <c r="DO51" s="103">
        <v>136</v>
      </c>
    </row>
    <row r="52" spans="2:119" ht="14.25" customHeight="1" x14ac:dyDescent="0.45">
      <c r="B52" s="135"/>
      <c r="C52" s="42"/>
      <c r="D52" s="110"/>
      <c r="E52" s="46" t="s">
        <v>8</v>
      </c>
      <c r="F52" s="103">
        <v>1078</v>
      </c>
      <c r="G52" s="103">
        <v>2367</v>
      </c>
      <c r="H52" s="103">
        <v>5916</v>
      </c>
      <c r="I52" s="103">
        <v>15286</v>
      </c>
      <c r="J52" s="103">
        <v>22865</v>
      </c>
      <c r="K52" s="103">
        <v>25396</v>
      </c>
      <c r="L52" s="103">
        <v>17565</v>
      </c>
      <c r="M52" s="103">
        <v>7715</v>
      </c>
      <c r="N52" s="103">
        <v>3066</v>
      </c>
      <c r="O52" s="103">
        <v>1015</v>
      </c>
      <c r="P52" s="42"/>
      <c r="Q52" s="110"/>
      <c r="R52" s="46" t="s">
        <v>8</v>
      </c>
      <c r="S52" s="103">
        <v>223</v>
      </c>
      <c r="T52" s="103">
        <v>511</v>
      </c>
      <c r="U52" s="103">
        <v>1660</v>
      </c>
      <c r="V52" s="103">
        <v>5386</v>
      </c>
      <c r="W52" s="103">
        <v>10341</v>
      </c>
      <c r="X52" s="103">
        <v>14106</v>
      </c>
      <c r="Y52" s="103">
        <v>11374</v>
      </c>
      <c r="Z52" s="103">
        <v>5511</v>
      </c>
      <c r="AA52" s="103">
        <v>2333</v>
      </c>
      <c r="AB52" s="103">
        <v>811</v>
      </c>
      <c r="AC52" s="42"/>
      <c r="AD52" s="110"/>
      <c r="AE52" s="46" t="s">
        <v>8</v>
      </c>
      <c r="AF52" s="103">
        <v>855</v>
      </c>
      <c r="AG52" s="103">
        <v>1856</v>
      </c>
      <c r="AH52" s="103">
        <v>4256</v>
      </c>
      <c r="AI52" s="103">
        <v>9900</v>
      </c>
      <c r="AJ52" s="103">
        <v>12524</v>
      </c>
      <c r="AK52" s="103">
        <v>11290</v>
      </c>
      <c r="AL52" s="103">
        <v>6191</v>
      </c>
      <c r="AM52" s="103">
        <v>2204</v>
      </c>
      <c r="AN52" s="103">
        <v>733</v>
      </c>
      <c r="AO52" s="103">
        <v>204</v>
      </c>
      <c r="AP52" s="6"/>
      <c r="AQ52" s="110"/>
      <c r="AR52" s="46" t="s">
        <v>8</v>
      </c>
      <c r="AS52" s="103">
        <v>547</v>
      </c>
      <c r="AT52" s="103">
        <v>1141</v>
      </c>
      <c r="AU52" s="103">
        <v>2478</v>
      </c>
      <c r="AV52" s="103">
        <v>5008</v>
      </c>
      <c r="AW52" s="103">
        <v>6072</v>
      </c>
      <c r="AX52" s="103">
        <v>5937</v>
      </c>
      <c r="AY52" s="103">
        <v>3717</v>
      </c>
      <c r="AZ52" s="103">
        <v>1685</v>
      </c>
      <c r="BA52" s="103">
        <v>645</v>
      </c>
      <c r="BB52" s="103">
        <v>197</v>
      </c>
      <c r="BC52" s="42"/>
      <c r="BD52" s="110"/>
      <c r="BE52" s="46" t="s">
        <v>8</v>
      </c>
      <c r="BF52" s="103">
        <v>531</v>
      </c>
      <c r="BG52" s="103">
        <v>1226</v>
      </c>
      <c r="BH52" s="103">
        <v>3438</v>
      </c>
      <c r="BI52" s="103">
        <v>10278</v>
      </c>
      <c r="BJ52" s="103">
        <v>16793</v>
      </c>
      <c r="BK52" s="103">
        <v>19459</v>
      </c>
      <c r="BL52" s="103">
        <v>13848</v>
      </c>
      <c r="BM52" s="103">
        <v>6030</v>
      </c>
      <c r="BN52" s="103">
        <v>2421</v>
      </c>
      <c r="BO52" s="103">
        <v>818</v>
      </c>
      <c r="BQ52" s="110"/>
      <c r="BR52" s="46" t="s">
        <v>8</v>
      </c>
      <c r="BS52" s="103">
        <v>275</v>
      </c>
      <c r="BT52" s="103">
        <v>557</v>
      </c>
      <c r="BU52" s="103">
        <v>1053</v>
      </c>
      <c r="BV52" s="103">
        <v>1806</v>
      </c>
      <c r="BW52" s="103">
        <v>1899</v>
      </c>
      <c r="BX52" s="103">
        <v>1574</v>
      </c>
      <c r="BY52" s="103">
        <v>892</v>
      </c>
      <c r="BZ52" s="103">
        <v>360</v>
      </c>
      <c r="CA52" s="103">
        <v>147</v>
      </c>
      <c r="CB52" s="103">
        <v>46</v>
      </c>
      <c r="CC52" s="42"/>
      <c r="CD52" s="110"/>
      <c r="CE52" s="46" t="s">
        <v>8</v>
      </c>
      <c r="CF52" s="103">
        <v>803</v>
      </c>
      <c r="CG52" s="103">
        <v>1810</v>
      </c>
      <c r="CH52" s="103">
        <v>4863</v>
      </c>
      <c r="CI52" s="103">
        <v>13480</v>
      </c>
      <c r="CJ52" s="103">
        <v>20966</v>
      </c>
      <c r="CK52" s="103">
        <v>23822</v>
      </c>
      <c r="CL52" s="103">
        <v>16673</v>
      </c>
      <c r="CM52" s="103">
        <v>7355</v>
      </c>
      <c r="CN52" s="103">
        <v>2919</v>
      </c>
      <c r="CO52" s="103">
        <v>969</v>
      </c>
      <c r="CQ52" s="110"/>
      <c r="CR52" s="46" t="s">
        <v>8</v>
      </c>
      <c r="CS52" s="103">
        <v>61</v>
      </c>
      <c r="CT52" s="103">
        <v>146</v>
      </c>
      <c r="CU52" s="103">
        <v>463</v>
      </c>
      <c r="CV52" s="103">
        <v>1404</v>
      </c>
      <c r="CW52" s="103">
        <v>2693</v>
      </c>
      <c r="CX52" s="103">
        <v>3575</v>
      </c>
      <c r="CY52" s="103">
        <v>3028</v>
      </c>
      <c r="CZ52" s="103">
        <v>1662</v>
      </c>
      <c r="DA52" s="103">
        <v>733</v>
      </c>
      <c r="DB52" s="103">
        <v>275</v>
      </c>
      <c r="DC52" s="42"/>
      <c r="DD52" s="110"/>
      <c r="DE52" s="46" t="s">
        <v>8</v>
      </c>
      <c r="DF52" s="103">
        <v>1017</v>
      </c>
      <c r="DG52" s="103">
        <v>2221</v>
      </c>
      <c r="DH52" s="103">
        <v>5453</v>
      </c>
      <c r="DI52" s="103">
        <v>13882</v>
      </c>
      <c r="DJ52" s="103">
        <v>20172</v>
      </c>
      <c r="DK52" s="103">
        <v>21821</v>
      </c>
      <c r="DL52" s="103">
        <v>14537</v>
      </c>
      <c r="DM52" s="103">
        <v>6053</v>
      </c>
      <c r="DN52" s="103">
        <v>2333</v>
      </c>
      <c r="DO52" s="103">
        <v>740</v>
      </c>
    </row>
    <row r="53" spans="2:119" ht="14.25" customHeight="1" x14ac:dyDescent="0.45">
      <c r="B53" s="135"/>
      <c r="C53" s="42"/>
      <c r="D53" s="110"/>
      <c r="E53" s="46" t="s">
        <v>9</v>
      </c>
      <c r="F53" s="103">
        <v>554</v>
      </c>
      <c r="G53" s="103">
        <v>1161</v>
      </c>
      <c r="H53" s="103">
        <v>2824</v>
      </c>
      <c r="I53" s="103">
        <v>9003</v>
      </c>
      <c r="J53" s="103">
        <v>17331</v>
      </c>
      <c r="K53" s="103">
        <v>26426</v>
      </c>
      <c r="L53" s="103">
        <v>24508</v>
      </c>
      <c r="M53" s="103">
        <v>14522</v>
      </c>
      <c r="N53" s="103">
        <v>7314</v>
      </c>
      <c r="O53" s="103">
        <v>3057</v>
      </c>
      <c r="P53" s="42"/>
      <c r="Q53" s="110"/>
      <c r="R53" s="46" t="s">
        <v>9</v>
      </c>
      <c r="S53" s="103">
        <v>102</v>
      </c>
      <c r="T53" s="103">
        <v>223</v>
      </c>
      <c r="U53" s="103">
        <v>622</v>
      </c>
      <c r="V53" s="103">
        <v>2446</v>
      </c>
      <c r="W53" s="103">
        <v>6280</v>
      </c>
      <c r="X53" s="103">
        <v>12508</v>
      </c>
      <c r="Y53" s="103">
        <v>14073</v>
      </c>
      <c r="Z53" s="103">
        <v>9480</v>
      </c>
      <c r="AA53" s="103">
        <v>5226</v>
      </c>
      <c r="AB53" s="103">
        <v>2341</v>
      </c>
      <c r="AC53" s="42"/>
      <c r="AD53" s="110"/>
      <c r="AE53" s="46" t="s">
        <v>9</v>
      </c>
      <c r="AF53" s="103">
        <v>452</v>
      </c>
      <c r="AG53" s="103">
        <v>938</v>
      </c>
      <c r="AH53" s="103">
        <v>2202</v>
      </c>
      <c r="AI53" s="103">
        <v>6557</v>
      </c>
      <c r="AJ53" s="103">
        <v>11051</v>
      </c>
      <c r="AK53" s="103">
        <v>13918</v>
      </c>
      <c r="AL53" s="103">
        <v>10435</v>
      </c>
      <c r="AM53" s="103">
        <v>5042</v>
      </c>
      <c r="AN53" s="103">
        <v>2088</v>
      </c>
      <c r="AO53" s="103">
        <v>716</v>
      </c>
      <c r="AP53" s="6"/>
      <c r="AQ53" s="110"/>
      <c r="AR53" s="46" t="s">
        <v>9</v>
      </c>
      <c r="AS53" s="103">
        <v>246</v>
      </c>
      <c r="AT53" s="103">
        <v>519</v>
      </c>
      <c r="AU53" s="103">
        <v>1040</v>
      </c>
      <c r="AV53" s="103">
        <v>2708</v>
      </c>
      <c r="AW53" s="103">
        <v>4052</v>
      </c>
      <c r="AX53" s="103">
        <v>5208</v>
      </c>
      <c r="AY53" s="103">
        <v>4330</v>
      </c>
      <c r="AZ53" s="103">
        <v>2373</v>
      </c>
      <c r="BA53" s="103">
        <v>1190</v>
      </c>
      <c r="BB53" s="103">
        <v>486</v>
      </c>
      <c r="BC53" s="42"/>
      <c r="BD53" s="110"/>
      <c r="BE53" s="46" t="s">
        <v>9</v>
      </c>
      <c r="BF53" s="103">
        <v>308</v>
      </c>
      <c r="BG53" s="103">
        <v>642</v>
      </c>
      <c r="BH53" s="103">
        <v>1784</v>
      </c>
      <c r="BI53" s="103">
        <v>6295</v>
      </c>
      <c r="BJ53" s="103">
        <v>13279</v>
      </c>
      <c r="BK53" s="103">
        <v>21218</v>
      </c>
      <c r="BL53" s="103">
        <v>20178</v>
      </c>
      <c r="BM53" s="103">
        <v>12149</v>
      </c>
      <c r="BN53" s="103">
        <v>6124</v>
      </c>
      <c r="BO53" s="103">
        <v>2571</v>
      </c>
      <c r="BQ53" s="110"/>
      <c r="BR53" s="46" t="s">
        <v>9</v>
      </c>
      <c r="BS53" s="103">
        <v>154</v>
      </c>
      <c r="BT53" s="103">
        <v>221</v>
      </c>
      <c r="BU53" s="103">
        <v>403</v>
      </c>
      <c r="BV53" s="103">
        <v>945</v>
      </c>
      <c r="BW53" s="103">
        <v>1191</v>
      </c>
      <c r="BX53" s="103">
        <v>1324</v>
      </c>
      <c r="BY53" s="103">
        <v>1066</v>
      </c>
      <c r="BZ53" s="103">
        <v>564</v>
      </c>
      <c r="CA53" s="103">
        <v>280</v>
      </c>
      <c r="CB53" s="103">
        <v>106</v>
      </c>
      <c r="CC53" s="42"/>
      <c r="CD53" s="110"/>
      <c r="CE53" s="46" t="s">
        <v>9</v>
      </c>
      <c r="CF53" s="103">
        <v>400</v>
      </c>
      <c r="CG53" s="103">
        <v>940</v>
      </c>
      <c r="CH53" s="103">
        <v>2421</v>
      </c>
      <c r="CI53" s="103">
        <v>8058</v>
      </c>
      <c r="CJ53" s="103">
        <v>16140</v>
      </c>
      <c r="CK53" s="103">
        <v>25102</v>
      </c>
      <c r="CL53" s="103">
        <v>23442</v>
      </c>
      <c r="CM53" s="103">
        <v>13958</v>
      </c>
      <c r="CN53" s="103">
        <v>7034</v>
      </c>
      <c r="CO53" s="103">
        <v>2951</v>
      </c>
      <c r="CQ53" s="110"/>
      <c r="CR53" s="46" t="s">
        <v>9</v>
      </c>
      <c r="CS53" s="103">
        <v>41</v>
      </c>
      <c r="CT53" s="103">
        <v>61</v>
      </c>
      <c r="CU53" s="103">
        <v>196</v>
      </c>
      <c r="CV53" s="103">
        <v>749</v>
      </c>
      <c r="CW53" s="103">
        <v>1662</v>
      </c>
      <c r="CX53" s="103">
        <v>3011</v>
      </c>
      <c r="CY53" s="103">
        <v>3438</v>
      </c>
      <c r="CZ53" s="103">
        <v>2386</v>
      </c>
      <c r="DA53" s="103">
        <v>1345</v>
      </c>
      <c r="DB53" s="103">
        <v>660</v>
      </c>
      <c r="DC53" s="42"/>
      <c r="DD53" s="110"/>
      <c r="DE53" s="46" t="s">
        <v>9</v>
      </c>
      <c r="DF53" s="103">
        <v>513</v>
      </c>
      <c r="DG53" s="103">
        <v>1100</v>
      </c>
      <c r="DH53" s="103">
        <v>2628</v>
      </c>
      <c r="DI53" s="103">
        <v>8254</v>
      </c>
      <c r="DJ53" s="103">
        <v>15669</v>
      </c>
      <c r="DK53" s="103">
        <v>23415</v>
      </c>
      <c r="DL53" s="103">
        <v>21070</v>
      </c>
      <c r="DM53" s="103">
        <v>12136</v>
      </c>
      <c r="DN53" s="103">
        <v>5969</v>
      </c>
      <c r="DO53" s="103">
        <v>2397</v>
      </c>
    </row>
    <row r="54" spans="2:119" ht="14.25" customHeight="1" x14ac:dyDescent="0.45">
      <c r="B54" s="135"/>
      <c r="C54" s="42"/>
      <c r="D54" s="110"/>
      <c r="E54" s="46" t="s">
        <v>10</v>
      </c>
      <c r="F54" s="103">
        <v>190</v>
      </c>
      <c r="G54" s="103">
        <v>372</v>
      </c>
      <c r="H54" s="103">
        <v>892</v>
      </c>
      <c r="I54" s="103">
        <v>3120</v>
      </c>
      <c r="J54" s="103">
        <v>8039</v>
      </c>
      <c r="K54" s="103">
        <v>17048</v>
      </c>
      <c r="L54" s="103">
        <v>23429</v>
      </c>
      <c r="M54" s="103">
        <v>19245</v>
      </c>
      <c r="N54" s="103">
        <v>12923</v>
      </c>
      <c r="O54" s="103">
        <v>7423</v>
      </c>
      <c r="P54" s="42"/>
      <c r="Q54" s="110"/>
      <c r="R54" s="46" t="s">
        <v>10</v>
      </c>
      <c r="S54" s="103">
        <v>26</v>
      </c>
      <c r="T54" s="103">
        <v>68</v>
      </c>
      <c r="U54" s="103">
        <v>185</v>
      </c>
      <c r="V54" s="103">
        <v>633</v>
      </c>
      <c r="W54" s="103">
        <v>2283</v>
      </c>
      <c r="X54" s="103">
        <v>6290</v>
      </c>
      <c r="Y54" s="103">
        <v>11047</v>
      </c>
      <c r="Z54" s="103">
        <v>10661</v>
      </c>
      <c r="AA54" s="103">
        <v>8195</v>
      </c>
      <c r="AB54" s="103">
        <v>5145</v>
      </c>
      <c r="AC54" s="42"/>
      <c r="AD54" s="110"/>
      <c r="AE54" s="46" t="s">
        <v>10</v>
      </c>
      <c r="AF54" s="103">
        <v>164</v>
      </c>
      <c r="AG54" s="103">
        <v>304</v>
      </c>
      <c r="AH54" s="103">
        <v>707</v>
      </c>
      <c r="AI54" s="103">
        <v>2487</v>
      </c>
      <c r="AJ54" s="103">
        <v>5756</v>
      </c>
      <c r="AK54" s="103">
        <v>10758</v>
      </c>
      <c r="AL54" s="103">
        <v>12382</v>
      </c>
      <c r="AM54" s="103">
        <v>8584</v>
      </c>
      <c r="AN54" s="103">
        <v>4728</v>
      </c>
      <c r="AO54" s="103">
        <v>2278</v>
      </c>
      <c r="AP54" s="6"/>
      <c r="AQ54" s="110"/>
      <c r="AR54" s="46" t="s">
        <v>10</v>
      </c>
      <c r="AS54" s="103">
        <v>77</v>
      </c>
      <c r="AT54" s="103">
        <v>170</v>
      </c>
      <c r="AU54" s="103">
        <v>320</v>
      </c>
      <c r="AV54" s="103">
        <v>842</v>
      </c>
      <c r="AW54" s="103">
        <v>1602</v>
      </c>
      <c r="AX54" s="103">
        <v>2722</v>
      </c>
      <c r="AY54" s="103">
        <v>3196</v>
      </c>
      <c r="AZ54" s="103">
        <v>2315</v>
      </c>
      <c r="BA54" s="103">
        <v>1466</v>
      </c>
      <c r="BB54" s="103">
        <v>778</v>
      </c>
      <c r="BC54" s="42"/>
      <c r="BD54" s="110"/>
      <c r="BE54" s="46" t="s">
        <v>10</v>
      </c>
      <c r="BF54" s="103">
        <v>113</v>
      </c>
      <c r="BG54" s="103">
        <v>202</v>
      </c>
      <c r="BH54" s="103">
        <v>572</v>
      </c>
      <c r="BI54" s="103">
        <v>2278</v>
      </c>
      <c r="BJ54" s="103">
        <v>6437</v>
      </c>
      <c r="BK54" s="103">
        <v>14326</v>
      </c>
      <c r="BL54" s="103">
        <v>20233</v>
      </c>
      <c r="BM54" s="103">
        <v>16930</v>
      </c>
      <c r="BN54" s="103">
        <v>11457</v>
      </c>
      <c r="BO54" s="103">
        <v>6645</v>
      </c>
      <c r="BQ54" s="110"/>
      <c r="BR54" s="46" t="s">
        <v>10</v>
      </c>
      <c r="BS54" s="103">
        <v>44</v>
      </c>
      <c r="BT54" s="103">
        <v>62</v>
      </c>
      <c r="BU54" s="103">
        <v>119</v>
      </c>
      <c r="BV54" s="103">
        <v>287</v>
      </c>
      <c r="BW54" s="103">
        <v>483</v>
      </c>
      <c r="BX54" s="103">
        <v>747</v>
      </c>
      <c r="BY54" s="103">
        <v>816</v>
      </c>
      <c r="BZ54" s="103">
        <v>592</v>
      </c>
      <c r="CA54" s="103">
        <v>412</v>
      </c>
      <c r="CB54" s="103">
        <v>242</v>
      </c>
      <c r="CC54" s="42"/>
      <c r="CD54" s="110"/>
      <c r="CE54" s="46" t="s">
        <v>10</v>
      </c>
      <c r="CF54" s="103">
        <v>146</v>
      </c>
      <c r="CG54" s="103">
        <v>310</v>
      </c>
      <c r="CH54" s="103">
        <v>773</v>
      </c>
      <c r="CI54" s="103">
        <v>2833</v>
      </c>
      <c r="CJ54" s="103">
        <v>7556</v>
      </c>
      <c r="CK54" s="103">
        <v>16301</v>
      </c>
      <c r="CL54" s="103">
        <v>22613</v>
      </c>
      <c r="CM54" s="103">
        <v>18653</v>
      </c>
      <c r="CN54" s="103">
        <v>12511</v>
      </c>
      <c r="CO54" s="103">
        <v>7181</v>
      </c>
      <c r="CQ54" s="110"/>
      <c r="CR54" s="46" t="s">
        <v>10</v>
      </c>
      <c r="CS54" s="103">
        <v>8</v>
      </c>
      <c r="CT54" s="103">
        <v>18</v>
      </c>
      <c r="CU54" s="103">
        <v>50</v>
      </c>
      <c r="CV54" s="103">
        <v>225</v>
      </c>
      <c r="CW54" s="103">
        <v>682</v>
      </c>
      <c r="CX54" s="103">
        <v>1703</v>
      </c>
      <c r="CY54" s="103">
        <v>2815</v>
      </c>
      <c r="CZ54" s="103">
        <v>2635</v>
      </c>
      <c r="DA54" s="103">
        <v>2093</v>
      </c>
      <c r="DB54" s="103">
        <v>1290</v>
      </c>
      <c r="DC54" s="42"/>
      <c r="DD54" s="110"/>
      <c r="DE54" s="46" t="s">
        <v>10</v>
      </c>
      <c r="DF54" s="103">
        <v>182</v>
      </c>
      <c r="DG54" s="103">
        <v>354</v>
      </c>
      <c r="DH54" s="103">
        <v>842</v>
      </c>
      <c r="DI54" s="103">
        <v>2895</v>
      </c>
      <c r="DJ54" s="103">
        <v>7357</v>
      </c>
      <c r="DK54" s="103">
        <v>15345</v>
      </c>
      <c r="DL54" s="103">
        <v>20614</v>
      </c>
      <c r="DM54" s="103">
        <v>16610</v>
      </c>
      <c r="DN54" s="103">
        <v>10830</v>
      </c>
      <c r="DO54" s="103">
        <v>6133</v>
      </c>
    </row>
    <row r="55" spans="2:119" ht="14.25" customHeight="1" x14ac:dyDescent="0.45">
      <c r="B55" s="135"/>
      <c r="C55" s="42"/>
      <c r="D55" s="111"/>
      <c r="E55" s="46" t="s">
        <v>11</v>
      </c>
      <c r="F55" s="103">
        <v>17</v>
      </c>
      <c r="G55" s="103">
        <v>14</v>
      </c>
      <c r="H55" s="103">
        <v>65</v>
      </c>
      <c r="I55" s="103">
        <v>194</v>
      </c>
      <c r="J55" s="103">
        <v>647</v>
      </c>
      <c r="K55" s="103">
        <v>1990</v>
      </c>
      <c r="L55" s="103">
        <v>4370</v>
      </c>
      <c r="M55" s="103">
        <v>5228</v>
      </c>
      <c r="N55" s="103">
        <v>5249</v>
      </c>
      <c r="O55" s="103">
        <v>4766</v>
      </c>
      <c r="P55" s="42"/>
      <c r="Q55" s="111"/>
      <c r="R55" s="46" t="s">
        <v>11</v>
      </c>
      <c r="S55" s="103">
        <v>1</v>
      </c>
      <c r="T55" s="103">
        <v>0</v>
      </c>
      <c r="U55" s="103">
        <v>11</v>
      </c>
      <c r="V55" s="103">
        <v>29</v>
      </c>
      <c r="W55" s="103">
        <v>162</v>
      </c>
      <c r="X55" s="103">
        <v>573</v>
      </c>
      <c r="Y55" s="103">
        <v>1798</v>
      </c>
      <c r="Z55" s="103">
        <v>2504</v>
      </c>
      <c r="AA55" s="103">
        <v>2973</v>
      </c>
      <c r="AB55" s="103">
        <v>3078</v>
      </c>
      <c r="AC55" s="42"/>
      <c r="AD55" s="111"/>
      <c r="AE55" s="46" t="s">
        <v>11</v>
      </c>
      <c r="AF55" s="103">
        <v>16</v>
      </c>
      <c r="AG55" s="103">
        <v>14</v>
      </c>
      <c r="AH55" s="103">
        <v>54</v>
      </c>
      <c r="AI55" s="103">
        <v>165</v>
      </c>
      <c r="AJ55" s="103">
        <v>485</v>
      </c>
      <c r="AK55" s="103">
        <v>1417</v>
      </c>
      <c r="AL55" s="103">
        <v>2572</v>
      </c>
      <c r="AM55" s="103">
        <v>2724</v>
      </c>
      <c r="AN55" s="103">
        <v>2276</v>
      </c>
      <c r="AO55" s="103">
        <v>1688</v>
      </c>
      <c r="AP55" s="6"/>
      <c r="AQ55" s="111"/>
      <c r="AR55" s="46" t="s">
        <v>11</v>
      </c>
      <c r="AS55" s="103">
        <v>8</v>
      </c>
      <c r="AT55" s="103">
        <v>9</v>
      </c>
      <c r="AU55" s="103">
        <v>15</v>
      </c>
      <c r="AV55" s="103">
        <v>46</v>
      </c>
      <c r="AW55" s="103">
        <v>100</v>
      </c>
      <c r="AX55" s="103">
        <v>244</v>
      </c>
      <c r="AY55" s="103">
        <v>427</v>
      </c>
      <c r="AZ55" s="103">
        <v>416</v>
      </c>
      <c r="BA55" s="103">
        <v>351</v>
      </c>
      <c r="BB55" s="103">
        <v>310</v>
      </c>
      <c r="BC55" s="42"/>
      <c r="BD55" s="111"/>
      <c r="BE55" s="46" t="s">
        <v>11</v>
      </c>
      <c r="BF55" s="103">
        <v>9</v>
      </c>
      <c r="BG55" s="103">
        <v>5</v>
      </c>
      <c r="BH55" s="103">
        <v>50</v>
      </c>
      <c r="BI55" s="103">
        <v>148</v>
      </c>
      <c r="BJ55" s="103">
        <v>547</v>
      </c>
      <c r="BK55" s="103">
        <v>1746</v>
      </c>
      <c r="BL55" s="103">
        <v>3943</v>
      </c>
      <c r="BM55" s="103">
        <v>4812</v>
      </c>
      <c r="BN55" s="103">
        <v>4898</v>
      </c>
      <c r="BO55" s="103">
        <v>4456</v>
      </c>
      <c r="BQ55" s="111"/>
      <c r="BR55" s="46" t="s">
        <v>11</v>
      </c>
      <c r="BS55" s="103">
        <v>6</v>
      </c>
      <c r="BT55" s="103">
        <v>4</v>
      </c>
      <c r="BU55" s="103">
        <v>8</v>
      </c>
      <c r="BV55" s="103">
        <v>26</v>
      </c>
      <c r="BW55" s="103">
        <v>45</v>
      </c>
      <c r="BX55" s="103">
        <v>91</v>
      </c>
      <c r="BY55" s="103">
        <v>143</v>
      </c>
      <c r="BZ55" s="103">
        <v>130</v>
      </c>
      <c r="CA55" s="103">
        <v>138</v>
      </c>
      <c r="CB55" s="103">
        <v>120</v>
      </c>
      <c r="CC55" s="42"/>
      <c r="CD55" s="111"/>
      <c r="CE55" s="46" t="s">
        <v>11</v>
      </c>
      <c r="CF55" s="103">
        <v>11</v>
      </c>
      <c r="CG55" s="103">
        <v>10</v>
      </c>
      <c r="CH55" s="103">
        <v>57</v>
      </c>
      <c r="CI55" s="103">
        <v>168</v>
      </c>
      <c r="CJ55" s="103">
        <v>602</v>
      </c>
      <c r="CK55" s="103">
        <v>1899</v>
      </c>
      <c r="CL55" s="103">
        <v>4227</v>
      </c>
      <c r="CM55" s="103">
        <v>5098</v>
      </c>
      <c r="CN55" s="103">
        <v>5111</v>
      </c>
      <c r="CO55" s="103">
        <v>4646</v>
      </c>
      <c r="CQ55" s="111"/>
      <c r="CR55" s="46" t="s">
        <v>11</v>
      </c>
      <c r="CS55" s="103">
        <v>0</v>
      </c>
      <c r="CT55" s="103">
        <v>1</v>
      </c>
      <c r="CU55" s="103">
        <v>6</v>
      </c>
      <c r="CV55" s="103">
        <v>16</v>
      </c>
      <c r="CW55" s="103">
        <v>42</v>
      </c>
      <c r="CX55" s="103">
        <v>154</v>
      </c>
      <c r="CY55" s="103">
        <v>382</v>
      </c>
      <c r="CZ55" s="103">
        <v>587</v>
      </c>
      <c r="DA55" s="103">
        <v>648</v>
      </c>
      <c r="DB55" s="103">
        <v>696</v>
      </c>
      <c r="DC55" s="42"/>
      <c r="DD55" s="111"/>
      <c r="DE55" s="46" t="s">
        <v>11</v>
      </c>
      <c r="DF55" s="103">
        <v>17</v>
      </c>
      <c r="DG55" s="103">
        <v>13</v>
      </c>
      <c r="DH55" s="103">
        <v>59</v>
      </c>
      <c r="DI55" s="103">
        <v>178</v>
      </c>
      <c r="DJ55" s="103">
        <v>605</v>
      </c>
      <c r="DK55" s="103">
        <v>1836</v>
      </c>
      <c r="DL55" s="103">
        <v>3988</v>
      </c>
      <c r="DM55" s="103">
        <v>4641</v>
      </c>
      <c r="DN55" s="103">
        <v>4601</v>
      </c>
      <c r="DO55" s="103">
        <v>4070</v>
      </c>
    </row>
    <row r="56" spans="2:119" ht="14.25" customHeight="1" x14ac:dyDescent="0.45">
      <c r="B56" s="99"/>
      <c r="C56" s="42"/>
      <c r="D56" s="42"/>
      <c r="E56" s="42"/>
      <c r="F56" s="42"/>
      <c r="G56" s="42"/>
      <c r="H56" s="42"/>
      <c r="I56" s="4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6"/>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c r="BQ56" s="42"/>
      <c r="BR56" s="42"/>
      <c r="BS56" s="42"/>
      <c r="BT56" s="42"/>
      <c r="BU56" s="42"/>
      <c r="BV56" s="42"/>
      <c r="BW56" s="42"/>
      <c r="BX56" s="42"/>
      <c r="BY56" s="42"/>
      <c r="BZ56" s="42"/>
      <c r="CA56" s="42"/>
      <c r="CB56" s="42"/>
      <c r="CC56" s="42"/>
      <c r="CD56" s="42"/>
      <c r="CE56" s="42"/>
      <c r="CF56" s="42"/>
      <c r="CG56" s="42"/>
      <c r="CH56" s="42"/>
      <c r="CI56" s="42"/>
      <c r="CJ56" s="42"/>
      <c r="CK56" s="42"/>
      <c r="CL56" s="42"/>
      <c r="CM56" s="42"/>
      <c r="CN56" s="42"/>
      <c r="CO56" s="42"/>
      <c r="CQ56" s="42"/>
      <c r="CR56" s="42"/>
      <c r="CS56" s="42"/>
      <c r="CT56" s="42"/>
      <c r="CU56" s="42"/>
      <c r="CV56" s="42"/>
      <c r="CW56" s="42"/>
      <c r="CX56" s="42"/>
      <c r="CY56" s="42"/>
      <c r="CZ56" s="42"/>
      <c r="DA56" s="42"/>
      <c r="DB56" s="42"/>
      <c r="DC56" s="42"/>
      <c r="DD56" s="42"/>
      <c r="DE56" s="42"/>
      <c r="DF56" s="42"/>
      <c r="DG56" s="42"/>
      <c r="DH56" s="42"/>
      <c r="DI56" s="42"/>
      <c r="DJ56" s="42"/>
      <c r="DK56" s="42"/>
      <c r="DL56" s="42"/>
      <c r="DM56" s="42"/>
      <c r="DN56" s="42"/>
      <c r="DO56" s="42"/>
    </row>
    <row r="57" spans="2:119" ht="14.25" customHeight="1" x14ac:dyDescent="0.55000000000000004">
      <c r="B57" s="99"/>
      <c r="C57" s="42"/>
      <c r="D57" s="112" t="s">
        <v>16</v>
      </c>
      <c r="E57" s="112"/>
      <c r="F57" s="45"/>
      <c r="G57" s="45"/>
      <c r="H57" s="45"/>
      <c r="I57" s="45"/>
      <c r="J57" s="45"/>
      <c r="K57" s="45"/>
      <c r="L57" s="45"/>
      <c r="M57" s="45"/>
      <c r="N57" s="45"/>
      <c r="O57" s="45"/>
      <c r="P57" s="42"/>
      <c r="Q57" s="112" t="s">
        <v>16</v>
      </c>
      <c r="R57" s="112"/>
      <c r="S57" s="45"/>
      <c r="T57" s="45"/>
      <c r="U57" s="45"/>
      <c r="V57" s="45"/>
      <c r="W57" s="45"/>
      <c r="X57" s="45"/>
      <c r="Y57" s="45"/>
      <c r="Z57" s="45"/>
      <c r="AA57" s="45"/>
      <c r="AB57" s="45"/>
      <c r="AC57" s="42"/>
      <c r="AD57" s="112" t="s">
        <v>16</v>
      </c>
      <c r="AE57" s="112"/>
      <c r="AF57" s="45"/>
      <c r="AG57" s="45"/>
      <c r="AH57" s="45"/>
      <c r="AI57" s="45"/>
      <c r="AJ57" s="45"/>
      <c r="AK57" s="45"/>
      <c r="AL57" s="45"/>
      <c r="AM57" s="45"/>
      <c r="AN57" s="45"/>
      <c r="AO57" s="45"/>
      <c r="AP57" s="6"/>
      <c r="AQ57" s="112" t="s">
        <v>16</v>
      </c>
      <c r="AR57" s="112"/>
      <c r="AS57" s="45"/>
      <c r="AT57" s="45"/>
      <c r="AU57" s="45"/>
      <c r="AV57" s="45"/>
      <c r="AW57" s="45"/>
      <c r="AX57" s="45"/>
      <c r="AY57" s="45"/>
      <c r="AZ57" s="45"/>
      <c r="BA57" s="45"/>
      <c r="BB57" s="45"/>
      <c r="BC57" s="42"/>
      <c r="BD57" s="112" t="s">
        <v>16</v>
      </c>
      <c r="BE57" s="112"/>
      <c r="BF57" s="45"/>
      <c r="BG57" s="45"/>
      <c r="BH57" s="45"/>
      <c r="BI57" s="45"/>
      <c r="BJ57" s="45"/>
      <c r="BK57" s="45"/>
      <c r="BL57" s="45"/>
      <c r="BM57" s="45"/>
      <c r="BN57" s="45"/>
      <c r="BO57" s="45"/>
      <c r="BQ57" s="112" t="s">
        <v>16</v>
      </c>
      <c r="BR57" s="112"/>
      <c r="BS57" s="45"/>
      <c r="BT57" s="45"/>
      <c r="BU57" s="45"/>
      <c r="BV57" s="45"/>
      <c r="BW57" s="45"/>
      <c r="BX57" s="45"/>
      <c r="BY57" s="45"/>
      <c r="BZ57" s="45"/>
      <c r="CA57" s="45"/>
      <c r="CB57" s="45"/>
      <c r="CC57" s="42"/>
      <c r="CD57" s="112" t="s">
        <v>16</v>
      </c>
      <c r="CE57" s="112"/>
      <c r="CF57" s="45"/>
      <c r="CG57" s="45"/>
      <c r="CH57" s="45"/>
      <c r="CI57" s="45"/>
      <c r="CJ57" s="45"/>
      <c r="CK57" s="45"/>
      <c r="CL57" s="45"/>
      <c r="CM57" s="45"/>
      <c r="CN57" s="45"/>
      <c r="CO57" s="45"/>
      <c r="CQ57" s="112" t="s">
        <v>16</v>
      </c>
      <c r="CR57" s="112"/>
      <c r="CS57" s="45"/>
      <c r="CT57" s="45"/>
      <c r="CU57" s="45"/>
      <c r="CV57" s="45"/>
      <c r="CW57" s="45"/>
      <c r="CX57" s="45"/>
      <c r="CY57" s="45"/>
      <c r="CZ57" s="45"/>
      <c r="DA57" s="45"/>
      <c r="DB57" s="45"/>
      <c r="DC57" s="42"/>
      <c r="DD57" s="112" t="s">
        <v>16</v>
      </c>
      <c r="DE57" s="112"/>
      <c r="DF57" s="45"/>
      <c r="DG57" s="45"/>
      <c r="DH57" s="45"/>
      <c r="DI57" s="45"/>
      <c r="DJ57" s="45"/>
      <c r="DK57" s="45"/>
      <c r="DL57" s="45"/>
      <c r="DM57" s="45"/>
      <c r="DN57" s="45"/>
      <c r="DO57" s="45"/>
    </row>
    <row r="58" spans="2:119" ht="28.9" customHeight="1" x14ac:dyDescent="0.45">
      <c r="B58" s="99"/>
      <c r="C58" s="42"/>
      <c r="D58" s="112"/>
      <c r="E58" s="112"/>
      <c r="F58" s="108" t="s">
        <v>12</v>
      </c>
      <c r="G58" s="108"/>
      <c r="H58" s="108"/>
      <c r="I58" s="108"/>
      <c r="J58" s="108"/>
      <c r="K58" s="108"/>
      <c r="L58" s="108"/>
      <c r="M58" s="108"/>
      <c r="N58" s="108"/>
      <c r="O58" s="108"/>
      <c r="P58" s="42"/>
      <c r="Q58" s="112"/>
      <c r="R58" s="112"/>
      <c r="S58" s="108" t="s">
        <v>12</v>
      </c>
      <c r="T58" s="108"/>
      <c r="U58" s="108"/>
      <c r="V58" s="108"/>
      <c r="W58" s="108"/>
      <c r="X58" s="108"/>
      <c r="Y58" s="108"/>
      <c r="Z58" s="108"/>
      <c r="AA58" s="108"/>
      <c r="AB58" s="108"/>
      <c r="AC58" s="42"/>
      <c r="AD58" s="112"/>
      <c r="AE58" s="112"/>
      <c r="AF58" s="131" t="s">
        <v>12</v>
      </c>
      <c r="AG58" s="132"/>
      <c r="AH58" s="132"/>
      <c r="AI58" s="132"/>
      <c r="AJ58" s="132"/>
      <c r="AK58" s="132"/>
      <c r="AL58" s="132"/>
      <c r="AM58" s="132"/>
      <c r="AN58" s="132"/>
      <c r="AO58" s="133"/>
      <c r="AP58" s="6"/>
      <c r="AQ58" s="112"/>
      <c r="AR58" s="112"/>
      <c r="AS58" s="108" t="s">
        <v>12</v>
      </c>
      <c r="AT58" s="108"/>
      <c r="AU58" s="108"/>
      <c r="AV58" s="108"/>
      <c r="AW58" s="108"/>
      <c r="AX58" s="108"/>
      <c r="AY58" s="108"/>
      <c r="AZ58" s="108"/>
      <c r="BA58" s="108"/>
      <c r="BB58" s="108"/>
      <c r="BC58" s="42"/>
      <c r="BD58" s="112"/>
      <c r="BE58" s="112"/>
      <c r="BF58" s="108" t="s">
        <v>12</v>
      </c>
      <c r="BG58" s="108"/>
      <c r="BH58" s="108"/>
      <c r="BI58" s="108"/>
      <c r="BJ58" s="108"/>
      <c r="BK58" s="108"/>
      <c r="BL58" s="108"/>
      <c r="BM58" s="108"/>
      <c r="BN58" s="108"/>
      <c r="BO58" s="108"/>
      <c r="BQ58" s="112"/>
      <c r="BR58" s="112"/>
      <c r="BS58" s="108" t="s">
        <v>12</v>
      </c>
      <c r="BT58" s="108"/>
      <c r="BU58" s="108"/>
      <c r="BV58" s="108"/>
      <c r="BW58" s="108"/>
      <c r="BX58" s="108"/>
      <c r="BY58" s="108"/>
      <c r="BZ58" s="108"/>
      <c r="CA58" s="108"/>
      <c r="CB58" s="108"/>
      <c r="CC58" s="42"/>
      <c r="CD58" s="112"/>
      <c r="CE58" s="112"/>
      <c r="CF58" s="108" t="s">
        <v>12</v>
      </c>
      <c r="CG58" s="108"/>
      <c r="CH58" s="108"/>
      <c r="CI58" s="108"/>
      <c r="CJ58" s="108"/>
      <c r="CK58" s="108"/>
      <c r="CL58" s="108"/>
      <c r="CM58" s="108"/>
      <c r="CN58" s="108"/>
      <c r="CO58" s="108"/>
      <c r="CQ58" s="112"/>
      <c r="CR58" s="112"/>
      <c r="CS58" s="108" t="s">
        <v>12</v>
      </c>
      <c r="CT58" s="108"/>
      <c r="CU58" s="108"/>
      <c r="CV58" s="108"/>
      <c r="CW58" s="108"/>
      <c r="CX58" s="108"/>
      <c r="CY58" s="108"/>
      <c r="CZ58" s="108"/>
      <c r="DA58" s="108"/>
      <c r="DB58" s="108"/>
      <c r="DC58" s="42"/>
      <c r="DD58" s="112"/>
      <c r="DE58" s="112"/>
      <c r="DF58" s="108" t="s">
        <v>12</v>
      </c>
      <c r="DG58" s="108"/>
      <c r="DH58" s="108"/>
      <c r="DI58" s="108"/>
      <c r="DJ58" s="108"/>
      <c r="DK58" s="108"/>
      <c r="DL58" s="108"/>
      <c r="DM58" s="108"/>
      <c r="DN58" s="108"/>
      <c r="DO58" s="108"/>
    </row>
    <row r="59" spans="2:119" ht="14.25" customHeight="1" x14ac:dyDescent="0.45">
      <c r="B59" s="99"/>
      <c r="C59" s="42"/>
      <c r="D59" s="113"/>
      <c r="E59" s="113"/>
      <c r="F59" s="9" t="s">
        <v>0</v>
      </c>
      <c r="G59" s="9">
        <v>1</v>
      </c>
      <c r="H59" s="9">
        <v>2</v>
      </c>
      <c r="I59" s="9">
        <v>3</v>
      </c>
      <c r="J59" s="9">
        <v>4</v>
      </c>
      <c r="K59" s="9">
        <v>5</v>
      </c>
      <c r="L59" s="9">
        <v>6</v>
      </c>
      <c r="M59" s="9">
        <v>7</v>
      </c>
      <c r="N59" s="9">
        <v>8</v>
      </c>
      <c r="O59" s="9">
        <v>9</v>
      </c>
      <c r="P59" s="42"/>
      <c r="Q59" s="113"/>
      <c r="R59" s="113"/>
      <c r="S59" s="9" t="s">
        <v>0</v>
      </c>
      <c r="T59" s="9">
        <v>1</v>
      </c>
      <c r="U59" s="9">
        <v>2</v>
      </c>
      <c r="V59" s="9">
        <v>3</v>
      </c>
      <c r="W59" s="9">
        <v>4</v>
      </c>
      <c r="X59" s="9">
        <v>5</v>
      </c>
      <c r="Y59" s="9">
        <v>6</v>
      </c>
      <c r="Z59" s="9">
        <v>7</v>
      </c>
      <c r="AA59" s="9">
        <v>8</v>
      </c>
      <c r="AB59" s="9">
        <v>9</v>
      </c>
      <c r="AC59" s="42"/>
      <c r="AD59" s="113"/>
      <c r="AE59" s="113"/>
      <c r="AF59" s="9" t="s">
        <v>0</v>
      </c>
      <c r="AG59" s="9">
        <v>1</v>
      </c>
      <c r="AH59" s="9">
        <v>2</v>
      </c>
      <c r="AI59" s="9">
        <v>3</v>
      </c>
      <c r="AJ59" s="9">
        <v>4</v>
      </c>
      <c r="AK59" s="9">
        <v>5</v>
      </c>
      <c r="AL59" s="9">
        <v>6</v>
      </c>
      <c r="AM59" s="9">
        <v>7</v>
      </c>
      <c r="AN59" s="9">
        <v>8</v>
      </c>
      <c r="AO59" s="9">
        <v>9</v>
      </c>
      <c r="AP59" s="6"/>
      <c r="AQ59" s="113"/>
      <c r="AR59" s="113"/>
      <c r="AS59" s="9" t="s">
        <v>0</v>
      </c>
      <c r="AT59" s="9">
        <v>1</v>
      </c>
      <c r="AU59" s="9">
        <v>2</v>
      </c>
      <c r="AV59" s="9">
        <v>3</v>
      </c>
      <c r="AW59" s="9">
        <v>4</v>
      </c>
      <c r="AX59" s="9">
        <v>5</v>
      </c>
      <c r="AY59" s="9">
        <v>6</v>
      </c>
      <c r="AZ59" s="9">
        <v>7</v>
      </c>
      <c r="BA59" s="9">
        <v>8</v>
      </c>
      <c r="BB59" s="9">
        <v>9</v>
      </c>
      <c r="BC59" s="42"/>
      <c r="BD59" s="113"/>
      <c r="BE59" s="113"/>
      <c r="BF59" s="9" t="s">
        <v>0</v>
      </c>
      <c r="BG59" s="9">
        <v>1</v>
      </c>
      <c r="BH59" s="9">
        <v>2</v>
      </c>
      <c r="BI59" s="9">
        <v>3</v>
      </c>
      <c r="BJ59" s="9">
        <v>4</v>
      </c>
      <c r="BK59" s="9">
        <v>5</v>
      </c>
      <c r="BL59" s="9">
        <v>6</v>
      </c>
      <c r="BM59" s="9">
        <v>7</v>
      </c>
      <c r="BN59" s="9">
        <v>8</v>
      </c>
      <c r="BO59" s="9">
        <v>9</v>
      </c>
      <c r="BQ59" s="113"/>
      <c r="BR59" s="113"/>
      <c r="BS59" s="9" t="s">
        <v>0</v>
      </c>
      <c r="BT59" s="9">
        <v>1</v>
      </c>
      <c r="BU59" s="9">
        <v>2</v>
      </c>
      <c r="BV59" s="9">
        <v>3</v>
      </c>
      <c r="BW59" s="9">
        <v>4</v>
      </c>
      <c r="BX59" s="9">
        <v>5</v>
      </c>
      <c r="BY59" s="9">
        <v>6</v>
      </c>
      <c r="BZ59" s="9">
        <v>7</v>
      </c>
      <c r="CA59" s="9">
        <v>8</v>
      </c>
      <c r="CB59" s="9">
        <v>9</v>
      </c>
      <c r="CC59" s="42"/>
      <c r="CD59" s="113"/>
      <c r="CE59" s="113"/>
      <c r="CF59" s="9" t="s">
        <v>0</v>
      </c>
      <c r="CG59" s="9">
        <v>1</v>
      </c>
      <c r="CH59" s="9">
        <v>2</v>
      </c>
      <c r="CI59" s="9">
        <v>3</v>
      </c>
      <c r="CJ59" s="9">
        <v>4</v>
      </c>
      <c r="CK59" s="9">
        <v>5</v>
      </c>
      <c r="CL59" s="9">
        <v>6</v>
      </c>
      <c r="CM59" s="9">
        <v>7</v>
      </c>
      <c r="CN59" s="9">
        <v>8</v>
      </c>
      <c r="CO59" s="9">
        <v>9</v>
      </c>
      <c r="CQ59" s="113"/>
      <c r="CR59" s="113"/>
      <c r="CS59" s="9" t="s">
        <v>0</v>
      </c>
      <c r="CT59" s="9">
        <v>1</v>
      </c>
      <c r="CU59" s="9">
        <v>2</v>
      </c>
      <c r="CV59" s="9">
        <v>3</v>
      </c>
      <c r="CW59" s="9">
        <v>4</v>
      </c>
      <c r="CX59" s="9">
        <v>5</v>
      </c>
      <c r="CY59" s="9">
        <v>6</v>
      </c>
      <c r="CZ59" s="9">
        <v>7</v>
      </c>
      <c r="DA59" s="9">
        <v>8</v>
      </c>
      <c r="DB59" s="9">
        <v>9</v>
      </c>
      <c r="DC59" s="42"/>
      <c r="DD59" s="113"/>
      <c r="DE59" s="113"/>
      <c r="DF59" s="9" t="s">
        <v>0</v>
      </c>
      <c r="DG59" s="9">
        <v>1</v>
      </c>
      <c r="DH59" s="9">
        <v>2</v>
      </c>
      <c r="DI59" s="9">
        <v>3</v>
      </c>
      <c r="DJ59" s="9">
        <v>4</v>
      </c>
      <c r="DK59" s="9">
        <v>5</v>
      </c>
      <c r="DL59" s="9">
        <v>6</v>
      </c>
      <c r="DM59" s="9">
        <v>7</v>
      </c>
      <c r="DN59" s="9">
        <v>8</v>
      </c>
      <c r="DO59" s="9">
        <v>9</v>
      </c>
    </row>
    <row r="60" spans="2:119" ht="14.25" customHeight="1" x14ac:dyDescent="0.45">
      <c r="B60" s="99"/>
      <c r="C60" s="42"/>
      <c r="D60" s="109" t="s">
        <v>13</v>
      </c>
      <c r="E60" s="47" t="s">
        <v>1</v>
      </c>
      <c r="F60" s="103">
        <v>12.5</v>
      </c>
      <c r="G60" s="103">
        <v>9.7222222222222232</v>
      </c>
      <c r="H60" s="103">
        <v>16.666666666666664</v>
      </c>
      <c r="I60" s="103">
        <v>23.611111111111111</v>
      </c>
      <c r="J60" s="103">
        <v>22.222222222222221</v>
      </c>
      <c r="K60" s="103">
        <v>8.3333333333333321</v>
      </c>
      <c r="L60" s="103">
        <v>5.5555555555555554</v>
      </c>
      <c r="M60" s="103">
        <v>1.3888888888888888</v>
      </c>
      <c r="N60" s="103">
        <v>0</v>
      </c>
      <c r="O60" s="17">
        <v>0</v>
      </c>
      <c r="P60" s="42"/>
      <c r="Q60" s="109" t="s">
        <v>13</v>
      </c>
      <c r="R60" s="46" t="s">
        <v>1</v>
      </c>
      <c r="S60" s="103">
        <v>16.129032258064516</v>
      </c>
      <c r="T60" s="103">
        <v>3.225806451612903</v>
      </c>
      <c r="U60" s="103">
        <v>6.4516129032258061</v>
      </c>
      <c r="V60" s="103">
        <v>22.58064516129032</v>
      </c>
      <c r="W60" s="103">
        <v>29.032258064516132</v>
      </c>
      <c r="X60" s="103">
        <v>19.35483870967742</v>
      </c>
      <c r="Y60" s="103">
        <v>3.225806451612903</v>
      </c>
      <c r="Z60" s="103">
        <v>0</v>
      </c>
      <c r="AA60" s="103">
        <v>0</v>
      </c>
      <c r="AB60" s="17">
        <v>0</v>
      </c>
      <c r="AC60" s="42"/>
      <c r="AD60" s="109" t="s">
        <v>13</v>
      </c>
      <c r="AE60" s="46" t="s">
        <v>1</v>
      </c>
      <c r="AF60" s="103">
        <v>9.7560975609756095</v>
      </c>
      <c r="AG60" s="103">
        <v>14.634146341463413</v>
      </c>
      <c r="AH60" s="103">
        <v>24.390243902439025</v>
      </c>
      <c r="AI60" s="103">
        <v>24.390243902439025</v>
      </c>
      <c r="AJ60" s="103">
        <v>17.073170731707318</v>
      </c>
      <c r="AK60" s="103">
        <v>0</v>
      </c>
      <c r="AL60" s="103">
        <v>7.3170731707317067</v>
      </c>
      <c r="AM60" s="103">
        <v>2.4390243902439024</v>
      </c>
      <c r="AN60" s="103">
        <v>0</v>
      </c>
      <c r="AO60" s="17">
        <v>0</v>
      </c>
      <c r="AP60" s="6"/>
      <c r="AQ60" s="109" t="s">
        <v>13</v>
      </c>
      <c r="AR60" s="46" t="s">
        <v>1</v>
      </c>
      <c r="AS60" s="103">
        <v>15.789473684210526</v>
      </c>
      <c r="AT60" s="103">
        <v>13.157894736842104</v>
      </c>
      <c r="AU60" s="103">
        <v>13.157894736842104</v>
      </c>
      <c r="AV60" s="103">
        <v>23.684210526315788</v>
      </c>
      <c r="AW60" s="103">
        <v>23.684210526315788</v>
      </c>
      <c r="AX60" s="103">
        <v>2.6315789473684208</v>
      </c>
      <c r="AY60" s="103">
        <v>7.8947368421052628</v>
      </c>
      <c r="AZ60" s="103">
        <v>0</v>
      </c>
      <c r="BA60" s="103">
        <v>0</v>
      </c>
      <c r="BB60" s="17">
        <v>0</v>
      </c>
      <c r="BC60" s="42"/>
      <c r="BD60" s="109" t="s">
        <v>13</v>
      </c>
      <c r="BE60" s="46" t="s">
        <v>1</v>
      </c>
      <c r="BF60" s="103">
        <v>8.8235294117647065</v>
      </c>
      <c r="BG60" s="103">
        <v>5.8823529411764701</v>
      </c>
      <c r="BH60" s="103">
        <v>20.588235294117645</v>
      </c>
      <c r="BI60" s="103">
        <v>23.52941176470588</v>
      </c>
      <c r="BJ60" s="103">
        <v>20.588235294117645</v>
      </c>
      <c r="BK60" s="103">
        <v>14.705882352941178</v>
      </c>
      <c r="BL60" s="103">
        <v>2.9411764705882351</v>
      </c>
      <c r="BM60" s="103">
        <v>2.9411764705882351</v>
      </c>
      <c r="BN60" s="103">
        <v>0</v>
      </c>
      <c r="BO60" s="17">
        <v>0</v>
      </c>
      <c r="BQ60" s="109" t="s">
        <v>13</v>
      </c>
      <c r="BR60" s="46" t="s">
        <v>1</v>
      </c>
      <c r="BS60" s="103">
        <v>12.5</v>
      </c>
      <c r="BT60" s="103">
        <v>20.833333333333336</v>
      </c>
      <c r="BU60" s="103">
        <v>16.666666666666664</v>
      </c>
      <c r="BV60" s="103">
        <v>8.3333333333333321</v>
      </c>
      <c r="BW60" s="103">
        <v>25</v>
      </c>
      <c r="BX60" s="103">
        <v>4.1666666666666661</v>
      </c>
      <c r="BY60" s="103">
        <v>8.3333333333333321</v>
      </c>
      <c r="BZ60" s="103">
        <v>4.1666666666666661</v>
      </c>
      <c r="CA60" s="103">
        <v>0</v>
      </c>
      <c r="CB60" s="17">
        <v>0</v>
      </c>
      <c r="CC60" s="42"/>
      <c r="CD60" s="109" t="s">
        <v>13</v>
      </c>
      <c r="CE60" s="46" t="s">
        <v>1</v>
      </c>
      <c r="CF60" s="103">
        <v>12.5</v>
      </c>
      <c r="CG60" s="103">
        <v>4.1666666666666661</v>
      </c>
      <c r="CH60" s="103">
        <v>16.666666666666664</v>
      </c>
      <c r="CI60" s="103">
        <v>31.25</v>
      </c>
      <c r="CJ60" s="103">
        <v>20.833333333333336</v>
      </c>
      <c r="CK60" s="103">
        <v>10.416666666666668</v>
      </c>
      <c r="CL60" s="103">
        <v>4.1666666666666661</v>
      </c>
      <c r="CM60" s="103">
        <v>0</v>
      </c>
      <c r="CN60" s="103">
        <v>0</v>
      </c>
      <c r="CO60" s="17">
        <v>0</v>
      </c>
      <c r="CQ60" s="109" t="s">
        <v>13</v>
      </c>
      <c r="CR60" s="46" t="s">
        <v>1</v>
      </c>
      <c r="CS60" s="103">
        <v>12.307692307692308</v>
      </c>
      <c r="CT60" s="103">
        <v>9.2307692307692317</v>
      </c>
      <c r="CU60" s="103">
        <v>18.461538461538463</v>
      </c>
      <c r="CV60" s="103">
        <v>24.615384615384617</v>
      </c>
      <c r="CW60" s="103">
        <v>24.615384615384617</v>
      </c>
      <c r="CX60" s="103">
        <v>6.1538461538461542</v>
      </c>
      <c r="CY60" s="103">
        <v>4.6153846153846159</v>
      </c>
      <c r="CZ60" s="103">
        <v>0</v>
      </c>
      <c r="DA60" s="103">
        <v>0</v>
      </c>
      <c r="DB60" s="17">
        <v>0</v>
      </c>
      <c r="DC60" s="42"/>
      <c r="DD60" s="109" t="s">
        <v>13</v>
      </c>
      <c r="DE60" s="46" t="s">
        <v>1</v>
      </c>
      <c r="DF60" s="103">
        <v>14.285714285714285</v>
      </c>
      <c r="DG60" s="103">
        <v>14.285714285714285</v>
      </c>
      <c r="DH60" s="103">
        <v>0</v>
      </c>
      <c r="DI60" s="103">
        <v>14.285714285714285</v>
      </c>
      <c r="DJ60" s="103">
        <v>0</v>
      </c>
      <c r="DK60" s="103">
        <v>28.571428571428569</v>
      </c>
      <c r="DL60" s="103">
        <v>14.285714285714285</v>
      </c>
      <c r="DM60" s="103">
        <v>14.285714285714285</v>
      </c>
      <c r="DN60" s="103">
        <v>0</v>
      </c>
      <c r="DO60" s="17">
        <v>0</v>
      </c>
    </row>
    <row r="61" spans="2:119" ht="14.25" customHeight="1" x14ac:dyDescent="0.45">
      <c r="B61" s="99"/>
      <c r="C61" s="42"/>
      <c r="D61" s="110"/>
      <c r="E61" s="47">
        <v>1</v>
      </c>
      <c r="F61" s="103">
        <v>23.778501628664493</v>
      </c>
      <c r="G61" s="103">
        <v>25.407166123778502</v>
      </c>
      <c r="H61" s="103">
        <v>18.241042345276874</v>
      </c>
      <c r="I61" s="103">
        <v>15.635179153094461</v>
      </c>
      <c r="J61" s="103">
        <v>8.1433224755700326</v>
      </c>
      <c r="K61" s="103">
        <v>3.5830618892508146</v>
      </c>
      <c r="L61" s="103">
        <v>1.6286644951140066</v>
      </c>
      <c r="M61" s="103">
        <v>1.9543973941368076</v>
      </c>
      <c r="N61" s="103">
        <v>0.65146579804560267</v>
      </c>
      <c r="O61" s="103">
        <v>0.97719869706840379</v>
      </c>
      <c r="P61" s="42"/>
      <c r="Q61" s="110"/>
      <c r="R61" s="46">
        <v>1</v>
      </c>
      <c r="S61" s="103">
        <v>19.594594594594593</v>
      </c>
      <c r="T61" s="103">
        <v>22.972972972972975</v>
      </c>
      <c r="U61" s="103">
        <v>16.216216216216218</v>
      </c>
      <c r="V61" s="103">
        <v>18.918918918918919</v>
      </c>
      <c r="W61" s="103">
        <v>11.486486486486488</v>
      </c>
      <c r="X61" s="103">
        <v>4.7297297297297298</v>
      </c>
      <c r="Y61" s="103">
        <v>1.3513513513513513</v>
      </c>
      <c r="Z61" s="103">
        <v>3.3783783783783785</v>
      </c>
      <c r="AA61" s="103">
        <v>0.67567567567567566</v>
      </c>
      <c r="AB61" s="103">
        <v>0.67567567567567566</v>
      </c>
      <c r="AC61" s="42"/>
      <c r="AD61" s="110"/>
      <c r="AE61" s="46">
        <v>1</v>
      </c>
      <c r="AF61" s="103">
        <v>27.672955974842768</v>
      </c>
      <c r="AG61" s="103">
        <v>27.672955974842768</v>
      </c>
      <c r="AH61" s="103">
        <v>20.125786163522015</v>
      </c>
      <c r="AI61" s="103">
        <v>12.578616352201259</v>
      </c>
      <c r="AJ61" s="103">
        <v>5.0314465408805038</v>
      </c>
      <c r="AK61" s="103">
        <v>2.5157232704402519</v>
      </c>
      <c r="AL61" s="103">
        <v>1.8867924528301887</v>
      </c>
      <c r="AM61" s="103">
        <v>0.62893081761006298</v>
      </c>
      <c r="AN61" s="103">
        <v>0.62893081761006298</v>
      </c>
      <c r="AO61" s="103">
        <v>1.257861635220126</v>
      </c>
      <c r="AP61" s="6"/>
      <c r="AQ61" s="110"/>
      <c r="AR61" s="46">
        <v>1</v>
      </c>
      <c r="AS61" s="103">
        <v>27.044025157232703</v>
      </c>
      <c r="AT61" s="103">
        <v>27.044025157232703</v>
      </c>
      <c r="AU61" s="103">
        <v>21.383647798742139</v>
      </c>
      <c r="AV61" s="103">
        <v>12.578616352201259</v>
      </c>
      <c r="AW61" s="103">
        <v>6.9182389937106921</v>
      </c>
      <c r="AX61" s="103">
        <v>3.1446540880503147</v>
      </c>
      <c r="AY61" s="103">
        <v>0</v>
      </c>
      <c r="AZ61" s="103">
        <v>0</v>
      </c>
      <c r="BA61" s="103">
        <v>0.62893081761006298</v>
      </c>
      <c r="BB61" s="103">
        <v>1.257861635220126</v>
      </c>
      <c r="BC61" s="42"/>
      <c r="BD61" s="110"/>
      <c r="BE61" s="46">
        <v>1</v>
      </c>
      <c r="BF61" s="103">
        <v>20.27027027027027</v>
      </c>
      <c r="BG61" s="103">
        <v>23.648648648648649</v>
      </c>
      <c r="BH61" s="103">
        <v>14.864864864864865</v>
      </c>
      <c r="BI61" s="103">
        <v>18.918918918918919</v>
      </c>
      <c r="BJ61" s="103">
        <v>9.4594594594594597</v>
      </c>
      <c r="BK61" s="103">
        <v>4.0540540540540544</v>
      </c>
      <c r="BL61" s="103">
        <v>3.3783783783783785</v>
      </c>
      <c r="BM61" s="103">
        <v>4.0540540540540544</v>
      </c>
      <c r="BN61" s="103">
        <v>0.67567567567567566</v>
      </c>
      <c r="BO61" s="103">
        <v>0.67567567567567566</v>
      </c>
      <c r="BQ61" s="110"/>
      <c r="BR61" s="46">
        <v>1</v>
      </c>
      <c r="BS61" s="103">
        <v>29.050279329608941</v>
      </c>
      <c r="BT61" s="103">
        <v>32.402234636871505</v>
      </c>
      <c r="BU61" s="103">
        <v>22.905027932960895</v>
      </c>
      <c r="BV61" s="103">
        <v>11.173184357541899</v>
      </c>
      <c r="BW61" s="103">
        <v>3.3519553072625698</v>
      </c>
      <c r="BX61" s="103">
        <v>0.55865921787709494</v>
      </c>
      <c r="BY61" s="103">
        <v>0</v>
      </c>
      <c r="BZ61" s="103">
        <v>0</v>
      </c>
      <c r="CA61" s="103">
        <v>0</v>
      </c>
      <c r="CB61" s="103">
        <v>0.55865921787709494</v>
      </c>
      <c r="CC61" s="42"/>
      <c r="CD61" s="110"/>
      <c r="CE61" s="46">
        <v>1</v>
      </c>
      <c r="CF61" s="103">
        <v>16.40625</v>
      </c>
      <c r="CG61" s="103">
        <v>15.625</v>
      </c>
      <c r="CH61" s="103">
        <v>11.71875</v>
      </c>
      <c r="CI61" s="103">
        <v>21.875</v>
      </c>
      <c r="CJ61" s="103">
        <v>14.84375</v>
      </c>
      <c r="CK61" s="103">
        <v>7.8125</v>
      </c>
      <c r="CL61" s="103">
        <v>3.90625</v>
      </c>
      <c r="CM61" s="103">
        <v>4.6875</v>
      </c>
      <c r="CN61" s="103">
        <v>1.5625</v>
      </c>
      <c r="CO61" s="103">
        <v>1.5625</v>
      </c>
      <c r="CQ61" s="110"/>
      <c r="CR61" s="46">
        <v>1</v>
      </c>
      <c r="CS61" s="103">
        <v>23.645320197044335</v>
      </c>
      <c r="CT61" s="103">
        <v>22.167487684729064</v>
      </c>
      <c r="CU61" s="103">
        <v>12.807881773399016</v>
      </c>
      <c r="CV61" s="103">
        <v>19.21182266009852</v>
      </c>
      <c r="CW61" s="103">
        <v>9.8522167487684733</v>
      </c>
      <c r="CX61" s="103">
        <v>4.9261083743842367</v>
      </c>
      <c r="CY61" s="103">
        <v>2.4630541871921183</v>
      </c>
      <c r="CZ61" s="103">
        <v>2.9556650246305418</v>
      </c>
      <c r="DA61" s="103">
        <v>0.98522167487684731</v>
      </c>
      <c r="DB61" s="103">
        <v>0.98522167487684731</v>
      </c>
      <c r="DC61" s="42"/>
      <c r="DD61" s="110"/>
      <c r="DE61" s="46">
        <v>1</v>
      </c>
      <c r="DF61" s="103">
        <v>24.03846153846154</v>
      </c>
      <c r="DG61" s="103">
        <v>31.73076923076923</v>
      </c>
      <c r="DH61" s="103">
        <v>28.846153846153843</v>
      </c>
      <c r="DI61" s="103">
        <v>8.6538461538461533</v>
      </c>
      <c r="DJ61" s="103">
        <v>4.8076923076923084</v>
      </c>
      <c r="DK61" s="103">
        <v>0.96153846153846156</v>
      </c>
      <c r="DL61" s="103">
        <v>0</v>
      </c>
      <c r="DM61" s="103">
        <v>0</v>
      </c>
      <c r="DN61" s="103">
        <v>0</v>
      </c>
      <c r="DO61" s="103">
        <v>0.96153846153846156</v>
      </c>
    </row>
    <row r="62" spans="2:119" ht="14.25" customHeight="1" x14ac:dyDescent="0.45">
      <c r="B62" s="99"/>
      <c r="C62" s="42"/>
      <c r="D62" s="110"/>
      <c r="E62" s="47" t="s">
        <v>2</v>
      </c>
      <c r="F62" s="103">
        <v>11.573614146632227</v>
      </c>
      <c r="G62" s="103">
        <v>25.362606795151997</v>
      </c>
      <c r="H62" s="103">
        <v>27.985297039539041</v>
      </c>
      <c r="I62" s="103">
        <v>20.613947943572423</v>
      </c>
      <c r="J62" s="103">
        <v>9.0105304987085244</v>
      </c>
      <c r="K62" s="103">
        <v>3.6956089807272003</v>
      </c>
      <c r="L62" s="103">
        <v>1.2318696602424002</v>
      </c>
      <c r="M62" s="103">
        <v>0.39737730975561297</v>
      </c>
      <c r="N62" s="103">
        <v>0.11921319292668389</v>
      </c>
      <c r="O62" s="103">
        <v>9.9344327438903243E-3</v>
      </c>
      <c r="P62" s="42"/>
      <c r="Q62" s="110"/>
      <c r="R62" s="46" t="s">
        <v>2</v>
      </c>
      <c r="S62" s="103">
        <v>8.1491404331323949</v>
      </c>
      <c r="T62" s="103">
        <v>22.460370618441615</v>
      </c>
      <c r="U62" s="103">
        <v>27.662424648359007</v>
      </c>
      <c r="V62" s="103">
        <v>24.023219468631389</v>
      </c>
      <c r="W62" s="103">
        <v>10.761330654163876</v>
      </c>
      <c r="X62" s="103">
        <v>4.4429560169680737</v>
      </c>
      <c r="Y62" s="103">
        <v>1.6744809109176158</v>
      </c>
      <c r="Z62" s="103">
        <v>0.60281312793034159</v>
      </c>
      <c r="AA62" s="103">
        <v>0.20093770931011384</v>
      </c>
      <c r="AB62" s="103">
        <v>2.2326412145568207E-2</v>
      </c>
      <c r="AC62" s="42"/>
      <c r="AD62" s="110"/>
      <c r="AE62" s="46" t="s">
        <v>2</v>
      </c>
      <c r="AF62" s="103">
        <v>14.31895471630571</v>
      </c>
      <c r="AG62" s="103">
        <v>27.689278682656166</v>
      </c>
      <c r="AH62" s="103">
        <v>28.244138177913015</v>
      </c>
      <c r="AI62" s="103">
        <v>17.880794701986755</v>
      </c>
      <c r="AJ62" s="103">
        <v>7.6069446930374083</v>
      </c>
      <c r="AK62" s="103">
        <v>3.0964739574011095</v>
      </c>
      <c r="AL62" s="103">
        <v>0.87703597637372477</v>
      </c>
      <c r="AM62" s="103">
        <v>0.23268301413996778</v>
      </c>
      <c r="AN62" s="103">
        <v>5.3696080186146411E-2</v>
      </c>
      <c r="AO62" s="103">
        <v>0</v>
      </c>
      <c r="AP62" s="6"/>
      <c r="AQ62" s="110"/>
      <c r="AR62" s="46" t="s">
        <v>2</v>
      </c>
      <c r="AS62" s="103">
        <v>14.655507979758662</v>
      </c>
      <c r="AT62" s="103">
        <v>27.53989879330479</v>
      </c>
      <c r="AU62" s="103">
        <v>27.812378357337487</v>
      </c>
      <c r="AV62" s="103">
        <v>18.62592448423511</v>
      </c>
      <c r="AW62" s="103">
        <v>7.5126508369015177</v>
      </c>
      <c r="AX62" s="103">
        <v>2.744258466329311</v>
      </c>
      <c r="AY62" s="103">
        <v>0.79797586609575721</v>
      </c>
      <c r="AZ62" s="103">
        <v>0.21409108602569094</v>
      </c>
      <c r="BA62" s="103">
        <v>9.7314130011677699E-2</v>
      </c>
      <c r="BB62" s="103">
        <v>0</v>
      </c>
      <c r="BC62" s="42"/>
      <c r="BD62" s="110"/>
      <c r="BE62" s="46" t="s">
        <v>2</v>
      </c>
      <c r="BF62" s="103">
        <v>8.3603896103896105</v>
      </c>
      <c r="BG62" s="103">
        <v>23.092532467532468</v>
      </c>
      <c r="BH62" s="103">
        <v>28.165584415584416</v>
      </c>
      <c r="BI62" s="103">
        <v>22.686688311688311</v>
      </c>
      <c r="BJ62" s="103">
        <v>10.572240259740258</v>
      </c>
      <c r="BK62" s="103">
        <v>4.6875</v>
      </c>
      <c r="BL62" s="103">
        <v>1.6842532467532467</v>
      </c>
      <c r="BM62" s="103">
        <v>0.58847402597402598</v>
      </c>
      <c r="BN62" s="103">
        <v>0.14204545454545456</v>
      </c>
      <c r="BO62" s="103">
        <v>2.0292207792207792E-2</v>
      </c>
      <c r="BQ62" s="110"/>
      <c r="BR62" s="46" t="s">
        <v>2</v>
      </c>
      <c r="BS62" s="103">
        <v>13.076811803847823</v>
      </c>
      <c r="BT62" s="103">
        <v>28.395776074063363</v>
      </c>
      <c r="BU62" s="103">
        <v>29.04672356429915</v>
      </c>
      <c r="BV62" s="103">
        <v>19.282511210762333</v>
      </c>
      <c r="BW62" s="103">
        <v>6.9434398958484005</v>
      </c>
      <c r="BX62" s="103">
        <v>2.4302039635469406</v>
      </c>
      <c r="BY62" s="103">
        <v>0.5641544915376826</v>
      </c>
      <c r="BZ62" s="103">
        <v>0.20251699696224504</v>
      </c>
      <c r="CA62" s="103">
        <v>5.7861999132070019E-2</v>
      </c>
      <c r="CB62" s="103">
        <v>0</v>
      </c>
      <c r="CC62" s="42"/>
      <c r="CD62" s="110"/>
      <c r="CE62" s="46" t="s">
        <v>2</v>
      </c>
      <c r="CF62" s="103">
        <v>8.2778306374881065</v>
      </c>
      <c r="CG62" s="103">
        <v>18.712337456390742</v>
      </c>
      <c r="CH62" s="103">
        <v>25.6581033935934</v>
      </c>
      <c r="CI62" s="103">
        <v>23.533143038376149</v>
      </c>
      <c r="CJ62" s="103">
        <v>13.542657786235331</v>
      </c>
      <c r="CK62" s="103">
        <v>6.4700285442435774</v>
      </c>
      <c r="CL62" s="103">
        <v>2.6958452267681574</v>
      </c>
      <c r="CM62" s="103">
        <v>0.82461148112908333</v>
      </c>
      <c r="CN62" s="103">
        <v>0.2537266095781795</v>
      </c>
      <c r="CO62" s="103">
        <v>3.1715826197272437E-2</v>
      </c>
      <c r="CQ62" s="110"/>
      <c r="CR62" s="46" t="s">
        <v>2</v>
      </c>
      <c r="CS62" s="103">
        <v>8.8104216660953032</v>
      </c>
      <c r="CT62" s="103">
        <v>17.586561535824476</v>
      </c>
      <c r="CU62" s="103">
        <v>23.825848474460063</v>
      </c>
      <c r="CV62" s="103">
        <v>23.620157696263284</v>
      </c>
      <c r="CW62" s="103">
        <v>14.672608844703463</v>
      </c>
      <c r="CX62" s="103">
        <v>6.9592046623243062</v>
      </c>
      <c r="CY62" s="103">
        <v>3.256770654782311</v>
      </c>
      <c r="CZ62" s="103">
        <v>0.92560850188549881</v>
      </c>
      <c r="DA62" s="103">
        <v>0.30853616729516625</v>
      </c>
      <c r="DB62" s="103">
        <v>3.4281796366129588E-2</v>
      </c>
      <c r="DC62" s="42"/>
      <c r="DD62" s="110"/>
      <c r="DE62" s="46" t="s">
        <v>2</v>
      </c>
      <c r="DF62" s="103">
        <v>12.701077073716604</v>
      </c>
      <c r="DG62" s="103">
        <v>28.535459504825848</v>
      </c>
      <c r="DH62" s="103">
        <v>29.682473073157084</v>
      </c>
      <c r="DI62" s="103">
        <v>19.387326898866974</v>
      </c>
      <c r="DJ62" s="103">
        <v>6.7002377954958741</v>
      </c>
      <c r="DK62" s="103">
        <v>2.363966988389985</v>
      </c>
      <c r="DL62" s="103">
        <v>0.40565114001958319</v>
      </c>
      <c r="DM62" s="103">
        <v>0.18184361449153727</v>
      </c>
      <c r="DN62" s="103">
        <v>4.1963911036508601E-2</v>
      </c>
      <c r="DO62" s="103">
        <v>0</v>
      </c>
    </row>
    <row r="63" spans="2:119" ht="14.25" customHeight="1" x14ac:dyDescent="0.45">
      <c r="B63" s="99"/>
      <c r="C63" s="42"/>
      <c r="D63" s="110"/>
      <c r="E63" s="47" t="s">
        <v>3</v>
      </c>
      <c r="F63" s="103">
        <v>7.4465129202556266</v>
      </c>
      <c r="G63" s="103">
        <v>18.157821617115864</v>
      </c>
      <c r="H63" s="103">
        <v>27.174215059738817</v>
      </c>
      <c r="I63" s="103">
        <v>27.118644067796609</v>
      </c>
      <c r="J63" s="103">
        <v>12.920255626562934</v>
      </c>
      <c r="K63" s="103">
        <v>5.1125312586829672</v>
      </c>
      <c r="L63" s="103">
        <v>1.5837732703528755</v>
      </c>
      <c r="M63" s="103">
        <v>0.41678243956654626</v>
      </c>
      <c r="N63" s="103">
        <v>6.9463739927757714E-2</v>
      </c>
      <c r="O63" s="103">
        <v>0</v>
      </c>
      <c r="P63" s="42"/>
      <c r="Q63" s="110"/>
      <c r="R63" s="46" t="s">
        <v>3</v>
      </c>
      <c r="S63" s="103">
        <v>3.891760413499544</v>
      </c>
      <c r="T63" s="103">
        <v>13.864396473092125</v>
      </c>
      <c r="U63" s="103">
        <v>25.600486470051685</v>
      </c>
      <c r="V63" s="103">
        <v>31.225296442687743</v>
      </c>
      <c r="W63" s="103">
        <v>16.083916083916083</v>
      </c>
      <c r="X63" s="103">
        <v>6.5977500760109455</v>
      </c>
      <c r="Y63" s="103">
        <v>2.1891152325934935</v>
      </c>
      <c r="Z63" s="103">
        <v>0.42566129522651258</v>
      </c>
      <c r="AA63" s="103">
        <v>0.12161751292186075</v>
      </c>
      <c r="AB63" s="103">
        <v>0</v>
      </c>
      <c r="AC63" s="42"/>
      <c r="AD63" s="110"/>
      <c r="AE63" s="46" t="s">
        <v>3</v>
      </c>
      <c r="AF63" s="103">
        <v>10.437452033768228</v>
      </c>
      <c r="AG63" s="103">
        <v>21.770273727295983</v>
      </c>
      <c r="AH63" s="103">
        <v>28.498337170631878</v>
      </c>
      <c r="AI63" s="103">
        <v>23.663341007930416</v>
      </c>
      <c r="AJ63" s="103">
        <v>10.258378101816321</v>
      </c>
      <c r="AK63" s="103">
        <v>3.8628805321053976</v>
      </c>
      <c r="AL63" s="103">
        <v>1.0744435917114352</v>
      </c>
      <c r="AM63" s="103">
        <v>0.40931184446149915</v>
      </c>
      <c r="AN63" s="103">
        <v>2.5581990278843697E-2</v>
      </c>
      <c r="AO63" s="103">
        <v>0</v>
      </c>
      <c r="AP63" s="6"/>
      <c r="AQ63" s="110"/>
      <c r="AR63" s="46" t="s">
        <v>3</v>
      </c>
      <c r="AS63" s="103">
        <v>10.33969010727056</v>
      </c>
      <c r="AT63" s="103">
        <v>21.424314660309893</v>
      </c>
      <c r="AU63" s="103">
        <v>26.460071513706794</v>
      </c>
      <c r="AV63" s="103">
        <v>24.910607866507746</v>
      </c>
      <c r="AW63" s="103">
        <v>11.203814064362335</v>
      </c>
      <c r="AX63" s="103">
        <v>4.171632896305125</v>
      </c>
      <c r="AY63" s="103">
        <v>1.132300357568534</v>
      </c>
      <c r="AZ63" s="103">
        <v>0.26817640047675806</v>
      </c>
      <c r="BA63" s="103">
        <v>8.9392133492252682E-2</v>
      </c>
      <c r="BB63" s="103">
        <v>0</v>
      </c>
      <c r="BC63" s="42"/>
      <c r="BD63" s="110"/>
      <c r="BE63" s="46" t="s">
        <v>3</v>
      </c>
      <c r="BF63" s="103">
        <v>4.9193128578865171</v>
      </c>
      <c r="BG63" s="103">
        <v>15.304528891202498</v>
      </c>
      <c r="BH63" s="103">
        <v>27.798021863612703</v>
      </c>
      <c r="BI63" s="103">
        <v>29.047371160853725</v>
      </c>
      <c r="BJ63" s="103">
        <v>14.41957313899011</v>
      </c>
      <c r="BK63" s="103">
        <v>5.9344091618948465</v>
      </c>
      <c r="BL63" s="103">
        <v>1.978136387298282</v>
      </c>
      <c r="BM63" s="103">
        <v>0.5465903175429464</v>
      </c>
      <c r="BN63" s="103">
        <v>5.2056220718375845E-2</v>
      </c>
      <c r="BO63" s="103">
        <v>0</v>
      </c>
      <c r="BQ63" s="110"/>
      <c r="BR63" s="46" t="s">
        <v>3</v>
      </c>
      <c r="BS63" s="103">
        <v>8.6159256468224061</v>
      </c>
      <c r="BT63" s="103">
        <v>20.748555639286611</v>
      </c>
      <c r="BU63" s="103">
        <v>28.409947249434815</v>
      </c>
      <c r="BV63" s="103">
        <v>25.621703089675961</v>
      </c>
      <c r="BW63" s="103">
        <v>11.27857322280834</v>
      </c>
      <c r="BX63" s="103">
        <v>3.8432554634513942</v>
      </c>
      <c r="BY63" s="103">
        <v>1.0801306204471239</v>
      </c>
      <c r="BZ63" s="103">
        <v>0.30143180105501133</v>
      </c>
      <c r="CA63" s="103">
        <v>0.10047726701833709</v>
      </c>
      <c r="CB63" s="103">
        <v>0</v>
      </c>
      <c r="CC63" s="42"/>
      <c r="CD63" s="110"/>
      <c r="CE63" s="46" t="s">
        <v>3</v>
      </c>
      <c r="CF63" s="103">
        <v>5.9993783027665524</v>
      </c>
      <c r="CG63" s="103">
        <v>14.951818464407834</v>
      </c>
      <c r="CH63" s="103">
        <v>25.645010879701584</v>
      </c>
      <c r="CI63" s="103">
        <v>28.971091078644701</v>
      </c>
      <c r="CJ63" s="103">
        <v>14.951818464407834</v>
      </c>
      <c r="CK63" s="103">
        <v>6.6832452595585954</v>
      </c>
      <c r="CL63" s="103">
        <v>2.2070251787379545</v>
      </c>
      <c r="CM63" s="103">
        <v>0.55952751010258006</v>
      </c>
      <c r="CN63" s="103">
        <v>3.1084861672365557E-2</v>
      </c>
      <c r="CO63" s="103">
        <v>0</v>
      </c>
      <c r="CQ63" s="110"/>
      <c r="CR63" s="46" t="s">
        <v>3</v>
      </c>
      <c r="CS63" s="103">
        <v>4.6332046332046328</v>
      </c>
      <c r="CT63" s="103">
        <v>11.904761904761903</v>
      </c>
      <c r="CU63" s="103">
        <v>20.527670527670526</v>
      </c>
      <c r="CV63" s="103">
        <v>29.794079794079792</v>
      </c>
      <c r="CW63" s="103">
        <v>17.824967824967825</v>
      </c>
      <c r="CX63" s="103">
        <v>10.231660231660232</v>
      </c>
      <c r="CY63" s="103">
        <v>3.7966537966537968</v>
      </c>
      <c r="CZ63" s="103">
        <v>1.0939510939510939</v>
      </c>
      <c r="DA63" s="103">
        <v>0.19305019305019305</v>
      </c>
      <c r="DB63" s="103">
        <v>0</v>
      </c>
      <c r="DC63" s="42"/>
      <c r="DD63" s="110"/>
      <c r="DE63" s="46" t="s">
        <v>3</v>
      </c>
      <c r="DF63" s="103">
        <v>8.2211197732104893</v>
      </c>
      <c r="DG63" s="103">
        <v>19.879518072289155</v>
      </c>
      <c r="DH63" s="103">
        <v>29.004252303330968</v>
      </c>
      <c r="DI63" s="103">
        <v>26.381998582565558</v>
      </c>
      <c r="DJ63" s="103">
        <v>11.569808646350106</v>
      </c>
      <c r="DK63" s="103">
        <v>3.7030474840538625</v>
      </c>
      <c r="DL63" s="103">
        <v>0.97448618001417431</v>
      </c>
      <c r="DM63" s="103">
        <v>0.23033309709425939</v>
      </c>
      <c r="DN63" s="103">
        <v>3.543586109142452E-2</v>
      </c>
      <c r="DO63" s="103">
        <v>0</v>
      </c>
    </row>
    <row r="64" spans="2:119" ht="14.25" customHeight="1" x14ac:dyDescent="0.45">
      <c r="B64" s="99"/>
      <c r="C64" s="42"/>
      <c r="D64" s="110"/>
      <c r="E64" s="47" t="s">
        <v>4</v>
      </c>
      <c r="F64" s="103">
        <v>5.8854765908487474</v>
      </c>
      <c r="G64" s="103">
        <v>14.169395521727587</v>
      </c>
      <c r="H64" s="103">
        <v>24.276484644658819</v>
      </c>
      <c r="I64" s="103">
        <v>28.825559784051684</v>
      </c>
      <c r="J64" s="103">
        <v>16.26692627666165</v>
      </c>
      <c r="K64" s="103">
        <v>7.726347464377378</v>
      </c>
      <c r="L64" s="103">
        <v>2.0975307549340649</v>
      </c>
      <c r="M64" s="103">
        <v>0.53102044428710504</v>
      </c>
      <c r="N64" s="103">
        <v>0.16815647402424994</v>
      </c>
      <c r="O64" s="103">
        <v>5.3102044428710506E-2</v>
      </c>
      <c r="P64" s="42"/>
      <c r="Q64" s="110"/>
      <c r="R64" s="46" t="s">
        <v>4</v>
      </c>
      <c r="S64" s="103">
        <v>3.1144465290806753</v>
      </c>
      <c r="T64" s="103">
        <v>9.5121951219512191</v>
      </c>
      <c r="U64" s="103">
        <v>20.900562851782365</v>
      </c>
      <c r="V64" s="103">
        <v>31.913696060037523</v>
      </c>
      <c r="W64" s="103">
        <v>19.399624765478425</v>
      </c>
      <c r="X64" s="103">
        <v>10.787992495309568</v>
      </c>
      <c r="Y64" s="103">
        <v>3.1144465290806753</v>
      </c>
      <c r="Z64" s="103">
        <v>0.88180112570356473</v>
      </c>
      <c r="AA64" s="103">
        <v>0.28142589118198874</v>
      </c>
      <c r="AB64" s="103">
        <v>9.3808630393996242E-2</v>
      </c>
      <c r="AC64" s="42"/>
      <c r="AD64" s="110"/>
      <c r="AE64" s="46" t="s">
        <v>4</v>
      </c>
      <c r="AF64" s="103">
        <v>8.3598592729100343</v>
      </c>
      <c r="AG64" s="103">
        <v>18.328028145417992</v>
      </c>
      <c r="AH64" s="103">
        <v>27.291003518177249</v>
      </c>
      <c r="AI64" s="103">
        <v>26.068018093482998</v>
      </c>
      <c r="AJ64" s="103">
        <v>13.469592896632602</v>
      </c>
      <c r="AK64" s="103">
        <v>4.9924610487518848</v>
      </c>
      <c r="AL64" s="103">
        <v>1.1894789747026302</v>
      </c>
      <c r="AM64" s="103">
        <v>0.217791924945552</v>
      </c>
      <c r="AN64" s="103">
        <v>6.7012899983246776E-2</v>
      </c>
      <c r="AO64" s="103">
        <v>1.6753224995811694E-2</v>
      </c>
      <c r="AP64" s="6"/>
      <c r="AQ64" s="110"/>
      <c r="AR64" s="46" t="s">
        <v>4</v>
      </c>
      <c r="AS64" s="103">
        <v>8.3053193593039349</v>
      </c>
      <c r="AT64" s="103">
        <v>16.808384417638916</v>
      </c>
      <c r="AU64" s="103">
        <v>24.915958077911807</v>
      </c>
      <c r="AV64" s="103">
        <v>27.288906466284356</v>
      </c>
      <c r="AW64" s="103">
        <v>14.356337749653944</v>
      </c>
      <c r="AX64" s="103">
        <v>6.1696658097686372</v>
      </c>
      <c r="AY64" s="103">
        <v>1.4830927427328455</v>
      </c>
      <c r="AZ64" s="103">
        <v>0.4745896776745106</v>
      </c>
      <c r="BA64" s="103">
        <v>0.13842198932173225</v>
      </c>
      <c r="BB64" s="103">
        <v>5.9323709709313825E-2</v>
      </c>
      <c r="BC64" s="42"/>
      <c r="BD64" s="110"/>
      <c r="BE64" s="46" t="s">
        <v>4</v>
      </c>
      <c r="BF64" s="103">
        <v>3.925024030759372</v>
      </c>
      <c r="BG64" s="103">
        <v>12.031400192246075</v>
      </c>
      <c r="BH64" s="103">
        <v>23.758410765780198</v>
      </c>
      <c r="BI64" s="103">
        <v>30.070490227491188</v>
      </c>
      <c r="BJ64" s="103">
        <v>17.814802947773149</v>
      </c>
      <c r="BK64" s="103">
        <v>8.9875040051265618</v>
      </c>
      <c r="BL64" s="103">
        <v>2.5953220121755849</v>
      </c>
      <c r="BM64" s="103">
        <v>0.57673822492790772</v>
      </c>
      <c r="BN64" s="103">
        <v>0.19224607497596924</v>
      </c>
      <c r="BO64" s="103">
        <v>4.806151874399231E-2</v>
      </c>
      <c r="BQ64" s="110"/>
      <c r="BR64" s="46" t="s">
        <v>4</v>
      </c>
      <c r="BS64" s="103">
        <v>7.7031659608792085</v>
      </c>
      <c r="BT64" s="103">
        <v>17.463198225448679</v>
      </c>
      <c r="BU64" s="103">
        <v>26.819923371647509</v>
      </c>
      <c r="BV64" s="103">
        <v>26.940915507158703</v>
      </c>
      <c r="BW64" s="103">
        <v>13.530953821334945</v>
      </c>
      <c r="BX64" s="103">
        <v>5.7471264367816088</v>
      </c>
      <c r="BY64" s="103">
        <v>1.5728977616454931</v>
      </c>
      <c r="BZ64" s="103">
        <v>0.18148820326678766</v>
      </c>
      <c r="CA64" s="103">
        <v>4.0330711837063923E-2</v>
      </c>
      <c r="CB64" s="103">
        <v>0</v>
      </c>
      <c r="CC64" s="42"/>
      <c r="CD64" s="110"/>
      <c r="CE64" s="46" t="s">
        <v>4</v>
      </c>
      <c r="CF64" s="103">
        <v>4.4637223974763405</v>
      </c>
      <c r="CG64" s="103">
        <v>11.593059936908517</v>
      </c>
      <c r="CH64" s="103">
        <v>22.287066246056781</v>
      </c>
      <c r="CI64" s="103">
        <v>30.299684542586753</v>
      </c>
      <c r="CJ64" s="103">
        <v>18.406940063091483</v>
      </c>
      <c r="CK64" s="103">
        <v>9.2744479495268131</v>
      </c>
      <c r="CL64" s="103">
        <v>2.5078864353312302</v>
      </c>
      <c r="CM64" s="103">
        <v>0.80441640378548884</v>
      </c>
      <c r="CN64" s="103">
        <v>0.26813880126182965</v>
      </c>
      <c r="CO64" s="103">
        <v>9.4637223974763401E-2</v>
      </c>
      <c r="CQ64" s="110"/>
      <c r="CR64" s="46" t="s">
        <v>4</v>
      </c>
      <c r="CS64" s="103">
        <v>2.8431808085295422</v>
      </c>
      <c r="CT64" s="103">
        <v>8.6628165259884504</v>
      </c>
      <c r="CU64" s="103">
        <v>18.169702354509106</v>
      </c>
      <c r="CV64" s="103">
        <v>27.943136383829408</v>
      </c>
      <c r="CW64" s="103">
        <v>22.834295868502888</v>
      </c>
      <c r="CX64" s="103">
        <v>12.172367836517104</v>
      </c>
      <c r="CY64" s="103">
        <v>5.0199911150599732</v>
      </c>
      <c r="CZ64" s="103">
        <v>1.5548645046645935</v>
      </c>
      <c r="DA64" s="103">
        <v>0.53309640159928928</v>
      </c>
      <c r="DB64" s="103">
        <v>0.26654820079964464</v>
      </c>
      <c r="DC64" s="42"/>
      <c r="DD64" s="110"/>
      <c r="DE64" s="46" t="s">
        <v>4</v>
      </c>
      <c r="DF64" s="103">
        <v>6.6423519009725904</v>
      </c>
      <c r="DG64" s="103">
        <v>15.539345711759506</v>
      </c>
      <c r="DH64" s="103">
        <v>25.795755968169757</v>
      </c>
      <c r="DI64" s="103">
        <v>29.045092838196286</v>
      </c>
      <c r="DJ64" s="103">
        <v>14.633068081343945</v>
      </c>
      <c r="DK64" s="103">
        <v>6.620247568523431</v>
      </c>
      <c r="DL64" s="103">
        <v>1.3704686118479221</v>
      </c>
      <c r="DM64" s="103">
        <v>0.27630415561450045</v>
      </c>
      <c r="DN64" s="103">
        <v>7.7365163572060122E-2</v>
      </c>
      <c r="DO64" s="103">
        <v>0</v>
      </c>
    </row>
    <row r="65" spans="2:119" ht="14.25" customHeight="1" x14ac:dyDescent="0.45">
      <c r="B65" s="99"/>
      <c r="C65" s="42"/>
      <c r="D65" s="110"/>
      <c r="E65" s="47" t="s">
        <v>5</v>
      </c>
      <c r="F65" s="103">
        <v>3.97732873336619</v>
      </c>
      <c r="G65" s="103">
        <v>10.137999014292754</v>
      </c>
      <c r="H65" s="103">
        <v>19.84721537703302</v>
      </c>
      <c r="I65" s="103">
        <v>29.181862986692952</v>
      </c>
      <c r="J65" s="103">
        <v>20.413997042878265</v>
      </c>
      <c r="K65" s="103">
        <v>10.970921636274026</v>
      </c>
      <c r="L65" s="103">
        <v>4.1744701823558401</v>
      </c>
      <c r="M65" s="103">
        <v>0.99556431739773288</v>
      </c>
      <c r="N65" s="103">
        <v>0.25135534746180382</v>
      </c>
      <c r="O65" s="103">
        <v>4.928536224741252E-2</v>
      </c>
      <c r="P65" s="42"/>
      <c r="Q65" s="110"/>
      <c r="R65" s="46" t="s">
        <v>5</v>
      </c>
      <c r="S65" s="103">
        <v>1.8070504591685594</v>
      </c>
      <c r="T65" s="103">
        <v>6.1716204206576482</v>
      </c>
      <c r="U65" s="103">
        <v>16.520193542016393</v>
      </c>
      <c r="V65" s="103">
        <v>29.663276389848921</v>
      </c>
      <c r="W65" s="103">
        <v>24.232250419670191</v>
      </c>
      <c r="X65" s="103">
        <v>13.893551890984496</v>
      </c>
      <c r="Y65" s="103">
        <v>5.7568875283894538</v>
      </c>
      <c r="Z65" s="103">
        <v>1.4910634936308877</v>
      </c>
      <c r="AA65" s="103">
        <v>0.39498370692208951</v>
      </c>
      <c r="AB65" s="103">
        <v>6.9122148711365655E-2</v>
      </c>
      <c r="AC65" s="42"/>
      <c r="AD65" s="110"/>
      <c r="AE65" s="46" t="s">
        <v>5</v>
      </c>
      <c r="AF65" s="103">
        <v>6.1399193151628459</v>
      </c>
      <c r="AG65" s="103">
        <v>14.09032765915576</v>
      </c>
      <c r="AH65" s="103">
        <v>23.162452031880353</v>
      </c>
      <c r="AI65" s="103">
        <v>28.70215487552888</v>
      </c>
      <c r="AJ65" s="103">
        <v>16.609268916658468</v>
      </c>
      <c r="AK65" s="103">
        <v>8.058644101151236</v>
      </c>
      <c r="AL65" s="103">
        <v>2.5976581717996652</v>
      </c>
      <c r="AM65" s="103">
        <v>0.50182032864311721</v>
      </c>
      <c r="AN65" s="103">
        <v>0.10823575715831939</v>
      </c>
      <c r="AO65" s="103">
        <v>2.9518842861359834E-2</v>
      </c>
      <c r="AP65" s="6"/>
      <c r="AQ65" s="110"/>
      <c r="AR65" s="46" t="s">
        <v>5</v>
      </c>
      <c r="AS65" s="103">
        <v>5.8001484046500122</v>
      </c>
      <c r="AT65" s="103">
        <v>13.541924313628495</v>
      </c>
      <c r="AU65" s="103">
        <v>21.951521147662625</v>
      </c>
      <c r="AV65" s="103">
        <v>28.741033885728417</v>
      </c>
      <c r="AW65" s="103">
        <v>17.239673509769972</v>
      </c>
      <c r="AX65" s="103">
        <v>8.6940390798911693</v>
      </c>
      <c r="AY65" s="103">
        <v>3.079396487756616</v>
      </c>
      <c r="AZ65" s="103">
        <v>0.70492208755874353</v>
      </c>
      <c r="BA65" s="103">
        <v>0.23497402918624785</v>
      </c>
      <c r="BB65" s="103">
        <v>1.2367054167697254E-2</v>
      </c>
      <c r="BC65" s="42"/>
      <c r="BD65" s="110"/>
      <c r="BE65" s="46" t="s">
        <v>5</v>
      </c>
      <c r="BF65" s="103">
        <v>2.7695837430350703</v>
      </c>
      <c r="BG65" s="103">
        <v>7.8826614224844311</v>
      </c>
      <c r="BH65" s="103">
        <v>18.45296624057686</v>
      </c>
      <c r="BI65" s="103">
        <v>29.473942969518191</v>
      </c>
      <c r="BJ65" s="103">
        <v>22.517207472959686</v>
      </c>
      <c r="BK65" s="103">
        <v>12.479514913143232</v>
      </c>
      <c r="BL65" s="103">
        <v>4.9000327761389713</v>
      </c>
      <c r="BM65" s="103">
        <v>1.1881350376925599</v>
      </c>
      <c r="BN65" s="103">
        <v>0.26220911176663392</v>
      </c>
      <c r="BO65" s="103">
        <v>7.3746312684365781E-2</v>
      </c>
      <c r="BQ65" s="110"/>
      <c r="BR65" s="46" t="s">
        <v>5</v>
      </c>
      <c r="BS65" s="103">
        <v>5.6980056980056979</v>
      </c>
      <c r="BT65" s="103">
        <v>14.593225704336815</v>
      </c>
      <c r="BU65" s="103">
        <v>24.612219056663502</v>
      </c>
      <c r="BV65" s="103">
        <v>27.666983222538775</v>
      </c>
      <c r="BW65" s="103">
        <v>16.207660652105098</v>
      </c>
      <c r="BX65" s="103">
        <v>7.660652105096549</v>
      </c>
      <c r="BY65" s="103">
        <v>2.880658436213992</v>
      </c>
      <c r="BZ65" s="103">
        <v>0.52231718898385571</v>
      </c>
      <c r="CA65" s="103">
        <v>0.11079455523899967</v>
      </c>
      <c r="CB65" s="103">
        <v>4.7483380816714153E-2</v>
      </c>
      <c r="CC65" s="42"/>
      <c r="CD65" s="110"/>
      <c r="CE65" s="46" t="s">
        <v>5</v>
      </c>
      <c r="CF65" s="103">
        <v>3.1992556541654742</v>
      </c>
      <c r="CG65" s="103">
        <v>8.1233896364156877</v>
      </c>
      <c r="CH65" s="103">
        <v>17.692527912968796</v>
      </c>
      <c r="CI65" s="103">
        <v>29.866876610363587</v>
      </c>
      <c r="CJ65" s="103">
        <v>22.316060692814197</v>
      </c>
      <c r="CK65" s="103">
        <v>12.46779272831377</v>
      </c>
      <c r="CL65" s="103">
        <v>4.7595190380761521</v>
      </c>
      <c r="CM65" s="103">
        <v>1.2095619811050673</v>
      </c>
      <c r="CN65" s="103">
        <v>0.31491554537646727</v>
      </c>
      <c r="CO65" s="103">
        <v>5.0100200400801598E-2</v>
      </c>
      <c r="CQ65" s="110"/>
      <c r="CR65" s="46" t="s">
        <v>5</v>
      </c>
      <c r="CS65" s="103">
        <v>1.66189111747851</v>
      </c>
      <c r="CT65" s="103">
        <v>5.5873925501432664</v>
      </c>
      <c r="CU65" s="103">
        <v>13.46704871060172</v>
      </c>
      <c r="CV65" s="103">
        <v>25.988538681948427</v>
      </c>
      <c r="CW65" s="103">
        <v>24.727793696275072</v>
      </c>
      <c r="CX65" s="103">
        <v>17.048710601719197</v>
      </c>
      <c r="CY65" s="103">
        <v>8.4240687679083095</v>
      </c>
      <c r="CZ65" s="103">
        <v>2.3495702005730661</v>
      </c>
      <c r="DA65" s="103">
        <v>0.68767908309455583</v>
      </c>
      <c r="DB65" s="103">
        <v>5.7306590257879653E-2</v>
      </c>
      <c r="DC65" s="42"/>
      <c r="DD65" s="110"/>
      <c r="DE65" s="46" t="s">
        <v>5</v>
      </c>
      <c r="DF65" s="103">
        <v>4.4583333333333339</v>
      </c>
      <c r="DG65" s="103">
        <v>11.083333333333334</v>
      </c>
      <c r="DH65" s="103">
        <v>21.172619047619047</v>
      </c>
      <c r="DI65" s="103">
        <v>29.845238095238098</v>
      </c>
      <c r="DJ65" s="103">
        <v>19.517857142857142</v>
      </c>
      <c r="DK65" s="103">
        <v>9.7083333333333321</v>
      </c>
      <c r="DL65" s="103">
        <v>3.2916666666666665</v>
      </c>
      <c r="DM65" s="103">
        <v>0.7142857142857143</v>
      </c>
      <c r="DN65" s="103">
        <v>0.1607142857142857</v>
      </c>
      <c r="DO65" s="103">
        <v>4.7619047619047616E-2</v>
      </c>
    </row>
    <row r="66" spans="2:119" ht="14.25" customHeight="1" x14ac:dyDescent="0.45">
      <c r="B66" s="99"/>
      <c r="C66" s="42"/>
      <c r="D66" s="110"/>
      <c r="E66" s="47" t="s">
        <v>6</v>
      </c>
      <c r="F66" s="103">
        <v>2.7779734648350356</v>
      </c>
      <c r="G66" s="103">
        <v>6.8169543266408352</v>
      </c>
      <c r="H66" s="103">
        <v>15.031114242104026</v>
      </c>
      <c r="I66" s="103">
        <v>26.678407890102147</v>
      </c>
      <c r="J66" s="103">
        <v>23.996712457438065</v>
      </c>
      <c r="K66" s="103">
        <v>15.84360690383938</v>
      </c>
      <c r="L66" s="103">
        <v>6.4036632617118698</v>
      </c>
      <c r="M66" s="103">
        <v>1.7752729834448748</v>
      </c>
      <c r="N66" s="103">
        <v>0.54948925678055649</v>
      </c>
      <c r="O66" s="103">
        <v>0.12680521310320533</v>
      </c>
      <c r="P66" s="42"/>
      <c r="Q66" s="110"/>
      <c r="R66" s="46" t="s">
        <v>6</v>
      </c>
      <c r="S66" s="103">
        <v>1.2699156513589505</v>
      </c>
      <c r="T66" s="103">
        <v>3.7535145267104033</v>
      </c>
      <c r="U66" s="103">
        <v>10.599812558575445</v>
      </c>
      <c r="V66" s="103">
        <v>24.620431115276475</v>
      </c>
      <c r="W66" s="103">
        <v>27.047797563261483</v>
      </c>
      <c r="X66" s="103">
        <v>20.093720712277413</v>
      </c>
      <c r="Y66" s="103">
        <v>8.9456419868791013</v>
      </c>
      <c r="Z66" s="103">
        <v>2.7038425492033737</v>
      </c>
      <c r="AA66" s="103">
        <v>0.77788191190253042</v>
      </c>
      <c r="AB66" s="103">
        <v>0.18744142455482662</v>
      </c>
      <c r="AC66" s="42"/>
      <c r="AD66" s="110"/>
      <c r="AE66" s="46" t="s">
        <v>6</v>
      </c>
      <c r="AF66" s="103">
        <v>4.2927747705342432</v>
      </c>
      <c r="AG66" s="103">
        <v>9.8940927277006363</v>
      </c>
      <c r="AH66" s="103">
        <v>19.482231113203106</v>
      </c>
      <c r="AI66" s="103">
        <v>28.745587196987525</v>
      </c>
      <c r="AJ66" s="103">
        <v>20.931983996234408</v>
      </c>
      <c r="AK66" s="103">
        <v>11.574488114850553</v>
      </c>
      <c r="AL66" s="103">
        <v>3.8503177218168982</v>
      </c>
      <c r="AM66" s="103">
        <v>0.8425511885149447</v>
      </c>
      <c r="AN66" s="103">
        <v>0.32007531183807952</v>
      </c>
      <c r="AO66" s="103">
        <v>6.589785831960461E-2</v>
      </c>
      <c r="AP66" s="6"/>
      <c r="AQ66" s="110"/>
      <c r="AR66" s="46" t="s">
        <v>6</v>
      </c>
      <c r="AS66" s="103">
        <v>4.5024154589371976</v>
      </c>
      <c r="AT66" s="103">
        <v>9.5716586151368759</v>
      </c>
      <c r="AU66" s="103">
        <v>18.054750402576488</v>
      </c>
      <c r="AV66" s="103">
        <v>27.426731078904993</v>
      </c>
      <c r="AW66" s="103">
        <v>20.714975845410628</v>
      </c>
      <c r="AX66" s="103">
        <v>12.837359098228662</v>
      </c>
      <c r="AY66" s="103">
        <v>4.8824476650563611</v>
      </c>
      <c r="AZ66" s="103">
        <v>1.5330112721417071</v>
      </c>
      <c r="BA66" s="103">
        <v>0.34782608695652173</v>
      </c>
      <c r="BB66" s="103">
        <v>0.12882447665056362</v>
      </c>
      <c r="BC66" s="42"/>
      <c r="BD66" s="110"/>
      <c r="BE66" s="46" t="s">
        <v>6</v>
      </c>
      <c r="BF66" s="103">
        <v>1.788617886178862</v>
      </c>
      <c r="BG66" s="103">
        <v>5.236511456023651</v>
      </c>
      <c r="BH66" s="103">
        <v>13.296378418329638</v>
      </c>
      <c r="BI66" s="103">
        <v>26.249076127124908</v>
      </c>
      <c r="BJ66" s="103">
        <v>25.879526977087952</v>
      </c>
      <c r="BK66" s="103">
        <v>17.568366592756838</v>
      </c>
      <c r="BL66" s="103">
        <v>7.2764227642276431</v>
      </c>
      <c r="BM66" s="103">
        <v>1.9142645971914265</v>
      </c>
      <c r="BN66" s="103">
        <v>0.66518847006651882</v>
      </c>
      <c r="BO66" s="103">
        <v>0.12564671101256467</v>
      </c>
      <c r="BQ66" s="110"/>
      <c r="BR66" s="46" t="s">
        <v>6</v>
      </c>
      <c r="BS66" s="103">
        <v>5.5126404494382024</v>
      </c>
      <c r="BT66" s="103">
        <v>11.411516853932584</v>
      </c>
      <c r="BU66" s="103">
        <v>20.599250936329589</v>
      </c>
      <c r="BV66" s="103">
        <v>27.130149812734082</v>
      </c>
      <c r="BW66" s="103">
        <v>19.779962546816478</v>
      </c>
      <c r="BX66" s="103">
        <v>10.451779026217228</v>
      </c>
      <c r="BY66" s="103">
        <v>3.7804307116104869</v>
      </c>
      <c r="BZ66" s="103">
        <v>0.94803370786516861</v>
      </c>
      <c r="CA66" s="103">
        <v>0.32771535580524347</v>
      </c>
      <c r="CB66" s="103">
        <v>5.8520599250936334E-2</v>
      </c>
      <c r="CC66" s="42"/>
      <c r="CD66" s="110"/>
      <c r="CE66" s="46" t="s">
        <v>6</v>
      </c>
      <c r="CF66" s="103">
        <v>2.0915954290414498</v>
      </c>
      <c r="CG66" s="103">
        <v>5.6637584089774098</v>
      </c>
      <c r="CH66" s="103">
        <v>13.633559531153608</v>
      </c>
      <c r="CI66" s="103">
        <v>26.565024529244148</v>
      </c>
      <c r="CJ66" s="103">
        <v>25.055080638054111</v>
      </c>
      <c r="CK66" s="103">
        <v>17.196909609000912</v>
      </c>
      <c r="CL66" s="103">
        <v>7.062072207044447</v>
      </c>
      <c r="CM66" s="103">
        <v>1.9829029699480039</v>
      </c>
      <c r="CN66" s="103">
        <v>0.60515261008783527</v>
      </c>
      <c r="CO66" s="103">
        <v>0.14394406744807733</v>
      </c>
      <c r="CQ66" s="110"/>
      <c r="CR66" s="46" t="s">
        <v>6</v>
      </c>
      <c r="CS66" s="103">
        <v>1.2917271407837445</v>
      </c>
      <c r="CT66" s="103">
        <v>3.9187227866473147</v>
      </c>
      <c r="CU66" s="103">
        <v>9.0420899854862125</v>
      </c>
      <c r="CV66" s="103">
        <v>21.8577648766328</v>
      </c>
      <c r="CW66" s="103">
        <v>25.544267053701013</v>
      </c>
      <c r="CX66" s="103">
        <v>21.625544267053701</v>
      </c>
      <c r="CY66" s="103">
        <v>11.378809869375907</v>
      </c>
      <c r="CZ66" s="103">
        <v>3.5703918722786643</v>
      </c>
      <c r="DA66" s="103">
        <v>1.4368650217706822</v>
      </c>
      <c r="DB66" s="103">
        <v>0.33381712626995641</v>
      </c>
      <c r="DC66" s="42"/>
      <c r="DD66" s="110"/>
      <c r="DE66" s="46" t="s">
        <v>6</v>
      </c>
      <c r="DF66" s="103">
        <v>3.0648550217117245</v>
      </c>
      <c r="DG66" s="103">
        <v>7.3763832469533552</v>
      </c>
      <c r="DH66" s="103">
        <v>16.187141056170333</v>
      </c>
      <c r="DI66" s="103">
        <v>27.608908810757811</v>
      </c>
      <c r="DJ66" s="103">
        <v>23.6979969183359</v>
      </c>
      <c r="DK66" s="103">
        <v>14.72755287855442</v>
      </c>
      <c r="DL66" s="103">
        <v>5.4433394032777702</v>
      </c>
      <c r="DM66" s="103">
        <v>1.42877153662978</v>
      </c>
      <c r="DN66" s="103">
        <v>0.37820423028435357</v>
      </c>
      <c r="DO66" s="103">
        <v>8.684689732455525E-2</v>
      </c>
    </row>
    <row r="67" spans="2:119" ht="14.25" customHeight="1" x14ac:dyDescent="0.45">
      <c r="B67" s="99"/>
      <c r="C67" s="42"/>
      <c r="D67" s="110"/>
      <c r="E67" s="47" t="s">
        <v>7</v>
      </c>
      <c r="F67" s="103">
        <v>1.834310437520801</v>
      </c>
      <c r="G67" s="103">
        <v>4.3790481554491691</v>
      </c>
      <c r="H67" s="103">
        <v>10.048385858016948</v>
      </c>
      <c r="I67" s="103">
        <v>21.686592765162182</v>
      </c>
      <c r="J67" s="103">
        <v>25.118404546734595</v>
      </c>
      <c r="K67" s="103">
        <v>20.821279537134227</v>
      </c>
      <c r="L67" s="103">
        <v>10.902178643659918</v>
      </c>
      <c r="M67" s="103">
        <v>3.7006221038887892</v>
      </c>
      <c r="N67" s="103">
        <v>1.2352474335014465</v>
      </c>
      <c r="O67" s="103">
        <v>0.27393051893192699</v>
      </c>
      <c r="P67" s="42"/>
      <c r="Q67" s="110"/>
      <c r="R67" s="46" t="s">
        <v>7</v>
      </c>
      <c r="S67" s="103">
        <v>0.78109149928991672</v>
      </c>
      <c r="T67" s="103">
        <v>2.310306350172449</v>
      </c>
      <c r="U67" s="103">
        <v>6.3755325623858798</v>
      </c>
      <c r="V67" s="103">
        <v>17.620206938527087</v>
      </c>
      <c r="W67" s="103">
        <v>25.76587543112193</v>
      </c>
      <c r="X67" s="103">
        <v>24.743862852505579</v>
      </c>
      <c r="Y67" s="103">
        <v>14.769730168391154</v>
      </c>
      <c r="Z67" s="103">
        <v>5.3585920064921888</v>
      </c>
      <c r="AA67" s="103">
        <v>1.8487522824102252</v>
      </c>
      <c r="AB67" s="103">
        <v>0.426049908703591</v>
      </c>
      <c r="AC67" s="42"/>
      <c r="AD67" s="110"/>
      <c r="AE67" s="46" t="s">
        <v>7</v>
      </c>
      <c r="AF67" s="103">
        <v>2.9077280951150168</v>
      </c>
      <c r="AG67" s="103">
        <v>6.4874644611010597</v>
      </c>
      <c r="AH67" s="103">
        <v>13.791677436029982</v>
      </c>
      <c r="AI67" s="103">
        <v>25.83096407340398</v>
      </c>
      <c r="AJ67" s="103">
        <v>24.458516412509692</v>
      </c>
      <c r="AK67" s="103">
        <v>16.823468596536571</v>
      </c>
      <c r="AL67" s="103">
        <v>6.9604548979064358</v>
      </c>
      <c r="AM67" s="103">
        <v>2.0108555182217627</v>
      </c>
      <c r="AN67" s="103">
        <v>0.60997673817523912</v>
      </c>
      <c r="AO67" s="103">
        <v>0.11889377100025847</v>
      </c>
      <c r="AP67" s="6"/>
      <c r="AQ67" s="110"/>
      <c r="AR67" s="46" t="s">
        <v>7</v>
      </c>
      <c r="AS67" s="103">
        <v>3.1686933100962489</v>
      </c>
      <c r="AT67" s="103">
        <v>6.9196340159226839</v>
      </c>
      <c r="AU67" s="103">
        <v>13.312472769041866</v>
      </c>
      <c r="AV67" s="103">
        <v>23.876104091575236</v>
      </c>
      <c r="AW67" s="103">
        <v>23.175030696716441</v>
      </c>
      <c r="AX67" s="103">
        <v>17.261456806749319</v>
      </c>
      <c r="AY67" s="103">
        <v>8.3059373390897928</v>
      </c>
      <c r="AZ67" s="103">
        <v>2.8240979126232819</v>
      </c>
      <c r="BA67" s="103">
        <v>0.93476452647839348</v>
      </c>
      <c r="BB67" s="103">
        <v>0.22180853170673745</v>
      </c>
      <c r="BC67" s="42"/>
      <c r="BD67" s="110"/>
      <c r="BE67" s="46" t="s">
        <v>7</v>
      </c>
      <c r="BF67" s="103">
        <v>1.1971631205673758</v>
      </c>
      <c r="BG67" s="103">
        <v>3.1659574468085108</v>
      </c>
      <c r="BH67" s="103">
        <v>8.4898345153664305</v>
      </c>
      <c r="BI67" s="103">
        <v>20.641134751773048</v>
      </c>
      <c r="BJ67" s="103">
        <v>26.046335697399524</v>
      </c>
      <c r="BK67" s="103">
        <v>22.521040189125298</v>
      </c>
      <c r="BL67" s="103">
        <v>12.141843971631205</v>
      </c>
      <c r="BM67" s="103">
        <v>4.1191489361702125</v>
      </c>
      <c r="BN67" s="103">
        <v>1.3787234042553191</v>
      </c>
      <c r="BO67" s="103">
        <v>0.29881796690307327</v>
      </c>
      <c r="BQ67" s="110"/>
      <c r="BR67" s="46" t="s">
        <v>7</v>
      </c>
      <c r="BS67" s="103">
        <v>4.3426294820717128</v>
      </c>
      <c r="BT67" s="103">
        <v>8.496015936254981</v>
      </c>
      <c r="BU67" s="103">
        <v>16.782868525896415</v>
      </c>
      <c r="BV67" s="103">
        <v>25.448207171314742</v>
      </c>
      <c r="BW67" s="103">
        <v>21.613545816733069</v>
      </c>
      <c r="BX67" s="103">
        <v>14.07370517928287</v>
      </c>
      <c r="BY67" s="103">
        <v>6.3545816733067726</v>
      </c>
      <c r="BZ67" s="103">
        <v>2.0617529880478087</v>
      </c>
      <c r="CA67" s="103">
        <v>0.63745019920318724</v>
      </c>
      <c r="CB67" s="103">
        <v>0.18924302788844621</v>
      </c>
      <c r="CC67" s="42"/>
      <c r="CD67" s="110"/>
      <c r="CE67" s="46" t="s">
        <v>7</v>
      </c>
      <c r="CF67" s="103">
        <v>1.4644105637319704</v>
      </c>
      <c r="CG67" s="103">
        <v>3.7719220939455367</v>
      </c>
      <c r="CH67" s="103">
        <v>9.0552568960958837</v>
      </c>
      <c r="CI67" s="103">
        <v>21.131870391586617</v>
      </c>
      <c r="CJ67" s="103">
        <v>25.635263358890747</v>
      </c>
      <c r="CK67" s="103">
        <v>21.816339120472371</v>
      </c>
      <c r="CL67" s="103">
        <v>11.57280925942246</v>
      </c>
      <c r="CM67" s="103">
        <v>3.9423048676595873</v>
      </c>
      <c r="CN67" s="103">
        <v>1.3234041303134456</v>
      </c>
      <c r="CO67" s="103">
        <v>0.28641931788137831</v>
      </c>
      <c r="CQ67" s="110"/>
      <c r="CR67" s="46" t="s">
        <v>7</v>
      </c>
      <c r="CS67" s="103">
        <v>0.92289621612551376</v>
      </c>
      <c r="CT67" s="103">
        <v>2.1897810218978102</v>
      </c>
      <c r="CU67" s="103">
        <v>5.7555164023827503</v>
      </c>
      <c r="CV67" s="103">
        <v>16.763151271079789</v>
      </c>
      <c r="CW67" s="103">
        <v>23.416393992784627</v>
      </c>
      <c r="CX67" s="103">
        <v>24.968537628995723</v>
      </c>
      <c r="CY67" s="103">
        <v>16.318483094219314</v>
      </c>
      <c r="CZ67" s="103">
        <v>6.5190032720865849</v>
      </c>
      <c r="DA67" s="103">
        <v>2.4918197835388876</v>
      </c>
      <c r="DB67" s="103">
        <v>0.65441731688900073</v>
      </c>
      <c r="DC67" s="42"/>
      <c r="DD67" s="110"/>
      <c r="DE67" s="46" t="s">
        <v>7</v>
      </c>
      <c r="DF67" s="103">
        <v>1.998398864099814</v>
      </c>
      <c r="DG67" s="103">
        <v>4.7731975892331162</v>
      </c>
      <c r="DH67" s="103">
        <v>10.821261876350015</v>
      </c>
      <c r="DI67" s="103">
        <v>22.572995181487244</v>
      </c>
      <c r="DJ67" s="103">
        <v>25.424829690497408</v>
      </c>
      <c r="DK67" s="103">
        <v>20.074618974970925</v>
      </c>
      <c r="DL67" s="103">
        <v>9.9270425811519107</v>
      </c>
      <c r="DM67" s="103">
        <v>3.1932087669743066</v>
      </c>
      <c r="DN67" s="103">
        <v>1.0090177182302917</v>
      </c>
      <c r="DO67" s="103">
        <v>0.20542875700496954</v>
      </c>
    </row>
    <row r="68" spans="2:119" ht="14.25" customHeight="1" x14ac:dyDescent="0.45">
      <c r="B68" s="99"/>
      <c r="C68" s="42"/>
      <c r="D68" s="110"/>
      <c r="E68" s="47" t="s">
        <v>8</v>
      </c>
      <c r="F68" s="103">
        <v>1.0540828599086722</v>
      </c>
      <c r="G68" s="103">
        <v>2.3144843500963148</v>
      </c>
      <c r="H68" s="103">
        <v>5.78474415512032</v>
      </c>
      <c r="I68" s="103">
        <v>14.946855840968427</v>
      </c>
      <c r="J68" s="103">
        <v>22.357703702979396</v>
      </c>
      <c r="K68" s="103">
        <v>24.832549452913394</v>
      </c>
      <c r="L68" s="103">
        <v>17.175292610664034</v>
      </c>
      <c r="M68" s="103">
        <v>7.5438304862666099</v>
      </c>
      <c r="N68" s="103">
        <v>2.9979759262337558</v>
      </c>
      <c r="O68" s="103">
        <v>0.99248061484907457</v>
      </c>
      <c r="P68" s="42"/>
      <c r="Q68" s="110"/>
      <c r="R68" s="46" t="s">
        <v>8</v>
      </c>
      <c r="S68" s="103">
        <v>0.42674525413349662</v>
      </c>
      <c r="T68" s="103">
        <v>0.9778781383955909</v>
      </c>
      <c r="U68" s="103">
        <v>3.1766687078995712</v>
      </c>
      <c r="V68" s="103">
        <v>10.306950398040417</v>
      </c>
      <c r="W68" s="103">
        <v>19.789115125535826</v>
      </c>
      <c r="X68" s="103">
        <v>26.994029393753827</v>
      </c>
      <c r="Y68" s="103">
        <v>21.76592161665646</v>
      </c>
      <c r="Z68" s="103">
        <v>10.54615737905695</v>
      </c>
      <c r="AA68" s="103">
        <v>4.4645590936925901</v>
      </c>
      <c r="AB68" s="103">
        <v>1.5519748928352723</v>
      </c>
      <c r="AC68" s="42"/>
      <c r="AD68" s="110"/>
      <c r="AE68" s="46" t="s">
        <v>8</v>
      </c>
      <c r="AF68" s="103">
        <v>1.709555515565953</v>
      </c>
      <c r="AG68" s="103">
        <v>3.7110351308659748</v>
      </c>
      <c r="AH68" s="103">
        <v>8.5097874552616322</v>
      </c>
      <c r="AI68" s="103">
        <v>19.794853338132086</v>
      </c>
      <c r="AJ68" s="103">
        <v>25.04148921280467</v>
      </c>
      <c r="AK68" s="103">
        <v>22.574130726011237</v>
      </c>
      <c r="AL68" s="103">
        <v>12.378781516805629</v>
      </c>
      <c r="AM68" s="103">
        <v>4.4068542179033452</v>
      </c>
      <c r="AN68" s="103">
        <v>1.4656189390758403</v>
      </c>
      <c r="AO68" s="103">
        <v>0.40789394757363084</v>
      </c>
      <c r="AP68" s="6"/>
      <c r="AQ68" s="110"/>
      <c r="AR68" s="46" t="s">
        <v>8</v>
      </c>
      <c r="AS68" s="103">
        <v>1.9943850949794</v>
      </c>
      <c r="AT68" s="103">
        <v>4.1601341743537388</v>
      </c>
      <c r="AU68" s="103">
        <v>9.034892624056587</v>
      </c>
      <c r="AV68" s="103">
        <v>18.259379443613959</v>
      </c>
      <c r="AW68" s="103">
        <v>22.13876836693769</v>
      </c>
      <c r="AX68" s="103">
        <v>21.646552667079884</v>
      </c>
      <c r="AY68" s="103">
        <v>13.55233893608488</v>
      </c>
      <c r="AZ68" s="103">
        <v>6.1435811426696327</v>
      </c>
      <c r="BA68" s="103">
        <v>2.3516972326539545</v>
      </c>
      <c r="BB68" s="103">
        <v>0.71827031757027748</v>
      </c>
      <c r="BC68" s="42"/>
      <c r="BD68" s="110"/>
      <c r="BE68" s="46" t="s">
        <v>8</v>
      </c>
      <c r="BF68" s="103">
        <v>0.70949466876887313</v>
      </c>
      <c r="BG68" s="103">
        <v>1.6381176344833115</v>
      </c>
      <c r="BH68" s="103">
        <v>4.5936773469442294</v>
      </c>
      <c r="BI68" s="103">
        <v>13.732930707356832</v>
      </c>
      <c r="BJ68" s="103">
        <v>22.437935918334624</v>
      </c>
      <c r="BK68" s="103">
        <v>26.00010689185217</v>
      </c>
      <c r="BL68" s="103">
        <v>18.502979610379199</v>
      </c>
      <c r="BM68" s="103">
        <v>8.0569733572058482</v>
      </c>
      <c r="BN68" s="103">
        <v>3.2348146762513026</v>
      </c>
      <c r="BO68" s="103">
        <v>1.0929691884236123</v>
      </c>
      <c r="BQ68" s="110"/>
      <c r="BR68" s="46" t="s">
        <v>8</v>
      </c>
      <c r="BS68" s="103">
        <v>3.1943315135323496</v>
      </c>
      <c r="BT68" s="103">
        <v>6.469973283772795</v>
      </c>
      <c r="BU68" s="103">
        <v>12.231385759089324</v>
      </c>
      <c r="BV68" s="103">
        <v>20.978046230688811</v>
      </c>
      <c r="BW68" s="103">
        <v>22.058311069810664</v>
      </c>
      <c r="BX68" s="103">
        <v>18.28319200836334</v>
      </c>
      <c r="BY68" s="103">
        <v>10.361249854803113</v>
      </c>
      <c r="BZ68" s="103">
        <v>4.1816703449878032</v>
      </c>
      <c r="CA68" s="103">
        <v>1.7075153908700198</v>
      </c>
      <c r="CB68" s="103">
        <v>0.53432454408177488</v>
      </c>
      <c r="CC68" s="42"/>
      <c r="CD68" s="110"/>
      <c r="CE68" s="46" t="s">
        <v>8</v>
      </c>
      <c r="CF68" s="103">
        <v>0.85735639547298748</v>
      </c>
      <c r="CG68" s="103">
        <v>1.9325218876788384</v>
      </c>
      <c r="CH68" s="103">
        <v>5.1921844971172328</v>
      </c>
      <c r="CI68" s="103">
        <v>14.392483450779414</v>
      </c>
      <c r="CJ68" s="103">
        <v>22.385223147554985</v>
      </c>
      <c r="CK68" s="103">
        <v>25.434550501815075</v>
      </c>
      <c r="CL68" s="103">
        <v>17.801622891308991</v>
      </c>
      <c r="CM68" s="103">
        <v>7.8528720905402514</v>
      </c>
      <c r="CN68" s="103">
        <v>3.116591928251121</v>
      </c>
      <c r="CO68" s="103">
        <v>1.0345932094811019</v>
      </c>
      <c r="CQ68" s="110"/>
      <c r="CR68" s="46" t="s">
        <v>8</v>
      </c>
      <c r="CS68" s="103">
        <v>0.43447293447293445</v>
      </c>
      <c r="CT68" s="103">
        <v>1.0398860398860399</v>
      </c>
      <c r="CU68" s="103">
        <v>3.2977207977207974</v>
      </c>
      <c r="CV68" s="103">
        <v>10</v>
      </c>
      <c r="CW68" s="103">
        <v>19.180911680911681</v>
      </c>
      <c r="CX68" s="103">
        <v>25.462962962962965</v>
      </c>
      <c r="CY68" s="103">
        <v>21.566951566951566</v>
      </c>
      <c r="CZ68" s="103">
        <v>11.837606837606836</v>
      </c>
      <c r="DA68" s="103">
        <v>5.2207977207977212</v>
      </c>
      <c r="DB68" s="103">
        <v>1.9586894586894585</v>
      </c>
      <c r="DC68" s="42"/>
      <c r="DD68" s="110"/>
      <c r="DE68" s="46" t="s">
        <v>8</v>
      </c>
      <c r="DF68" s="103">
        <v>1.1526822246653594</v>
      </c>
      <c r="DG68" s="103">
        <v>2.5173129016536513</v>
      </c>
      <c r="DH68" s="103">
        <v>6.1805075428713909</v>
      </c>
      <c r="DI68" s="103">
        <v>15.734055695972978</v>
      </c>
      <c r="DJ68" s="103">
        <v>22.863230910471614</v>
      </c>
      <c r="DK68" s="103">
        <v>24.732230899137473</v>
      </c>
      <c r="DL68" s="103">
        <v>16.476441986195013</v>
      </c>
      <c r="DM68" s="103">
        <v>6.8605560529984473</v>
      </c>
      <c r="DN68" s="103">
        <v>2.6442552902107019</v>
      </c>
      <c r="DO68" s="103">
        <v>0.83872649582336867</v>
      </c>
    </row>
    <row r="69" spans="2:119" ht="14.25" customHeight="1" x14ac:dyDescent="0.45">
      <c r="B69" s="99"/>
      <c r="C69" s="42"/>
      <c r="D69" s="110"/>
      <c r="E69" s="47" t="s">
        <v>9</v>
      </c>
      <c r="F69" s="103">
        <v>0.51921274601686973</v>
      </c>
      <c r="G69" s="103">
        <v>1.0880974695407684</v>
      </c>
      <c r="H69" s="103">
        <v>2.6466729147141521</v>
      </c>
      <c r="I69" s="103">
        <v>8.4376757263355202</v>
      </c>
      <c r="J69" s="103">
        <v>16.242736644798502</v>
      </c>
      <c r="K69" s="103">
        <v>24.766635426429239</v>
      </c>
      <c r="L69" s="103">
        <v>22.969072164948454</v>
      </c>
      <c r="M69" s="103">
        <v>13.610121836925963</v>
      </c>
      <c r="N69" s="103">
        <v>6.8547328959700087</v>
      </c>
      <c r="O69" s="103">
        <v>2.865042174320525</v>
      </c>
      <c r="P69" s="42"/>
      <c r="Q69" s="110"/>
      <c r="R69" s="46" t="s">
        <v>9</v>
      </c>
      <c r="S69" s="103">
        <v>0.19136601564698599</v>
      </c>
      <c r="T69" s="103">
        <v>0.41837864205174385</v>
      </c>
      <c r="U69" s="103">
        <v>1.1669574679649539</v>
      </c>
      <c r="V69" s="103">
        <v>4.5890321007110559</v>
      </c>
      <c r="W69" s="103">
        <v>11.782142924147765</v>
      </c>
      <c r="X69" s="103">
        <v>23.466726703063731</v>
      </c>
      <c r="Y69" s="103">
        <v>26.402881747059155</v>
      </c>
      <c r="Z69" s="103">
        <v>17.785782630719872</v>
      </c>
      <c r="AA69" s="103">
        <v>9.8046940957955755</v>
      </c>
      <c r="AB69" s="103">
        <v>4.3920376728391588</v>
      </c>
      <c r="AC69" s="42"/>
      <c r="AD69" s="110"/>
      <c r="AE69" s="46" t="s">
        <v>9</v>
      </c>
      <c r="AF69" s="103">
        <v>0.84645779883518424</v>
      </c>
      <c r="AG69" s="103">
        <v>1.7565872020075282</v>
      </c>
      <c r="AH69" s="103">
        <v>4.1236727279537071</v>
      </c>
      <c r="AI69" s="103">
        <v>12.279256165845801</v>
      </c>
      <c r="AJ69" s="103">
        <v>20.69514410382217</v>
      </c>
      <c r="AK69" s="103">
        <v>26.064158504840911</v>
      </c>
      <c r="AL69" s="103">
        <v>19.541564448772451</v>
      </c>
      <c r="AM69" s="103">
        <v>9.4421243843517679</v>
      </c>
      <c r="AN69" s="103">
        <v>3.9101855839997</v>
      </c>
      <c r="AO69" s="103">
        <v>1.3408490795707784</v>
      </c>
      <c r="AP69" s="6"/>
      <c r="AQ69" s="110"/>
      <c r="AR69" s="46" t="s">
        <v>9</v>
      </c>
      <c r="AS69" s="103">
        <v>1.1105092091007585</v>
      </c>
      <c r="AT69" s="103">
        <v>2.3429035752979415</v>
      </c>
      <c r="AU69" s="103">
        <v>4.6948356807511731</v>
      </c>
      <c r="AV69" s="103">
        <v>12.224629830263634</v>
      </c>
      <c r="AW69" s="103">
        <v>18.291802094618994</v>
      </c>
      <c r="AX69" s="103">
        <v>23.510292524377032</v>
      </c>
      <c r="AY69" s="103">
        <v>19.546767786204406</v>
      </c>
      <c r="AZ69" s="103">
        <v>10.712351029252437</v>
      </c>
      <c r="BA69" s="103">
        <v>5.3719754423979778</v>
      </c>
      <c r="BB69" s="103">
        <v>2.1939328277356447</v>
      </c>
      <c r="BC69" s="42"/>
      <c r="BD69" s="110"/>
      <c r="BE69" s="46" t="s">
        <v>9</v>
      </c>
      <c r="BF69" s="103">
        <v>0.36429010739461609</v>
      </c>
      <c r="BG69" s="103">
        <v>0.7593319771017647</v>
      </c>
      <c r="BH69" s="103">
        <v>2.1100439986753088</v>
      </c>
      <c r="BI69" s="103">
        <v>7.4454747598997022</v>
      </c>
      <c r="BJ69" s="103">
        <v>15.705871221081516</v>
      </c>
      <c r="BK69" s="103">
        <v>25.095803567204428</v>
      </c>
      <c r="BL69" s="103">
        <v>23.865733074703126</v>
      </c>
      <c r="BM69" s="103">
        <v>14.369352320575294</v>
      </c>
      <c r="BN69" s="103">
        <v>7.2432227846903539</v>
      </c>
      <c r="BO69" s="103">
        <v>3.0408761886738893</v>
      </c>
      <c r="BQ69" s="110"/>
      <c r="BR69" s="46" t="s">
        <v>9</v>
      </c>
      <c r="BS69" s="103">
        <v>2.4624240486088902</v>
      </c>
      <c r="BT69" s="103">
        <v>3.5337384074192522</v>
      </c>
      <c r="BU69" s="103">
        <v>6.4438759194115764</v>
      </c>
      <c r="BV69" s="103">
        <v>15.110329389190918</v>
      </c>
      <c r="BW69" s="103">
        <v>19.043811960345376</v>
      </c>
      <c r="BX69" s="103">
        <v>21.170450911416694</v>
      </c>
      <c r="BY69" s="103">
        <v>17.045091141669332</v>
      </c>
      <c r="BZ69" s="103">
        <v>9.0182283338663254</v>
      </c>
      <c r="CA69" s="103">
        <v>4.4771346338343463</v>
      </c>
      <c r="CB69" s="103">
        <v>1.6949152542372881</v>
      </c>
      <c r="CC69" s="42"/>
      <c r="CD69" s="110"/>
      <c r="CE69" s="46" t="s">
        <v>9</v>
      </c>
      <c r="CF69" s="103">
        <v>0.39822392131095313</v>
      </c>
      <c r="CG69" s="103">
        <v>0.93582621508073982</v>
      </c>
      <c r="CH69" s="103">
        <v>2.4102502837345439</v>
      </c>
      <c r="CI69" s="103">
        <v>8.022220894809152</v>
      </c>
      <c r="CJ69" s="103">
        <v>16.068335224896959</v>
      </c>
      <c r="CK69" s="103">
        <v>24.990542181868864</v>
      </c>
      <c r="CL69" s="103">
        <v>23.337912908428411</v>
      </c>
      <c r="CM69" s="103">
        <v>13.896023734145709</v>
      </c>
      <c r="CN69" s="103">
        <v>7.0027676562531118</v>
      </c>
      <c r="CO69" s="103">
        <v>2.937896979471557</v>
      </c>
      <c r="CQ69" s="110"/>
      <c r="CR69" s="46" t="s">
        <v>9</v>
      </c>
      <c r="CS69" s="103">
        <v>0.30260535832902796</v>
      </c>
      <c r="CT69" s="103">
        <v>0.450217728245627</v>
      </c>
      <c r="CU69" s="103">
        <v>1.4466012251826703</v>
      </c>
      <c r="CV69" s="103">
        <v>5.5280832533766331</v>
      </c>
      <c r="CW69" s="103">
        <v>12.266587940069378</v>
      </c>
      <c r="CX69" s="103">
        <v>22.22304229094398</v>
      </c>
      <c r="CY69" s="103">
        <v>25.374566388663371</v>
      </c>
      <c r="CZ69" s="103">
        <v>17.610155731050263</v>
      </c>
      <c r="DA69" s="103">
        <v>9.9269318768912829</v>
      </c>
      <c r="DB69" s="103">
        <v>4.8712082072477676</v>
      </c>
      <c r="DC69" s="42"/>
      <c r="DD69" s="110"/>
      <c r="DE69" s="46" t="s">
        <v>9</v>
      </c>
      <c r="DF69" s="103">
        <v>0.55071872551019307</v>
      </c>
      <c r="DG69" s="103">
        <v>1.1808783587937866</v>
      </c>
      <c r="DH69" s="103">
        <v>2.8212257517364279</v>
      </c>
      <c r="DI69" s="103">
        <v>8.8608817940762847</v>
      </c>
      <c r="DJ69" s="103">
        <v>16.821075458127126</v>
      </c>
      <c r="DK69" s="103">
        <v>25.136606155596823</v>
      </c>
      <c r="DL69" s="103">
        <v>22.619188199804618</v>
      </c>
      <c r="DM69" s="103">
        <v>13.028308874837629</v>
      </c>
      <c r="DN69" s="103">
        <v>6.4078753851273733</v>
      </c>
      <c r="DO69" s="103">
        <v>2.5732412963897331</v>
      </c>
    </row>
    <row r="70" spans="2:119" ht="14.25" customHeight="1" x14ac:dyDescent="0.45">
      <c r="B70" s="99"/>
      <c r="C70" s="42"/>
      <c r="D70" s="110"/>
      <c r="E70" s="47" t="s">
        <v>10</v>
      </c>
      <c r="F70" s="103">
        <v>0.20500426193070853</v>
      </c>
      <c r="G70" s="103">
        <v>0.4013767654643346</v>
      </c>
      <c r="H70" s="103">
        <v>0.96244106127469486</v>
      </c>
      <c r="I70" s="103">
        <v>3.3663857748621613</v>
      </c>
      <c r="J70" s="103">
        <v>8.6738382192682426</v>
      </c>
      <c r="K70" s="103">
        <v>18.394277144182734</v>
      </c>
      <c r="L70" s="103">
        <v>25.279183435655632</v>
      </c>
      <c r="M70" s="103">
        <v>20.764773793981504</v>
      </c>
      <c r="N70" s="103">
        <v>13.943526720687089</v>
      </c>
      <c r="O70" s="103">
        <v>8.0091928226928921</v>
      </c>
      <c r="P70" s="42"/>
      <c r="Q70" s="110"/>
      <c r="R70" s="46" t="s">
        <v>10</v>
      </c>
      <c r="S70" s="103">
        <v>5.8383670536456114E-2</v>
      </c>
      <c r="T70" s="103">
        <v>0.15269575371073138</v>
      </c>
      <c r="U70" s="103">
        <v>0.41542227112478386</v>
      </c>
      <c r="V70" s="103">
        <v>1.4214178249837199</v>
      </c>
      <c r="W70" s="103">
        <v>5.1265353782588194</v>
      </c>
      <c r="X70" s="103">
        <v>14.12435721824265</v>
      </c>
      <c r="Y70" s="103">
        <v>24.806323400624255</v>
      </c>
      <c r="Z70" s="103">
        <v>23.939550445736867</v>
      </c>
      <c r="AA70" s="103">
        <v>18.402083847932992</v>
      </c>
      <c r="AB70" s="103">
        <v>11.553230188848719</v>
      </c>
      <c r="AC70" s="42"/>
      <c r="AD70" s="110"/>
      <c r="AE70" s="46" t="s">
        <v>10</v>
      </c>
      <c r="AF70" s="103">
        <v>0.34061643266594666</v>
      </c>
      <c r="AG70" s="103">
        <v>0.63138655811248656</v>
      </c>
      <c r="AH70" s="103">
        <v>1.4683891335050261</v>
      </c>
      <c r="AI70" s="103">
        <v>5.1653235856110324</v>
      </c>
      <c r="AJ70" s="103">
        <v>11.954806014787737</v>
      </c>
      <c r="AK70" s="103">
        <v>22.343607211099112</v>
      </c>
      <c r="AL70" s="103">
        <v>25.716540666278974</v>
      </c>
      <c r="AM70" s="103">
        <v>17.828362548807842</v>
      </c>
      <c r="AN70" s="103">
        <v>9.8197225222231452</v>
      </c>
      <c r="AO70" s="103">
        <v>4.7312453269086978</v>
      </c>
      <c r="AP70" s="6"/>
      <c r="AQ70" s="110"/>
      <c r="AR70" s="46" t="s">
        <v>10</v>
      </c>
      <c r="AS70" s="103">
        <v>0.57087781731909848</v>
      </c>
      <c r="AT70" s="103">
        <v>1.2603795966785289</v>
      </c>
      <c r="AU70" s="103">
        <v>2.3724792408066429</v>
      </c>
      <c r="AV70" s="103">
        <v>6.2425860023724793</v>
      </c>
      <c r="AW70" s="103">
        <v>11.877224199288257</v>
      </c>
      <c r="AX70" s="103">
        <v>20.180901542111506</v>
      </c>
      <c r="AY70" s="103">
        <v>23.695136417556345</v>
      </c>
      <c r="AZ70" s="103">
        <v>17.16340450771056</v>
      </c>
      <c r="BA70" s="103">
        <v>10.868920521945432</v>
      </c>
      <c r="BB70" s="103">
        <v>5.7680901542111505</v>
      </c>
      <c r="BC70" s="42"/>
      <c r="BD70" s="110"/>
      <c r="BE70" s="46" t="s">
        <v>10</v>
      </c>
      <c r="BF70" s="103">
        <v>0.14268937911179019</v>
      </c>
      <c r="BG70" s="103">
        <v>0.25507304938567804</v>
      </c>
      <c r="BH70" s="103">
        <v>0.72228606063667244</v>
      </c>
      <c r="BI70" s="103">
        <v>2.8765168638642304</v>
      </c>
      <c r="BJ70" s="103">
        <v>8.1282436578990556</v>
      </c>
      <c r="BK70" s="103">
        <v>18.089982700491205</v>
      </c>
      <c r="BL70" s="103">
        <v>25.548975288219918</v>
      </c>
      <c r="BM70" s="103">
        <v>21.378152109403608</v>
      </c>
      <c r="BN70" s="103">
        <v>14.46718775649363</v>
      </c>
      <c r="BO70" s="103">
        <v>8.3908931344942115</v>
      </c>
      <c r="BQ70" s="110"/>
      <c r="BR70" s="46" t="s">
        <v>10</v>
      </c>
      <c r="BS70" s="103">
        <v>1.1566771819137749</v>
      </c>
      <c r="BT70" s="103">
        <v>1.6298633017875919</v>
      </c>
      <c r="BU70" s="103">
        <v>3.128286014721346</v>
      </c>
      <c r="BV70" s="103">
        <v>7.5446898002103051</v>
      </c>
      <c r="BW70" s="103">
        <v>12.697160883280755</v>
      </c>
      <c r="BX70" s="103">
        <v>19.637223974763408</v>
      </c>
      <c r="BY70" s="103">
        <v>21.451104100946374</v>
      </c>
      <c r="BZ70" s="103">
        <v>15.562565720294428</v>
      </c>
      <c r="CA70" s="103">
        <v>10.830704521556257</v>
      </c>
      <c r="CB70" s="103">
        <v>6.3617245005257628</v>
      </c>
      <c r="CC70" s="42"/>
      <c r="CD70" s="110"/>
      <c r="CE70" s="46" t="s">
        <v>10</v>
      </c>
      <c r="CF70" s="103">
        <v>0.16427197137617158</v>
      </c>
      <c r="CG70" s="103">
        <v>0.34879665155214512</v>
      </c>
      <c r="CH70" s="103">
        <v>0.86974132790260694</v>
      </c>
      <c r="CI70" s="103">
        <v>3.1875513349910554</v>
      </c>
      <c r="CJ70" s="103">
        <v>8.5016370939613175</v>
      </c>
      <c r="CK70" s="103">
        <v>18.341078119198443</v>
      </c>
      <c r="CL70" s="103">
        <v>25.443028004995664</v>
      </c>
      <c r="CM70" s="103">
        <v>20.987432069039233</v>
      </c>
      <c r="CN70" s="103">
        <v>14.07675776635125</v>
      </c>
      <c r="CO70" s="103">
        <v>8.0797056606321096</v>
      </c>
      <c r="CQ70" s="110"/>
      <c r="CR70" s="46" t="s">
        <v>10</v>
      </c>
      <c r="CS70" s="103">
        <v>6.9450473131348209E-2</v>
      </c>
      <c r="CT70" s="103">
        <v>0.15626356454553347</v>
      </c>
      <c r="CU70" s="103">
        <v>0.43406545707092631</v>
      </c>
      <c r="CV70" s="103">
        <v>1.9532945568191684</v>
      </c>
      <c r="CW70" s="103">
        <v>5.9206528344474343</v>
      </c>
      <c r="CX70" s="103">
        <v>14.784269467835751</v>
      </c>
      <c r="CY70" s="103">
        <v>24.437885233093152</v>
      </c>
      <c r="CZ70" s="103">
        <v>22.875249587637818</v>
      </c>
      <c r="DA70" s="103">
        <v>18.169980032988974</v>
      </c>
      <c r="DB70" s="103">
        <v>11.198888792429898</v>
      </c>
      <c r="DC70" s="42"/>
      <c r="DD70" s="110"/>
      <c r="DE70" s="46" t="s">
        <v>10</v>
      </c>
      <c r="DF70" s="103">
        <v>0.22424287228013109</v>
      </c>
      <c r="DG70" s="103">
        <v>0.43616470762179343</v>
      </c>
      <c r="DH70" s="103">
        <v>1.037431310219068</v>
      </c>
      <c r="DI70" s="103">
        <v>3.5669401936867002</v>
      </c>
      <c r="DJ70" s="103">
        <v>9.064586875631452</v>
      </c>
      <c r="DK70" s="103">
        <v>18.906631182080282</v>
      </c>
      <c r="DL70" s="103">
        <v>25.398585544959463</v>
      </c>
      <c r="DM70" s="103">
        <v>20.46524235479658</v>
      </c>
      <c r="DN70" s="103">
        <v>13.343683004361647</v>
      </c>
      <c r="DO70" s="103">
        <v>7.5564919543628788</v>
      </c>
    </row>
    <row r="71" spans="2:119" ht="14.25" customHeight="1" x14ac:dyDescent="0.45">
      <c r="B71" s="99"/>
      <c r="C71" s="42"/>
      <c r="D71" s="111"/>
      <c r="E71" s="47" t="s">
        <v>11</v>
      </c>
      <c r="F71" s="103">
        <v>7.5421472937000883E-2</v>
      </c>
      <c r="G71" s="103">
        <v>6.2111801242236024E-2</v>
      </c>
      <c r="H71" s="103">
        <v>0.28837622005323871</v>
      </c>
      <c r="I71" s="103">
        <v>0.8606921029281277</v>
      </c>
      <c r="J71" s="103">
        <v>2.8704525288376219</v>
      </c>
      <c r="K71" s="103">
        <v>8.8287488908606928</v>
      </c>
      <c r="L71" s="103">
        <v>19.387755102040817</v>
      </c>
      <c r="M71" s="103">
        <v>23.194321206743567</v>
      </c>
      <c r="N71" s="103">
        <v>23.287488908606921</v>
      </c>
      <c r="O71" s="103">
        <v>21.144631765749779</v>
      </c>
      <c r="P71" s="42"/>
      <c r="Q71" s="111"/>
      <c r="R71" s="46" t="s">
        <v>11</v>
      </c>
      <c r="S71" s="103">
        <v>8.9855332914008448E-3</v>
      </c>
      <c r="T71" s="103">
        <v>0</v>
      </c>
      <c r="U71" s="103">
        <v>9.8840866205409286E-2</v>
      </c>
      <c r="V71" s="103">
        <v>0.26058046545062452</v>
      </c>
      <c r="W71" s="103">
        <v>1.4556563932069368</v>
      </c>
      <c r="X71" s="103">
        <v>5.1487105759726841</v>
      </c>
      <c r="Y71" s="103">
        <v>16.15598885793872</v>
      </c>
      <c r="Z71" s="103">
        <v>22.499775361667716</v>
      </c>
      <c r="AA71" s="103">
        <v>26.713990475334707</v>
      </c>
      <c r="AB71" s="103">
        <v>27.657471470931799</v>
      </c>
      <c r="AC71" s="42"/>
      <c r="AD71" s="111"/>
      <c r="AE71" s="46" t="s">
        <v>11</v>
      </c>
      <c r="AF71" s="103">
        <v>0.14021558145648935</v>
      </c>
      <c r="AG71" s="103">
        <v>0.12268863377442819</v>
      </c>
      <c r="AH71" s="103">
        <v>0.47322758741565157</v>
      </c>
      <c r="AI71" s="103">
        <v>1.4459731837700465</v>
      </c>
      <c r="AJ71" s="103">
        <v>4.2502848128998334</v>
      </c>
      <c r="AK71" s="103">
        <v>12.417842432740338</v>
      </c>
      <c r="AL71" s="103">
        <v>22.539654719130663</v>
      </c>
      <c r="AM71" s="103">
        <v>23.871702742967312</v>
      </c>
      <c r="AN71" s="103">
        <v>19.94566646218561</v>
      </c>
      <c r="AO71" s="103">
        <v>14.792743843659625</v>
      </c>
      <c r="AP71" s="6"/>
      <c r="AQ71" s="111"/>
      <c r="AR71" s="46" t="s">
        <v>11</v>
      </c>
      <c r="AS71" s="103">
        <v>0.4153686396677051</v>
      </c>
      <c r="AT71" s="103">
        <v>0.46728971962616817</v>
      </c>
      <c r="AU71" s="103">
        <v>0.77881619937694702</v>
      </c>
      <c r="AV71" s="103">
        <v>2.3883696780893042</v>
      </c>
      <c r="AW71" s="103">
        <v>5.1921079958463139</v>
      </c>
      <c r="AX71" s="103">
        <v>12.668743509865005</v>
      </c>
      <c r="AY71" s="103">
        <v>22.17030114226376</v>
      </c>
      <c r="AZ71" s="103">
        <v>21.599169262720665</v>
      </c>
      <c r="BA71" s="103">
        <v>18.22429906542056</v>
      </c>
      <c r="BB71" s="103">
        <v>16.095534787123572</v>
      </c>
      <c r="BC71" s="42"/>
      <c r="BD71" s="111"/>
      <c r="BE71" s="46" t="s">
        <v>11</v>
      </c>
      <c r="BF71" s="103">
        <v>4.3659648782380905E-2</v>
      </c>
      <c r="BG71" s="103">
        <v>2.4255360434656058E-2</v>
      </c>
      <c r="BH71" s="103">
        <v>0.24255360434656059</v>
      </c>
      <c r="BI71" s="103">
        <v>0.71795866886581938</v>
      </c>
      <c r="BJ71" s="103">
        <v>2.6535364315513728</v>
      </c>
      <c r="BK71" s="103">
        <v>8.469971863781895</v>
      </c>
      <c r="BL71" s="103">
        <v>19.12777723876977</v>
      </c>
      <c r="BM71" s="103">
        <v>23.343358882312991</v>
      </c>
      <c r="BN71" s="103">
        <v>23.760551081789075</v>
      </c>
      <c r="BO71" s="103">
        <v>21.616377219365479</v>
      </c>
      <c r="BQ71" s="111"/>
      <c r="BR71" s="46" t="s">
        <v>11</v>
      </c>
      <c r="BS71" s="103">
        <v>0.8438818565400843</v>
      </c>
      <c r="BT71" s="103">
        <v>0.56258790436005623</v>
      </c>
      <c r="BU71" s="103">
        <v>1.1251758087201125</v>
      </c>
      <c r="BV71" s="103">
        <v>3.6568213783403656</v>
      </c>
      <c r="BW71" s="103">
        <v>6.3291139240506329</v>
      </c>
      <c r="BX71" s="103">
        <v>12.79887482419128</v>
      </c>
      <c r="BY71" s="103">
        <v>20.112517580872012</v>
      </c>
      <c r="BZ71" s="103">
        <v>18.284106891701828</v>
      </c>
      <c r="CA71" s="103">
        <v>19.40928270042194</v>
      </c>
      <c r="CB71" s="103">
        <v>16.877637130801688</v>
      </c>
      <c r="CC71" s="42"/>
      <c r="CD71" s="111"/>
      <c r="CE71" s="46" t="s">
        <v>11</v>
      </c>
      <c r="CF71" s="103">
        <v>5.0391680791607496E-2</v>
      </c>
      <c r="CG71" s="103">
        <v>4.5810618901461361E-2</v>
      </c>
      <c r="CH71" s="103">
        <v>0.26112052773832972</v>
      </c>
      <c r="CI71" s="103">
        <v>0.76961839754455075</v>
      </c>
      <c r="CJ71" s="103">
        <v>2.757799257867974</v>
      </c>
      <c r="CK71" s="103">
        <v>8.699436529387512</v>
      </c>
      <c r="CL71" s="103">
        <v>19.364148609647717</v>
      </c>
      <c r="CM71" s="103">
        <v>23.354253515965002</v>
      </c>
      <c r="CN71" s="103">
        <v>23.4138073205369</v>
      </c>
      <c r="CO71" s="103">
        <v>21.283613541618948</v>
      </c>
      <c r="CQ71" s="111"/>
      <c r="CR71" s="46" t="s">
        <v>11</v>
      </c>
      <c r="CS71" s="103">
        <v>0</v>
      </c>
      <c r="CT71" s="103">
        <v>3.9494470774091628E-2</v>
      </c>
      <c r="CU71" s="103">
        <v>0.23696682464454977</v>
      </c>
      <c r="CV71" s="103">
        <v>0.63191153238546605</v>
      </c>
      <c r="CW71" s="103">
        <v>1.6587677725118484</v>
      </c>
      <c r="CX71" s="103">
        <v>6.0821484992101107</v>
      </c>
      <c r="CY71" s="103">
        <v>15.086887835703003</v>
      </c>
      <c r="CZ71" s="103">
        <v>23.183254344391784</v>
      </c>
      <c r="DA71" s="103">
        <v>25.592417061611371</v>
      </c>
      <c r="DB71" s="103">
        <v>27.488151658767773</v>
      </c>
      <c r="DC71" s="42"/>
      <c r="DD71" s="111"/>
      <c r="DE71" s="46" t="s">
        <v>11</v>
      </c>
      <c r="DF71" s="103">
        <v>8.496601359456217E-2</v>
      </c>
      <c r="DG71" s="103">
        <v>6.4974010395841664E-2</v>
      </c>
      <c r="DH71" s="103">
        <v>0.29488204718112754</v>
      </c>
      <c r="DI71" s="103">
        <v>0.88964414234306266</v>
      </c>
      <c r="DJ71" s="103">
        <v>3.0237904838064775</v>
      </c>
      <c r="DK71" s="103">
        <v>9.1763294682127157</v>
      </c>
      <c r="DL71" s="103">
        <v>19.932027189124348</v>
      </c>
      <c r="DM71" s="103">
        <v>23.195721711315471</v>
      </c>
      <c r="DN71" s="103">
        <v>22.995801679328267</v>
      </c>
      <c r="DO71" s="103">
        <v>20.341863254698119</v>
      </c>
    </row>
    <row r="72" spans="2:119" ht="14.25" customHeight="1" x14ac:dyDescent="0.45">
      <c r="B72" s="99"/>
      <c r="C72" s="42"/>
      <c r="D72" s="42"/>
      <c r="E72" s="42"/>
      <c r="F72" s="43"/>
      <c r="G72" s="43"/>
      <c r="H72" s="43"/>
      <c r="I72" s="43"/>
      <c r="J72" s="43"/>
      <c r="K72" s="43"/>
      <c r="L72" s="43"/>
      <c r="M72" s="43"/>
      <c r="N72" s="43"/>
      <c r="O72" s="44"/>
      <c r="P72" s="44"/>
      <c r="Q72" s="44"/>
      <c r="R72" s="44"/>
      <c r="S72" s="43"/>
      <c r="T72" s="43"/>
      <c r="U72" s="43"/>
      <c r="V72" s="43"/>
      <c r="W72" s="43"/>
      <c r="X72" s="43"/>
      <c r="Y72" s="43"/>
      <c r="Z72" s="43"/>
      <c r="AA72" s="43"/>
      <c r="AB72" s="44"/>
      <c r="AC72" s="42"/>
      <c r="AD72" s="44"/>
      <c r="AE72" s="44"/>
      <c r="AF72" s="43"/>
      <c r="AG72" s="43"/>
      <c r="AH72" s="43"/>
      <c r="AI72" s="43"/>
      <c r="AJ72" s="43"/>
      <c r="AK72" s="43"/>
      <c r="AL72" s="43"/>
      <c r="AM72" s="43"/>
      <c r="AN72" s="43"/>
      <c r="AO72" s="44"/>
      <c r="AP72" s="6"/>
      <c r="AQ72" s="44"/>
      <c r="AR72" s="44"/>
      <c r="AS72" s="43"/>
      <c r="AT72" s="43"/>
      <c r="AU72" s="43"/>
      <c r="AV72" s="43"/>
      <c r="AW72" s="43"/>
      <c r="AX72" s="43"/>
      <c r="AY72" s="43"/>
      <c r="AZ72" s="43"/>
      <c r="BA72" s="43"/>
      <c r="BB72" s="44"/>
      <c r="BC72" s="42"/>
      <c r="BD72" s="44"/>
      <c r="BE72" s="44"/>
      <c r="BF72" s="43"/>
      <c r="BG72" s="43"/>
      <c r="BH72" s="43"/>
      <c r="BI72" s="43"/>
      <c r="BJ72" s="43"/>
      <c r="BK72" s="43"/>
      <c r="BL72" s="43"/>
      <c r="BM72" s="43"/>
      <c r="BN72" s="43"/>
      <c r="BO72" s="44"/>
      <c r="BQ72" s="44"/>
      <c r="BR72" s="44"/>
      <c r="BS72" s="43"/>
      <c r="BT72" s="43"/>
      <c r="BU72" s="43"/>
      <c r="BV72" s="43"/>
      <c r="BW72" s="43"/>
      <c r="BX72" s="43"/>
      <c r="BY72" s="43"/>
      <c r="BZ72" s="43"/>
      <c r="CA72" s="43"/>
      <c r="CB72" s="44"/>
      <c r="CC72" s="42"/>
      <c r="CD72" s="44"/>
      <c r="CE72" s="44"/>
      <c r="CF72" s="43"/>
      <c r="CG72" s="43"/>
      <c r="CH72" s="43"/>
      <c r="CI72" s="43"/>
      <c r="CJ72" s="43"/>
      <c r="CK72" s="43"/>
      <c r="CL72" s="43"/>
      <c r="CM72" s="43"/>
      <c r="CN72" s="43"/>
      <c r="CO72" s="44"/>
      <c r="CQ72" s="44"/>
      <c r="CR72" s="44"/>
      <c r="CS72" s="43"/>
      <c r="CT72" s="43"/>
      <c r="CU72" s="43"/>
      <c r="CV72" s="43"/>
      <c r="CW72" s="43"/>
      <c r="CX72" s="43"/>
      <c r="CY72" s="43"/>
      <c r="CZ72" s="43"/>
      <c r="DA72" s="43"/>
      <c r="DB72" s="44"/>
      <c r="DC72" s="42"/>
      <c r="DD72" s="44"/>
      <c r="DE72" s="44"/>
      <c r="DF72" s="43"/>
      <c r="DG72" s="43"/>
      <c r="DH72" s="43"/>
      <c r="DI72" s="43"/>
      <c r="DJ72" s="43"/>
      <c r="DK72" s="43"/>
      <c r="DL72" s="43"/>
      <c r="DM72" s="43"/>
      <c r="DN72" s="43"/>
      <c r="DO72" s="44"/>
    </row>
    <row r="73" spans="2:119" ht="14.25" customHeight="1" x14ac:dyDescent="0.45">
      <c r="B73" s="99"/>
      <c r="C73" s="42"/>
      <c r="D73" s="42"/>
      <c r="E73" s="42"/>
      <c r="F73" s="43"/>
      <c r="G73" s="43"/>
      <c r="H73" s="43"/>
      <c r="I73" s="43"/>
      <c r="J73" s="43"/>
      <c r="K73" s="43"/>
      <c r="L73" s="43"/>
      <c r="M73" s="43"/>
      <c r="N73" s="43"/>
      <c r="O73" s="44"/>
      <c r="P73" s="44"/>
      <c r="Q73" s="44"/>
      <c r="R73" s="44"/>
      <c r="S73" s="43"/>
      <c r="T73" s="43"/>
      <c r="U73" s="43"/>
      <c r="V73" s="43"/>
      <c r="W73" s="43"/>
      <c r="X73" s="43"/>
      <c r="Y73" s="43"/>
      <c r="Z73" s="43"/>
      <c r="AA73" s="43"/>
      <c r="AB73" s="44"/>
      <c r="AC73" s="42"/>
      <c r="AD73" s="44"/>
      <c r="AE73" s="44"/>
      <c r="AF73" s="43"/>
      <c r="AG73" s="43"/>
      <c r="AH73" s="43"/>
      <c r="AI73" s="43"/>
      <c r="AJ73" s="43"/>
      <c r="AK73" s="43"/>
      <c r="AL73" s="43"/>
      <c r="AM73" s="43"/>
      <c r="AN73" s="43"/>
      <c r="AO73" s="44"/>
      <c r="AP73" s="6"/>
      <c r="AQ73" s="44"/>
      <c r="AR73" s="44"/>
      <c r="AS73" s="43"/>
      <c r="AT73" s="43"/>
      <c r="AU73" s="43"/>
      <c r="AV73" s="43"/>
      <c r="AW73" s="43"/>
      <c r="AX73" s="43"/>
      <c r="AY73" s="43"/>
      <c r="AZ73" s="43"/>
      <c r="BA73" s="43"/>
      <c r="BB73" s="44"/>
      <c r="BC73" s="42"/>
      <c r="BD73" s="44"/>
      <c r="BE73" s="44"/>
      <c r="BF73" s="43"/>
      <c r="BG73" s="43"/>
      <c r="BH73" s="43"/>
      <c r="BI73" s="43"/>
      <c r="BJ73" s="43"/>
      <c r="BK73" s="43"/>
      <c r="BL73" s="43"/>
      <c r="BM73" s="43"/>
      <c r="BN73" s="43"/>
      <c r="BO73" s="44"/>
      <c r="BQ73" s="44"/>
      <c r="BR73" s="44"/>
      <c r="BS73" s="43"/>
      <c r="BT73" s="43"/>
      <c r="BU73" s="43"/>
      <c r="BV73" s="43"/>
      <c r="BW73" s="43"/>
      <c r="BX73" s="43"/>
      <c r="BY73" s="43"/>
      <c r="BZ73" s="43"/>
      <c r="CA73" s="43"/>
      <c r="CB73" s="44"/>
      <c r="CC73" s="42"/>
      <c r="CD73" s="44"/>
      <c r="CE73" s="44"/>
      <c r="CF73" s="43"/>
      <c r="CG73" s="43"/>
      <c r="CH73" s="43"/>
      <c r="CI73" s="43"/>
      <c r="CJ73" s="43"/>
      <c r="CK73" s="43"/>
      <c r="CL73" s="43"/>
      <c r="CM73" s="43"/>
      <c r="CN73" s="43"/>
      <c r="CO73" s="44"/>
      <c r="CQ73" s="44"/>
      <c r="CR73" s="44"/>
      <c r="CS73" s="43"/>
      <c r="CT73" s="43"/>
      <c r="CU73" s="43"/>
      <c r="CV73" s="43"/>
      <c r="CW73" s="43"/>
      <c r="CX73" s="43"/>
      <c r="CY73" s="43"/>
      <c r="CZ73" s="43"/>
      <c r="DA73" s="43"/>
      <c r="DB73" s="44"/>
      <c r="DC73" s="42"/>
      <c r="DD73" s="44"/>
      <c r="DE73" s="44"/>
      <c r="DF73" s="43"/>
      <c r="DG73" s="43"/>
      <c r="DH73" s="43"/>
      <c r="DI73" s="43"/>
      <c r="DJ73" s="43"/>
      <c r="DK73" s="43"/>
      <c r="DL73" s="43"/>
      <c r="DM73" s="43"/>
      <c r="DN73" s="43"/>
      <c r="DO73" s="44"/>
    </row>
    <row r="74" spans="2:119" ht="14.25" customHeight="1" x14ac:dyDescent="0.55000000000000004">
      <c r="B74" s="99"/>
      <c r="C74" s="42"/>
      <c r="D74" s="112" t="s">
        <v>24</v>
      </c>
      <c r="E74" s="112"/>
      <c r="F74" s="45"/>
      <c r="G74" s="45"/>
      <c r="H74" s="45"/>
      <c r="I74" s="45"/>
      <c r="J74" s="45"/>
      <c r="K74" s="45"/>
      <c r="L74" s="45"/>
      <c r="M74" s="45"/>
      <c r="N74" s="45"/>
      <c r="O74" s="45"/>
      <c r="P74" s="42"/>
      <c r="Q74" s="112" t="s">
        <v>24</v>
      </c>
      <c r="R74" s="112"/>
      <c r="S74" s="45"/>
      <c r="T74" s="45"/>
      <c r="U74" s="45"/>
      <c r="V74" s="45"/>
      <c r="W74" s="45"/>
      <c r="X74" s="45"/>
      <c r="Y74" s="45"/>
      <c r="Z74" s="45"/>
      <c r="AA74" s="45"/>
      <c r="AB74" s="45"/>
      <c r="AC74" s="42"/>
      <c r="AD74" s="112" t="s">
        <v>24</v>
      </c>
      <c r="AE74" s="112"/>
      <c r="AF74" s="45"/>
      <c r="AG74" s="45"/>
      <c r="AH74" s="45"/>
      <c r="AI74" s="45"/>
      <c r="AJ74" s="45"/>
      <c r="AK74" s="45"/>
      <c r="AL74" s="45"/>
      <c r="AM74" s="45"/>
      <c r="AN74" s="45"/>
      <c r="AO74" s="45"/>
      <c r="AP74" s="6"/>
      <c r="AQ74" s="112" t="s">
        <v>24</v>
      </c>
      <c r="AR74" s="112"/>
      <c r="AS74" s="45"/>
      <c r="AT74" s="45"/>
      <c r="AU74" s="45"/>
      <c r="AV74" s="45"/>
      <c r="AW74" s="45"/>
      <c r="AX74" s="45"/>
      <c r="AY74" s="45"/>
      <c r="AZ74" s="45"/>
      <c r="BA74" s="45"/>
      <c r="BB74" s="45"/>
      <c r="BC74" s="42"/>
      <c r="BD74" s="112" t="s">
        <v>24</v>
      </c>
      <c r="BE74" s="112"/>
      <c r="BF74" s="45"/>
      <c r="BG74" s="45"/>
      <c r="BH74" s="45"/>
      <c r="BI74" s="45"/>
      <c r="BJ74" s="45"/>
      <c r="BK74" s="45"/>
      <c r="BL74" s="45"/>
      <c r="BM74" s="45"/>
      <c r="BN74" s="45"/>
      <c r="BO74" s="45"/>
      <c r="BQ74" s="112" t="s">
        <v>24</v>
      </c>
      <c r="BR74" s="112"/>
      <c r="BS74" s="45"/>
      <c r="BT74" s="45"/>
      <c r="BU74" s="45"/>
      <c r="BV74" s="45"/>
      <c r="BW74" s="45"/>
      <c r="BX74" s="45"/>
      <c r="BY74" s="45"/>
      <c r="BZ74" s="45"/>
      <c r="CA74" s="45"/>
      <c r="CB74" s="45"/>
      <c r="CC74" s="42"/>
      <c r="CD74" s="112" t="s">
        <v>24</v>
      </c>
      <c r="CE74" s="112"/>
      <c r="CF74" s="45"/>
      <c r="CG74" s="45"/>
      <c r="CH74" s="45"/>
      <c r="CI74" s="45"/>
      <c r="CJ74" s="45"/>
      <c r="CK74" s="45"/>
      <c r="CL74" s="45"/>
      <c r="CM74" s="45"/>
      <c r="CN74" s="45"/>
      <c r="CO74" s="45"/>
      <c r="CQ74" s="112" t="s">
        <v>24</v>
      </c>
      <c r="CR74" s="112"/>
      <c r="CS74" s="45"/>
      <c r="CT74" s="45"/>
      <c r="CU74" s="45"/>
      <c r="CV74" s="45"/>
      <c r="CW74" s="45"/>
      <c r="CX74" s="45"/>
      <c r="CY74" s="45"/>
      <c r="CZ74" s="45"/>
      <c r="DA74" s="45"/>
      <c r="DB74" s="45"/>
      <c r="DC74" s="42"/>
      <c r="DD74" s="112" t="s">
        <v>24</v>
      </c>
      <c r="DE74" s="112"/>
      <c r="DF74" s="45"/>
      <c r="DG74" s="45"/>
      <c r="DH74" s="45"/>
      <c r="DI74" s="45"/>
      <c r="DJ74" s="45"/>
      <c r="DK74" s="45"/>
      <c r="DL74" s="45"/>
      <c r="DM74" s="45"/>
      <c r="DN74" s="45"/>
      <c r="DO74" s="45"/>
    </row>
    <row r="75" spans="2:119" ht="28.9" customHeight="1" x14ac:dyDescent="0.45">
      <c r="B75" s="99"/>
      <c r="C75" s="42"/>
      <c r="D75" s="112"/>
      <c r="E75" s="112"/>
      <c r="F75" s="108" t="s">
        <v>12</v>
      </c>
      <c r="G75" s="108"/>
      <c r="H75" s="108"/>
      <c r="I75" s="108"/>
      <c r="J75" s="108"/>
      <c r="K75" s="108"/>
      <c r="L75" s="108"/>
      <c r="M75" s="108"/>
      <c r="N75" s="108"/>
      <c r="O75" s="108"/>
      <c r="P75" s="42"/>
      <c r="Q75" s="112"/>
      <c r="R75" s="112"/>
      <c r="S75" s="108" t="s">
        <v>12</v>
      </c>
      <c r="T75" s="108"/>
      <c r="U75" s="108"/>
      <c r="V75" s="108"/>
      <c r="W75" s="108"/>
      <c r="X75" s="108"/>
      <c r="Y75" s="108"/>
      <c r="Z75" s="108"/>
      <c r="AA75" s="108"/>
      <c r="AB75" s="108"/>
      <c r="AC75" s="42"/>
      <c r="AD75" s="112"/>
      <c r="AE75" s="112"/>
      <c r="AF75" s="108" t="s">
        <v>12</v>
      </c>
      <c r="AG75" s="108"/>
      <c r="AH75" s="108"/>
      <c r="AI75" s="108"/>
      <c r="AJ75" s="108"/>
      <c r="AK75" s="108"/>
      <c r="AL75" s="108"/>
      <c r="AM75" s="108"/>
      <c r="AN75" s="108"/>
      <c r="AO75" s="108"/>
      <c r="AP75" s="6"/>
      <c r="AQ75" s="112"/>
      <c r="AR75" s="112"/>
      <c r="AS75" s="108" t="s">
        <v>12</v>
      </c>
      <c r="AT75" s="108"/>
      <c r="AU75" s="108"/>
      <c r="AV75" s="108"/>
      <c r="AW75" s="108"/>
      <c r="AX75" s="108"/>
      <c r="AY75" s="108"/>
      <c r="AZ75" s="108"/>
      <c r="BA75" s="108"/>
      <c r="BB75" s="108"/>
      <c r="BC75" s="42"/>
      <c r="BD75" s="112"/>
      <c r="BE75" s="112"/>
      <c r="BF75" s="108" t="s">
        <v>12</v>
      </c>
      <c r="BG75" s="108"/>
      <c r="BH75" s="108"/>
      <c r="BI75" s="108"/>
      <c r="BJ75" s="108"/>
      <c r="BK75" s="108"/>
      <c r="BL75" s="108"/>
      <c r="BM75" s="108"/>
      <c r="BN75" s="108"/>
      <c r="BO75" s="108"/>
      <c r="BQ75" s="112"/>
      <c r="BR75" s="112"/>
      <c r="BS75" s="108" t="s">
        <v>12</v>
      </c>
      <c r="BT75" s="108"/>
      <c r="BU75" s="108"/>
      <c r="BV75" s="108"/>
      <c r="BW75" s="108"/>
      <c r="BX75" s="108"/>
      <c r="BY75" s="108"/>
      <c r="BZ75" s="108"/>
      <c r="CA75" s="108"/>
      <c r="CB75" s="108"/>
      <c r="CC75" s="42"/>
      <c r="CD75" s="112"/>
      <c r="CE75" s="112"/>
      <c r="CF75" s="108" t="s">
        <v>12</v>
      </c>
      <c r="CG75" s="108"/>
      <c r="CH75" s="108"/>
      <c r="CI75" s="108"/>
      <c r="CJ75" s="108"/>
      <c r="CK75" s="108"/>
      <c r="CL75" s="108"/>
      <c r="CM75" s="108"/>
      <c r="CN75" s="108"/>
      <c r="CO75" s="108"/>
      <c r="CQ75" s="112"/>
      <c r="CR75" s="112"/>
      <c r="CS75" s="108" t="s">
        <v>12</v>
      </c>
      <c r="CT75" s="108"/>
      <c r="CU75" s="108"/>
      <c r="CV75" s="108"/>
      <c r="CW75" s="108"/>
      <c r="CX75" s="108"/>
      <c r="CY75" s="108"/>
      <c r="CZ75" s="108"/>
      <c r="DA75" s="108"/>
      <c r="DB75" s="108"/>
      <c r="DC75" s="42"/>
      <c r="DD75" s="112"/>
      <c r="DE75" s="112"/>
      <c r="DF75" s="108" t="s">
        <v>12</v>
      </c>
      <c r="DG75" s="108"/>
      <c r="DH75" s="108"/>
      <c r="DI75" s="108"/>
      <c r="DJ75" s="108"/>
      <c r="DK75" s="108"/>
      <c r="DL75" s="108"/>
      <c r="DM75" s="108"/>
      <c r="DN75" s="108"/>
      <c r="DO75" s="108"/>
    </row>
    <row r="76" spans="2:119" ht="14.25" customHeight="1" x14ac:dyDescent="0.45">
      <c r="B76" s="99"/>
      <c r="C76" s="42"/>
      <c r="D76" s="113"/>
      <c r="E76" s="113"/>
      <c r="F76" s="9" t="s">
        <v>0</v>
      </c>
      <c r="G76" s="9">
        <v>1</v>
      </c>
      <c r="H76" s="9">
        <v>2</v>
      </c>
      <c r="I76" s="9">
        <v>3</v>
      </c>
      <c r="J76" s="9">
        <v>4</v>
      </c>
      <c r="K76" s="9">
        <v>5</v>
      </c>
      <c r="L76" s="9">
        <v>6</v>
      </c>
      <c r="M76" s="9">
        <v>7</v>
      </c>
      <c r="N76" s="9">
        <v>8</v>
      </c>
      <c r="O76" s="9">
        <v>9</v>
      </c>
      <c r="P76" s="42"/>
      <c r="Q76" s="113"/>
      <c r="R76" s="113"/>
      <c r="S76" s="9" t="s">
        <v>0</v>
      </c>
      <c r="T76" s="9">
        <v>1</v>
      </c>
      <c r="U76" s="9">
        <v>2</v>
      </c>
      <c r="V76" s="9">
        <v>3</v>
      </c>
      <c r="W76" s="9">
        <v>4</v>
      </c>
      <c r="X76" s="9">
        <v>5</v>
      </c>
      <c r="Y76" s="9">
        <v>6</v>
      </c>
      <c r="Z76" s="9">
        <v>7</v>
      </c>
      <c r="AA76" s="9">
        <v>8</v>
      </c>
      <c r="AB76" s="9">
        <v>9</v>
      </c>
      <c r="AC76" s="42"/>
      <c r="AD76" s="113"/>
      <c r="AE76" s="113"/>
      <c r="AF76" s="9" t="s">
        <v>0</v>
      </c>
      <c r="AG76" s="9">
        <v>1</v>
      </c>
      <c r="AH76" s="9">
        <v>2</v>
      </c>
      <c r="AI76" s="9">
        <v>3</v>
      </c>
      <c r="AJ76" s="9">
        <v>4</v>
      </c>
      <c r="AK76" s="9">
        <v>5</v>
      </c>
      <c r="AL76" s="9">
        <v>6</v>
      </c>
      <c r="AM76" s="9">
        <v>7</v>
      </c>
      <c r="AN76" s="9">
        <v>8</v>
      </c>
      <c r="AO76" s="9">
        <v>9</v>
      </c>
      <c r="AP76" s="6"/>
      <c r="AQ76" s="113"/>
      <c r="AR76" s="113"/>
      <c r="AS76" s="9" t="s">
        <v>0</v>
      </c>
      <c r="AT76" s="9">
        <v>1</v>
      </c>
      <c r="AU76" s="9">
        <v>2</v>
      </c>
      <c r="AV76" s="9">
        <v>3</v>
      </c>
      <c r="AW76" s="9">
        <v>4</v>
      </c>
      <c r="AX76" s="9">
        <v>5</v>
      </c>
      <c r="AY76" s="9">
        <v>6</v>
      </c>
      <c r="AZ76" s="9">
        <v>7</v>
      </c>
      <c r="BA76" s="9">
        <v>8</v>
      </c>
      <c r="BB76" s="9">
        <v>9</v>
      </c>
      <c r="BC76" s="42"/>
      <c r="BD76" s="113"/>
      <c r="BE76" s="113"/>
      <c r="BF76" s="9" t="s">
        <v>0</v>
      </c>
      <c r="BG76" s="9">
        <v>1</v>
      </c>
      <c r="BH76" s="9">
        <v>2</v>
      </c>
      <c r="BI76" s="9">
        <v>3</v>
      </c>
      <c r="BJ76" s="9">
        <v>4</v>
      </c>
      <c r="BK76" s="9">
        <v>5</v>
      </c>
      <c r="BL76" s="9">
        <v>6</v>
      </c>
      <c r="BM76" s="9">
        <v>7</v>
      </c>
      <c r="BN76" s="9">
        <v>8</v>
      </c>
      <c r="BO76" s="9">
        <v>9</v>
      </c>
      <c r="BQ76" s="113"/>
      <c r="BR76" s="113"/>
      <c r="BS76" s="9" t="s">
        <v>0</v>
      </c>
      <c r="BT76" s="9">
        <v>1</v>
      </c>
      <c r="BU76" s="9">
        <v>2</v>
      </c>
      <c r="BV76" s="9">
        <v>3</v>
      </c>
      <c r="BW76" s="9">
        <v>4</v>
      </c>
      <c r="BX76" s="9">
        <v>5</v>
      </c>
      <c r="BY76" s="9">
        <v>6</v>
      </c>
      <c r="BZ76" s="9">
        <v>7</v>
      </c>
      <c r="CA76" s="9">
        <v>8</v>
      </c>
      <c r="CB76" s="9">
        <v>9</v>
      </c>
      <c r="CC76" s="42"/>
      <c r="CD76" s="113"/>
      <c r="CE76" s="113"/>
      <c r="CF76" s="9" t="s">
        <v>0</v>
      </c>
      <c r="CG76" s="9">
        <v>1</v>
      </c>
      <c r="CH76" s="9">
        <v>2</v>
      </c>
      <c r="CI76" s="9">
        <v>3</v>
      </c>
      <c r="CJ76" s="9">
        <v>4</v>
      </c>
      <c r="CK76" s="9">
        <v>5</v>
      </c>
      <c r="CL76" s="9">
        <v>6</v>
      </c>
      <c r="CM76" s="9">
        <v>7</v>
      </c>
      <c r="CN76" s="9">
        <v>8</v>
      </c>
      <c r="CO76" s="9">
        <v>9</v>
      </c>
      <c r="CQ76" s="113"/>
      <c r="CR76" s="113"/>
      <c r="CS76" s="9" t="s">
        <v>0</v>
      </c>
      <c r="CT76" s="9">
        <v>1</v>
      </c>
      <c r="CU76" s="9">
        <v>2</v>
      </c>
      <c r="CV76" s="9">
        <v>3</v>
      </c>
      <c r="CW76" s="9">
        <v>4</v>
      </c>
      <c r="CX76" s="9">
        <v>5</v>
      </c>
      <c r="CY76" s="9">
        <v>6</v>
      </c>
      <c r="CZ76" s="9">
        <v>7</v>
      </c>
      <c r="DA76" s="9">
        <v>8</v>
      </c>
      <c r="DB76" s="9">
        <v>9</v>
      </c>
      <c r="DC76" s="42"/>
      <c r="DD76" s="113"/>
      <c r="DE76" s="113"/>
      <c r="DF76" s="9" t="s">
        <v>0</v>
      </c>
      <c r="DG76" s="9">
        <v>1</v>
      </c>
      <c r="DH76" s="9">
        <v>2</v>
      </c>
      <c r="DI76" s="9">
        <v>3</v>
      </c>
      <c r="DJ76" s="9">
        <v>4</v>
      </c>
      <c r="DK76" s="9">
        <v>5</v>
      </c>
      <c r="DL76" s="9">
        <v>6</v>
      </c>
      <c r="DM76" s="9">
        <v>7</v>
      </c>
      <c r="DN76" s="9">
        <v>8</v>
      </c>
      <c r="DO76" s="9">
        <v>9</v>
      </c>
    </row>
    <row r="77" spans="2:119" ht="14.25" customHeight="1" x14ac:dyDescent="0.45">
      <c r="B77" s="135" t="s">
        <v>20</v>
      </c>
      <c r="C77" s="42"/>
      <c r="D77" s="109" t="s">
        <v>13</v>
      </c>
      <c r="E77" s="46" t="s">
        <v>1</v>
      </c>
      <c r="F77" s="103">
        <v>13</v>
      </c>
      <c r="G77" s="103">
        <v>10</v>
      </c>
      <c r="H77" s="103">
        <v>23</v>
      </c>
      <c r="I77" s="103">
        <v>11</v>
      </c>
      <c r="J77" s="103">
        <v>7</v>
      </c>
      <c r="K77" s="103">
        <v>4</v>
      </c>
      <c r="L77" s="103">
        <v>3</v>
      </c>
      <c r="M77" s="103">
        <v>2</v>
      </c>
      <c r="N77" s="103">
        <v>3</v>
      </c>
      <c r="O77" s="17">
        <v>0</v>
      </c>
      <c r="P77" s="42"/>
      <c r="Q77" s="109" t="s">
        <v>13</v>
      </c>
      <c r="R77" s="46" t="s">
        <v>1</v>
      </c>
      <c r="S77" s="103">
        <v>3</v>
      </c>
      <c r="T77" s="103">
        <v>1</v>
      </c>
      <c r="U77" s="103">
        <v>9</v>
      </c>
      <c r="V77" s="103">
        <v>6</v>
      </c>
      <c r="W77" s="103">
        <v>4</v>
      </c>
      <c r="X77" s="103">
        <v>2</v>
      </c>
      <c r="Y77" s="103">
        <v>2</v>
      </c>
      <c r="Z77" s="103">
        <v>0</v>
      </c>
      <c r="AA77" s="103">
        <v>2</v>
      </c>
      <c r="AB77" s="17">
        <v>0</v>
      </c>
      <c r="AC77" s="42"/>
      <c r="AD77" s="109" t="s">
        <v>13</v>
      </c>
      <c r="AE77" s="46" t="s">
        <v>1</v>
      </c>
      <c r="AF77" s="103">
        <v>10</v>
      </c>
      <c r="AG77" s="103">
        <v>9</v>
      </c>
      <c r="AH77" s="103">
        <v>14</v>
      </c>
      <c r="AI77" s="103">
        <v>5</v>
      </c>
      <c r="AJ77" s="103">
        <v>3</v>
      </c>
      <c r="AK77" s="103">
        <v>2</v>
      </c>
      <c r="AL77" s="103">
        <v>1</v>
      </c>
      <c r="AM77" s="103">
        <v>2</v>
      </c>
      <c r="AN77" s="103">
        <v>1</v>
      </c>
      <c r="AO77" s="17">
        <v>0</v>
      </c>
      <c r="AP77" s="6"/>
      <c r="AQ77" s="109" t="s">
        <v>13</v>
      </c>
      <c r="AR77" s="46" t="s">
        <v>1</v>
      </c>
      <c r="AS77" s="103">
        <v>9</v>
      </c>
      <c r="AT77" s="103">
        <v>5</v>
      </c>
      <c r="AU77" s="103">
        <v>13</v>
      </c>
      <c r="AV77" s="103">
        <v>7</v>
      </c>
      <c r="AW77" s="103">
        <v>2</v>
      </c>
      <c r="AX77" s="103">
        <v>2</v>
      </c>
      <c r="AY77" s="103">
        <v>0</v>
      </c>
      <c r="AZ77" s="103">
        <v>2</v>
      </c>
      <c r="BA77" s="103">
        <v>0</v>
      </c>
      <c r="BB77" s="17">
        <v>0</v>
      </c>
      <c r="BC77" s="42"/>
      <c r="BD77" s="109" t="s">
        <v>13</v>
      </c>
      <c r="BE77" s="46" t="s">
        <v>1</v>
      </c>
      <c r="BF77" s="103">
        <v>4</v>
      </c>
      <c r="BG77" s="103">
        <v>5</v>
      </c>
      <c r="BH77" s="103">
        <v>10</v>
      </c>
      <c r="BI77" s="103">
        <v>4</v>
      </c>
      <c r="BJ77" s="103">
        <v>5</v>
      </c>
      <c r="BK77" s="103">
        <v>2</v>
      </c>
      <c r="BL77" s="103">
        <v>3</v>
      </c>
      <c r="BM77" s="103">
        <v>0</v>
      </c>
      <c r="BN77" s="103">
        <v>3</v>
      </c>
      <c r="BO77" s="17">
        <v>0</v>
      </c>
      <c r="BQ77" s="109" t="s">
        <v>13</v>
      </c>
      <c r="BR77" s="46" t="s">
        <v>1</v>
      </c>
      <c r="BS77" s="103">
        <v>7</v>
      </c>
      <c r="BT77" s="103">
        <v>5</v>
      </c>
      <c r="BU77" s="103">
        <v>9</v>
      </c>
      <c r="BV77" s="103">
        <v>2</v>
      </c>
      <c r="BW77" s="103">
        <v>1</v>
      </c>
      <c r="BX77" s="103">
        <v>1</v>
      </c>
      <c r="BY77" s="103">
        <v>0</v>
      </c>
      <c r="BZ77" s="103">
        <v>2</v>
      </c>
      <c r="CA77" s="103">
        <v>1</v>
      </c>
      <c r="CB77" s="17">
        <v>0</v>
      </c>
      <c r="CC77" s="42"/>
      <c r="CD77" s="109" t="s">
        <v>13</v>
      </c>
      <c r="CE77" s="46" t="s">
        <v>1</v>
      </c>
      <c r="CF77" s="103">
        <v>6</v>
      </c>
      <c r="CG77" s="103">
        <v>5</v>
      </c>
      <c r="CH77" s="103">
        <v>14</v>
      </c>
      <c r="CI77" s="103">
        <v>9</v>
      </c>
      <c r="CJ77" s="103">
        <v>6</v>
      </c>
      <c r="CK77" s="103">
        <v>3</v>
      </c>
      <c r="CL77" s="103">
        <v>3</v>
      </c>
      <c r="CM77" s="103">
        <v>0</v>
      </c>
      <c r="CN77" s="103">
        <v>2</v>
      </c>
      <c r="CO77" s="17">
        <v>0</v>
      </c>
      <c r="CQ77" s="109" t="s">
        <v>13</v>
      </c>
      <c r="CR77" s="46" t="s">
        <v>1</v>
      </c>
      <c r="CS77" s="103">
        <v>10</v>
      </c>
      <c r="CT77" s="103">
        <v>8</v>
      </c>
      <c r="CU77" s="103">
        <v>20</v>
      </c>
      <c r="CV77" s="103">
        <v>11</v>
      </c>
      <c r="CW77" s="103">
        <v>6</v>
      </c>
      <c r="CX77" s="103">
        <v>3</v>
      </c>
      <c r="CY77" s="103">
        <v>3</v>
      </c>
      <c r="CZ77" s="103">
        <v>1</v>
      </c>
      <c r="DA77" s="103">
        <v>3</v>
      </c>
      <c r="DB77" s="17">
        <v>0</v>
      </c>
      <c r="DC77" s="42"/>
      <c r="DD77" s="109" t="s">
        <v>13</v>
      </c>
      <c r="DE77" s="46" t="s">
        <v>1</v>
      </c>
      <c r="DF77" s="103">
        <v>3</v>
      </c>
      <c r="DG77" s="103">
        <v>2</v>
      </c>
      <c r="DH77" s="103">
        <v>3</v>
      </c>
      <c r="DI77" s="103">
        <v>0</v>
      </c>
      <c r="DJ77" s="103">
        <v>1</v>
      </c>
      <c r="DK77" s="103">
        <v>1</v>
      </c>
      <c r="DL77" s="103">
        <v>0</v>
      </c>
      <c r="DM77" s="103">
        <v>1</v>
      </c>
      <c r="DN77" s="103">
        <v>0</v>
      </c>
      <c r="DO77" s="17">
        <v>0</v>
      </c>
    </row>
    <row r="78" spans="2:119" ht="14.25" customHeight="1" x14ac:dyDescent="0.45">
      <c r="B78" s="135"/>
      <c r="C78" s="42"/>
      <c r="D78" s="110"/>
      <c r="E78" s="46">
        <v>1</v>
      </c>
      <c r="F78" s="103">
        <v>147</v>
      </c>
      <c r="G78" s="103">
        <v>97</v>
      </c>
      <c r="H78" s="103">
        <v>48</v>
      </c>
      <c r="I78" s="103">
        <v>31</v>
      </c>
      <c r="J78" s="103">
        <v>12</v>
      </c>
      <c r="K78" s="103">
        <v>8</v>
      </c>
      <c r="L78" s="103">
        <v>8</v>
      </c>
      <c r="M78" s="103">
        <v>5</v>
      </c>
      <c r="N78" s="103">
        <v>0</v>
      </c>
      <c r="O78" s="103">
        <v>1</v>
      </c>
      <c r="P78" s="42"/>
      <c r="Q78" s="110"/>
      <c r="R78" s="46">
        <v>1</v>
      </c>
      <c r="S78" s="103">
        <v>65</v>
      </c>
      <c r="T78" s="103">
        <v>40</v>
      </c>
      <c r="U78" s="103">
        <v>18</v>
      </c>
      <c r="V78" s="103">
        <v>16</v>
      </c>
      <c r="W78" s="103">
        <v>10</v>
      </c>
      <c r="X78" s="103">
        <v>6</v>
      </c>
      <c r="Y78" s="103">
        <v>4</v>
      </c>
      <c r="Z78" s="103">
        <v>1</v>
      </c>
      <c r="AA78" s="103">
        <v>0</v>
      </c>
      <c r="AB78" s="103">
        <v>0</v>
      </c>
      <c r="AC78" s="42"/>
      <c r="AD78" s="110"/>
      <c r="AE78" s="46">
        <v>1</v>
      </c>
      <c r="AF78" s="103">
        <v>82</v>
      </c>
      <c r="AG78" s="103">
        <v>57</v>
      </c>
      <c r="AH78" s="103">
        <v>30</v>
      </c>
      <c r="AI78" s="103">
        <v>15</v>
      </c>
      <c r="AJ78" s="103">
        <v>2</v>
      </c>
      <c r="AK78" s="103">
        <v>2</v>
      </c>
      <c r="AL78" s="103">
        <v>4</v>
      </c>
      <c r="AM78" s="103">
        <v>4</v>
      </c>
      <c r="AN78" s="103">
        <v>0</v>
      </c>
      <c r="AO78" s="103">
        <v>1</v>
      </c>
      <c r="AP78" s="6"/>
      <c r="AQ78" s="110"/>
      <c r="AR78" s="46">
        <v>1</v>
      </c>
      <c r="AS78" s="103">
        <v>86</v>
      </c>
      <c r="AT78" s="103">
        <v>60</v>
      </c>
      <c r="AU78" s="103">
        <v>29</v>
      </c>
      <c r="AV78" s="103">
        <v>9</v>
      </c>
      <c r="AW78" s="103">
        <v>3</v>
      </c>
      <c r="AX78" s="103">
        <v>1</v>
      </c>
      <c r="AY78" s="103">
        <v>2</v>
      </c>
      <c r="AZ78" s="103">
        <v>1</v>
      </c>
      <c r="BA78" s="103">
        <v>0</v>
      </c>
      <c r="BB78" s="103">
        <v>0</v>
      </c>
      <c r="BC78" s="42"/>
      <c r="BD78" s="110"/>
      <c r="BE78" s="46">
        <v>1</v>
      </c>
      <c r="BF78" s="103">
        <v>61</v>
      </c>
      <c r="BG78" s="103">
        <v>37</v>
      </c>
      <c r="BH78" s="103">
        <v>19</v>
      </c>
      <c r="BI78" s="103">
        <v>22</v>
      </c>
      <c r="BJ78" s="103">
        <v>9</v>
      </c>
      <c r="BK78" s="103">
        <v>7</v>
      </c>
      <c r="BL78" s="103">
        <v>6</v>
      </c>
      <c r="BM78" s="103">
        <v>4</v>
      </c>
      <c r="BN78" s="103">
        <v>0</v>
      </c>
      <c r="BO78" s="103">
        <v>1</v>
      </c>
      <c r="BQ78" s="110"/>
      <c r="BR78" s="46">
        <v>1</v>
      </c>
      <c r="BS78" s="103">
        <v>117</v>
      </c>
      <c r="BT78" s="103">
        <v>72</v>
      </c>
      <c r="BU78" s="103">
        <v>27</v>
      </c>
      <c r="BV78" s="103">
        <v>9</v>
      </c>
      <c r="BW78" s="103">
        <v>1</v>
      </c>
      <c r="BX78" s="103">
        <v>0</v>
      </c>
      <c r="BY78" s="103">
        <v>0</v>
      </c>
      <c r="BZ78" s="103">
        <v>0</v>
      </c>
      <c r="CA78" s="103">
        <v>0</v>
      </c>
      <c r="CB78" s="103">
        <v>0</v>
      </c>
      <c r="CC78" s="42"/>
      <c r="CD78" s="110"/>
      <c r="CE78" s="46">
        <v>1</v>
      </c>
      <c r="CF78" s="103">
        <v>30</v>
      </c>
      <c r="CG78" s="103">
        <v>25</v>
      </c>
      <c r="CH78" s="103">
        <v>21</v>
      </c>
      <c r="CI78" s="103">
        <v>22</v>
      </c>
      <c r="CJ78" s="103">
        <v>11</v>
      </c>
      <c r="CK78" s="103">
        <v>8</v>
      </c>
      <c r="CL78" s="103">
        <v>8</v>
      </c>
      <c r="CM78" s="103">
        <v>5</v>
      </c>
      <c r="CN78" s="103">
        <v>0</v>
      </c>
      <c r="CO78" s="103">
        <v>1</v>
      </c>
      <c r="CQ78" s="110"/>
      <c r="CR78" s="46">
        <v>1</v>
      </c>
      <c r="CS78" s="103">
        <v>77</v>
      </c>
      <c r="CT78" s="103">
        <v>42</v>
      </c>
      <c r="CU78" s="103">
        <v>30</v>
      </c>
      <c r="CV78" s="103">
        <v>28</v>
      </c>
      <c r="CW78" s="103">
        <v>12</v>
      </c>
      <c r="CX78" s="103">
        <v>8</v>
      </c>
      <c r="CY78" s="103">
        <v>8</v>
      </c>
      <c r="CZ78" s="103">
        <v>5</v>
      </c>
      <c r="DA78" s="103">
        <v>0</v>
      </c>
      <c r="DB78" s="103">
        <v>1</v>
      </c>
      <c r="DC78" s="42"/>
      <c r="DD78" s="110"/>
      <c r="DE78" s="46">
        <v>1</v>
      </c>
      <c r="DF78" s="103">
        <v>70</v>
      </c>
      <c r="DG78" s="103">
        <v>55</v>
      </c>
      <c r="DH78" s="103">
        <v>18</v>
      </c>
      <c r="DI78" s="103">
        <v>3</v>
      </c>
      <c r="DJ78" s="103">
        <v>0</v>
      </c>
      <c r="DK78" s="103">
        <v>0</v>
      </c>
      <c r="DL78" s="103">
        <v>0</v>
      </c>
      <c r="DM78" s="103">
        <v>0</v>
      </c>
      <c r="DN78" s="103">
        <v>0</v>
      </c>
      <c r="DO78" s="103">
        <v>0</v>
      </c>
    </row>
    <row r="79" spans="2:119" ht="14.25" customHeight="1" x14ac:dyDescent="0.45">
      <c r="B79" s="135"/>
      <c r="C79" s="42"/>
      <c r="D79" s="110"/>
      <c r="E79" s="46" t="s">
        <v>2</v>
      </c>
      <c r="F79" s="103">
        <v>2637</v>
      </c>
      <c r="G79" s="103">
        <v>4444</v>
      </c>
      <c r="H79" s="103">
        <v>2229</v>
      </c>
      <c r="I79" s="103">
        <v>924</v>
      </c>
      <c r="J79" s="103">
        <v>390</v>
      </c>
      <c r="K79" s="103">
        <v>158</v>
      </c>
      <c r="L79" s="103">
        <v>57</v>
      </c>
      <c r="M79" s="103">
        <v>33</v>
      </c>
      <c r="N79" s="103">
        <v>16</v>
      </c>
      <c r="O79" s="103">
        <v>3</v>
      </c>
      <c r="P79" s="42"/>
      <c r="Q79" s="110"/>
      <c r="R79" s="46" t="s">
        <v>2</v>
      </c>
      <c r="S79" s="103">
        <v>1206</v>
      </c>
      <c r="T79" s="103">
        <v>1961</v>
      </c>
      <c r="U79" s="103">
        <v>915</v>
      </c>
      <c r="V79" s="103">
        <v>346</v>
      </c>
      <c r="W79" s="103">
        <v>142</v>
      </c>
      <c r="X79" s="103">
        <v>53</v>
      </c>
      <c r="Y79" s="103">
        <v>24</v>
      </c>
      <c r="Z79" s="103">
        <v>8</v>
      </c>
      <c r="AA79" s="103">
        <v>4</v>
      </c>
      <c r="AB79" s="103">
        <v>1</v>
      </c>
      <c r="AC79" s="42"/>
      <c r="AD79" s="110"/>
      <c r="AE79" s="46" t="s">
        <v>2</v>
      </c>
      <c r="AF79" s="103">
        <v>1431</v>
      </c>
      <c r="AG79" s="103">
        <v>2483</v>
      </c>
      <c r="AH79" s="103">
        <v>1314</v>
      </c>
      <c r="AI79" s="103">
        <v>578</v>
      </c>
      <c r="AJ79" s="103">
        <v>248</v>
      </c>
      <c r="AK79" s="103">
        <v>105</v>
      </c>
      <c r="AL79" s="103">
        <v>33</v>
      </c>
      <c r="AM79" s="103">
        <v>25</v>
      </c>
      <c r="AN79" s="103">
        <v>12</v>
      </c>
      <c r="AO79" s="103">
        <v>2</v>
      </c>
      <c r="AP79" s="6"/>
      <c r="AQ79" s="110"/>
      <c r="AR79" s="46" t="s">
        <v>2</v>
      </c>
      <c r="AS79" s="103">
        <v>1574</v>
      </c>
      <c r="AT79" s="103">
        <v>2366</v>
      </c>
      <c r="AU79" s="103">
        <v>1039</v>
      </c>
      <c r="AV79" s="103">
        <v>395</v>
      </c>
      <c r="AW79" s="103">
        <v>140</v>
      </c>
      <c r="AX79" s="103">
        <v>48</v>
      </c>
      <c r="AY79" s="103">
        <v>22</v>
      </c>
      <c r="AZ79" s="103">
        <v>10</v>
      </c>
      <c r="BA79" s="103">
        <v>1</v>
      </c>
      <c r="BB79" s="103">
        <v>1</v>
      </c>
      <c r="BC79" s="42"/>
      <c r="BD79" s="110"/>
      <c r="BE79" s="46" t="s">
        <v>2</v>
      </c>
      <c r="BF79" s="103">
        <v>1063</v>
      </c>
      <c r="BG79" s="103">
        <v>2078</v>
      </c>
      <c r="BH79" s="103">
        <v>1190</v>
      </c>
      <c r="BI79" s="103">
        <v>529</v>
      </c>
      <c r="BJ79" s="103">
        <v>250</v>
      </c>
      <c r="BK79" s="103">
        <v>110</v>
      </c>
      <c r="BL79" s="103">
        <v>35</v>
      </c>
      <c r="BM79" s="103">
        <v>23</v>
      </c>
      <c r="BN79" s="103">
        <v>15</v>
      </c>
      <c r="BO79" s="103">
        <v>2</v>
      </c>
      <c r="BQ79" s="110"/>
      <c r="BR79" s="46" t="s">
        <v>2</v>
      </c>
      <c r="BS79" s="103">
        <v>2100</v>
      </c>
      <c r="BT79" s="103">
        <v>3241</v>
      </c>
      <c r="BU79" s="103">
        <v>1528</v>
      </c>
      <c r="BV79" s="103">
        <v>569</v>
      </c>
      <c r="BW79" s="103">
        <v>173</v>
      </c>
      <c r="BX79" s="103">
        <v>52</v>
      </c>
      <c r="BY79" s="103">
        <v>8</v>
      </c>
      <c r="BZ79" s="103">
        <v>5</v>
      </c>
      <c r="CA79" s="103">
        <v>2</v>
      </c>
      <c r="CB79" s="103">
        <v>1</v>
      </c>
      <c r="CC79" s="42"/>
      <c r="CD79" s="110"/>
      <c r="CE79" s="46" t="s">
        <v>2</v>
      </c>
      <c r="CF79" s="103">
        <v>537</v>
      </c>
      <c r="CG79" s="103">
        <v>1203</v>
      </c>
      <c r="CH79" s="103">
        <v>701</v>
      </c>
      <c r="CI79" s="103">
        <v>355</v>
      </c>
      <c r="CJ79" s="103">
        <v>217</v>
      </c>
      <c r="CK79" s="103">
        <v>106</v>
      </c>
      <c r="CL79" s="103">
        <v>49</v>
      </c>
      <c r="CM79" s="103">
        <v>28</v>
      </c>
      <c r="CN79" s="103">
        <v>14</v>
      </c>
      <c r="CO79" s="103">
        <v>2</v>
      </c>
      <c r="CQ79" s="110"/>
      <c r="CR79" s="46" t="s">
        <v>2</v>
      </c>
      <c r="CS79" s="103">
        <v>549</v>
      </c>
      <c r="CT79" s="103">
        <v>976</v>
      </c>
      <c r="CU79" s="103">
        <v>679</v>
      </c>
      <c r="CV79" s="103">
        <v>373</v>
      </c>
      <c r="CW79" s="103">
        <v>237</v>
      </c>
      <c r="CX79" s="103">
        <v>119</v>
      </c>
      <c r="CY79" s="103">
        <v>51</v>
      </c>
      <c r="CZ79" s="103">
        <v>32</v>
      </c>
      <c r="DA79" s="103">
        <v>14</v>
      </c>
      <c r="DB79" s="103">
        <v>1</v>
      </c>
      <c r="DC79" s="42"/>
      <c r="DD79" s="110"/>
      <c r="DE79" s="46" t="s">
        <v>2</v>
      </c>
      <c r="DF79" s="103">
        <v>2088</v>
      </c>
      <c r="DG79" s="103">
        <v>3468</v>
      </c>
      <c r="DH79" s="103">
        <v>1550</v>
      </c>
      <c r="DI79" s="103">
        <v>551</v>
      </c>
      <c r="DJ79" s="103">
        <v>153</v>
      </c>
      <c r="DK79" s="103">
        <v>39</v>
      </c>
      <c r="DL79" s="103">
        <v>6</v>
      </c>
      <c r="DM79" s="103">
        <v>1</v>
      </c>
      <c r="DN79" s="103">
        <v>2</v>
      </c>
      <c r="DO79" s="103">
        <v>2</v>
      </c>
    </row>
    <row r="80" spans="2:119" ht="14.25" customHeight="1" x14ac:dyDescent="0.45">
      <c r="B80" s="135"/>
      <c r="C80" s="42"/>
      <c r="D80" s="110"/>
      <c r="E80" s="46" t="s">
        <v>3</v>
      </c>
      <c r="F80" s="103">
        <v>814</v>
      </c>
      <c r="G80" s="103">
        <v>2545</v>
      </c>
      <c r="H80" s="103">
        <v>2173</v>
      </c>
      <c r="I80" s="103">
        <v>1230</v>
      </c>
      <c r="J80" s="103">
        <v>567</v>
      </c>
      <c r="K80" s="103">
        <v>138</v>
      </c>
      <c r="L80" s="103">
        <v>32</v>
      </c>
      <c r="M80" s="103">
        <v>10</v>
      </c>
      <c r="N80" s="103">
        <v>8</v>
      </c>
      <c r="O80" s="103">
        <v>0</v>
      </c>
      <c r="P80" s="42"/>
      <c r="Q80" s="110"/>
      <c r="R80" s="46" t="s">
        <v>3</v>
      </c>
      <c r="S80" s="103">
        <v>395</v>
      </c>
      <c r="T80" s="103">
        <v>1245</v>
      </c>
      <c r="U80" s="103">
        <v>975</v>
      </c>
      <c r="V80" s="103">
        <v>480</v>
      </c>
      <c r="W80" s="103">
        <v>199</v>
      </c>
      <c r="X80" s="103">
        <v>51</v>
      </c>
      <c r="Y80" s="103">
        <v>8</v>
      </c>
      <c r="Z80" s="103">
        <v>2</v>
      </c>
      <c r="AA80" s="103">
        <v>2</v>
      </c>
      <c r="AB80" s="103">
        <v>0</v>
      </c>
      <c r="AC80" s="42"/>
      <c r="AD80" s="110"/>
      <c r="AE80" s="46" t="s">
        <v>3</v>
      </c>
      <c r="AF80" s="103">
        <v>419</v>
      </c>
      <c r="AG80" s="103">
        <v>1300</v>
      </c>
      <c r="AH80" s="103">
        <v>1198</v>
      </c>
      <c r="AI80" s="103">
        <v>750</v>
      </c>
      <c r="AJ80" s="103">
        <v>368</v>
      </c>
      <c r="AK80" s="103">
        <v>87</v>
      </c>
      <c r="AL80" s="103">
        <v>24</v>
      </c>
      <c r="AM80" s="103">
        <v>8</v>
      </c>
      <c r="AN80" s="103">
        <v>6</v>
      </c>
      <c r="AO80" s="103">
        <v>0</v>
      </c>
      <c r="AP80" s="6"/>
      <c r="AQ80" s="110"/>
      <c r="AR80" s="46" t="s">
        <v>3</v>
      </c>
      <c r="AS80" s="103">
        <v>511</v>
      </c>
      <c r="AT80" s="103">
        <v>1298</v>
      </c>
      <c r="AU80" s="103">
        <v>978</v>
      </c>
      <c r="AV80" s="103">
        <v>488</v>
      </c>
      <c r="AW80" s="103">
        <v>203</v>
      </c>
      <c r="AX80" s="103">
        <v>41</v>
      </c>
      <c r="AY80" s="103">
        <v>9</v>
      </c>
      <c r="AZ80" s="103">
        <v>4</v>
      </c>
      <c r="BA80" s="103">
        <v>2</v>
      </c>
      <c r="BB80" s="103">
        <v>0</v>
      </c>
      <c r="BC80" s="42"/>
      <c r="BD80" s="110"/>
      <c r="BE80" s="46" t="s">
        <v>3</v>
      </c>
      <c r="BF80" s="103">
        <v>303</v>
      </c>
      <c r="BG80" s="103">
        <v>1247</v>
      </c>
      <c r="BH80" s="103">
        <v>1195</v>
      </c>
      <c r="BI80" s="103">
        <v>742</v>
      </c>
      <c r="BJ80" s="103">
        <v>364</v>
      </c>
      <c r="BK80" s="103">
        <v>97</v>
      </c>
      <c r="BL80" s="103">
        <v>23</v>
      </c>
      <c r="BM80" s="103">
        <v>6</v>
      </c>
      <c r="BN80" s="103">
        <v>6</v>
      </c>
      <c r="BO80" s="103">
        <v>0</v>
      </c>
      <c r="BQ80" s="110"/>
      <c r="BR80" s="46" t="s">
        <v>3</v>
      </c>
      <c r="BS80" s="103">
        <v>543</v>
      </c>
      <c r="BT80" s="103">
        <v>1452</v>
      </c>
      <c r="BU80" s="103">
        <v>1193</v>
      </c>
      <c r="BV80" s="103">
        <v>677</v>
      </c>
      <c r="BW80" s="103">
        <v>303</v>
      </c>
      <c r="BX80" s="103">
        <v>68</v>
      </c>
      <c r="BY80" s="103">
        <v>9</v>
      </c>
      <c r="BZ80" s="103">
        <v>1</v>
      </c>
      <c r="CA80" s="103">
        <v>1</v>
      </c>
      <c r="CB80" s="103">
        <v>0</v>
      </c>
      <c r="CC80" s="42"/>
      <c r="CD80" s="110"/>
      <c r="CE80" s="46" t="s">
        <v>3</v>
      </c>
      <c r="CF80" s="103">
        <v>271</v>
      </c>
      <c r="CG80" s="103">
        <v>1093</v>
      </c>
      <c r="CH80" s="103">
        <v>980</v>
      </c>
      <c r="CI80" s="103">
        <v>553</v>
      </c>
      <c r="CJ80" s="103">
        <v>264</v>
      </c>
      <c r="CK80" s="103">
        <v>70</v>
      </c>
      <c r="CL80" s="103">
        <v>23</v>
      </c>
      <c r="CM80" s="103">
        <v>9</v>
      </c>
      <c r="CN80" s="103">
        <v>7</v>
      </c>
      <c r="CO80" s="103">
        <v>0</v>
      </c>
      <c r="CQ80" s="110"/>
      <c r="CR80" s="46" t="s">
        <v>3</v>
      </c>
      <c r="CS80" s="103">
        <v>109</v>
      </c>
      <c r="CT80" s="103">
        <v>402</v>
      </c>
      <c r="CU80" s="103">
        <v>436</v>
      </c>
      <c r="CV80" s="103">
        <v>308</v>
      </c>
      <c r="CW80" s="103">
        <v>230</v>
      </c>
      <c r="CX80" s="103">
        <v>64</v>
      </c>
      <c r="CY80" s="103">
        <v>24</v>
      </c>
      <c r="CZ80" s="103">
        <v>8</v>
      </c>
      <c r="DA80" s="103">
        <v>8</v>
      </c>
      <c r="DB80" s="103">
        <v>0</v>
      </c>
      <c r="DC80" s="42"/>
      <c r="DD80" s="110"/>
      <c r="DE80" s="46" t="s">
        <v>3</v>
      </c>
      <c r="DF80" s="103">
        <v>705</v>
      </c>
      <c r="DG80" s="103">
        <v>2143</v>
      </c>
      <c r="DH80" s="103">
        <v>1737</v>
      </c>
      <c r="DI80" s="103">
        <v>922</v>
      </c>
      <c r="DJ80" s="103">
        <v>337</v>
      </c>
      <c r="DK80" s="103">
        <v>74</v>
      </c>
      <c r="DL80" s="103">
        <v>8</v>
      </c>
      <c r="DM80" s="103">
        <v>2</v>
      </c>
      <c r="DN80" s="103">
        <v>0</v>
      </c>
      <c r="DO80" s="103">
        <v>0</v>
      </c>
    </row>
    <row r="81" spans="2:119" ht="14.25" customHeight="1" x14ac:dyDescent="0.45">
      <c r="B81" s="135"/>
      <c r="C81" s="42"/>
      <c r="D81" s="110"/>
      <c r="E81" s="46" t="s">
        <v>4</v>
      </c>
      <c r="F81" s="103">
        <v>850</v>
      </c>
      <c r="G81" s="103">
        <v>3347</v>
      </c>
      <c r="H81" s="103">
        <v>3521</v>
      </c>
      <c r="I81" s="103">
        <v>2311</v>
      </c>
      <c r="J81" s="103">
        <v>1149</v>
      </c>
      <c r="K81" s="103">
        <v>362</v>
      </c>
      <c r="L81" s="103">
        <v>67</v>
      </c>
      <c r="M81" s="103">
        <v>39</v>
      </c>
      <c r="N81" s="103">
        <v>12</v>
      </c>
      <c r="O81" s="103">
        <v>4</v>
      </c>
      <c r="P81" s="42"/>
      <c r="Q81" s="110"/>
      <c r="R81" s="46" t="s">
        <v>4</v>
      </c>
      <c r="S81" s="103">
        <v>373</v>
      </c>
      <c r="T81" s="103">
        <v>1701</v>
      </c>
      <c r="U81" s="103">
        <v>1717</v>
      </c>
      <c r="V81" s="103">
        <v>985</v>
      </c>
      <c r="W81" s="103">
        <v>458</v>
      </c>
      <c r="X81" s="103">
        <v>136</v>
      </c>
      <c r="Y81" s="103">
        <v>22</v>
      </c>
      <c r="Z81" s="103">
        <v>18</v>
      </c>
      <c r="AA81" s="103">
        <v>5</v>
      </c>
      <c r="AB81" s="103">
        <v>1</v>
      </c>
      <c r="AC81" s="42"/>
      <c r="AD81" s="110"/>
      <c r="AE81" s="46" t="s">
        <v>4</v>
      </c>
      <c r="AF81" s="103">
        <v>477</v>
      </c>
      <c r="AG81" s="103">
        <v>1646</v>
      </c>
      <c r="AH81" s="103">
        <v>1804</v>
      </c>
      <c r="AI81" s="103">
        <v>1326</v>
      </c>
      <c r="AJ81" s="103">
        <v>691</v>
      </c>
      <c r="AK81" s="103">
        <v>226</v>
      </c>
      <c r="AL81" s="103">
        <v>45</v>
      </c>
      <c r="AM81" s="103">
        <v>21</v>
      </c>
      <c r="AN81" s="103">
        <v>7</v>
      </c>
      <c r="AO81" s="103">
        <v>3</v>
      </c>
      <c r="AP81" s="6"/>
      <c r="AQ81" s="110"/>
      <c r="AR81" s="46" t="s">
        <v>4</v>
      </c>
      <c r="AS81" s="103">
        <v>510</v>
      </c>
      <c r="AT81" s="103">
        <v>1728</v>
      </c>
      <c r="AU81" s="103">
        <v>1586</v>
      </c>
      <c r="AV81" s="103">
        <v>899</v>
      </c>
      <c r="AW81" s="103">
        <v>402</v>
      </c>
      <c r="AX81" s="103">
        <v>110</v>
      </c>
      <c r="AY81" s="103">
        <v>22</v>
      </c>
      <c r="AZ81" s="103">
        <v>12</v>
      </c>
      <c r="BA81" s="103">
        <v>5</v>
      </c>
      <c r="BB81" s="103">
        <v>2</v>
      </c>
      <c r="BC81" s="42"/>
      <c r="BD81" s="110"/>
      <c r="BE81" s="46" t="s">
        <v>4</v>
      </c>
      <c r="BF81" s="103">
        <v>340</v>
      </c>
      <c r="BG81" s="103">
        <v>1619</v>
      </c>
      <c r="BH81" s="103">
        <v>1935</v>
      </c>
      <c r="BI81" s="103">
        <v>1412</v>
      </c>
      <c r="BJ81" s="103">
        <v>747</v>
      </c>
      <c r="BK81" s="103">
        <v>252</v>
      </c>
      <c r="BL81" s="103">
        <v>45</v>
      </c>
      <c r="BM81" s="103">
        <v>27</v>
      </c>
      <c r="BN81" s="103">
        <v>7</v>
      </c>
      <c r="BO81" s="103">
        <v>2</v>
      </c>
      <c r="BQ81" s="110"/>
      <c r="BR81" s="46" t="s">
        <v>4</v>
      </c>
      <c r="BS81" s="103">
        <v>483</v>
      </c>
      <c r="BT81" s="103">
        <v>1640</v>
      </c>
      <c r="BU81" s="103">
        <v>1492</v>
      </c>
      <c r="BV81" s="103">
        <v>999</v>
      </c>
      <c r="BW81" s="103">
        <v>447</v>
      </c>
      <c r="BX81" s="103">
        <v>144</v>
      </c>
      <c r="BY81" s="103">
        <v>17</v>
      </c>
      <c r="BZ81" s="103">
        <v>9</v>
      </c>
      <c r="CA81" s="103">
        <v>2</v>
      </c>
      <c r="CB81" s="103">
        <v>0</v>
      </c>
      <c r="CC81" s="42"/>
      <c r="CD81" s="110"/>
      <c r="CE81" s="46" t="s">
        <v>4</v>
      </c>
      <c r="CF81" s="103">
        <v>367</v>
      </c>
      <c r="CG81" s="103">
        <v>1707</v>
      </c>
      <c r="CH81" s="103">
        <v>2029</v>
      </c>
      <c r="CI81" s="103">
        <v>1312</v>
      </c>
      <c r="CJ81" s="103">
        <v>702</v>
      </c>
      <c r="CK81" s="103">
        <v>218</v>
      </c>
      <c r="CL81" s="103">
        <v>50</v>
      </c>
      <c r="CM81" s="103">
        <v>30</v>
      </c>
      <c r="CN81" s="103">
        <v>10</v>
      </c>
      <c r="CO81" s="103">
        <v>4</v>
      </c>
      <c r="CQ81" s="110"/>
      <c r="CR81" s="46" t="s">
        <v>4</v>
      </c>
      <c r="CS81" s="103">
        <v>86</v>
      </c>
      <c r="CT81" s="103">
        <v>456</v>
      </c>
      <c r="CU81" s="103">
        <v>648</v>
      </c>
      <c r="CV81" s="103">
        <v>494</v>
      </c>
      <c r="CW81" s="103">
        <v>366</v>
      </c>
      <c r="CX81" s="103">
        <v>149</v>
      </c>
      <c r="CY81" s="103">
        <v>47</v>
      </c>
      <c r="CZ81" s="103">
        <v>33</v>
      </c>
      <c r="DA81" s="103">
        <v>11</v>
      </c>
      <c r="DB81" s="103">
        <v>4</v>
      </c>
      <c r="DC81" s="42"/>
      <c r="DD81" s="110"/>
      <c r="DE81" s="46" t="s">
        <v>4</v>
      </c>
      <c r="DF81" s="103">
        <v>764</v>
      </c>
      <c r="DG81" s="103">
        <v>2891</v>
      </c>
      <c r="DH81" s="103">
        <v>2873</v>
      </c>
      <c r="DI81" s="103">
        <v>1817</v>
      </c>
      <c r="DJ81" s="103">
        <v>783</v>
      </c>
      <c r="DK81" s="103">
        <v>213</v>
      </c>
      <c r="DL81" s="103">
        <v>20</v>
      </c>
      <c r="DM81" s="103">
        <v>6</v>
      </c>
      <c r="DN81" s="103">
        <v>1</v>
      </c>
      <c r="DO81" s="103">
        <v>0</v>
      </c>
    </row>
    <row r="82" spans="2:119" ht="14.25" customHeight="1" x14ac:dyDescent="0.45">
      <c r="B82" s="135"/>
      <c r="C82" s="42"/>
      <c r="D82" s="110"/>
      <c r="E82" s="46" t="s">
        <v>5</v>
      </c>
      <c r="F82" s="103">
        <v>809</v>
      </c>
      <c r="G82" s="103">
        <v>4344</v>
      </c>
      <c r="H82" s="103">
        <v>6340</v>
      </c>
      <c r="I82" s="103">
        <v>5206</v>
      </c>
      <c r="J82" s="103">
        <v>3009</v>
      </c>
      <c r="K82" s="103">
        <v>815</v>
      </c>
      <c r="L82" s="103">
        <v>142</v>
      </c>
      <c r="M82" s="103">
        <v>67</v>
      </c>
      <c r="N82" s="103">
        <v>22</v>
      </c>
      <c r="O82" s="103">
        <v>8</v>
      </c>
      <c r="P82" s="42"/>
      <c r="Q82" s="110"/>
      <c r="R82" s="46" t="s">
        <v>5</v>
      </c>
      <c r="S82" s="103">
        <v>340</v>
      </c>
      <c r="T82" s="103">
        <v>2212</v>
      </c>
      <c r="U82" s="103">
        <v>3311</v>
      </c>
      <c r="V82" s="103">
        <v>2520</v>
      </c>
      <c r="W82" s="103">
        <v>1455</v>
      </c>
      <c r="X82" s="103">
        <v>336</v>
      </c>
      <c r="Y82" s="103">
        <v>59</v>
      </c>
      <c r="Z82" s="103">
        <v>26</v>
      </c>
      <c r="AA82" s="103">
        <v>4</v>
      </c>
      <c r="AB82" s="103">
        <v>4</v>
      </c>
      <c r="AC82" s="42"/>
      <c r="AD82" s="110"/>
      <c r="AE82" s="46" t="s">
        <v>5</v>
      </c>
      <c r="AF82" s="103">
        <v>469</v>
      </c>
      <c r="AG82" s="103">
        <v>2132</v>
      </c>
      <c r="AH82" s="103">
        <v>3029</v>
      </c>
      <c r="AI82" s="103">
        <v>2686</v>
      </c>
      <c r="AJ82" s="103">
        <v>1554</v>
      </c>
      <c r="AK82" s="103">
        <v>479</v>
      </c>
      <c r="AL82" s="103">
        <v>83</v>
      </c>
      <c r="AM82" s="103">
        <v>41</v>
      </c>
      <c r="AN82" s="103">
        <v>18</v>
      </c>
      <c r="AO82" s="103">
        <v>4</v>
      </c>
      <c r="AP82" s="6"/>
      <c r="AQ82" s="110"/>
      <c r="AR82" s="46" t="s">
        <v>5</v>
      </c>
      <c r="AS82" s="103">
        <v>482</v>
      </c>
      <c r="AT82" s="103">
        <v>2237</v>
      </c>
      <c r="AU82" s="103">
        <v>2682</v>
      </c>
      <c r="AV82" s="103">
        <v>1779</v>
      </c>
      <c r="AW82" s="103">
        <v>910</v>
      </c>
      <c r="AX82" s="103">
        <v>214</v>
      </c>
      <c r="AY82" s="103">
        <v>41</v>
      </c>
      <c r="AZ82" s="103">
        <v>18</v>
      </c>
      <c r="BA82" s="103">
        <v>7</v>
      </c>
      <c r="BB82" s="103">
        <v>2</v>
      </c>
      <c r="BC82" s="42"/>
      <c r="BD82" s="110"/>
      <c r="BE82" s="46" t="s">
        <v>5</v>
      </c>
      <c r="BF82" s="103">
        <v>327</v>
      </c>
      <c r="BG82" s="103">
        <v>2107</v>
      </c>
      <c r="BH82" s="103">
        <v>3658</v>
      </c>
      <c r="BI82" s="103">
        <v>3427</v>
      </c>
      <c r="BJ82" s="103">
        <v>2099</v>
      </c>
      <c r="BK82" s="103">
        <v>601</v>
      </c>
      <c r="BL82" s="103">
        <v>101</v>
      </c>
      <c r="BM82" s="103">
        <v>49</v>
      </c>
      <c r="BN82" s="103">
        <v>15</v>
      </c>
      <c r="BO82" s="103">
        <v>6</v>
      </c>
      <c r="BQ82" s="110"/>
      <c r="BR82" s="46" t="s">
        <v>5</v>
      </c>
      <c r="BS82" s="103">
        <v>410</v>
      </c>
      <c r="BT82" s="103">
        <v>1749</v>
      </c>
      <c r="BU82" s="103">
        <v>1985</v>
      </c>
      <c r="BV82" s="103">
        <v>1446</v>
      </c>
      <c r="BW82" s="103">
        <v>760</v>
      </c>
      <c r="BX82" s="103">
        <v>240</v>
      </c>
      <c r="BY82" s="103">
        <v>38</v>
      </c>
      <c r="BZ82" s="103">
        <v>19</v>
      </c>
      <c r="CA82" s="103">
        <v>3</v>
      </c>
      <c r="CB82" s="103">
        <v>0</v>
      </c>
      <c r="CC82" s="42"/>
      <c r="CD82" s="110"/>
      <c r="CE82" s="46" t="s">
        <v>5</v>
      </c>
      <c r="CF82" s="103">
        <v>399</v>
      </c>
      <c r="CG82" s="103">
        <v>2595</v>
      </c>
      <c r="CH82" s="103">
        <v>4355</v>
      </c>
      <c r="CI82" s="103">
        <v>3760</v>
      </c>
      <c r="CJ82" s="103">
        <v>2249</v>
      </c>
      <c r="CK82" s="103">
        <v>575</v>
      </c>
      <c r="CL82" s="103">
        <v>104</v>
      </c>
      <c r="CM82" s="103">
        <v>48</v>
      </c>
      <c r="CN82" s="103">
        <v>19</v>
      </c>
      <c r="CO82" s="103">
        <v>8</v>
      </c>
      <c r="CQ82" s="110"/>
      <c r="CR82" s="46" t="s">
        <v>5</v>
      </c>
      <c r="CS82" s="103">
        <v>87</v>
      </c>
      <c r="CT82" s="103">
        <v>497</v>
      </c>
      <c r="CU82" s="103">
        <v>912</v>
      </c>
      <c r="CV82" s="103">
        <v>875</v>
      </c>
      <c r="CW82" s="103">
        <v>740</v>
      </c>
      <c r="CX82" s="103">
        <v>273</v>
      </c>
      <c r="CY82" s="103">
        <v>70</v>
      </c>
      <c r="CZ82" s="103">
        <v>47</v>
      </c>
      <c r="DA82" s="103">
        <v>17</v>
      </c>
      <c r="DB82" s="103">
        <v>8</v>
      </c>
      <c r="DC82" s="42"/>
      <c r="DD82" s="110"/>
      <c r="DE82" s="46" t="s">
        <v>5</v>
      </c>
      <c r="DF82" s="103">
        <v>722</v>
      </c>
      <c r="DG82" s="103">
        <v>3847</v>
      </c>
      <c r="DH82" s="103">
        <v>5428</v>
      </c>
      <c r="DI82" s="103">
        <v>4331</v>
      </c>
      <c r="DJ82" s="103">
        <v>2269</v>
      </c>
      <c r="DK82" s="103">
        <v>542</v>
      </c>
      <c r="DL82" s="103">
        <v>72</v>
      </c>
      <c r="DM82" s="103">
        <v>20</v>
      </c>
      <c r="DN82" s="103">
        <v>5</v>
      </c>
      <c r="DO82" s="103">
        <v>0</v>
      </c>
    </row>
    <row r="83" spans="2:119" ht="14.25" customHeight="1" x14ac:dyDescent="0.45">
      <c r="B83" s="135"/>
      <c r="C83" s="42"/>
      <c r="D83" s="110"/>
      <c r="E83" s="46" t="s">
        <v>6</v>
      </c>
      <c r="F83" s="103">
        <v>823</v>
      </c>
      <c r="G83" s="103">
        <v>4573</v>
      </c>
      <c r="H83" s="103">
        <v>10231</v>
      </c>
      <c r="I83" s="103">
        <v>12877</v>
      </c>
      <c r="J83" s="103">
        <v>10575</v>
      </c>
      <c r="K83" s="103">
        <v>3299</v>
      </c>
      <c r="L83" s="103">
        <v>621</v>
      </c>
      <c r="M83" s="103">
        <v>216</v>
      </c>
      <c r="N83" s="103">
        <v>49</v>
      </c>
      <c r="O83" s="103">
        <v>8</v>
      </c>
      <c r="P83" s="42"/>
      <c r="Q83" s="110"/>
      <c r="R83" s="46" t="s">
        <v>6</v>
      </c>
      <c r="S83" s="103">
        <v>362</v>
      </c>
      <c r="T83" s="103">
        <v>2205</v>
      </c>
      <c r="U83" s="103">
        <v>5271</v>
      </c>
      <c r="V83" s="103">
        <v>6479</v>
      </c>
      <c r="W83" s="103">
        <v>5249</v>
      </c>
      <c r="X83" s="103">
        <v>1561</v>
      </c>
      <c r="Y83" s="103">
        <v>300</v>
      </c>
      <c r="Z83" s="103">
        <v>96</v>
      </c>
      <c r="AA83" s="103">
        <v>14</v>
      </c>
      <c r="AB83" s="103">
        <v>2</v>
      </c>
      <c r="AC83" s="42"/>
      <c r="AD83" s="110"/>
      <c r="AE83" s="46" t="s">
        <v>6</v>
      </c>
      <c r="AF83" s="103">
        <v>461</v>
      </c>
      <c r="AG83" s="103">
        <v>2368</v>
      </c>
      <c r="AH83" s="103">
        <v>4960</v>
      </c>
      <c r="AI83" s="103">
        <v>6398</v>
      </c>
      <c r="AJ83" s="103">
        <v>5326</v>
      </c>
      <c r="AK83" s="103">
        <v>1738</v>
      </c>
      <c r="AL83" s="103">
        <v>321</v>
      </c>
      <c r="AM83" s="103">
        <v>120</v>
      </c>
      <c r="AN83" s="103">
        <v>35</v>
      </c>
      <c r="AO83" s="103">
        <v>6</v>
      </c>
      <c r="AP83" s="6"/>
      <c r="AQ83" s="110"/>
      <c r="AR83" s="46" t="s">
        <v>6</v>
      </c>
      <c r="AS83" s="103">
        <v>521</v>
      </c>
      <c r="AT83" s="103">
        <v>2404</v>
      </c>
      <c r="AU83" s="103">
        <v>4459</v>
      </c>
      <c r="AV83" s="103">
        <v>4468</v>
      </c>
      <c r="AW83" s="103">
        <v>3038</v>
      </c>
      <c r="AX83" s="103">
        <v>810</v>
      </c>
      <c r="AY83" s="103">
        <v>169</v>
      </c>
      <c r="AZ83" s="103">
        <v>62</v>
      </c>
      <c r="BA83" s="103">
        <v>17</v>
      </c>
      <c r="BB83" s="103">
        <v>2</v>
      </c>
      <c r="BC83" s="42"/>
      <c r="BD83" s="110"/>
      <c r="BE83" s="46" t="s">
        <v>6</v>
      </c>
      <c r="BF83" s="103">
        <v>302</v>
      </c>
      <c r="BG83" s="103">
        <v>2169</v>
      </c>
      <c r="BH83" s="103">
        <v>5772</v>
      </c>
      <c r="BI83" s="103">
        <v>8409</v>
      </c>
      <c r="BJ83" s="103">
        <v>7537</v>
      </c>
      <c r="BK83" s="103">
        <v>2489</v>
      </c>
      <c r="BL83" s="103">
        <v>452</v>
      </c>
      <c r="BM83" s="103">
        <v>154</v>
      </c>
      <c r="BN83" s="103">
        <v>32</v>
      </c>
      <c r="BO83" s="103">
        <v>6</v>
      </c>
      <c r="BQ83" s="110"/>
      <c r="BR83" s="46" t="s">
        <v>6</v>
      </c>
      <c r="BS83" s="103">
        <v>344</v>
      </c>
      <c r="BT83" s="103">
        <v>1519</v>
      </c>
      <c r="BU83" s="103">
        <v>2328</v>
      </c>
      <c r="BV83" s="103">
        <v>2353</v>
      </c>
      <c r="BW83" s="103">
        <v>1757</v>
      </c>
      <c r="BX83" s="103">
        <v>560</v>
      </c>
      <c r="BY83" s="103">
        <v>83</v>
      </c>
      <c r="BZ83" s="103">
        <v>37</v>
      </c>
      <c r="CA83" s="103">
        <v>11</v>
      </c>
      <c r="CB83" s="103">
        <v>2</v>
      </c>
      <c r="CC83" s="42"/>
      <c r="CD83" s="110"/>
      <c r="CE83" s="46" t="s">
        <v>6</v>
      </c>
      <c r="CF83" s="103">
        <v>479</v>
      </c>
      <c r="CG83" s="103">
        <v>3054</v>
      </c>
      <c r="CH83" s="103">
        <v>7903</v>
      </c>
      <c r="CI83" s="103">
        <v>10524</v>
      </c>
      <c r="CJ83" s="103">
        <v>8818</v>
      </c>
      <c r="CK83" s="103">
        <v>2739</v>
      </c>
      <c r="CL83" s="103">
        <v>538</v>
      </c>
      <c r="CM83" s="103">
        <v>179</v>
      </c>
      <c r="CN83" s="103">
        <v>38</v>
      </c>
      <c r="CO83" s="103">
        <v>6</v>
      </c>
      <c r="CQ83" s="110"/>
      <c r="CR83" s="46" t="s">
        <v>6</v>
      </c>
      <c r="CS83" s="103">
        <v>99</v>
      </c>
      <c r="CT83" s="103">
        <v>417</v>
      </c>
      <c r="CU83" s="103">
        <v>1225</v>
      </c>
      <c r="CV83" s="103">
        <v>1913</v>
      </c>
      <c r="CW83" s="103">
        <v>2012</v>
      </c>
      <c r="CX83" s="103">
        <v>811</v>
      </c>
      <c r="CY83" s="103">
        <v>296</v>
      </c>
      <c r="CZ83" s="103">
        <v>124</v>
      </c>
      <c r="DA83" s="103">
        <v>32</v>
      </c>
      <c r="DB83" s="103">
        <v>6</v>
      </c>
      <c r="DC83" s="42"/>
      <c r="DD83" s="110"/>
      <c r="DE83" s="46" t="s">
        <v>6</v>
      </c>
      <c r="DF83" s="103">
        <v>724</v>
      </c>
      <c r="DG83" s="103">
        <v>4156</v>
      </c>
      <c r="DH83" s="103">
        <v>9006</v>
      </c>
      <c r="DI83" s="103">
        <v>10964</v>
      </c>
      <c r="DJ83" s="103">
        <v>8563</v>
      </c>
      <c r="DK83" s="103">
        <v>2488</v>
      </c>
      <c r="DL83" s="103">
        <v>325</v>
      </c>
      <c r="DM83" s="103">
        <v>92</v>
      </c>
      <c r="DN83" s="103">
        <v>17</v>
      </c>
      <c r="DO83" s="103">
        <v>2</v>
      </c>
    </row>
    <row r="84" spans="2:119" ht="14.25" customHeight="1" x14ac:dyDescent="0.45">
      <c r="B84" s="135"/>
      <c r="C84" s="42"/>
      <c r="D84" s="110"/>
      <c r="E84" s="46" t="s">
        <v>7</v>
      </c>
      <c r="F84" s="103">
        <v>798</v>
      </c>
      <c r="G84" s="103">
        <v>3576</v>
      </c>
      <c r="H84" s="103">
        <v>10218</v>
      </c>
      <c r="I84" s="103">
        <v>20099</v>
      </c>
      <c r="J84" s="103">
        <v>27058</v>
      </c>
      <c r="K84" s="103">
        <v>12716</v>
      </c>
      <c r="L84" s="103">
        <v>3047</v>
      </c>
      <c r="M84" s="103">
        <v>1119</v>
      </c>
      <c r="N84" s="103">
        <v>302</v>
      </c>
      <c r="O84" s="103">
        <v>37</v>
      </c>
      <c r="P84" s="42"/>
      <c r="Q84" s="110"/>
      <c r="R84" s="46" t="s">
        <v>7</v>
      </c>
      <c r="S84" s="103">
        <v>359</v>
      </c>
      <c r="T84" s="103">
        <v>1688</v>
      </c>
      <c r="U84" s="103">
        <v>5261</v>
      </c>
      <c r="V84" s="103">
        <v>10140</v>
      </c>
      <c r="W84" s="103">
        <v>13668</v>
      </c>
      <c r="X84" s="103">
        <v>6391</v>
      </c>
      <c r="Y84" s="103">
        <v>1535</v>
      </c>
      <c r="Z84" s="103">
        <v>515</v>
      </c>
      <c r="AA84" s="103">
        <v>123</v>
      </c>
      <c r="AB84" s="103">
        <v>7</v>
      </c>
      <c r="AC84" s="42"/>
      <c r="AD84" s="110"/>
      <c r="AE84" s="46" t="s">
        <v>7</v>
      </c>
      <c r="AF84" s="103">
        <v>439</v>
      </c>
      <c r="AG84" s="103">
        <v>1888</v>
      </c>
      <c r="AH84" s="103">
        <v>4957</v>
      </c>
      <c r="AI84" s="103">
        <v>9959</v>
      </c>
      <c r="AJ84" s="103">
        <v>13390</v>
      </c>
      <c r="AK84" s="103">
        <v>6325</v>
      </c>
      <c r="AL84" s="103">
        <v>1512</v>
      </c>
      <c r="AM84" s="103">
        <v>604</v>
      </c>
      <c r="AN84" s="103">
        <v>179</v>
      </c>
      <c r="AO84" s="103">
        <v>30</v>
      </c>
      <c r="AP84" s="6"/>
      <c r="AQ84" s="110"/>
      <c r="AR84" s="46" t="s">
        <v>7</v>
      </c>
      <c r="AS84" s="103">
        <v>491</v>
      </c>
      <c r="AT84" s="103">
        <v>1991</v>
      </c>
      <c r="AU84" s="103">
        <v>4597</v>
      </c>
      <c r="AV84" s="103">
        <v>7117</v>
      </c>
      <c r="AW84" s="103">
        <v>7523</v>
      </c>
      <c r="AX84" s="103">
        <v>2961</v>
      </c>
      <c r="AY84" s="103">
        <v>712</v>
      </c>
      <c r="AZ84" s="103">
        <v>239</v>
      </c>
      <c r="BA84" s="103">
        <v>71</v>
      </c>
      <c r="BB84" s="103">
        <v>11</v>
      </c>
      <c r="BC84" s="42"/>
      <c r="BD84" s="110"/>
      <c r="BE84" s="46" t="s">
        <v>7</v>
      </c>
      <c r="BF84" s="103">
        <v>307</v>
      </c>
      <c r="BG84" s="103">
        <v>1585</v>
      </c>
      <c r="BH84" s="103">
        <v>5621</v>
      </c>
      <c r="BI84" s="103">
        <v>12982</v>
      </c>
      <c r="BJ84" s="103">
        <v>19535</v>
      </c>
      <c r="BK84" s="103">
        <v>9755</v>
      </c>
      <c r="BL84" s="103">
        <v>2335</v>
      </c>
      <c r="BM84" s="103">
        <v>880</v>
      </c>
      <c r="BN84" s="103">
        <v>231</v>
      </c>
      <c r="BO84" s="103">
        <v>26</v>
      </c>
      <c r="BQ84" s="110"/>
      <c r="BR84" s="46" t="s">
        <v>7</v>
      </c>
      <c r="BS84" s="103">
        <v>267</v>
      </c>
      <c r="BT84" s="103">
        <v>989</v>
      </c>
      <c r="BU84" s="103">
        <v>1986</v>
      </c>
      <c r="BV84" s="103">
        <v>2671</v>
      </c>
      <c r="BW84" s="103">
        <v>2842</v>
      </c>
      <c r="BX84" s="103">
        <v>1331</v>
      </c>
      <c r="BY84" s="103">
        <v>271</v>
      </c>
      <c r="BZ84" s="103">
        <v>111</v>
      </c>
      <c r="CA84" s="103">
        <v>38</v>
      </c>
      <c r="CB84" s="103">
        <v>2</v>
      </c>
      <c r="CC84" s="42"/>
      <c r="CD84" s="110"/>
      <c r="CE84" s="46" t="s">
        <v>7</v>
      </c>
      <c r="CF84" s="103">
        <v>531</v>
      </c>
      <c r="CG84" s="103">
        <v>2587</v>
      </c>
      <c r="CH84" s="103">
        <v>8232</v>
      </c>
      <c r="CI84" s="103">
        <v>17428</v>
      </c>
      <c r="CJ84" s="103">
        <v>24216</v>
      </c>
      <c r="CK84" s="103">
        <v>11385</v>
      </c>
      <c r="CL84" s="103">
        <v>2776</v>
      </c>
      <c r="CM84" s="103">
        <v>1008</v>
      </c>
      <c r="CN84" s="103">
        <v>264</v>
      </c>
      <c r="CO84" s="103">
        <v>35</v>
      </c>
      <c r="CQ84" s="110"/>
      <c r="CR84" s="46" t="s">
        <v>7</v>
      </c>
      <c r="CS84" s="103">
        <v>105</v>
      </c>
      <c r="CT84" s="103">
        <v>321</v>
      </c>
      <c r="CU84" s="103">
        <v>1033</v>
      </c>
      <c r="CV84" s="103">
        <v>2446</v>
      </c>
      <c r="CW84" s="103">
        <v>4000</v>
      </c>
      <c r="CX84" s="103">
        <v>2399</v>
      </c>
      <c r="CY84" s="103">
        <v>1029</v>
      </c>
      <c r="CZ84" s="103">
        <v>453</v>
      </c>
      <c r="DA84" s="103">
        <v>145</v>
      </c>
      <c r="DB84" s="103">
        <v>22</v>
      </c>
      <c r="DC84" s="42"/>
      <c r="DD84" s="110"/>
      <c r="DE84" s="46" t="s">
        <v>7</v>
      </c>
      <c r="DF84" s="103">
        <v>693</v>
      </c>
      <c r="DG84" s="103">
        <v>3255</v>
      </c>
      <c r="DH84" s="103">
        <v>9185</v>
      </c>
      <c r="DI84" s="103">
        <v>17653</v>
      </c>
      <c r="DJ84" s="103">
        <v>23058</v>
      </c>
      <c r="DK84" s="103">
        <v>10317</v>
      </c>
      <c r="DL84" s="103">
        <v>2018</v>
      </c>
      <c r="DM84" s="103">
        <v>666</v>
      </c>
      <c r="DN84" s="103">
        <v>157</v>
      </c>
      <c r="DO84" s="103">
        <v>15</v>
      </c>
    </row>
    <row r="85" spans="2:119" ht="14.25" customHeight="1" x14ac:dyDescent="0.45">
      <c r="B85" s="135"/>
      <c r="C85" s="42"/>
      <c r="D85" s="110"/>
      <c r="E85" s="46" t="s">
        <v>8</v>
      </c>
      <c r="F85" s="103">
        <v>455</v>
      </c>
      <c r="G85" s="103">
        <v>1603</v>
      </c>
      <c r="H85" s="103">
        <v>5445</v>
      </c>
      <c r="I85" s="103">
        <v>15020</v>
      </c>
      <c r="J85" s="103">
        <v>36052</v>
      </c>
      <c r="K85" s="103">
        <v>27777</v>
      </c>
      <c r="L85" s="103">
        <v>10267</v>
      </c>
      <c r="M85" s="103">
        <v>4695</v>
      </c>
      <c r="N85" s="103">
        <v>1458</v>
      </c>
      <c r="O85" s="103">
        <v>224</v>
      </c>
      <c r="P85" s="42"/>
      <c r="Q85" s="110"/>
      <c r="R85" s="46" t="s">
        <v>8</v>
      </c>
      <c r="S85" s="103">
        <v>187</v>
      </c>
      <c r="T85" s="103">
        <v>736</v>
      </c>
      <c r="U85" s="103">
        <v>2714</v>
      </c>
      <c r="V85" s="103">
        <v>7585</v>
      </c>
      <c r="W85" s="103">
        <v>18465</v>
      </c>
      <c r="X85" s="103">
        <v>14362</v>
      </c>
      <c r="Y85" s="103">
        <v>5368</v>
      </c>
      <c r="Z85" s="103">
        <v>2369</v>
      </c>
      <c r="AA85" s="103">
        <v>647</v>
      </c>
      <c r="AB85" s="103">
        <v>61</v>
      </c>
      <c r="AC85" s="42"/>
      <c r="AD85" s="110"/>
      <c r="AE85" s="46" t="s">
        <v>8</v>
      </c>
      <c r="AF85" s="103">
        <v>268</v>
      </c>
      <c r="AG85" s="103">
        <v>867</v>
      </c>
      <c r="AH85" s="103">
        <v>2731</v>
      </c>
      <c r="AI85" s="103">
        <v>7435</v>
      </c>
      <c r="AJ85" s="103">
        <v>17587</v>
      </c>
      <c r="AK85" s="103">
        <v>13415</v>
      </c>
      <c r="AL85" s="103">
        <v>4899</v>
      </c>
      <c r="AM85" s="103">
        <v>2326</v>
      </c>
      <c r="AN85" s="103">
        <v>811</v>
      </c>
      <c r="AO85" s="103">
        <v>163</v>
      </c>
      <c r="AP85" s="6"/>
      <c r="AQ85" s="110"/>
      <c r="AR85" s="46" t="s">
        <v>8</v>
      </c>
      <c r="AS85" s="103">
        <v>243</v>
      </c>
      <c r="AT85" s="103">
        <v>897</v>
      </c>
      <c r="AU85" s="103">
        <v>2580</v>
      </c>
      <c r="AV85" s="103">
        <v>5419</v>
      </c>
      <c r="AW85" s="103">
        <v>9617</v>
      </c>
      <c r="AX85" s="103">
        <v>5783</v>
      </c>
      <c r="AY85" s="103">
        <v>2018</v>
      </c>
      <c r="AZ85" s="103">
        <v>914</v>
      </c>
      <c r="BA85" s="103">
        <v>281</v>
      </c>
      <c r="BB85" s="103">
        <v>39</v>
      </c>
      <c r="BC85" s="42"/>
      <c r="BD85" s="110"/>
      <c r="BE85" s="46" t="s">
        <v>8</v>
      </c>
      <c r="BF85" s="103">
        <v>212</v>
      </c>
      <c r="BG85" s="103">
        <v>706</v>
      </c>
      <c r="BH85" s="103">
        <v>2865</v>
      </c>
      <c r="BI85" s="103">
        <v>9601</v>
      </c>
      <c r="BJ85" s="103">
        <v>26435</v>
      </c>
      <c r="BK85" s="103">
        <v>21994</v>
      </c>
      <c r="BL85" s="103">
        <v>8249</v>
      </c>
      <c r="BM85" s="103">
        <v>3781</v>
      </c>
      <c r="BN85" s="103">
        <v>1177</v>
      </c>
      <c r="BO85" s="103">
        <v>185</v>
      </c>
      <c r="BQ85" s="110"/>
      <c r="BR85" s="46" t="s">
        <v>8</v>
      </c>
      <c r="BS85" s="103">
        <v>127</v>
      </c>
      <c r="BT85" s="103">
        <v>468</v>
      </c>
      <c r="BU85" s="103">
        <v>1044</v>
      </c>
      <c r="BV85" s="103">
        <v>1698</v>
      </c>
      <c r="BW85" s="103">
        <v>2701</v>
      </c>
      <c r="BX85" s="103">
        <v>1849</v>
      </c>
      <c r="BY85" s="103">
        <v>639</v>
      </c>
      <c r="BZ85" s="103">
        <v>298</v>
      </c>
      <c r="CA85" s="103">
        <v>101</v>
      </c>
      <c r="CB85" s="103">
        <v>19</v>
      </c>
      <c r="CC85" s="42"/>
      <c r="CD85" s="110"/>
      <c r="CE85" s="46" t="s">
        <v>8</v>
      </c>
      <c r="CF85" s="103">
        <v>328</v>
      </c>
      <c r="CG85" s="103">
        <v>1135</v>
      </c>
      <c r="CH85" s="103">
        <v>4401</v>
      </c>
      <c r="CI85" s="103">
        <v>13322</v>
      </c>
      <c r="CJ85" s="103">
        <v>33351</v>
      </c>
      <c r="CK85" s="103">
        <v>25928</v>
      </c>
      <c r="CL85" s="103">
        <v>9628</v>
      </c>
      <c r="CM85" s="103">
        <v>4397</v>
      </c>
      <c r="CN85" s="103">
        <v>1357</v>
      </c>
      <c r="CO85" s="103">
        <v>205</v>
      </c>
      <c r="CQ85" s="110"/>
      <c r="CR85" s="46" t="s">
        <v>8</v>
      </c>
      <c r="CS85" s="103">
        <v>61</v>
      </c>
      <c r="CT85" s="103">
        <v>120</v>
      </c>
      <c r="CU85" s="103">
        <v>503</v>
      </c>
      <c r="CV85" s="103">
        <v>1594</v>
      </c>
      <c r="CW85" s="103">
        <v>3958</v>
      </c>
      <c r="CX85" s="103">
        <v>3616</v>
      </c>
      <c r="CY85" s="103">
        <v>2169</v>
      </c>
      <c r="CZ85" s="103">
        <v>1430</v>
      </c>
      <c r="DA85" s="103">
        <v>530</v>
      </c>
      <c r="DB85" s="103">
        <v>80</v>
      </c>
      <c r="DC85" s="42"/>
      <c r="DD85" s="110"/>
      <c r="DE85" s="46" t="s">
        <v>8</v>
      </c>
      <c r="DF85" s="103">
        <v>394</v>
      </c>
      <c r="DG85" s="103">
        <v>1483</v>
      </c>
      <c r="DH85" s="103">
        <v>4942</v>
      </c>
      <c r="DI85" s="103">
        <v>13426</v>
      </c>
      <c r="DJ85" s="103">
        <v>32094</v>
      </c>
      <c r="DK85" s="103">
        <v>24161</v>
      </c>
      <c r="DL85" s="103">
        <v>8098</v>
      </c>
      <c r="DM85" s="103">
        <v>3265</v>
      </c>
      <c r="DN85" s="103">
        <v>928</v>
      </c>
      <c r="DO85" s="103">
        <v>144</v>
      </c>
    </row>
    <row r="86" spans="2:119" ht="14.25" customHeight="1" x14ac:dyDescent="0.45">
      <c r="B86" s="135"/>
      <c r="C86" s="42"/>
      <c r="D86" s="110"/>
      <c r="E86" s="46" t="s">
        <v>9</v>
      </c>
      <c r="F86" s="103">
        <v>175</v>
      </c>
      <c r="G86" s="103">
        <v>350</v>
      </c>
      <c r="H86" s="103">
        <v>1293</v>
      </c>
      <c r="I86" s="103">
        <v>5089</v>
      </c>
      <c r="J86" s="103">
        <v>23389</v>
      </c>
      <c r="K86" s="103">
        <v>32417</v>
      </c>
      <c r="L86" s="103">
        <v>21922</v>
      </c>
      <c r="M86" s="103">
        <v>14578</v>
      </c>
      <c r="N86" s="103">
        <v>6644</v>
      </c>
      <c r="O86" s="103">
        <v>1374</v>
      </c>
      <c r="P86" s="42"/>
      <c r="Q86" s="110"/>
      <c r="R86" s="46" t="s">
        <v>9</v>
      </c>
      <c r="S86" s="103">
        <v>76</v>
      </c>
      <c r="T86" s="103">
        <v>123</v>
      </c>
      <c r="U86" s="103">
        <v>599</v>
      </c>
      <c r="V86" s="103">
        <v>2422</v>
      </c>
      <c r="W86" s="103">
        <v>11494</v>
      </c>
      <c r="X86" s="103">
        <v>16437</v>
      </c>
      <c r="Y86" s="103">
        <v>11393</v>
      </c>
      <c r="Z86" s="103">
        <v>7417</v>
      </c>
      <c r="AA86" s="103">
        <v>3015</v>
      </c>
      <c r="AB86" s="103">
        <v>492</v>
      </c>
      <c r="AC86" s="42"/>
      <c r="AD86" s="110"/>
      <c r="AE86" s="46" t="s">
        <v>9</v>
      </c>
      <c r="AF86" s="103">
        <v>99</v>
      </c>
      <c r="AG86" s="103">
        <v>227</v>
      </c>
      <c r="AH86" s="103">
        <v>694</v>
      </c>
      <c r="AI86" s="103">
        <v>2667</v>
      </c>
      <c r="AJ86" s="103">
        <v>11895</v>
      </c>
      <c r="AK86" s="103">
        <v>15980</v>
      </c>
      <c r="AL86" s="103">
        <v>10529</v>
      </c>
      <c r="AM86" s="103">
        <v>7161</v>
      </c>
      <c r="AN86" s="103">
        <v>3629</v>
      </c>
      <c r="AO86" s="103">
        <v>882</v>
      </c>
      <c r="AP86" s="6"/>
      <c r="AQ86" s="110"/>
      <c r="AR86" s="46" t="s">
        <v>9</v>
      </c>
      <c r="AS86" s="103">
        <v>91</v>
      </c>
      <c r="AT86" s="103">
        <v>207</v>
      </c>
      <c r="AU86" s="103">
        <v>657</v>
      </c>
      <c r="AV86" s="103">
        <v>1907</v>
      </c>
      <c r="AW86" s="103">
        <v>6046</v>
      </c>
      <c r="AX86" s="103">
        <v>6513</v>
      </c>
      <c r="AY86" s="103">
        <v>3577</v>
      </c>
      <c r="AZ86" s="103">
        <v>2254</v>
      </c>
      <c r="BA86" s="103">
        <v>968</v>
      </c>
      <c r="BB86" s="103">
        <v>178</v>
      </c>
      <c r="BC86" s="42"/>
      <c r="BD86" s="110"/>
      <c r="BE86" s="46" t="s">
        <v>9</v>
      </c>
      <c r="BF86" s="103">
        <v>84</v>
      </c>
      <c r="BG86" s="103">
        <v>143</v>
      </c>
      <c r="BH86" s="103">
        <v>636</v>
      </c>
      <c r="BI86" s="103">
        <v>3182</v>
      </c>
      <c r="BJ86" s="103">
        <v>17343</v>
      </c>
      <c r="BK86" s="103">
        <v>25904</v>
      </c>
      <c r="BL86" s="103">
        <v>18345</v>
      </c>
      <c r="BM86" s="103">
        <v>12324</v>
      </c>
      <c r="BN86" s="103">
        <v>5676</v>
      </c>
      <c r="BO86" s="103">
        <v>1196</v>
      </c>
      <c r="BQ86" s="110"/>
      <c r="BR86" s="46" t="s">
        <v>9</v>
      </c>
      <c r="BS86" s="103">
        <v>42</v>
      </c>
      <c r="BT86" s="103">
        <v>127</v>
      </c>
      <c r="BU86" s="103">
        <v>267</v>
      </c>
      <c r="BV86" s="103">
        <v>628</v>
      </c>
      <c r="BW86" s="103">
        <v>1649</v>
      </c>
      <c r="BX86" s="103">
        <v>1735</v>
      </c>
      <c r="BY86" s="103">
        <v>1032</v>
      </c>
      <c r="BZ86" s="103">
        <v>641</v>
      </c>
      <c r="CA86" s="103">
        <v>308</v>
      </c>
      <c r="CB86" s="103">
        <v>95</v>
      </c>
      <c r="CC86" s="42"/>
      <c r="CD86" s="110"/>
      <c r="CE86" s="46" t="s">
        <v>9</v>
      </c>
      <c r="CF86" s="103">
        <v>133</v>
      </c>
      <c r="CG86" s="103">
        <v>223</v>
      </c>
      <c r="CH86" s="103">
        <v>1026</v>
      </c>
      <c r="CI86" s="103">
        <v>4461</v>
      </c>
      <c r="CJ86" s="103">
        <v>21740</v>
      </c>
      <c r="CK86" s="103">
        <v>30682</v>
      </c>
      <c r="CL86" s="103">
        <v>20890</v>
      </c>
      <c r="CM86" s="103">
        <v>13937</v>
      </c>
      <c r="CN86" s="103">
        <v>6336</v>
      </c>
      <c r="CO86" s="103">
        <v>1279</v>
      </c>
      <c r="CQ86" s="110"/>
      <c r="CR86" s="46" t="s">
        <v>9</v>
      </c>
      <c r="CS86" s="103">
        <v>27</v>
      </c>
      <c r="CT86" s="103">
        <v>30</v>
      </c>
      <c r="CU86" s="103">
        <v>105</v>
      </c>
      <c r="CV86" s="103">
        <v>445</v>
      </c>
      <c r="CW86" s="103">
        <v>2064</v>
      </c>
      <c r="CX86" s="103">
        <v>3154</v>
      </c>
      <c r="CY86" s="103">
        <v>2966</v>
      </c>
      <c r="CZ86" s="103">
        <v>2718</v>
      </c>
      <c r="DA86" s="103">
        <v>1634</v>
      </c>
      <c r="DB86" s="103">
        <v>420</v>
      </c>
      <c r="DC86" s="42"/>
      <c r="DD86" s="110"/>
      <c r="DE86" s="46" t="s">
        <v>9</v>
      </c>
      <c r="DF86" s="103">
        <v>148</v>
      </c>
      <c r="DG86" s="103">
        <v>320</v>
      </c>
      <c r="DH86" s="103">
        <v>1188</v>
      </c>
      <c r="DI86" s="103">
        <v>4644</v>
      </c>
      <c r="DJ86" s="103">
        <v>21325</v>
      </c>
      <c r="DK86" s="103">
        <v>29263</v>
      </c>
      <c r="DL86" s="103">
        <v>18956</v>
      </c>
      <c r="DM86" s="103">
        <v>11860</v>
      </c>
      <c r="DN86" s="103">
        <v>5010</v>
      </c>
      <c r="DO86" s="103">
        <v>954</v>
      </c>
    </row>
    <row r="87" spans="2:119" ht="14.25" customHeight="1" x14ac:dyDescent="0.45">
      <c r="B87" s="135"/>
      <c r="C87" s="42"/>
      <c r="D87" s="110"/>
      <c r="E87" s="46" t="s">
        <v>10</v>
      </c>
      <c r="F87" s="103">
        <v>44</v>
      </c>
      <c r="G87" s="103">
        <v>48</v>
      </c>
      <c r="H87" s="103">
        <v>121</v>
      </c>
      <c r="I87" s="103">
        <v>767</v>
      </c>
      <c r="J87" s="103">
        <v>5803</v>
      </c>
      <c r="K87" s="103">
        <v>14870</v>
      </c>
      <c r="L87" s="103">
        <v>19513</v>
      </c>
      <c r="M87" s="103">
        <v>23033</v>
      </c>
      <c r="N87" s="103">
        <v>19754</v>
      </c>
      <c r="O87" s="103">
        <v>8988</v>
      </c>
      <c r="P87" s="42"/>
      <c r="Q87" s="110"/>
      <c r="R87" s="46" t="s">
        <v>10</v>
      </c>
      <c r="S87" s="103">
        <v>14</v>
      </c>
      <c r="T87" s="103">
        <v>22</v>
      </c>
      <c r="U87" s="103">
        <v>41</v>
      </c>
      <c r="V87" s="103">
        <v>328</v>
      </c>
      <c r="W87" s="103">
        <v>2705</v>
      </c>
      <c r="X87" s="103">
        <v>7194</v>
      </c>
      <c r="Y87" s="103">
        <v>9757</v>
      </c>
      <c r="Z87" s="103">
        <v>11588</v>
      </c>
      <c r="AA87" s="103">
        <v>9484</v>
      </c>
      <c r="AB87" s="103">
        <v>3494</v>
      </c>
      <c r="AC87" s="42"/>
      <c r="AD87" s="110"/>
      <c r="AE87" s="46" t="s">
        <v>10</v>
      </c>
      <c r="AF87" s="103">
        <v>30</v>
      </c>
      <c r="AG87" s="103">
        <v>26</v>
      </c>
      <c r="AH87" s="103">
        <v>80</v>
      </c>
      <c r="AI87" s="103">
        <v>439</v>
      </c>
      <c r="AJ87" s="103">
        <v>3098</v>
      </c>
      <c r="AK87" s="103">
        <v>7676</v>
      </c>
      <c r="AL87" s="103">
        <v>9756</v>
      </c>
      <c r="AM87" s="103">
        <v>11445</v>
      </c>
      <c r="AN87" s="103">
        <v>10270</v>
      </c>
      <c r="AO87" s="103">
        <v>5494</v>
      </c>
      <c r="AP87" s="6"/>
      <c r="AQ87" s="110"/>
      <c r="AR87" s="46" t="s">
        <v>10</v>
      </c>
      <c r="AS87" s="103">
        <v>26</v>
      </c>
      <c r="AT87" s="103">
        <v>29</v>
      </c>
      <c r="AU87" s="103">
        <v>67</v>
      </c>
      <c r="AV87" s="103">
        <v>310</v>
      </c>
      <c r="AW87" s="103">
        <v>1649</v>
      </c>
      <c r="AX87" s="103">
        <v>2752</v>
      </c>
      <c r="AY87" s="103">
        <v>2957</v>
      </c>
      <c r="AZ87" s="103">
        <v>2868</v>
      </c>
      <c r="BA87" s="103">
        <v>2086</v>
      </c>
      <c r="BB87" s="103">
        <v>839</v>
      </c>
      <c r="BC87" s="42"/>
      <c r="BD87" s="110"/>
      <c r="BE87" s="46" t="s">
        <v>10</v>
      </c>
      <c r="BF87" s="103">
        <v>18</v>
      </c>
      <c r="BG87" s="103">
        <v>19</v>
      </c>
      <c r="BH87" s="103">
        <v>54</v>
      </c>
      <c r="BI87" s="103">
        <v>457</v>
      </c>
      <c r="BJ87" s="103">
        <v>4154</v>
      </c>
      <c r="BK87" s="103">
        <v>12118</v>
      </c>
      <c r="BL87" s="103">
        <v>16556</v>
      </c>
      <c r="BM87" s="103">
        <v>20165</v>
      </c>
      <c r="BN87" s="103">
        <v>17668</v>
      </c>
      <c r="BO87" s="103">
        <v>8149</v>
      </c>
      <c r="BQ87" s="110"/>
      <c r="BR87" s="46" t="s">
        <v>10</v>
      </c>
      <c r="BS87" s="103">
        <v>5</v>
      </c>
      <c r="BT87" s="103">
        <v>19</v>
      </c>
      <c r="BU87" s="103">
        <v>24</v>
      </c>
      <c r="BV87" s="103">
        <v>117</v>
      </c>
      <c r="BW87" s="103">
        <v>441</v>
      </c>
      <c r="BX87" s="103">
        <v>773</v>
      </c>
      <c r="BY87" s="103">
        <v>754</v>
      </c>
      <c r="BZ87" s="103">
        <v>800</v>
      </c>
      <c r="CA87" s="103">
        <v>655</v>
      </c>
      <c r="CB87" s="103">
        <v>345</v>
      </c>
      <c r="CC87" s="42"/>
      <c r="CD87" s="110"/>
      <c r="CE87" s="46" t="s">
        <v>10</v>
      </c>
      <c r="CF87" s="103">
        <v>39</v>
      </c>
      <c r="CG87" s="103">
        <v>29</v>
      </c>
      <c r="CH87" s="103">
        <v>97</v>
      </c>
      <c r="CI87" s="103">
        <v>650</v>
      </c>
      <c r="CJ87" s="103">
        <v>5362</v>
      </c>
      <c r="CK87" s="103">
        <v>14097</v>
      </c>
      <c r="CL87" s="103">
        <v>18759</v>
      </c>
      <c r="CM87" s="103">
        <v>22233</v>
      </c>
      <c r="CN87" s="103">
        <v>19099</v>
      </c>
      <c r="CO87" s="103">
        <v>8643</v>
      </c>
      <c r="CQ87" s="110"/>
      <c r="CR87" s="46" t="s">
        <v>10</v>
      </c>
      <c r="CS87" s="103">
        <v>5</v>
      </c>
      <c r="CT87" s="103">
        <v>2</v>
      </c>
      <c r="CU87" s="103">
        <v>7</v>
      </c>
      <c r="CV87" s="103">
        <v>61</v>
      </c>
      <c r="CW87" s="103">
        <v>447</v>
      </c>
      <c r="CX87" s="103">
        <v>1147</v>
      </c>
      <c r="CY87" s="103">
        <v>1957</v>
      </c>
      <c r="CZ87" s="103">
        <v>2931</v>
      </c>
      <c r="DA87" s="103">
        <v>3178</v>
      </c>
      <c r="DB87" s="103">
        <v>1796</v>
      </c>
      <c r="DC87" s="42"/>
      <c r="DD87" s="110"/>
      <c r="DE87" s="46" t="s">
        <v>10</v>
      </c>
      <c r="DF87" s="103">
        <v>39</v>
      </c>
      <c r="DG87" s="103">
        <v>46</v>
      </c>
      <c r="DH87" s="103">
        <v>114</v>
      </c>
      <c r="DI87" s="103">
        <v>706</v>
      </c>
      <c r="DJ87" s="103">
        <v>5356</v>
      </c>
      <c r="DK87" s="103">
        <v>13723</v>
      </c>
      <c r="DL87" s="103">
        <v>17556</v>
      </c>
      <c r="DM87" s="103">
        <v>20102</v>
      </c>
      <c r="DN87" s="103">
        <v>16576</v>
      </c>
      <c r="DO87" s="103">
        <v>7192</v>
      </c>
    </row>
    <row r="88" spans="2:119" ht="14.25" customHeight="1" x14ac:dyDescent="0.45">
      <c r="B88" s="135"/>
      <c r="C88" s="42"/>
      <c r="D88" s="111"/>
      <c r="E88" s="46" t="s">
        <v>11</v>
      </c>
      <c r="F88" s="103">
        <v>3</v>
      </c>
      <c r="G88" s="103">
        <v>0</v>
      </c>
      <c r="H88" s="103">
        <v>5</v>
      </c>
      <c r="I88" s="103">
        <v>13</v>
      </c>
      <c r="J88" s="103">
        <v>185</v>
      </c>
      <c r="K88" s="103">
        <v>829</v>
      </c>
      <c r="L88" s="103">
        <v>2081</v>
      </c>
      <c r="M88" s="103">
        <v>4205</v>
      </c>
      <c r="N88" s="103">
        <v>7239</v>
      </c>
      <c r="O88" s="103">
        <v>8013</v>
      </c>
      <c r="P88" s="42"/>
      <c r="Q88" s="111"/>
      <c r="R88" s="46" t="s">
        <v>11</v>
      </c>
      <c r="S88" s="103">
        <v>0</v>
      </c>
      <c r="T88" s="103">
        <v>0</v>
      </c>
      <c r="U88" s="103">
        <v>2</v>
      </c>
      <c r="V88" s="103">
        <v>3</v>
      </c>
      <c r="W88" s="103">
        <v>82</v>
      </c>
      <c r="X88" s="103">
        <v>395</v>
      </c>
      <c r="Y88" s="103">
        <v>1061</v>
      </c>
      <c r="Z88" s="103">
        <v>2204</v>
      </c>
      <c r="AA88" s="103">
        <v>3709</v>
      </c>
      <c r="AB88" s="103">
        <v>3690</v>
      </c>
      <c r="AC88" s="42"/>
      <c r="AD88" s="111"/>
      <c r="AE88" s="46" t="s">
        <v>11</v>
      </c>
      <c r="AF88" s="103">
        <v>3</v>
      </c>
      <c r="AG88" s="103">
        <v>0</v>
      </c>
      <c r="AH88" s="103">
        <v>3</v>
      </c>
      <c r="AI88" s="103">
        <v>10</v>
      </c>
      <c r="AJ88" s="103">
        <v>103</v>
      </c>
      <c r="AK88" s="103">
        <v>434</v>
      </c>
      <c r="AL88" s="103">
        <v>1020</v>
      </c>
      <c r="AM88" s="103">
        <v>2001</v>
      </c>
      <c r="AN88" s="103">
        <v>3530</v>
      </c>
      <c r="AO88" s="103">
        <v>4323</v>
      </c>
      <c r="AP88" s="6"/>
      <c r="AQ88" s="111"/>
      <c r="AR88" s="46" t="s">
        <v>11</v>
      </c>
      <c r="AS88" s="103">
        <v>2</v>
      </c>
      <c r="AT88" s="103">
        <v>0</v>
      </c>
      <c r="AU88" s="103">
        <v>3</v>
      </c>
      <c r="AV88" s="103">
        <v>6</v>
      </c>
      <c r="AW88" s="103">
        <v>56</v>
      </c>
      <c r="AX88" s="103">
        <v>166</v>
      </c>
      <c r="AY88" s="103">
        <v>273</v>
      </c>
      <c r="AZ88" s="103">
        <v>413</v>
      </c>
      <c r="BA88" s="103">
        <v>566</v>
      </c>
      <c r="BB88" s="103">
        <v>452</v>
      </c>
      <c r="BC88" s="42"/>
      <c r="BD88" s="111"/>
      <c r="BE88" s="46" t="s">
        <v>11</v>
      </c>
      <c r="BF88" s="103">
        <v>1</v>
      </c>
      <c r="BG88" s="103">
        <v>0</v>
      </c>
      <c r="BH88" s="103">
        <v>2</v>
      </c>
      <c r="BI88" s="103">
        <v>7</v>
      </c>
      <c r="BJ88" s="103">
        <v>129</v>
      </c>
      <c r="BK88" s="103">
        <v>663</v>
      </c>
      <c r="BL88" s="103">
        <v>1808</v>
      </c>
      <c r="BM88" s="103">
        <v>3792</v>
      </c>
      <c r="BN88" s="103">
        <v>6673</v>
      </c>
      <c r="BO88" s="103">
        <v>7561</v>
      </c>
      <c r="BQ88" s="111"/>
      <c r="BR88" s="46" t="s">
        <v>11</v>
      </c>
      <c r="BS88" s="103">
        <v>1</v>
      </c>
      <c r="BT88" s="103">
        <v>0</v>
      </c>
      <c r="BU88" s="103">
        <v>0</v>
      </c>
      <c r="BV88" s="103">
        <v>0</v>
      </c>
      <c r="BW88" s="103">
        <v>16</v>
      </c>
      <c r="BX88" s="103">
        <v>59</v>
      </c>
      <c r="BY88" s="103">
        <v>91</v>
      </c>
      <c r="BZ88" s="103">
        <v>148</v>
      </c>
      <c r="CA88" s="103">
        <v>195</v>
      </c>
      <c r="CB88" s="103">
        <v>216</v>
      </c>
      <c r="CC88" s="42"/>
      <c r="CD88" s="111"/>
      <c r="CE88" s="46" t="s">
        <v>11</v>
      </c>
      <c r="CF88" s="103">
        <v>2</v>
      </c>
      <c r="CG88" s="103">
        <v>0</v>
      </c>
      <c r="CH88" s="103">
        <v>5</v>
      </c>
      <c r="CI88" s="103">
        <v>13</v>
      </c>
      <c r="CJ88" s="103">
        <v>169</v>
      </c>
      <c r="CK88" s="103">
        <v>770</v>
      </c>
      <c r="CL88" s="103">
        <v>1990</v>
      </c>
      <c r="CM88" s="103">
        <v>4057</v>
      </c>
      <c r="CN88" s="103">
        <v>7044</v>
      </c>
      <c r="CO88" s="103">
        <v>7797</v>
      </c>
      <c r="CQ88" s="111"/>
      <c r="CR88" s="46" t="s">
        <v>11</v>
      </c>
      <c r="CS88" s="103">
        <v>0</v>
      </c>
      <c r="CT88" s="103">
        <v>0</v>
      </c>
      <c r="CU88" s="103">
        <v>0</v>
      </c>
      <c r="CV88" s="103">
        <v>1</v>
      </c>
      <c r="CW88" s="103">
        <v>13</v>
      </c>
      <c r="CX88" s="103">
        <v>51</v>
      </c>
      <c r="CY88" s="103">
        <v>148</v>
      </c>
      <c r="CZ88" s="103">
        <v>367</v>
      </c>
      <c r="DA88" s="103">
        <v>828</v>
      </c>
      <c r="DB88" s="103">
        <v>1123</v>
      </c>
      <c r="DC88" s="42"/>
      <c r="DD88" s="111"/>
      <c r="DE88" s="46" t="s">
        <v>11</v>
      </c>
      <c r="DF88" s="103">
        <v>3</v>
      </c>
      <c r="DG88" s="103">
        <v>0</v>
      </c>
      <c r="DH88" s="103">
        <v>5</v>
      </c>
      <c r="DI88" s="103">
        <v>12</v>
      </c>
      <c r="DJ88" s="103">
        <v>172</v>
      </c>
      <c r="DK88" s="103">
        <v>778</v>
      </c>
      <c r="DL88" s="103">
        <v>1933</v>
      </c>
      <c r="DM88" s="103">
        <v>3838</v>
      </c>
      <c r="DN88" s="103">
        <v>6411</v>
      </c>
      <c r="DO88" s="103">
        <v>6890</v>
      </c>
    </row>
    <row r="89" spans="2:119" ht="14.25" customHeight="1" x14ac:dyDescent="0.45">
      <c r="B89" s="99"/>
      <c r="C89" s="42"/>
      <c r="D89" s="42"/>
      <c r="E89" s="42"/>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6"/>
      <c r="AQ89" s="42"/>
      <c r="AR89" s="42"/>
      <c r="AS89" s="42"/>
      <c r="AT89" s="42"/>
      <c r="AU89" s="42"/>
      <c r="AV89" s="42"/>
      <c r="AW89" s="42"/>
      <c r="AX89" s="42"/>
      <c r="AY89" s="42"/>
      <c r="AZ89" s="42"/>
      <c r="BA89" s="42"/>
      <c r="BB89" s="42"/>
      <c r="BC89" s="42"/>
      <c r="BD89" s="42"/>
      <c r="BE89" s="42"/>
      <c r="BF89" s="42"/>
      <c r="BG89" s="42"/>
      <c r="BH89" s="42"/>
      <c r="BI89" s="42"/>
      <c r="BJ89" s="42"/>
      <c r="BK89" s="42"/>
      <c r="BL89" s="42"/>
      <c r="BM89" s="42"/>
      <c r="BN89" s="42"/>
      <c r="BO89" s="42"/>
      <c r="BQ89" s="42"/>
      <c r="BR89" s="42"/>
      <c r="BS89" s="42"/>
      <c r="BT89" s="42"/>
      <c r="BU89" s="42"/>
      <c r="BV89" s="42"/>
      <c r="BW89" s="42"/>
      <c r="BX89" s="42"/>
      <c r="BY89" s="42"/>
      <c r="BZ89" s="42"/>
      <c r="CA89" s="42"/>
      <c r="CB89" s="42"/>
      <c r="CC89" s="42"/>
      <c r="CD89" s="42"/>
      <c r="CE89" s="42"/>
      <c r="CF89" s="42"/>
      <c r="CG89" s="42"/>
      <c r="CH89" s="42"/>
      <c r="CI89" s="42"/>
      <c r="CJ89" s="42"/>
      <c r="CK89" s="42"/>
      <c r="CL89" s="42"/>
      <c r="CM89" s="42"/>
      <c r="CN89" s="42"/>
      <c r="CO89" s="42"/>
      <c r="CQ89" s="42"/>
      <c r="CR89" s="42"/>
      <c r="CS89" s="42"/>
      <c r="CT89" s="42"/>
      <c r="CU89" s="42"/>
      <c r="CV89" s="42"/>
      <c r="CW89" s="42"/>
      <c r="CX89" s="42"/>
      <c r="CY89" s="42"/>
      <c r="CZ89" s="42"/>
      <c r="DA89" s="42"/>
      <c r="DB89" s="42"/>
      <c r="DC89" s="42"/>
      <c r="DD89" s="42"/>
      <c r="DE89" s="42"/>
      <c r="DF89" s="42"/>
      <c r="DG89" s="42"/>
      <c r="DH89" s="42"/>
      <c r="DI89" s="42"/>
      <c r="DJ89" s="42"/>
      <c r="DK89" s="42"/>
      <c r="DL89" s="42"/>
      <c r="DM89" s="42"/>
      <c r="DN89" s="42"/>
      <c r="DO89" s="42"/>
    </row>
    <row r="90" spans="2:119" ht="14.25" customHeight="1" x14ac:dyDescent="0.55000000000000004">
      <c r="B90" s="99"/>
      <c r="C90" s="42"/>
      <c r="D90" s="112" t="s">
        <v>16</v>
      </c>
      <c r="E90" s="112"/>
      <c r="F90" s="45"/>
      <c r="G90" s="45"/>
      <c r="H90" s="45"/>
      <c r="I90" s="45"/>
      <c r="J90" s="45"/>
      <c r="K90" s="45"/>
      <c r="L90" s="45"/>
      <c r="M90" s="45"/>
      <c r="N90" s="45"/>
      <c r="O90" s="45"/>
      <c r="P90" s="42"/>
      <c r="Q90" s="112" t="s">
        <v>16</v>
      </c>
      <c r="R90" s="112"/>
      <c r="S90" s="45"/>
      <c r="T90" s="45"/>
      <c r="U90" s="45"/>
      <c r="V90" s="45"/>
      <c r="W90" s="45"/>
      <c r="X90" s="45"/>
      <c r="Y90" s="45"/>
      <c r="Z90" s="45"/>
      <c r="AA90" s="45"/>
      <c r="AB90" s="45"/>
      <c r="AC90" s="42"/>
      <c r="AD90" s="112" t="s">
        <v>16</v>
      </c>
      <c r="AE90" s="112"/>
      <c r="AF90" s="45"/>
      <c r="AG90" s="45"/>
      <c r="AH90" s="45"/>
      <c r="AI90" s="45"/>
      <c r="AJ90" s="45"/>
      <c r="AK90" s="45"/>
      <c r="AL90" s="45"/>
      <c r="AM90" s="45"/>
      <c r="AN90" s="45"/>
      <c r="AO90" s="45"/>
      <c r="AP90" s="6"/>
      <c r="AQ90" s="112" t="s">
        <v>16</v>
      </c>
      <c r="AR90" s="112"/>
      <c r="AS90" s="45"/>
      <c r="AT90" s="45"/>
      <c r="AU90" s="45"/>
      <c r="AV90" s="45"/>
      <c r="AW90" s="45"/>
      <c r="AX90" s="45"/>
      <c r="AY90" s="45"/>
      <c r="AZ90" s="45"/>
      <c r="BA90" s="45"/>
      <c r="BB90" s="45"/>
      <c r="BC90" s="42"/>
      <c r="BD90" s="112" t="s">
        <v>16</v>
      </c>
      <c r="BE90" s="112"/>
      <c r="BF90" s="45"/>
      <c r="BG90" s="45"/>
      <c r="BH90" s="45"/>
      <c r="BI90" s="45"/>
      <c r="BJ90" s="45"/>
      <c r="BK90" s="45"/>
      <c r="BL90" s="45"/>
      <c r="BM90" s="45"/>
      <c r="BN90" s="45"/>
      <c r="BO90" s="45"/>
      <c r="BQ90" s="112" t="s">
        <v>16</v>
      </c>
      <c r="BR90" s="112"/>
      <c r="BS90" s="45"/>
      <c r="BT90" s="45"/>
      <c r="BU90" s="45"/>
      <c r="BV90" s="45"/>
      <c r="BW90" s="45"/>
      <c r="BX90" s="45"/>
      <c r="BY90" s="45"/>
      <c r="BZ90" s="45"/>
      <c r="CA90" s="45"/>
      <c r="CB90" s="45"/>
      <c r="CC90" s="42"/>
      <c r="CD90" s="112" t="s">
        <v>16</v>
      </c>
      <c r="CE90" s="112"/>
      <c r="CF90" s="45"/>
      <c r="CG90" s="45"/>
      <c r="CH90" s="45"/>
      <c r="CI90" s="45"/>
      <c r="CJ90" s="45"/>
      <c r="CK90" s="45"/>
      <c r="CL90" s="45"/>
      <c r="CM90" s="45"/>
      <c r="CN90" s="45"/>
      <c r="CO90" s="45"/>
      <c r="CQ90" s="112" t="s">
        <v>16</v>
      </c>
      <c r="CR90" s="112"/>
      <c r="CS90" s="45"/>
      <c r="CT90" s="45"/>
      <c r="CU90" s="45"/>
      <c r="CV90" s="45"/>
      <c r="CW90" s="45"/>
      <c r="CX90" s="45"/>
      <c r="CY90" s="45"/>
      <c r="CZ90" s="45"/>
      <c r="DA90" s="45"/>
      <c r="DB90" s="45"/>
      <c r="DC90" s="42"/>
      <c r="DD90" s="112" t="s">
        <v>16</v>
      </c>
      <c r="DE90" s="112"/>
      <c r="DF90" s="45"/>
      <c r="DG90" s="45"/>
      <c r="DH90" s="45"/>
      <c r="DI90" s="45"/>
      <c r="DJ90" s="45"/>
      <c r="DK90" s="45"/>
      <c r="DL90" s="45"/>
      <c r="DM90" s="45"/>
      <c r="DN90" s="45"/>
      <c r="DO90" s="45"/>
    </row>
    <row r="91" spans="2:119" ht="28.9" customHeight="1" x14ac:dyDescent="0.45">
      <c r="B91" s="99"/>
      <c r="C91" s="42"/>
      <c r="D91" s="112"/>
      <c r="E91" s="112"/>
      <c r="F91" s="108" t="s">
        <v>12</v>
      </c>
      <c r="G91" s="108"/>
      <c r="H91" s="108"/>
      <c r="I91" s="108"/>
      <c r="J91" s="108"/>
      <c r="K91" s="108"/>
      <c r="L91" s="108"/>
      <c r="M91" s="108"/>
      <c r="N91" s="108"/>
      <c r="O91" s="108"/>
      <c r="P91" s="42"/>
      <c r="Q91" s="112"/>
      <c r="R91" s="112"/>
      <c r="S91" s="108" t="s">
        <v>12</v>
      </c>
      <c r="T91" s="108"/>
      <c r="U91" s="108"/>
      <c r="V91" s="108"/>
      <c r="W91" s="108"/>
      <c r="X91" s="108"/>
      <c r="Y91" s="108"/>
      <c r="Z91" s="108"/>
      <c r="AA91" s="108"/>
      <c r="AB91" s="108"/>
      <c r="AC91" s="42"/>
      <c r="AD91" s="112"/>
      <c r="AE91" s="112"/>
      <c r="AF91" s="131" t="s">
        <v>12</v>
      </c>
      <c r="AG91" s="132"/>
      <c r="AH91" s="132"/>
      <c r="AI91" s="132"/>
      <c r="AJ91" s="132"/>
      <c r="AK91" s="132"/>
      <c r="AL91" s="132"/>
      <c r="AM91" s="132"/>
      <c r="AN91" s="132"/>
      <c r="AO91" s="133"/>
      <c r="AP91" s="6"/>
      <c r="AQ91" s="112"/>
      <c r="AR91" s="112"/>
      <c r="AS91" s="108" t="s">
        <v>12</v>
      </c>
      <c r="AT91" s="108"/>
      <c r="AU91" s="108"/>
      <c r="AV91" s="108"/>
      <c r="AW91" s="108"/>
      <c r="AX91" s="108"/>
      <c r="AY91" s="108"/>
      <c r="AZ91" s="108"/>
      <c r="BA91" s="108"/>
      <c r="BB91" s="108"/>
      <c r="BC91" s="42"/>
      <c r="BD91" s="112"/>
      <c r="BE91" s="112"/>
      <c r="BF91" s="108" t="s">
        <v>12</v>
      </c>
      <c r="BG91" s="108"/>
      <c r="BH91" s="108"/>
      <c r="BI91" s="108"/>
      <c r="BJ91" s="108"/>
      <c r="BK91" s="108"/>
      <c r="BL91" s="108"/>
      <c r="BM91" s="108"/>
      <c r="BN91" s="108"/>
      <c r="BO91" s="108"/>
      <c r="BQ91" s="112"/>
      <c r="BR91" s="112"/>
      <c r="BS91" s="108" t="s">
        <v>12</v>
      </c>
      <c r="BT91" s="108"/>
      <c r="BU91" s="108"/>
      <c r="BV91" s="108"/>
      <c r="BW91" s="108"/>
      <c r="BX91" s="108"/>
      <c r="BY91" s="108"/>
      <c r="BZ91" s="108"/>
      <c r="CA91" s="108"/>
      <c r="CB91" s="108"/>
      <c r="CC91" s="42"/>
      <c r="CD91" s="112"/>
      <c r="CE91" s="112"/>
      <c r="CF91" s="108" t="s">
        <v>12</v>
      </c>
      <c r="CG91" s="108"/>
      <c r="CH91" s="108"/>
      <c r="CI91" s="108"/>
      <c r="CJ91" s="108"/>
      <c r="CK91" s="108"/>
      <c r="CL91" s="108"/>
      <c r="CM91" s="108"/>
      <c r="CN91" s="108"/>
      <c r="CO91" s="108"/>
      <c r="CQ91" s="112"/>
      <c r="CR91" s="112"/>
      <c r="CS91" s="108" t="s">
        <v>12</v>
      </c>
      <c r="CT91" s="108"/>
      <c r="CU91" s="108"/>
      <c r="CV91" s="108"/>
      <c r="CW91" s="108"/>
      <c r="CX91" s="108"/>
      <c r="CY91" s="108"/>
      <c r="CZ91" s="108"/>
      <c r="DA91" s="108"/>
      <c r="DB91" s="108"/>
      <c r="DC91" s="42"/>
      <c r="DD91" s="112"/>
      <c r="DE91" s="112"/>
      <c r="DF91" s="108" t="s">
        <v>12</v>
      </c>
      <c r="DG91" s="108"/>
      <c r="DH91" s="108"/>
      <c r="DI91" s="108"/>
      <c r="DJ91" s="108"/>
      <c r="DK91" s="108"/>
      <c r="DL91" s="108"/>
      <c r="DM91" s="108"/>
      <c r="DN91" s="108"/>
      <c r="DO91" s="108"/>
    </row>
    <row r="92" spans="2:119" ht="14.25" customHeight="1" x14ac:dyDescent="0.45">
      <c r="B92" s="99"/>
      <c r="C92" s="42"/>
      <c r="D92" s="113"/>
      <c r="E92" s="113"/>
      <c r="F92" s="9" t="s">
        <v>0</v>
      </c>
      <c r="G92" s="9">
        <v>1</v>
      </c>
      <c r="H92" s="9">
        <v>2</v>
      </c>
      <c r="I92" s="9">
        <v>3</v>
      </c>
      <c r="J92" s="9">
        <v>4</v>
      </c>
      <c r="K92" s="9">
        <v>5</v>
      </c>
      <c r="L92" s="9">
        <v>6</v>
      </c>
      <c r="M92" s="9">
        <v>7</v>
      </c>
      <c r="N92" s="9">
        <v>8</v>
      </c>
      <c r="O92" s="9">
        <v>9</v>
      </c>
      <c r="P92" s="42"/>
      <c r="Q92" s="113"/>
      <c r="R92" s="113"/>
      <c r="S92" s="9" t="s">
        <v>0</v>
      </c>
      <c r="T92" s="9">
        <v>1</v>
      </c>
      <c r="U92" s="9">
        <v>2</v>
      </c>
      <c r="V92" s="9">
        <v>3</v>
      </c>
      <c r="W92" s="9">
        <v>4</v>
      </c>
      <c r="X92" s="9">
        <v>5</v>
      </c>
      <c r="Y92" s="9">
        <v>6</v>
      </c>
      <c r="Z92" s="9">
        <v>7</v>
      </c>
      <c r="AA92" s="9">
        <v>8</v>
      </c>
      <c r="AB92" s="9">
        <v>9</v>
      </c>
      <c r="AC92" s="42"/>
      <c r="AD92" s="113"/>
      <c r="AE92" s="113"/>
      <c r="AF92" s="9" t="s">
        <v>0</v>
      </c>
      <c r="AG92" s="9">
        <v>1</v>
      </c>
      <c r="AH92" s="9">
        <v>2</v>
      </c>
      <c r="AI92" s="9">
        <v>3</v>
      </c>
      <c r="AJ92" s="9">
        <v>4</v>
      </c>
      <c r="AK92" s="9">
        <v>5</v>
      </c>
      <c r="AL92" s="9">
        <v>6</v>
      </c>
      <c r="AM92" s="9">
        <v>7</v>
      </c>
      <c r="AN92" s="9">
        <v>8</v>
      </c>
      <c r="AO92" s="9">
        <v>9</v>
      </c>
      <c r="AP92" s="6"/>
      <c r="AQ92" s="113"/>
      <c r="AR92" s="113"/>
      <c r="AS92" s="9" t="s">
        <v>0</v>
      </c>
      <c r="AT92" s="9">
        <v>1</v>
      </c>
      <c r="AU92" s="9">
        <v>2</v>
      </c>
      <c r="AV92" s="9">
        <v>3</v>
      </c>
      <c r="AW92" s="9">
        <v>4</v>
      </c>
      <c r="AX92" s="9">
        <v>5</v>
      </c>
      <c r="AY92" s="9">
        <v>6</v>
      </c>
      <c r="AZ92" s="9">
        <v>7</v>
      </c>
      <c r="BA92" s="9">
        <v>8</v>
      </c>
      <c r="BB92" s="9">
        <v>9</v>
      </c>
      <c r="BC92" s="42"/>
      <c r="BD92" s="113"/>
      <c r="BE92" s="113"/>
      <c r="BF92" s="9" t="s">
        <v>0</v>
      </c>
      <c r="BG92" s="9">
        <v>1</v>
      </c>
      <c r="BH92" s="9">
        <v>2</v>
      </c>
      <c r="BI92" s="9">
        <v>3</v>
      </c>
      <c r="BJ92" s="9">
        <v>4</v>
      </c>
      <c r="BK92" s="9">
        <v>5</v>
      </c>
      <c r="BL92" s="9">
        <v>6</v>
      </c>
      <c r="BM92" s="9">
        <v>7</v>
      </c>
      <c r="BN92" s="9">
        <v>8</v>
      </c>
      <c r="BO92" s="9">
        <v>9</v>
      </c>
      <c r="BQ92" s="113"/>
      <c r="BR92" s="113"/>
      <c r="BS92" s="9" t="s">
        <v>0</v>
      </c>
      <c r="BT92" s="9">
        <v>1</v>
      </c>
      <c r="BU92" s="9">
        <v>2</v>
      </c>
      <c r="BV92" s="9">
        <v>3</v>
      </c>
      <c r="BW92" s="9">
        <v>4</v>
      </c>
      <c r="BX92" s="9">
        <v>5</v>
      </c>
      <c r="BY92" s="9">
        <v>6</v>
      </c>
      <c r="BZ92" s="9">
        <v>7</v>
      </c>
      <c r="CA92" s="9">
        <v>8</v>
      </c>
      <c r="CB92" s="9">
        <v>9</v>
      </c>
      <c r="CC92" s="42"/>
      <c r="CD92" s="113"/>
      <c r="CE92" s="113"/>
      <c r="CF92" s="9" t="s">
        <v>0</v>
      </c>
      <c r="CG92" s="9">
        <v>1</v>
      </c>
      <c r="CH92" s="9">
        <v>2</v>
      </c>
      <c r="CI92" s="9">
        <v>3</v>
      </c>
      <c r="CJ92" s="9">
        <v>4</v>
      </c>
      <c r="CK92" s="9">
        <v>5</v>
      </c>
      <c r="CL92" s="9">
        <v>6</v>
      </c>
      <c r="CM92" s="9">
        <v>7</v>
      </c>
      <c r="CN92" s="9">
        <v>8</v>
      </c>
      <c r="CO92" s="9">
        <v>9</v>
      </c>
      <c r="CQ92" s="113"/>
      <c r="CR92" s="113"/>
      <c r="CS92" s="9" t="s">
        <v>0</v>
      </c>
      <c r="CT92" s="9">
        <v>1</v>
      </c>
      <c r="CU92" s="9">
        <v>2</v>
      </c>
      <c r="CV92" s="9">
        <v>3</v>
      </c>
      <c r="CW92" s="9">
        <v>4</v>
      </c>
      <c r="CX92" s="9">
        <v>5</v>
      </c>
      <c r="CY92" s="9">
        <v>6</v>
      </c>
      <c r="CZ92" s="9">
        <v>7</v>
      </c>
      <c r="DA92" s="9">
        <v>8</v>
      </c>
      <c r="DB92" s="9">
        <v>9</v>
      </c>
      <c r="DC92" s="42"/>
      <c r="DD92" s="113"/>
      <c r="DE92" s="113"/>
      <c r="DF92" s="9" t="s">
        <v>0</v>
      </c>
      <c r="DG92" s="9">
        <v>1</v>
      </c>
      <c r="DH92" s="9">
        <v>2</v>
      </c>
      <c r="DI92" s="9">
        <v>3</v>
      </c>
      <c r="DJ92" s="9">
        <v>4</v>
      </c>
      <c r="DK92" s="9">
        <v>5</v>
      </c>
      <c r="DL92" s="9">
        <v>6</v>
      </c>
      <c r="DM92" s="9">
        <v>7</v>
      </c>
      <c r="DN92" s="9">
        <v>8</v>
      </c>
      <c r="DO92" s="9">
        <v>9</v>
      </c>
    </row>
    <row r="93" spans="2:119" ht="14.25" customHeight="1" x14ac:dyDescent="0.45">
      <c r="B93" s="99"/>
      <c r="C93" s="42"/>
      <c r="D93" s="109" t="s">
        <v>13</v>
      </c>
      <c r="E93" s="47" t="s">
        <v>1</v>
      </c>
      <c r="F93" s="103">
        <v>17.105263157894736</v>
      </c>
      <c r="G93" s="103">
        <v>13.157894736842104</v>
      </c>
      <c r="H93" s="103">
        <v>30.263157894736842</v>
      </c>
      <c r="I93" s="103">
        <v>14.473684210526317</v>
      </c>
      <c r="J93" s="103">
        <v>9.2105263157894726</v>
      </c>
      <c r="K93" s="103">
        <v>5.2631578947368416</v>
      </c>
      <c r="L93" s="103">
        <v>3.9473684210526314</v>
      </c>
      <c r="M93" s="103">
        <v>2.6315789473684208</v>
      </c>
      <c r="N93" s="103">
        <v>3.9473684210526314</v>
      </c>
      <c r="O93" s="17">
        <v>0</v>
      </c>
      <c r="P93" s="42"/>
      <c r="Q93" s="109" t="s">
        <v>13</v>
      </c>
      <c r="R93" s="46" t="s">
        <v>1</v>
      </c>
      <c r="S93" s="103">
        <v>10.344827586206897</v>
      </c>
      <c r="T93" s="103">
        <v>3.4482758620689653</v>
      </c>
      <c r="U93" s="103">
        <v>31.03448275862069</v>
      </c>
      <c r="V93" s="103">
        <v>20.689655172413794</v>
      </c>
      <c r="W93" s="103">
        <v>13.793103448275861</v>
      </c>
      <c r="X93" s="103">
        <v>6.8965517241379306</v>
      </c>
      <c r="Y93" s="103">
        <v>6.8965517241379306</v>
      </c>
      <c r="Z93" s="103">
        <v>0</v>
      </c>
      <c r="AA93" s="103">
        <v>6.8965517241379306</v>
      </c>
      <c r="AB93" s="17">
        <v>0</v>
      </c>
      <c r="AC93" s="42"/>
      <c r="AD93" s="109" t="s">
        <v>13</v>
      </c>
      <c r="AE93" s="46" t="s">
        <v>1</v>
      </c>
      <c r="AF93" s="103">
        <v>21.276595744680851</v>
      </c>
      <c r="AG93" s="103">
        <v>19.148936170212767</v>
      </c>
      <c r="AH93" s="103">
        <v>29.787234042553191</v>
      </c>
      <c r="AI93" s="103">
        <v>10.638297872340425</v>
      </c>
      <c r="AJ93" s="103">
        <v>6.3829787234042552</v>
      </c>
      <c r="AK93" s="103">
        <v>4.2553191489361701</v>
      </c>
      <c r="AL93" s="103">
        <v>2.1276595744680851</v>
      </c>
      <c r="AM93" s="103">
        <v>4.2553191489361701</v>
      </c>
      <c r="AN93" s="103">
        <v>2.1276595744680851</v>
      </c>
      <c r="AO93" s="17">
        <v>0</v>
      </c>
      <c r="AP93" s="6"/>
      <c r="AQ93" s="109" t="s">
        <v>13</v>
      </c>
      <c r="AR93" s="46" t="s">
        <v>1</v>
      </c>
      <c r="AS93" s="103">
        <v>22.5</v>
      </c>
      <c r="AT93" s="103">
        <v>12.5</v>
      </c>
      <c r="AU93" s="103">
        <v>32.5</v>
      </c>
      <c r="AV93" s="103">
        <v>17.5</v>
      </c>
      <c r="AW93" s="103">
        <v>5</v>
      </c>
      <c r="AX93" s="103">
        <v>5</v>
      </c>
      <c r="AY93" s="103">
        <v>0</v>
      </c>
      <c r="AZ93" s="103">
        <v>5</v>
      </c>
      <c r="BA93" s="103">
        <v>0</v>
      </c>
      <c r="BB93" s="17">
        <v>0</v>
      </c>
      <c r="BC93" s="42"/>
      <c r="BD93" s="109" t="s">
        <v>13</v>
      </c>
      <c r="BE93" s="46" t="s">
        <v>1</v>
      </c>
      <c r="BF93" s="103">
        <v>11.111111111111111</v>
      </c>
      <c r="BG93" s="103">
        <v>13.888888888888889</v>
      </c>
      <c r="BH93" s="103">
        <v>27.777777777777779</v>
      </c>
      <c r="BI93" s="103">
        <v>11.111111111111111</v>
      </c>
      <c r="BJ93" s="103">
        <v>13.888888888888889</v>
      </c>
      <c r="BK93" s="103">
        <v>5.5555555555555554</v>
      </c>
      <c r="BL93" s="103">
        <v>8.3333333333333321</v>
      </c>
      <c r="BM93" s="103">
        <v>0</v>
      </c>
      <c r="BN93" s="103">
        <v>8.3333333333333321</v>
      </c>
      <c r="BO93" s="17">
        <v>0</v>
      </c>
      <c r="BQ93" s="109" t="s">
        <v>13</v>
      </c>
      <c r="BR93" s="46" t="s">
        <v>1</v>
      </c>
      <c r="BS93" s="103">
        <v>25</v>
      </c>
      <c r="BT93" s="103">
        <v>17.857142857142858</v>
      </c>
      <c r="BU93" s="103">
        <v>32.142857142857146</v>
      </c>
      <c r="BV93" s="103">
        <v>7.1428571428571423</v>
      </c>
      <c r="BW93" s="103">
        <v>3.5714285714285712</v>
      </c>
      <c r="BX93" s="103">
        <v>3.5714285714285712</v>
      </c>
      <c r="BY93" s="103">
        <v>0</v>
      </c>
      <c r="BZ93" s="103">
        <v>7.1428571428571423</v>
      </c>
      <c r="CA93" s="103">
        <v>3.5714285714285712</v>
      </c>
      <c r="CB93" s="17">
        <v>0</v>
      </c>
      <c r="CC93" s="42"/>
      <c r="CD93" s="109" t="s">
        <v>13</v>
      </c>
      <c r="CE93" s="46" t="s">
        <v>1</v>
      </c>
      <c r="CF93" s="103">
        <v>12.5</v>
      </c>
      <c r="CG93" s="103">
        <v>10.416666666666668</v>
      </c>
      <c r="CH93" s="103">
        <v>29.166666666666668</v>
      </c>
      <c r="CI93" s="103">
        <v>18.75</v>
      </c>
      <c r="CJ93" s="103">
        <v>12.5</v>
      </c>
      <c r="CK93" s="103">
        <v>6.25</v>
      </c>
      <c r="CL93" s="103">
        <v>6.25</v>
      </c>
      <c r="CM93" s="103">
        <v>0</v>
      </c>
      <c r="CN93" s="103">
        <v>4.1666666666666661</v>
      </c>
      <c r="CO93" s="17">
        <v>0</v>
      </c>
      <c r="CQ93" s="109" t="s">
        <v>13</v>
      </c>
      <c r="CR93" s="46" t="s">
        <v>1</v>
      </c>
      <c r="CS93" s="103">
        <v>15.384615384615385</v>
      </c>
      <c r="CT93" s="103">
        <v>12.307692307692308</v>
      </c>
      <c r="CU93" s="103">
        <v>30.76923076923077</v>
      </c>
      <c r="CV93" s="103">
        <v>16.923076923076923</v>
      </c>
      <c r="CW93" s="103">
        <v>9.2307692307692317</v>
      </c>
      <c r="CX93" s="103">
        <v>4.6153846153846159</v>
      </c>
      <c r="CY93" s="103">
        <v>4.6153846153846159</v>
      </c>
      <c r="CZ93" s="103">
        <v>1.5384615384615385</v>
      </c>
      <c r="DA93" s="103">
        <v>4.6153846153846159</v>
      </c>
      <c r="DB93" s="17">
        <v>0</v>
      </c>
      <c r="DC93" s="42"/>
      <c r="DD93" s="109" t="s">
        <v>13</v>
      </c>
      <c r="DE93" s="46" t="s">
        <v>1</v>
      </c>
      <c r="DF93" s="103">
        <v>27.27272727272727</v>
      </c>
      <c r="DG93" s="103">
        <v>18.181818181818183</v>
      </c>
      <c r="DH93" s="103">
        <v>27.27272727272727</v>
      </c>
      <c r="DI93" s="103">
        <v>0</v>
      </c>
      <c r="DJ93" s="103">
        <v>9.0909090909090917</v>
      </c>
      <c r="DK93" s="103">
        <v>9.0909090909090917</v>
      </c>
      <c r="DL93" s="103">
        <v>0</v>
      </c>
      <c r="DM93" s="103">
        <v>9.0909090909090917</v>
      </c>
      <c r="DN93" s="103">
        <v>0</v>
      </c>
      <c r="DO93" s="17">
        <v>0</v>
      </c>
    </row>
    <row r="94" spans="2:119" ht="14.25" customHeight="1" x14ac:dyDescent="0.45">
      <c r="B94" s="99"/>
      <c r="C94" s="42"/>
      <c r="D94" s="110"/>
      <c r="E94" s="47">
        <v>1</v>
      </c>
      <c r="F94" s="103">
        <v>41.17647058823529</v>
      </c>
      <c r="G94" s="103">
        <v>27.170868347338935</v>
      </c>
      <c r="H94" s="103">
        <v>13.445378151260504</v>
      </c>
      <c r="I94" s="103">
        <v>8.6834733893557416</v>
      </c>
      <c r="J94" s="103">
        <v>3.3613445378151261</v>
      </c>
      <c r="K94" s="103">
        <v>2.2408963585434174</v>
      </c>
      <c r="L94" s="103">
        <v>2.2408963585434174</v>
      </c>
      <c r="M94" s="103">
        <v>1.400560224089636</v>
      </c>
      <c r="N94" s="103">
        <v>0</v>
      </c>
      <c r="O94" s="103">
        <v>0.28011204481792717</v>
      </c>
      <c r="P94" s="42"/>
      <c r="Q94" s="110"/>
      <c r="R94" s="46">
        <v>1</v>
      </c>
      <c r="S94" s="103">
        <v>40.625</v>
      </c>
      <c r="T94" s="103">
        <v>25</v>
      </c>
      <c r="U94" s="103">
        <v>11.25</v>
      </c>
      <c r="V94" s="103">
        <v>10</v>
      </c>
      <c r="W94" s="103">
        <v>6.25</v>
      </c>
      <c r="X94" s="103">
        <v>3.75</v>
      </c>
      <c r="Y94" s="103">
        <v>2.5</v>
      </c>
      <c r="Z94" s="103">
        <v>0.625</v>
      </c>
      <c r="AA94" s="103">
        <v>0</v>
      </c>
      <c r="AB94" s="103">
        <v>0</v>
      </c>
      <c r="AC94" s="42"/>
      <c r="AD94" s="110"/>
      <c r="AE94" s="46">
        <v>1</v>
      </c>
      <c r="AF94" s="103">
        <v>41.624365482233507</v>
      </c>
      <c r="AG94" s="103">
        <v>28.934010152284262</v>
      </c>
      <c r="AH94" s="103">
        <v>15.228426395939088</v>
      </c>
      <c r="AI94" s="103">
        <v>7.6142131979695442</v>
      </c>
      <c r="AJ94" s="103">
        <v>1.015228426395939</v>
      </c>
      <c r="AK94" s="103">
        <v>1.015228426395939</v>
      </c>
      <c r="AL94" s="103">
        <v>2.030456852791878</v>
      </c>
      <c r="AM94" s="103">
        <v>2.030456852791878</v>
      </c>
      <c r="AN94" s="103">
        <v>0</v>
      </c>
      <c r="AO94" s="103">
        <v>0.50761421319796951</v>
      </c>
      <c r="AP94" s="6"/>
      <c r="AQ94" s="110"/>
      <c r="AR94" s="46">
        <v>1</v>
      </c>
      <c r="AS94" s="103">
        <v>45.026178010471199</v>
      </c>
      <c r="AT94" s="103">
        <v>31.413612565445025</v>
      </c>
      <c r="AU94" s="103">
        <v>15.183246073298429</v>
      </c>
      <c r="AV94" s="103">
        <v>4.7120418848167542</v>
      </c>
      <c r="AW94" s="103">
        <v>1.5706806282722512</v>
      </c>
      <c r="AX94" s="103">
        <v>0.52356020942408377</v>
      </c>
      <c r="AY94" s="103">
        <v>1.0471204188481675</v>
      </c>
      <c r="AZ94" s="103">
        <v>0.52356020942408377</v>
      </c>
      <c r="BA94" s="103">
        <v>0</v>
      </c>
      <c r="BB94" s="103">
        <v>0</v>
      </c>
      <c r="BC94" s="42"/>
      <c r="BD94" s="110"/>
      <c r="BE94" s="46">
        <v>1</v>
      </c>
      <c r="BF94" s="103">
        <v>36.746987951807228</v>
      </c>
      <c r="BG94" s="103">
        <v>22.289156626506024</v>
      </c>
      <c r="BH94" s="103">
        <v>11.445783132530121</v>
      </c>
      <c r="BI94" s="103">
        <v>13.253012048192772</v>
      </c>
      <c r="BJ94" s="103">
        <v>5.4216867469879517</v>
      </c>
      <c r="BK94" s="103">
        <v>4.2168674698795181</v>
      </c>
      <c r="BL94" s="103">
        <v>3.6144578313253009</v>
      </c>
      <c r="BM94" s="103">
        <v>2.4096385542168677</v>
      </c>
      <c r="BN94" s="103">
        <v>0</v>
      </c>
      <c r="BO94" s="103">
        <v>0.60240963855421692</v>
      </c>
      <c r="BQ94" s="110"/>
      <c r="BR94" s="46">
        <v>1</v>
      </c>
      <c r="BS94" s="103">
        <v>51.769911504424783</v>
      </c>
      <c r="BT94" s="103">
        <v>31.858407079646017</v>
      </c>
      <c r="BU94" s="103">
        <v>11.946902654867257</v>
      </c>
      <c r="BV94" s="103">
        <v>3.9823008849557522</v>
      </c>
      <c r="BW94" s="103">
        <v>0.44247787610619471</v>
      </c>
      <c r="BX94" s="103">
        <v>0</v>
      </c>
      <c r="BY94" s="103">
        <v>0</v>
      </c>
      <c r="BZ94" s="103">
        <v>0</v>
      </c>
      <c r="CA94" s="103">
        <v>0</v>
      </c>
      <c r="CB94" s="103">
        <v>0</v>
      </c>
      <c r="CC94" s="42"/>
      <c r="CD94" s="110"/>
      <c r="CE94" s="46">
        <v>1</v>
      </c>
      <c r="CF94" s="103">
        <v>22.900763358778626</v>
      </c>
      <c r="CG94" s="103">
        <v>19.083969465648856</v>
      </c>
      <c r="CH94" s="103">
        <v>16.030534351145036</v>
      </c>
      <c r="CI94" s="103">
        <v>16.793893129770993</v>
      </c>
      <c r="CJ94" s="103">
        <v>8.3969465648854964</v>
      </c>
      <c r="CK94" s="103">
        <v>6.1068702290076331</v>
      </c>
      <c r="CL94" s="103">
        <v>6.1068702290076331</v>
      </c>
      <c r="CM94" s="103">
        <v>3.8167938931297711</v>
      </c>
      <c r="CN94" s="103">
        <v>0</v>
      </c>
      <c r="CO94" s="103">
        <v>0.76335877862595414</v>
      </c>
      <c r="CQ94" s="110"/>
      <c r="CR94" s="46">
        <v>1</v>
      </c>
      <c r="CS94" s="103">
        <v>36.492890995260666</v>
      </c>
      <c r="CT94" s="103">
        <v>19.90521327014218</v>
      </c>
      <c r="CU94" s="103">
        <v>14.218009478672986</v>
      </c>
      <c r="CV94" s="103">
        <v>13.270142180094787</v>
      </c>
      <c r="CW94" s="103">
        <v>5.6872037914691944</v>
      </c>
      <c r="CX94" s="103">
        <v>3.7914691943127963</v>
      </c>
      <c r="CY94" s="103">
        <v>3.7914691943127963</v>
      </c>
      <c r="CZ94" s="103">
        <v>2.3696682464454977</v>
      </c>
      <c r="DA94" s="103">
        <v>0</v>
      </c>
      <c r="DB94" s="103">
        <v>0.47393364928909953</v>
      </c>
      <c r="DC94" s="42"/>
      <c r="DD94" s="110"/>
      <c r="DE94" s="46">
        <v>1</v>
      </c>
      <c r="DF94" s="103">
        <v>47.945205479452049</v>
      </c>
      <c r="DG94" s="103">
        <v>37.671232876712331</v>
      </c>
      <c r="DH94" s="103">
        <v>12.328767123287671</v>
      </c>
      <c r="DI94" s="103">
        <v>2.054794520547945</v>
      </c>
      <c r="DJ94" s="103">
        <v>0</v>
      </c>
      <c r="DK94" s="103">
        <v>0</v>
      </c>
      <c r="DL94" s="103">
        <v>0</v>
      </c>
      <c r="DM94" s="103">
        <v>0</v>
      </c>
      <c r="DN94" s="103">
        <v>0</v>
      </c>
      <c r="DO94" s="103">
        <v>0</v>
      </c>
    </row>
    <row r="95" spans="2:119" ht="14.25" customHeight="1" x14ac:dyDescent="0.45">
      <c r="B95" s="99"/>
      <c r="C95" s="42"/>
      <c r="D95" s="110"/>
      <c r="E95" s="47" t="s">
        <v>2</v>
      </c>
      <c r="F95" s="103">
        <v>24.212652648976217</v>
      </c>
      <c r="G95" s="103">
        <v>40.804333853640621</v>
      </c>
      <c r="H95" s="103">
        <v>20.466440179965108</v>
      </c>
      <c r="I95" s="103">
        <v>8.484069415113396</v>
      </c>
      <c r="J95" s="103">
        <v>3.5809383894959144</v>
      </c>
      <c r="K95" s="103">
        <v>1.4507391424111651</v>
      </c>
      <c r="L95" s="103">
        <v>0.52336791846478736</v>
      </c>
      <c r="M95" s="103">
        <v>0.30300247911119271</v>
      </c>
      <c r="N95" s="103">
        <v>0.14691029290239646</v>
      </c>
      <c r="O95" s="103">
        <v>2.7545679919199338E-2</v>
      </c>
      <c r="P95" s="42"/>
      <c r="Q95" s="110"/>
      <c r="R95" s="46" t="s">
        <v>2</v>
      </c>
      <c r="S95" s="103">
        <v>25.87982832618026</v>
      </c>
      <c r="T95" s="103">
        <v>42.081545064377686</v>
      </c>
      <c r="U95" s="103">
        <v>19.63519313304721</v>
      </c>
      <c r="V95" s="103">
        <v>7.4248927038626604</v>
      </c>
      <c r="W95" s="103">
        <v>3.0472103004291844</v>
      </c>
      <c r="X95" s="103">
        <v>1.1373390557939913</v>
      </c>
      <c r="Y95" s="103">
        <v>0.51502145922746778</v>
      </c>
      <c r="Z95" s="103">
        <v>0.17167381974248927</v>
      </c>
      <c r="AA95" s="103">
        <v>8.5836909871244635E-2</v>
      </c>
      <c r="AB95" s="103">
        <v>2.1459227467811159E-2</v>
      </c>
      <c r="AC95" s="42"/>
      <c r="AD95" s="110"/>
      <c r="AE95" s="46" t="s">
        <v>2</v>
      </c>
      <c r="AF95" s="103">
        <v>22.965816080885894</v>
      </c>
      <c r="AG95" s="103">
        <v>39.849141389825064</v>
      </c>
      <c r="AH95" s="103">
        <v>21.088107847857486</v>
      </c>
      <c r="AI95" s="103">
        <v>9.2761996469266563</v>
      </c>
      <c r="AJ95" s="103">
        <v>3.9800995024875623</v>
      </c>
      <c r="AK95" s="103">
        <v>1.6851227732306211</v>
      </c>
      <c r="AL95" s="103">
        <v>0.52961001444390954</v>
      </c>
      <c r="AM95" s="103">
        <v>0.40121970791205264</v>
      </c>
      <c r="AN95" s="103">
        <v>0.19258545979778527</v>
      </c>
      <c r="AO95" s="103">
        <v>3.2097576632964211E-2</v>
      </c>
      <c r="AP95" s="6"/>
      <c r="AQ95" s="110"/>
      <c r="AR95" s="46" t="s">
        <v>2</v>
      </c>
      <c r="AS95" s="103">
        <v>28.127233738384561</v>
      </c>
      <c r="AT95" s="103">
        <v>42.280200142959259</v>
      </c>
      <c r="AU95" s="103">
        <v>18.566833452466046</v>
      </c>
      <c r="AV95" s="103">
        <v>7.0586132952108649</v>
      </c>
      <c r="AW95" s="103">
        <v>2.501786990707648</v>
      </c>
      <c r="AX95" s="103">
        <v>0.85775553967119367</v>
      </c>
      <c r="AY95" s="103">
        <v>0.39313795568263044</v>
      </c>
      <c r="AZ95" s="103">
        <v>0.17869907076483202</v>
      </c>
      <c r="BA95" s="103">
        <v>1.7869907076483203E-2</v>
      </c>
      <c r="BB95" s="103">
        <v>1.7869907076483203E-2</v>
      </c>
      <c r="BC95" s="42"/>
      <c r="BD95" s="110"/>
      <c r="BE95" s="46" t="s">
        <v>2</v>
      </c>
      <c r="BF95" s="103">
        <v>20.075542965061381</v>
      </c>
      <c r="BG95" s="103">
        <v>39.244570349386215</v>
      </c>
      <c r="BH95" s="103">
        <v>22.474032105760148</v>
      </c>
      <c r="BI95" s="103">
        <v>9.9905571293673283</v>
      </c>
      <c r="BJ95" s="103">
        <v>4.7214353163361666</v>
      </c>
      <c r="BK95" s="103">
        <v>2.0774315391879132</v>
      </c>
      <c r="BL95" s="103">
        <v>0.66100094428706324</v>
      </c>
      <c r="BM95" s="103">
        <v>0.43437204910292726</v>
      </c>
      <c r="BN95" s="103">
        <v>0.28328611898016998</v>
      </c>
      <c r="BO95" s="103">
        <v>3.7771482530689328E-2</v>
      </c>
      <c r="BQ95" s="110"/>
      <c r="BR95" s="46" t="s">
        <v>2</v>
      </c>
      <c r="BS95" s="103">
        <v>27.347310847766636</v>
      </c>
      <c r="BT95" s="103">
        <v>42.20601640838651</v>
      </c>
      <c r="BU95" s="103">
        <v>19.89842427399401</v>
      </c>
      <c r="BV95" s="103">
        <v>7.4098189868472453</v>
      </c>
      <c r="BW95" s="103">
        <v>2.2528975126969657</v>
      </c>
      <c r="BX95" s="103">
        <v>0.67717150670660242</v>
      </c>
      <c r="BY95" s="103">
        <v>0.10418023180101575</v>
      </c>
      <c r="BZ95" s="103">
        <v>6.5112644875634854E-2</v>
      </c>
      <c r="CA95" s="103">
        <v>2.6045057950253938E-2</v>
      </c>
      <c r="CB95" s="103">
        <v>1.3022528975126969E-2</v>
      </c>
      <c r="CC95" s="42"/>
      <c r="CD95" s="110"/>
      <c r="CE95" s="46" t="s">
        <v>2</v>
      </c>
      <c r="CF95" s="103">
        <v>16.718555417185556</v>
      </c>
      <c r="CG95" s="103">
        <v>37.453300124533001</v>
      </c>
      <c r="CH95" s="103">
        <v>21.824408468244087</v>
      </c>
      <c r="CI95" s="103">
        <v>11.052303860523038</v>
      </c>
      <c r="CJ95" s="103">
        <v>6.755915317559154</v>
      </c>
      <c r="CK95" s="103">
        <v>3.3001245330012452</v>
      </c>
      <c r="CL95" s="103">
        <v>1.5255292652552928</v>
      </c>
      <c r="CM95" s="103">
        <v>0.87173100871731013</v>
      </c>
      <c r="CN95" s="103">
        <v>0.43586550435865506</v>
      </c>
      <c r="CO95" s="103">
        <v>6.2266500622665005E-2</v>
      </c>
      <c r="CQ95" s="110"/>
      <c r="CR95" s="46" t="s">
        <v>2</v>
      </c>
      <c r="CS95" s="103">
        <v>18.112834048168921</v>
      </c>
      <c r="CT95" s="103">
        <v>32.200593863411413</v>
      </c>
      <c r="CU95" s="103">
        <v>22.401847575057737</v>
      </c>
      <c r="CV95" s="103">
        <v>12.30616958099637</v>
      </c>
      <c r="CW95" s="103">
        <v>7.8192015836357642</v>
      </c>
      <c r="CX95" s="103">
        <v>3.9260969976905313</v>
      </c>
      <c r="CY95" s="103">
        <v>1.6826129990102277</v>
      </c>
      <c r="CZ95" s="103">
        <v>1.0557571758495545</v>
      </c>
      <c r="DA95" s="103">
        <v>0.46189376443418012</v>
      </c>
      <c r="DB95" s="103">
        <v>3.2992411745298579E-2</v>
      </c>
      <c r="DC95" s="42"/>
      <c r="DD95" s="110"/>
      <c r="DE95" s="46" t="s">
        <v>2</v>
      </c>
      <c r="DF95" s="103">
        <v>26.564885496183205</v>
      </c>
      <c r="DG95" s="103">
        <v>44.122137404580151</v>
      </c>
      <c r="DH95" s="103">
        <v>19.720101781170484</v>
      </c>
      <c r="DI95" s="103">
        <v>7.0101781170483459</v>
      </c>
      <c r="DJ95" s="103">
        <v>1.9465648854961832</v>
      </c>
      <c r="DK95" s="103">
        <v>0.49618320610687022</v>
      </c>
      <c r="DL95" s="103">
        <v>7.6335877862595422E-2</v>
      </c>
      <c r="DM95" s="103">
        <v>1.2722646310432569E-2</v>
      </c>
      <c r="DN95" s="103">
        <v>2.5445292620865138E-2</v>
      </c>
      <c r="DO95" s="103">
        <v>2.5445292620865138E-2</v>
      </c>
    </row>
    <row r="96" spans="2:119" ht="14.25" customHeight="1" x14ac:dyDescent="0.45">
      <c r="B96" s="99"/>
      <c r="C96" s="42"/>
      <c r="D96" s="110"/>
      <c r="E96" s="47" t="s">
        <v>3</v>
      </c>
      <c r="F96" s="103">
        <v>10.828788080351204</v>
      </c>
      <c r="G96" s="103">
        <v>33.856591725422376</v>
      </c>
      <c r="H96" s="103">
        <v>28.907808966342959</v>
      </c>
      <c r="I96" s="103">
        <v>16.362910735665825</v>
      </c>
      <c r="J96" s="103">
        <v>7.5429027537581472</v>
      </c>
      <c r="K96" s="103">
        <v>1.835838765464946</v>
      </c>
      <c r="L96" s="103">
        <v>0.42570174271650923</v>
      </c>
      <c r="M96" s="103">
        <v>0.13303179459890915</v>
      </c>
      <c r="N96" s="103">
        <v>0.10642543567912731</v>
      </c>
      <c r="O96" s="103">
        <v>0</v>
      </c>
      <c r="P96" s="42"/>
      <c r="Q96" s="110"/>
      <c r="R96" s="46" t="s">
        <v>3</v>
      </c>
      <c r="S96" s="103">
        <v>11.766458147155198</v>
      </c>
      <c r="T96" s="103">
        <v>37.086684539767653</v>
      </c>
      <c r="U96" s="103">
        <v>29.0437890974084</v>
      </c>
      <c r="V96" s="103">
        <v>14.298480786416443</v>
      </c>
      <c r="W96" s="103">
        <v>5.9279118260351504</v>
      </c>
      <c r="X96" s="103">
        <v>1.5192135835567471</v>
      </c>
      <c r="Y96" s="103">
        <v>0.23830801310694072</v>
      </c>
      <c r="Z96" s="103">
        <v>5.957700327673518E-2</v>
      </c>
      <c r="AA96" s="103">
        <v>5.957700327673518E-2</v>
      </c>
      <c r="AB96" s="103">
        <v>0</v>
      </c>
      <c r="AC96" s="42"/>
      <c r="AD96" s="110"/>
      <c r="AE96" s="46" t="s">
        <v>3</v>
      </c>
      <c r="AF96" s="103">
        <v>10.072115384615385</v>
      </c>
      <c r="AG96" s="103">
        <v>31.25</v>
      </c>
      <c r="AH96" s="103">
        <v>28.79807692307692</v>
      </c>
      <c r="AI96" s="103">
        <v>18.028846153846153</v>
      </c>
      <c r="AJ96" s="103">
        <v>8.8461538461538467</v>
      </c>
      <c r="AK96" s="103">
        <v>2.0913461538461537</v>
      </c>
      <c r="AL96" s="103">
        <v>0.57692307692307698</v>
      </c>
      <c r="AM96" s="103">
        <v>0.19230769230769232</v>
      </c>
      <c r="AN96" s="103">
        <v>0.14423076923076925</v>
      </c>
      <c r="AO96" s="103">
        <v>0</v>
      </c>
      <c r="AP96" s="6"/>
      <c r="AQ96" s="110"/>
      <c r="AR96" s="46" t="s">
        <v>3</v>
      </c>
      <c r="AS96" s="103">
        <v>14.459535936615733</v>
      </c>
      <c r="AT96" s="103">
        <v>36.728919071873236</v>
      </c>
      <c r="AU96" s="103">
        <v>27.67402376910017</v>
      </c>
      <c r="AV96" s="103">
        <v>13.80871533672892</v>
      </c>
      <c r="AW96" s="103">
        <v>5.7441992076966608</v>
      </c>
      <c r="AX96" s="103">
        <v>1.1601584606677986</v>
      </c>
      <c r="AY96" s="103">
        <v>0.25466893039049238</v>
      </c>
      <c r="AZ96" s="103">
        <v>0.11318619128466327</v>
      </c>
      <c r="BA96" s="103">
        <v>5.6593095642331635E-2</v>
      </c>
      <c r="BB96" s="103">
        <v>0</v>
      </c>
      <c r="BC96" s="42"/>
      <c r="BD96" s="110"/>
      <c r="BE96" s="46" t="s">
        <v>3</v>
      </c>
      <c r="BF96" s="103">
        <v>7.607331157419031</v>
      </c>
      <c r="BG96" s="103">
        <v>31.308059251820236</v>
      </c>
      <c r="BH96" s="103">
        <v>30.002510670348983</v>
      </c>
      <c r="BI96" s="103">
        <v>18.629173989455182</v>
      </c>
      <c r="BJ96" s="103">
        <v>9.1388400702987695</v>
      </c>
      <c r="BK96" s="103">
        <v>2.4353502385136832</v>
      </c>
      <c r="BL96" s="103">
        <v>0.57745418026613105</v>
      </c>
      <c r="BM96" s="103">
        <v>0.15064022093899071</v>
      </c>
      <c r="BN96" s="103">
        <v>0.15064022093899071</v>
      </c>
      <c r="BO96" s="103">
        <v>0</v>
      </c>
      <c r="BQ96" s="110"/>
      <c r="BR96" s="46" t="s">
        <v>3</v>
      </c>
      <c r="BS96" s="103">
        <v>12.785495643983987</v>
      </c>
      <c r="BT96" s="103">
        <v>34.188839180598066</v>
      </c>
      <c r="BU96" s="103">
        <v>28.090416764775135</v>
      </c>
      <c r="BV96" s="103">
        <v>15.940663998116317</v>
      </c>
      <c r="BW96" s="103">
        <v>7.134447845538026</v>
      </c>
      <c r="BX96" s="103">
        <v>1.6011302095596893</v>
      </c>
      <c r="BY96" s="103">
        <v>0.21191429244172355</v>
      </c>
      <c r="BZ96" s="103">
        <v>2.3546032493524841E-2</v>
      </c>
      <c r="CA96" s="103">
        <v>2.3546032493524841E-2</v>
      </c>
      <c r="CB96" s="103">
        <v>0</v>
      </c>
      <c r="CC96" s="42"/>
      <c r="CD96" s="110"/>
      <c r="CE96" s="46" t="s">
        <v>3</v>
      </c>
      <c r="CF96" s="103">
        <v>8.287461773700306</v>
      </c>
      <c r="CG96" s="103">
        <v>33.425076452599392</v>
      </c>
      <c r="CH96" s="103">
        <v>29.969418960244649</v>
      </c>
      <c r="CI96" s="103">
        <v>16.911314984709481</v>
      </c>
      <c r="CJ96" s="103">
        <v>8.0733944954128454</v>
      </c>
      <c r="CK96" s="103">
        <v>2.1406727828746175</v>
      </c>
      <c r="CL96" s="103">
        <v>0.70336391437308865</v>
      </c>
      <c r="CM96" s="103">
        <v>0.27522935779816515</v>
      </c>
      <c r="CN96" s="103">
        <v>0.21406727828746178</v>
      </c>
      <c r="CO96" s="103">
        <v>0</v>
      </c>
      <c r="CQ96" s="110"/>
      <c r="CR96" s="46" t="s">
        <v>3</v>
      </c>
      <c r="CS96" s="103">
        <v>6.8596601636249215</v>
      </c>
      <c r="CT96" s="103">
        <v>25.298930144745125</v>
      </c>
      <c r="CU96" s="103">
        <v>27.438640654499686</v>
      </c>
      <c r="CV96" s="103">
        <v>19.383259911894275</v>
      </c>
      <c r="CW96" s="103">
        <v>14.4745122718691</v>
      </c>
      <c r="CX96" s="103">
        <v>4.0276903713027066</v>
      </c>
      <c r="CY96" s="103">
        <v>1.5103838892385149</v>
      </c>
      <c r="CZ96" s="103">
        <v>0.50346129641283832</v>
      </c>
      <c r="DA96" s="103">
        <v>0.50346129641283832</v>
      </c>
      <c r="DB96" s="103">
        <v>0</v>
      </c>
      <c r="DC96" s="42"/>
      <c r="DD96" s="110"/>
      <c r="DE96" s="46" t="s">
        <v>3</v>
      </c>
      <c r="DF96" s="103">
        <v>11.892712550607287</v>
      </c>
      <c r="DG96" s="103">
        <v>36.15047233468286</v>
      </c>
      <c r="DH96" s="103">
        <v>29.301619433198379</v>
      </c>
      <c r="DI96" s="103">
        <v>15.553306342780026</v>
      </c>
      <c r="DJ96" s="103">
        <v>5.6848852901484479</v>
      </c>
      <c r="DK96" s="103">
        <v>1.2483130904183535</v>
      </c>
      <c r="DL96" s="103">
        <v>0.1349527665317139</v>
      </c>
      <c r="DM96" s="103">
        <v>3.3738191632928474E-2</v>
      </c>
      <c r="DN96" s="103">
        <v>0</v>
      </c>
      <c r="DO96" s="103">
        <v>0</v>
      </c>
    </row>
    <row r="97" spans="2:119" ht="14.25" customHeight="1" x14ac:dyDescent="0.45">
      <c r="B97" s="99"/>
      <c r="C97" s="42"/>
      <c r="D97" s="110"/>
      <c r="E97" s="47" t="s">
        <v>4</v>
      </c>
      <c r="F97" s="103">
        <v>7.2886297376093294</v>
      </c>
      <c r="G97" s="103">
        <v>28.700051449151086</v>
      </c>
      <c r="H97" s="103">
        <v>30.192076830732294</v>
      </c>
      <c r="I97" s="103">
        <v>19.816498027782544</v>
      </c>
      <c r="J97" s="103">
        <v>9.8525124335448471</v>
      </c>
      <c r="K97" s="103">
        <v>3.104098782370091</v>
      </c>
      <c r="L97" s="103">
        <v>0.57451552049391186</v>
      </c>
      <c r="M97" s="103">
        <v>0.33441948207854572</v>
      </c>
      <c r="N97" s="103">
        <v>0.10289830217801406</v>
      </c>
      <c r="O97" s="103">
        <v>3.4299434059338024E-2</v>
      </c>
      <c r="P97" s="42"/>
      <c r="Q97" s="110"/>
      <c r="R97" s="46" t="s">
        <v>4</v>
      </c>
      <c r="S97" s="103">
        <v>6.8870014771048744</v>
      </c>
      <c r="T97" s="103">
        <v>31.406942392909897</v>
      </c>
      <c r="U97" s="103">
        <v>31.702363367799112</v>
      </c>
      <c r="V97" s="103">
        <v>18.186853766617432</v>
      </c>
      <c r="W97" s="103">
        <v>8.4564254062038415</v>
      </c>
      <c r="X97" s="103">
        <v>2.5110782865583459</v>
      </c>
      <c r="Y97" s="103">
        <v>0.40620384047267355</v>
      </c>
      <c r="Z97" s="103">
        <v>0.33234859675036926</v>
      </c>
      <c r="AA97" s="103">
        <v>9.2319054652880345E-2</v>
      </c>
      <c r="AB97" s="103">
        <v>1.8463810930576072E-2</v>
      </c>
      <c r="AC97" s="42"/>
      <c r="AD97" s="110"/>
      <c r="AE97" s="46" t="s">
        <v>4</v>
      </c>
      <c r="AF97" s="103">
        <v>7.6368876080691637</v>
      </c>
      <c r="AG97" s="103">
        <v>26.352865834133848</v>
      </c>
      <c r="AH97" s="103">
        <v>28.882484790265771</v>
      </c>
      <c r="AI97" s="103">
        <v>21.229586935638807</v>
      </c>
      <c r="AJ97" s="103">
        <v>11.063080371437719</v>
      </c>
      <c r="AK97" s="103">
        <v>3.6183157220621194</v>
      </c>
      <c r="AL97" s="103">
        <v>0.72046109510086453</v>
      </c>
      <c r="AM97" s="103">
        <v>0.33621517771373677</v>
      </c>
      <c r="AN97" s="103">
        <v>0.11207172590457894</v>
      </c>
      <c r="AO97" s="103">
        <v>4.8030739673390971E-2</v>
      </c>
      <c r="AP97" s="6"/>
      <c r="AQ97" s="110"/>
      <c r="AR97" s="46" t="s">
        <v>4</v>
      </c>
      <c r="AS97" s="103">
        <v>9.6664139499620916</v>
      </c>
      <c r="AT97" s="103">
        <v>32.752084912812734</v>
      </c>
      <c r="AU97" s="103">
        <v>30.060652009097801</v>
      </c>
      <c r="AV97" s="103">
        <v>17.039423805913572</v>
      </c>
      <c r="AW97" s="103">
        <v>7.6194086429112957</v>
      </c>
      <c r="AX97" s="103">
        <v>2.0849128127369223</v>
      </c>
      <c r="AY97" s="103">
        <v>0.41698256254738442</v>
      </c>
      <c r="AZ97" s="103">
        <v>0.22744503411675512</v>
      </c>
      <c r="BA97" s="103">
        <v>9.4768764215314633E-2</v>
      </c>
      <c r="BB97" s="103">
        <v>3.7907505686125852E-2</v>
      </c>
      <c r="BC97" s="42"/>
      <c r="BD97" s="110"/>
      <c r="BE97" s="46" t="s">
        <v>4</v>
      </c>
      <c r="BF97" s="103">
        <v>5.3241465706232383</v>
      </c>
      <c r="BG97" s="103">
        <v>25.352333228938299</v>
      </c>
      <c r="BH97" s="103">
        <v>30.300657688694017</v>
      </c>
      <c r="BI97" s="103">
        <v>22.110867522705917</v>
      </c>
      <c r="BJ97" s="103">
        <v>11.697463200751644</v>
      </c>
      <c r="BK97" s="103">
        <v>3.9461321641089881</v>
      </c>
      <c r="BL97" s="103">
        <v>0.70466645787660509</v>
      </c>
      <c r="BM97" s="103">
        <v>0.42279987472596303</v>
      </c>
      <c r="BN97" s="103">
        <v>0.10961478233636079</v>
      </c>
      <c r="BO97" s="103">
        <v>3.1318509238960228E-2</v>
      </c>
      <c r="BQ97" s="110"/>
      <c r="BR97" s="46" t="s">
        <v>4</v>
      </c>
      <c r="BS97" s="103">
        <v>9.2298872539652201</v>
      </c>
      <c r="BT97" s="103">
        <v>31.339575769157268</v>
      </c>
      <c r="BU97" s="103">
        <v>28.511370150965032</v>
      </c>
      <c r="BV97" s="103">
        <v>19.090387922797632</v>
      </c>
      <c r="BW97" s="103">
        <v>8.5419453468373785</v>
      </c>
      <c r="BX97" s="103">
        <v>2.7517676285113701</v>
      </c>
      <c r="BY97" s="103">
        <v>0.32486145614370343</v>
      </c>
      <c r="BZ97" s="103">
        <v>0.17198547678196063</v>
      </c>
      <c r="CA97" s="103">
        <v>3.8218994840435692E-2</v>
      </c>
      <c r="CB97" s="103">
        <v>0</v>
      </c>
      <c r="CC97" s="42"/>
      <c r="CD97" s="110"/>
      <c r="CE97" s="46" t="s">
        <v>4</v>
      </c>
      <c r="CF97" s="103">
        <v>5.7085083216674448</v>
      </c>
      <c r="CG97" s="103">
        <v>26.551563229118059</v>
      </c>
      <c r="CH97" s="103">
        <v>31.560118214341266</v>
      </c>
      <c r="CI97" s="103">
        <v>20.407528386996425</v>
      </c>
      <c r="CJ97" s="103">
        <v>10.919272048530097</v>
      </c>
      <c r="CK97" s="103">
        <v>3.3908850521076372</v>
      </c>
      <c r="CL97" s="103">
        <v>0.77772592938248564</v>
      </c>
      <c r="CM97" s="103">
        <v>0.46663555762949133</v>
      </c>
      <c r="CN97" s="103">
        <v>0.15554518587649713</v>
      </c>
      <c r="CO97" s="103">
        <v>6.2218074350598854E-2</v>
      </c>
      <c r="CQ97" s="110"/>
      <c r="CR97" s="46" t="s">
        <v>4</v>
      </c>
      <c r="CS97" s="103">
        <v>3.7489102005231034</v>
      </c>
      <c r="CT97" s="103">
        <v>19.877942458587619</v>
      </c>
      <c r="CU97" s="103">
        <v>28.247602441150825</v>
      </c>
      <c r="CV97" s="103">
        <v>21.534437663469923</v>
      </c>
      <c r="CW97" s="103">
        <v>15.954664341761116</v>
      </c>
      <c r="CX97" s="103">
        <v>6.4952048823016568</v>
      </c>
      <c r="CY97" s="103">
        <v>2.0488230165649521</v>
      </c>
      <c r="CZ97" s="103">
        <v>1.4385353095030515</v>
      </c>
      <c r="DA97" s="103">
        <v>0.47951176983435051</v>
      </c>
      <c r="DB97" s="103">
        <v>0.17436791630340018</v>
      </c>
      <c r="DC97" s="42"/>
      <c r="DD97" s="110"/>
      <c r="DE97" s="46" t="s">
        <v>4</v>
      </c>
      <c r="DF97" s="103">
        <v>8.1554227156276689</v>
      </c>
      <c r="DG97" s="103">
        <v>30.860375747224595</v>
      </c>
      <c r="DH97" s="103">
        <v>30.668232280102476</v>
      </c>
      <c r="DI97" s="103">
        <v>19.395815542271563</v>
      </c>
      <c r="DJ97" s="103">
        <v>8.3582408198121261</v>
      </c>
      <c r="DK97" s="103">
        <v>2.2736976942783942</v>
      </c>
      <c r="DL97" s="103">
        <v>0.2134927412467976</v>
      </c>
      <c r="DM97" s="103">
        <v>6.404782237403929E-2</v>
      </c>
      <c r="DN97" s="103">
        <v>1.067463706233988E-2</v>
      </c>
      <c r="DO97" s="103">
        <v>0</v>
      </c>
    </row>
    <row r="98" spans="2:119" ht="14.25" customHeight="1" x14ac:dyDescent="0.45">
      <c r="B98" s="99"/>
      <c r="C98" s="42"/>
      <c r="D98" s="110"/>
      <c r="E98" s="47" t="s">
        <v>5</v>
      </c>
      <c r="F98" s="103">
        <v>3.8965417589827571</v>
      </c>
      <c r="G98" s="103">
        <v>20.92283980348714</v>
      </c>
      <c r="H98" s="103">
        <v>30.53655717175609</v>
      </c>
      <c r="I98" s="103">
        <v>25.074655620845775</v>
      </c>
      <c r="J98" s="103">
        <v>14.492823427415471</v>
      </c>
      <c r="K98" s="103">
        <v>3.9254407089875736</v>
      </c>
      <c r="L98" s="103">
        <v>0.68394181678065702</v>
      </c>
      <c r="M98" s="103">
        <v>0.32270494172045083</v>
      </c>
      <c r="N98" s="103">
        <v>0.10596281668432714</v>
      </c>
      <c r="O98" s="103">
        <v>3.8531933339755325E-2</v>
      </c>
      <c r="P98" s="42"/>
      <c r="Q98" s="110"/>
      <c r="R98" s="46" t="s">
        <v>5</v>
      </c>
      <c r="S98" s="103">
        <v>3.3115807928314012</v>
      </c>
      <c r="T98" s="103">
        <v>21.544755040420764</v>
      </c>
      <c r="U98" s="103">
        <v>32.248952956072856</v>
      </c>
      <c r="V98" s="103">
        <v>24.544657640985683</v>
      </c>
      <c r="W98" s="103">
        <v>14.171617804616735</v>
      </c>
      <c r="X98" s="103">
        <v>3.2726210187980906</v>
      </c>
      <c r="Y98" s="103">
        <v>0.57465666699133144</v>
      </c>
      <c r="Z98" s="103">
        <v>0.25323853121651896</v>
      </c>
      <c r="AA98" s="103">
        <v>3.8959774033310607E-2</v>
      </c>
      <c r="AB98" s="103">
        <v>3.8959774033310607E-2</v>
      </c>
      <c r="AC98" s="42"/>
      <c r="AD98" s="110"/>
      <c r="AE98" s="46" t="s">
        <v>5</v>
      </c>
      <c r="AF98" s="103">
        <v>4.4687946641257739</v>
      </c>
      <c r="AG98" s="103">
        <v>20.314435445450215</v>
      </c>
      <c r="AH98" s="103">
        <v>28.861362553596955</v>
      </c>
      <c r="AI98" s="103">
        <v>25.593139590281091</v>
      </c>
      <c r="AJ98" s="103">
        <v>14.80705097665555</v>
      </c>
      <c r="AK98" s="103">
        <v>4.5640781324440205</v>
      </c>
      <c r="AL98" s="103">
        <v>0.79085278704144835</v>
      </c>
      <c r="AM98" s="103">
        <v>0.39066222010481183</v>
      </c>
      <c r="AN98" s="103">
        <v>0.1715102429728442</v>
      </c>
      <c r="AO98" s="103">
        <v>3.8113387327298714E-2</v>
      </c>
      <c r="AP98" s="6"/>
      <c r="AQ98" s="110"/>
      <c r="AR98" s="46" t="s">
        <v>5</v>
      </c>
      <c r="AS98" s="103">
        <v>5.7572861920688005</v>
      </c>
      <c r="AT98" s="103">
        <v>26.720019111323456</v>
      </c>
      <c r="AU98" s="103">
        <v>32.035355948399427</v>
      </c>
      <c r="AV98" s="103">
        <v>21.249402771141902</v>
      </c>
      <c r="AW98" s="103">
        <v>10.869565217391305</v>
      </c>
      <c r="AX98" s="103">
        <v>2.5561395126612516</v>
      </c>
      <c r="AY98" s="103">
        <v>0.48972766364070708</v>
      </c>
      <c r="AZ98" s="103">
        <v>0.21500238891543239</v>
      </c>
      <c r="BA98" s="103">
        <v>8.3612040133779264E-2</v>
      </c>
      <c r="BB98" s="103">
        <v>2.3889154323936932E-2</v>
      </c>
      <c r="BC98" s="42"/>
      <c r="BD98" s="110"/>
      <c r="BE98" s="46" t="s">
        <v>5</v>
      </c>
      <c r="BF98" s="103">
        <v>2.639225181598063</v>
      </c>
      <c r="BG98" s="103">
        <v>17.005649717514125</v>
      </c>
      <c r="BH98" s="103">
        <v>29.523809523809526</v>
      </c>
      <c r="BI98" s="103">
        <v>27.659402744148508</v>
      </c>
      <c r="BJ98" s="103">
        <v>16.941081517352703</v>
      </c>
      <c r="BK98" s="103">
        <v>4.8506860371267146</v>
      </c>
      <c r="BL98" s="103">
        <v>0.81517352703793389</v>
      </c>
      <c r="BM98" s="103">
        <v>0.39548022598870053</v>
      </c>
      <c r="BN98" s="103">
        <v>0.12106537530266344</v>
      </c>
      <c r="BO98" s="103">
        <v>4.8426150121065374E-2</v>
      </c>
      <c r="BQ98" s="110"/>
      <c r="BR98" s="46" t="s">
        <v>5</v>
      </c>
      <c r="BS98" s="103">
        <v>6.1654135338345863</v>
      </c>
      <c r="BT98" s="103">
        <v>26.300751879699249</v>
      </c>
      <c r="BU98" s="103">
        <v>29.849624060150376</v>
      </c>
      <c r="BV98" s="103">
        <v>21.744360902255639</v>
      </c>
      <c r="BW98" s="103">
        <v>11.428571428571429</v>
      </c>
      <c r="BX98" s="103">
        <v>3.6090225563909777</v>
      </c>
      <c r="BY98" s="103">
        <v>0.5714285714285714</v>
      </c>
      <c r="BZ98" s="103">
        <v>0.2857142857142857</v>
      </c>
      <c r="CA98" s="103">
        <v>4.5112781954887216E-2</v>
      </c>
      <c r="CB98" s="103">
        <v>0</v>
      </c>
      <c r="CC98" s="42"/>
      <c r="CD98" s="110"/>
      <c r="CE98" s="46" t="s">
        <v>5</v>
      </c>
      <c r="CF98" s="103">
        <v>2.8273809523809526</v>
      </c>
      <c r="CG98" s="103">
        <v>18.388605442176871</v>
      </c>
      <c r="CH98" s="103">
        <v>30.860260770975056</v>
      </c>
      <c r="CI98" s="103">
        <v>26.643990929705215</v>
      </c>
      <c r="CJ98" s="103">
        <v>15.936791383219957</v>
      </c>
      <c r="CK98" s="103">
        <v>4.0745464852607709</v>
      </c>
      <c r="CL98" s="103">
        <v>0.7369614512471655</v>
      </c>
      <c r="CM98" s="103">
        <v>0.3401360544217687</v>
      </c>
      <c r="CN98" s="103">
        <v>0.13463718820861678</v>
      </c>
      <c r="CO98" s="103">
        <v>5.6689342403628121E-2</v>
      </c>
      <c r="CQ98" s="110"/>
      <c r="CR98" s="46" t="s">
        <v>5</v>
      </c>
      <c r="CS98" s="103">
        <v>2.4673851389676686</v>
      </c>
      <c r="CT98" s="103">
        <v>14.095292115711855</v>
      </c>
      <c r="CU98" s="103">
        <v>25.865002836074876</v>
      </c>
      <c r="CV98" s="103">
        <v>24.815655133295518</v>
      </c>
      <c r="CW98" s="103">
        <v>20.986954055587066</v>
      </c>
      <c r="CX98" s="103">
        <v>7.7424844015882028</v>
      </c>
      <c r="CY98" s="103">
        <v>1.9852524106636416</v>
      </c>
      <c r="CZ98" s="103">
        <v>1.3329551900170165</v>
      </c>
      <c r="DA98" s="103">
        <v>0.4821327283040272</v>
      </c>
      <c r="DB98" s="103">
        <v>0.22688598979013047</v>
      </c>
      <c r="DC98" s="42"/>
      <c r="DD98" s="110"/>
      <c r="DE98" s="46" t="s">
        <v>5</v>
      </c>
      <c r="DF98" s="103">
        <v>4.1889069389649567</v>
      </c>
      <c r="DG98" s="103">
        <v>22.319563703875609</v>
      </c>
      <c r="DH98" s="103">
        <v>31.492225574379205</v>
      </c>
      <c r="DI98" s="103">
        <v>25.127639823624971</v>
      </c>
      <c r="DJ98" s="103">
        <v>13.164307263866327</v>
      </c>
      <c r="DK98" s="103">
        <v>3.1445811093061034</v>
      </c>
      <c r="DL98" s="103">
        <v>0.41773033186354142</v>
      </c>
      <c r="DM98" s="103">
        <v>0.11603620329542817</v>
      </c>
      <c r="DN98" s="103">
        <v>2.9009050823857043E-2</v>
      </c>
      <c r="DO98" s="103">
        <v>0</v>
      </c>
    </row>
    <row r="99" spans="2:119" ht="14.25" customHeight="1" x14ac:dyDescent="0.45">
      <c r="B99" s="99"/>
      <c r="C99" s="42"/>
      <c r="D99" s="110"/>
      <c r="E99" s="47" t="s">
        <v>6</v>
      </c>
      <c r="F99" s="103">
        <v>1.9019227213902756</v>
      </c>
      <c r="G99" s="103">
        <v>10.56803475688667</v>
      </c>
      <c r="H99" s="103">
        <v>23.643464596043632</v>
      </c>
      <c r="I99" s="103">
        <v>29.758273248289886</v>
      </c>
      <c r="J99" s="103">
        <v>24.438435940099833</v>
      </c>
      <c r="K99" s="103">
        <v>7.6238676280273614</v>
      </c>
      <c r="L99" s="103">
        <v>1.4351081530782028</v>
      </c>
      <c r="M99" s="103">
        <v>0.49916805324459235</v>
      </c>
      <c r="N99" s="103">
        <v>0.11323719726381955</v>
      </c>
      <c r="O99" s="103">
        <v>1.8487705675725642E-2</v>
      </c>
      <c r="P99" s="42"/>
      <c r="Q99" s="110"/>
      <c r="R99" s="46" t="s">
        <v>6</v>
      </c>
      <c r="S99" s="103">
        <v>1.680672268907563</v>
      </c>
      <c r="T99" s="103">
        <v>10.237244068898278</v>
      </c>
      <c r="U99" s="103">
        <v>24.471888202794929</v>
      </c>
      <c r="V99" s="103">
        <v>30.080319420585916</v>
      </c>
      <c r="W99" s="103">
        <v>24.369747899159663</v>
      </c>
      <c r="X99" s="103">
        <v>7.2473188170295746</v>
      </c>
      <c r="Y99" s="103">
        <v>1.3928223222990854</v>
      </c>
      <c r="Z99" s="103">
        <v>0.44570314313570736</v>
      </c>
      <c r="AA99" s="103">
        <v>6.4998375040623987E-2</v>
      </c>
      <c r="AB99" s="103">
        <v>9.2854821486605694E-3</v>
      </c>
      <c r="AC99" s="42"/>
      <c r="AD99" s="110"/>
      <c r="AE99" s="46" t="s">
        <v>6</v>
      </c>
      <c r="AF99" s="103">
        <v>2.1211981778861642</v>
      </c>
      <c r="AG99" s="103">
        <v>10.895872636083375</v>
      </c>
      <c r="AH99" s="103">
        <v>22.822435926931394</v>
      </c>
      <c r="AI99" s="103">
        <v>29.439101826715135</v>
      </c>
      <c r="AJ99" s="103">
        <v>24.506510836055767</v>
      </c>
      <c r="AK99" s="103">
        <v>7.9970551695578154</v>
      </c>
      <c r="AL99" s="103">
        <v>1.4770165186582616</v>
      </c>
      <c r="AM99" s="103">
        <v>0.55215570790963053</v>
      </c>
      <c r="AN99" s="103">
        <v>0.16104541480697557</v>
      </c>
      <c r="AO99" s="103">
        <v>2.7607785395481522E-2</v>
      </c>
      <c r="AP99" s="6"/>
      <c r="AQ99" s="110"/>
      <c r="AR99" s="46" t="s">
        <v>6</v>
      </c>
      <c r="AS99" s="103">
        <v>3.2664576802507836</v>
      </c>
      <c r="AT99" s="103">
        <v>15.072100313479625</v>
      </c>
      <c r="AU99" s="103">
        <v>27.956112852664578</v>
      </c>
      <c r="AV99" s="103">
        <v>28.012539184952978</v>
      </c>
      <c r="AW99" s="103">
        <v>19.047021943573668</v>
      </c>
      <c r="AX99" s="103">
        <v>5.0783699059561132</v>
      </c>
      <c r="AY99" s="103">
        <v>1.0595611285266457</v>
      </c>
      <c r="AZ99" s="103">
        <v>0.38871473354231978</v>
      </c>
      <c r="BA99" s="103">
        <v>0.10658307210031348</v>
      </c>
      <c r="BB99" s="103">
        <v>1.2539184952978056E-2</v>
      </c>
      <c r="BC99" s="42"/>
      <c r="BD99" s="110"/>
      <c r="BE99" s="46" t="s">
        <v>6</v>
      </c>
      <c r="BF99" s="103">
        <v>1.1053363589781129</v>
      </c>
      <c r="BG99" s="103">
        <v>7.9386574921308837</v>
      </c>
      <c r="BH99" s="103">
        <v>21.125832662323401</v>
      </c>
      <c r="BI99" s="103">
        <v>30.77739550545348</v>
      </c>
      <c r="BJ99" s="103">
        <v>27.5858282702584</v>
      </c>
      <c r="BK99" s="103">
        <v>9.1098748261474274</v>
      </c>
      <c r="BL99" s="103">
        <v>1.6543444842983677</v>
      </c>
      <c r="BM99" s="103">
        <v>0.56364834199546154</v>
      </c>
      <c r="BN99" s="103">
        <v>0.11712173340165434</v>
      </c>
      <c r="BO99" s="103">
        <v>2.196032501281019E-2</v>
      </c>
      <c r="BQ99" s="110"/>
      <c r="BR99" s="46" t="s">
        <v>6</v>
      </c>
      <c r="BS99" s="103">
        <v>3.8247720702690682</v>
      </c>
      <c r="BT99" s="103">
        <v>16.889037135868357</v>
      </c>
      <c r="BU99" s="103">
        <v>25.883922615076717</v>
      </c>
      <c r="BV99" s="103">
        <v>26.161885701578829</v>
      </c>
      <c r="BW99" s="103">
        <v>19.535245719368469</v>
      </c>
      <c r="BX99" s="103">
        <v>6.2263731376473199</v>
      </c>
      <c r="BY99" s="103">
        <v>0.92283744718701355</v>
      </c>
      <c r="BZ99" s="103">
        <v>0.41138536802312653</v>
      </c>
      <c r="CA99" s="103">
        <v>0.12230375806092952</v>
      </c>
      <c r="CB99" s="103">
        <v>2.2237046920169E-2</v>
      </c>
      <c r="CC99" s="42"/>
      <c r="CD99" s="110"/>
      <c r="CE99" s="46" t="s">
        <v>6</v>
      </c>
      <c r="CF99" s="103">
        <v>1.3973977478265942</v>
      </c>
      <c r="CG99" s="103">
        <v>8.9095046385436714</v>
      </c>
      <c r="CH99" s="103">
        <v>23.055604177606629</v>
      </c>
      <c r="CI99" s="103">
        <v>30.70190792928409</v>
      </c>
      <c r="CJ99" s="103">
        <v>25.724954781492503</v>
      </c>
      <c r="CK99" s="103">
        <v>7.9905478732714865</v>
      </c>
      <c r="CL99" s="103">
        <v>1.5695198086236071</v>
      </c>
      <c r="CM99" s="103">
        <v>0.52220082851975025</v>
      </c>
      <c r="CN99" s="103">
        <v>0.11085827644553357</v>
      </c>
      <c r="CO99" s="103">
        <v>1.7503938386136883E-2</v>
      </c>
      <c r="CQ99" s="110"/>
      <c r="CR99" s="46" t="s">
        <v>6</v>
      </c>
      <c r="CS99" s="103">
        <v>1.4275414563806776</v>
      </c>
      <c r="CT99" s="103">
        <v>6.0129776496034602</v>
      </c>
      <c r="CU99" s="103">
        <v>17.664023071377073</v>
      </c>
      <c r="CV99" s="103">
        <v>27.584715212689261</v>
      </c>
      <c r="CW99" s="103">
        <v>29.012256669069934</v>
      </c>
      <c r="CX99" s="103">
        <v>11.694304253785148</v>
      </c>
      <c r="CY99" s="103">
        <v>4.268204758471521</v>
      </c>
      <c r="CZ99" s="103">
        <v>1.788031723143475</v>
      </c>
      <c r="DA99" s="103">
        <v>0.46142754145638071</v>
      </c>
      <c r="DB99" s="103">
        <v>8.6517664023071372E-2</v>
      </c>
      <c r="DC99" s="42"/>
      <c r="DD99" s="110"/>
      <c r="DE99" s="46" t="s">
        <v>6</v>
      </c>
      <c r="DF99" s="103">
        <v>1.9924594765665851</v>
      </c>
      <c r="DG99" s="103">
        <v>11.437377879296584</v>
      </c>
      <c r="DH99" s="103">
        <v>24.784654759611417</v>
      </c>
      <c r="DI99" s="103">
        <v>30.173101797066348</v>
      </c>
      <c r="DJ99" s="103">
        <v>23.56551173734761</v>
      </c>
      <c r="DK99" s="103">
        <v>6.8470154388089277</v>
      </c>
      <c r="DL99" s="103">
        <v>0.89440515177367419</v>
      </c>
      <c r="DM99" s="103">
        <v>0.25318545834824008</v>
      </c>
      <c r="DN99" s="103">
        <v>4.6784269477392185E-2</v>
      </c>
      <c r="DO99" s="103">
        <v>5.5040317032226099E-3</v>
      </c>
    </row>
    <row r="100" spans="2:119" ht="14.25" customHeight="1" x14ac:dyDescent="0.45">
      <c r="B100" s="99"/>
      <c r="C100" s="42"/>
      <c r="D100" s="110"/>
      <c r="E100" s="47" t="s">
        <v>7</v>
      </c>
      <c r="F100" s="103">
        <v>1.0105103203748258</v>
      </c>
      <c r="G100" s="103">
        <v>4.5283018867924527</v>
      </c>
      <c r="H100" s="103">
        <v>12.939090793972394</v>
      </c>
      <c r="I100" s="103">
        <v>25.451437254653662</v>
      </c>
      <c r="J100" s="103">
        <v>34.263644421932383</v>
      </c>
      <c r="K100" s="103">
        <v>16.102317335697101</v>
      </c>
      <c r="L100" s="103">
        <v>3.8584272508547546</v>
      </c>
      <c r="M100" s="103">
        <v>1.4169937951120679</v>
      </c>
      <c r="N100" s="103">
        <v>0.38242370520450802</v>
      </c>
      <c r="O100" s="103">
        <v>4.6853235405850326E-2</v>
      </c>
      <c r="P100" s="42"/>
      <c r="Q100" s="110"/>
      <c r="R100" s="46" t="s">
        <v>7</v>
      </c>
      <c r="S100" s="103">
        <v>0.9045783253962254</v>
      </c>
      <c r="T100" s="103">
        <v>4.2532819311109433</v>
      </c>
      <c r="U100" s="103">
        <v>13.25622999974803</v>
      </c>
      <c r="V100" s="103">
        <v>25.549928188071664</v>
      </c>
      <c r="W100" s="103">
        <v>34.439489001436243</v>
      </c>
      <c r="X100" s="103">
        <v>16.10350996547988</v>
      </c>
      <c r="Y100" s="103">
        <v>3.8677652631844182</v>
      </c>
      <c r="Z100" s="103">
        <v>1.297654143674251</v>
      </c>
      <c r="AA100" s="103">
        <v>0.30992516441152018</v>
      </c>
      <c r="AB100" s="103">
        <v>1.7638017486834481E-2</v>
      </c>
      <c r="AC100" s="42"/>
      <c r="AD100" s="110"/>
      <c r="AE100" s="46" t="s">
        <v>7</v>
      </c>
      <c r="AF100" s="103">
        <v>1.1175317567395564</v>
      </c>
      <c r="AG100" s="103">
        <v>4.8061502431077052</v>
      </c>
      <c r="AH100" s="103">
        <v>12.6186900185831</v>
      </c>
      <c r="AI100" s="103">
        <v>25.351933406308074</v>
      </c>
      <c r="AJ100" s="103">
        <v>34.085991395769163</v>
      </c>
      <c r="AK100" s="103">
        <v>16.101112440495889</v>
      </c>
      <c r="AL100" s="103">
        <v>3.8489932031667644</v>
      </c>
      <c r="AM100" s="103">
        <v>1.5375607769264059</v>
      </c>
      <c r="AN100" s="103">
        <v>0.45566784614209704</v>
      </c>
      <c r="AO100" s="103">
        <v>7.6368912761245328E-2</v>
      </c>
      <c r="AP100" s="6"/>
      <c r="AQ100" s="110"/>
      <c r="AR100" s="46" t="s">
        <v>7</v>
      </c>
      <c r="AS100" s="103">
        <v>1.9095399214405167</v>
      </c>
      <c r="AT100" s="103">
        <v>7.7431649360245798</v>
      </c>
      <c r="AU100" s="103">
        <v>17.878116128028623</v>
      </c>
      <c r="AV100" s="103">
        <v>27.678606152529849</v>
      </c>
      <c r="AW100" s="103">
        <v>29.257573989810602</v>
      </c>
      <c r="AX100" s="103">
        <v>11.515575778788939</v>
      </c>
      <c r="AY100" s="103">
        <v>2.7690273402559016</v>
      </c>
      <c r="AZ100" s="103">
        <v>0.92949091899039404</v>
      </c>
      <c r="BA100" s="103">
        <v>0.27612491735697897</v>
      </c>
      <c r="BB100" s="103">
        <v>4.2779916773616457E-2</v>
      </c>
      <c r="BC100" s="42"/>
      <c r="BD100" s="110"/>
      <c r="BE100" s="46" t="s">
        <v>7</v>
      </c>
      <c r="BF100" s="103">
        <v>0.57645004412565481</v>
      </c>
      <c r="BG100" s="103">
        <v>2.9761345926357099</v>
      </c>
      <c r="BH100" s="103">
        <v>10.554481101075915</v>
      </c>
      <c r="BI100" s="103">
        <v>24.376138348010588</v>
      </c>
      <c r="BJ100" s="103">
        <v>36.68062414330511</v>
      </c>
      <c r="BK100" s="103">
        <v>18.316840978650696</v>
      </c>
      <c r="BL100" s="103">
        <v>4.3844001727472444</v>
      </c>
      <c r="BM100" s="103">
        <v>1.652364947330867</v>
      </c>
      <c r="BN100" s="103">
        <v>0.43374579867435265</v>
      </c>
      <c r="BO100" s="103">
        <v>4.8819873443866534E-2</v>
      </c>
      <c r="BQ100" s="110"/>
      <c r="BR100" s="46" t="s">
        <v>7</v>
      </c>
      <c r="BS100" s="103">
        <v>2.5409212028930339</v>
      </c>
      <c r="BT100" s="103">
        <v>9.4118766653977914</v>
      </c>
      <c r="BU100" s="103">
        <v>18.899885801294253</v>
      </c>
      <c r="BV100" s="103">
        <v>25.418728587742674</v>
      </c>
      <c r="BW100" s="103">
        <v>27.046060144651697</v>
      </c>
      <c r="BX100" s="103">
        <v>12.666539779215835</v>
      </c>
      <c r="BY100" s="103">
        <v>2.5789874381423679</v>
      </c>
      <c r="BZ100" s="103">
        <v>1.056338028169014</v>
      </c>
      <c r="CA100" s="103">
        <v>0.36162923486867149</v>
      </c>
      <c r="CB100" s="103">
        <v>1.9033117624666921E-2</v>
      </c>
      <c r="CC100" s="42"/>
      <c r="CD100" s="110"/>
      <c r="CE100" s="46" t="s">
        <v>7</v>
      </c>
      <c r="CF100" s="103">
        <v>0.77561274867809882</v>
      </c>
      <c r="CG100" s="103">
        <v>3.7787385703017735</v>
      </c>
      <c r="CH100" s="103">
        <v>12.024188600975725</v>
      </c>
      <c r="CI100" s="103">
        <v>25.456457596915076</v>
      </c>
      <c r="CJ100" s="103">
        <v>35.371446934065617</v>
      </c>
      <c r="CK100" s="103">
        <v>16.629663170810087</v>
      </c>
      <c r="CL100" s="103">
        <v>4.0548041249160116</v>
      </c>
      <c r="CM100" s="103">
        <v>1.4723496246092724</v>
      </c>
      <c r="CN100" s="103">
        <v>0.38561537787385702</v>
      </c>
      <c r="CO100" s="103">
        <v>5.1123250854488628E-2</v>
      </c>
      <c r="CQ100" s="110"/>
      <c r="CR100" s="46" t="s">
        <v>7</v>
      </c>
      <c r="CS100" s="103">
        <v>0.87844055885551742</v>
      </c>
      <c r="CT100" s="103">
        <v>2.6855182799297248</v>
      </c>
      <c r="CU100" s="103">
        <v>8.642181879026186</v>
      </c>
      <c r="CV100" s="103">
        <v>20.463481971053294</v>
      </c>
      <c r="CW100" s="103">
        <v>33.46440224211495</v>
      </c>
      <c r="CX100" s="103">
        <v>20.070275244708441</v>
      </c>
      <c r="CY100" s="103">
        <v>8.6087174767840704</v>
      </c>
      <c r="CZ100" s="103">
        <v>3.7898435539195181</v>
      </c>
      <c r="DA100" s="103">
        <v>1.2130845812766669</v>
      </c>
      <c r="DB100" s="103">
        <v>0.18405421233163224</v>
      </c>
      <c r="DC100" s="42"/>
      <c r="DD100" s="110"/>
      <c r="DE100" s="46" t="s">
        <v>7</v>
      </c>
      <c r="DF100" s="103">
        <v>1.0340659832579793</v>
      </c>
      <c r="DG100" s="103">
        <v>4.8569765880299025</v>
      </c>
      <c r="DH100" s="103">
        <v>13.705477714609726</v>
      </c>
      <c r="DI100" s="103">
        <v>26.341077637017474</v>
      </c>
      <c r="DJ100" s="103">
        <v>34.406195442947315</v>
      </c>
      <c r="DK100" s="103">
        <v>15.394601369801691</v>
      </c>
      <c r="DL100" s="103">
        <v>3.0111762687079398</v>
      </c>
      <c r="DM100" s="103">
        <v>0.99377769819598005</v>
      </c>
      <c r="DN100" s="103">
        <v>0.2342689168419953</v>
      </c>
      <c r="DO100" s="103">
        <v>2.2382380589999553E-2</v>
      </c>
    </row>
    <row r="101" spans="2:119" ht="14.25" customHeight="1" x14ac:dyDescent="0.45">
      <c r="B101" s="99"/>
      <c r="C101" s="42"/>
      <c r="D101" s="110"/>
      <c r="E101" s="47" t="s">
        <v>8</v>
      </c>
      <c r="F101" s="103">
        <v>0.44176472872732919</v>
      </c>
      <c r="G101" s="103">
        <v>1.5563711212085907</v>
      </c>
      <c r="H101" s="103">
        <v>5.2866130723523241</v>
      </c>
      <c r="I101" s="103">
        <v>14.583090605460406</v>
      </c>
      <c r="J101" s="103">
        <v>35.003301099071813</v>
      </c>
      <c r="K101" s="103">
        <v>26.969008505184668</v>
      </c>
      <c r="L101" s="103">
        <v>9.9683482853703058</v>
      </c>
      <c r="M101" s="103">
        <v>4.558429453571013</v>
      </c>
      <c r="N101" s="103">
        <v>1.4155889549108702</v>
      </c>
      <c r="O101" s="103">
        <v>0.21748417414268517</v>
      </c>
      <c r="P101" s="42"/>
      <c r="Q101" s="110"/>
      <c r="R101" s="46" t="s">
        <v>8</v>
      </c>
      <c r="S101" s="103">
        <v>0.35623118832628492</v>
      </c>
      <c r="T101" s="103">
        <v>1.4020649979045225</v>
      </c>
      <c r="U101" s="103">
        <v>5.1701146797729258</v>
      </c>
      <c r="V101" s="103">
        <v>14.449270392806795</v>
      </c>
      <c r="W101" s="103">
        <v>35.17544862269974</v>
      </c>
      <c r="X101" s="103">
        <v>27.359317255305371</v>
      </c>
      <c r="Y101" s="103">
        <v>10.225930582542766</v>
      </c>
      <c r="Z101" s="103">
        <v>4.5128967120051815</v>
      </c>
      <c r="AA101" s="103">
        <v>1.2325218120166115</v>
      </c>
      <c r="AB101" s="103">
        <v>0.11620375661980417</v>
      </c>
      <c r="AC101" s="42"/>
      <c r="AD101" s="110"/>
      <c r="AE101" s="46" t="s">
        <v>8</v>
      </c>
      <c r="AF101" s="103">
        <v>0.53067205259197647</v>
      </c>
      <c r="AG101" s="103">
        <v>1.7167636925270287</v>
      </c>
      <c r="AH101" s="103">
        <v>5.4077066254801789</v>
      </c>
      <c r="AI101" s="103">
        <v>14.722189220228902</v>
      </c>
      <c r="AJ101" s="103">
        <v>34.82436339154885</v>
      </c>
      <c r="AK101" s="103">
        <v>26.563304423587187</v>
      </c>
      <c r="AL101" s="103">
        <v>9.7006059165973628</v>
      </c>
      <c r="AM101" s="103">
        <v>4.6057581877945424</v>
      </c>
      <c r="AN101" s="103">
        <v>1.6058769949704961</v>
      </c>
      <c r="AO101" s="103">
        <v>0.32275949467347831</v>
      </c>
      <c r="AP101" s="6"/>
      <c r="AQ101" s="110"/>
      <c r="AR101" s="46" t="s">
        <v>8</v>
      </c>
      <c r="AS101" s="103">
        <v>0.87438379331438232</v>
      </c>
      <c r="AT101" s="103">
        <v>3.2276636321111147</v>
      </c>
      <c r="AU101" s="103">
        <v>9.2835810154366527</v>
      </c>
      <c r="AV101" s="103">
        <v>19.499118419632254</v>
      </c>
      <c r="AW101" s="103">
        <v>34.604728149400884</v>
      </c>
      <c r="AX101" s="103">
        <v>20.808894965996185</v>
      </c>
      <c r="AY101" s="103">
        <v>7.261343600446188</v>
      </c>
      <c r="AZ101" s="103">
        <v>3.288834514770969</v>
      </c>
      <c r="BA101" s="103">
        <v>1.0111187074952324</v>
      </c>
      <c r="BB101" s="103">
        <v>0.14033320139613545</v>
      </c>
      <c r="BC101" s="42"/>
      <c r="BD101" s="110"/>
      <c r="BE101" s="46" t="s">
        <v>8</v>
      </c>
      <c r="BF101" s="103">
        <v>0.28189615052190681</v>
      </c>
      <c r="BG101" s="103">
        <v>0.93876736919087833</v>
      </c>
      <c r="BH101" s="103">
        <v>3.8095871285153913</v>
      </c>
      <c r="BI101" s="103">
        <v>12.766438401702015</v>
      </c>
      <c r="BJ101" s="103">
        <v>35.150588391729279</v>
      </c>
      <c r="BK101" s="103">
        <v>29.245395917824613</v>
      </c>
      <c r="BL101" s="103">
        <v>10.968685592713252</v>
      </c>
      <c r="BM101" s="103">
        <v>5.0275912505817439</v>
      </c>
      <c r="BN101" s="103">
        <v>1.5650555149258691</v>
      </c>
      <c r="BO101" s="103">
        <v>0.24599428229506018</v>
      </c>
      <c r="BQ101" s="110"/>
      <c r="BR101" s="46" t="s">
        <v>8</v>
      </c>
      <c r="BS101" s="103">
        <v>1.4199463327370303</v>
      </c>
      <c r="BT101" s="103">
        <v>5.2325581395348841</v>
      </c>
      <c r="BU101" s="103">
        <v>11.67262969588551</v>
      </c>
      <c r="BV101" s="103">
        <v>18.98479427549195</v>
      </c>
      <c r="BW101" s="103">
        <v>30.199016100178888</v>
      </c>
      <c r="BX101" s="103">
        <v>20.673076923076923</v>
      </c>
      <c r="BY101" s="103">
        <v>7.1444543828264759</v>
      </c>
      <c r="BZ101" s="103">
        <v>3.331842576028623</v>
      </c>
      <c r="CA101" s="103">
        <v>1.1292486583184258</v>
      </c>
      <c r="CB101" s="103">
        <v>0.21243291592128802</v>
      </c>
      <c r="CC101" s="42"/>
      <c r="CD101" s="110"/>
      <c r="CE101" s="46" t="s">
        <v>8</v>
      </c>
      <c r="CF101" s="103">
        <v>0.34874324841576998</v>
      </c>
      <c r="CG101" s="103">
        <v>1.206779228511887</v>
      </c>
      <c r="CH101" s="103">
        <v>4.6793263301152557</v>
      </c>
      <c r="CI101" s="103">
        <v>14.164504742057584</v>
      </c>
      <c r="CJ101" s="103">
        <v>35.460170969251052</v>
      </c>
      <c r="CK101" s="103">
        <v>27.567728490622205</v>
      </c>
      <c r="CL101" s="103">
        <v>10.236890230936078</v>
      </c>
      <c r="CM101" s="103">
        <v>4.675073363671161</v>
      </c>
      <c r="CN101" s="103">
        <v>1.4428188661591461</v>
      </c>
      <c r="CO101" s="103">
        <v>0.21796453025985627</v>
      </c>
      <c r="CQ101" s="110"/>
      <c r="CR101" s="46" t="s">
        <v>8</v>
      </c>
      <c r="CS101" s="103">
        <v>0.43382405234336108</v>
      </c>
      <c r="CT101" s="103">
        <v>0.85342436526562837</v>
      </c>
      <c r="CU101" s="103">
        <v>3.5772704644050921</v>
      </c>
      <c r="CV101" s="103">
        <v>11.336320318611763</v>
      </c>
      <c r="CW101" s="103">
        <v>28.148780314344641</v>
      </c>
      <c r="CX101" s="103">
        <v>25.716520873337601</v>
      </c>
      <c r="CY101" s="103">
        <v>15.425645402176233</v>
      </c>
      <c r="CZ101" s="103">
        <v>10.16997368608207</v>
      </c>
      <c r="DA101" s="103">
        <v>3.7692909465898587</v>
      </c>
      <c r="DB101" s="103">
        <v>0.56894957684375225</v>
      </c>
      <c r="DC101" s="42"/>
      <c r="DD101" s="110"/>
      <c r="DE101" s="46" t="s">
        <v>8</v>
      </c>
      <c r="DF101" s="103">
        <v>0.4430201832799236</v>
      </c>
      <c r="DG101" s="103">
        <v>1.6675099791982908</v>
      </c>
      <c r="DH101" s="103">
        <v>5.556867375049193</v>
      </c>
      <c r="DI101" s="103">
        <v>15.096418732782368</v>
      </c>
      <c r="DJ101" s="103">
        <v>36.087029853263616</v>
      </c>
      <c r="DK101" s="103">
        <v>27.167032102097039</v>
      </c>
      <c r="DL101" s="103">
        <v>9.1055265081239103</v>
      </c>
      <c r="DM101" s="103">
        <v>3.6712205543374377</v>
      </c>
      <c r="DN101" s="103">
        <v>1.043458705796368</v>
      </c>
      <c r="DO101" s="103">
        <v>0.16191600607185022</v>
      </c>
    </row>
    <row r="102" spans="2:119" ht="15.4" customHeight="1" x14ac:dyDescent="0.45">
      <c r="B102" s="99"/>
      <c r="C102" s="42"/>
      <c r="D102" s="110"/>
      <c r="E102" s="47" t="s">
        <v>9</v>
      </c>
      <c r="F102" s="103">
        <v>0.16319907489438687</v>
      </c>
      <c r="G102" s="103">
        <v>0.32639814978877374</v>
      </c>
      <c r="H102" s="103">
        <v>1.2058080219339558</v>
      </c>
      <c r="I102" s="103">
        <v>4.7458290979287705</v>
      </c>
      <c r="J102" s="103">
        <v>21.81178950117037</v>
      </c>
      <c r="K102" s="103">
        <v>30.230996633436224</v>
      </c>
      <c r="L102" s="103">
        <v>20.44371497048428</v>
      </c>
      <c r="M102" s="103">
        <v>13.594949221773552</v>
      </c>
      <c r="N102" s="103">
        <v>6.1959694491331794</v>
      </c>
      <c r="O102" s="103">
        <v>1.2813458794565005</v>
      </c>
      <c r="P102" s="42"/>
      <c r="Q102" s="110"/>
      <c r="R102" s="46" t="s">
        <v>9</v>
      </c>
      <c r="S102" s="103">
        <v>0.14214109373831077</v>
      </c>
      <c r="T102" s="103">
        <v>0.23004413855016084</v>
      </c>
      <c r="U102" s="103">
        <v>1.1202962519637916</v>
      </c>
      <c r="V102" s="103">
        <v>4.5298122241340621</v>
      </c>
      <c r="W102" s="103">
        <v>21.496970150370316</v>
      </c>
      <c r="X102" s="103">
        <v>30.741752076008076</v>
      </c>
      <c r="Y102" s="103">
        <v>21.308072117902295</v>
      </c>
      <c r="Z102" s="103">
        <v>13.871848582329619</v>
      </c>
      <c r="AA102" s="103">
        <v>5.6388868108027239</v>
      </c>
      <c r="AB102" s="103">
        <v>0.92017655420064337</v>
      </c>
      <c r="AC102" s="42"/>
      <c r="AD102" s="110"/>
      <c r="AE102" s="46" t="s">
        <v>9</v>
      </c>
      <c r="AF102" s="103">
        <v>0.18414150996038167</v>
      </c>
      <c r="AG102" s="103">
        <v>0.42222346223239032</v>
      </c>
      <c r="AH102" s="103">
        <v>1.2908505849747967</v>
      </c>
      <c r="AI102" s="103">
        <v>4.9606606774175548</v>
      </c>
      <c r="AJ102" s="103">
        <v>22.124881424027677</v>
      </c>
      <c r="AK102" s="103">
        <v>29.723043728958576</v>
      </c>
      <c r="AL102" s="103">
        <v>19.584100589624835</v>
      </c>
      <c r="AM102" s="103">
        <v>13.319569220467608</v>
      </c>
      <c r="AN102" s="103">
        <v>6.7499953499618695</v>
      </c>
      <c r="AO102" s="103">
        <v>1.6405334523743094</v>
      </c>
      <c r="AP102" s="6"/>
      <c r="AQ102" s="110"/>
      <c r="AR102" s="46" t="s">
        <v>9</v>
      </c>
      <c r="AS102" s="103">
        <v>0.40628627556031788</v>
      </c>
      <c r="AT102" s="103">
        <v>0.92418965979105283</v>
      </c>
      <c r="AU102" s="103">
        <v>2.9332976158585589</v>
      </c>
      <c r="AV102" s="103">
        <v>8.5141530493794075</v>
      </c>
      <c r="AW102" s="103">
        <v>26.993481560853649</v>
      </c>
      <c r="AX102" s="103">
        <v>29.078489150817038</v>
      </c>
      <c r="AY102" s="103">
        <v>15.970175908563263</v>
      </c>
      <c r="AZ102" s="103">
        <v>10.063398517724798</v>
      </c>
      <c r="BA102" s="103">
        <v>4.3218144477185465</v>
      </c>
      <c r="BB102" s="103">
        <v>0.79471381373336902</v>
      </c>
      <c r="BC102" s="42"/>
      <c r="BD102" s="110"/>
      <c r="BE102" s="46" t="s">
        <v>9</v>
      </c>
      <c r="BF102" s="103">
        <v>9.9018070797920632E-2</v>
      </c>
      <c r="BG102" s="103">
        <v>0.16856647766788868</v>
      </c>
      <c r="BH102" s="103">
        <v>0.7497082503271133</v>
      </c>
      <c r="BI102" s="103">
        <v>3.7508988247498021</v>
      </c>
      <c r="BJ102" s="103">
        <v>20.443695260099254</v>
      </c>
      <c r="BK102" s="103">
        <v>30.535286975587329</v>
      </c>
      <c r="BL102" s="103">
        <v>21.624839390331594</v>
      </c>
      <c r="BM102" s="103">
        <v>14.527365529923497</v>
      </c>
      <c r="BN102" s="103">
        <v>6.6907924982023514</v>
      </c>
      <c r="BO102" s="103">
        <v>1.4098287223132506</v>
      </c>
      <c r="BQ102" s="110"/>
      <c r="BR102" s="46" t="s">
        <v>9</v>
      </c>
      <c r="BS102" s="103">
        <v>0.64377682403433478</v>
      </c>
      <c r="BT102" s="103">
        <v>1.9466584917228695</v>
      </c>
      <c r="BU102" s="103">
        <v>4.0925812385039855</v>
      </c>
      <c r="BV102" s="103">
        <v>9.6259963212752915</v>
      </c>
      <c r="BW102" s="103">
        <v>25.275904353157575</v>
      </c>
      <c r="BX102" s="103">
        <v>26.594114040465971</v>
      </c>
      <c r="BY102" s="103">
        <v>15.818516247700797</v>
      </c>
      <c r="BZ102" s="103">
        <v>9.8252605763335374</v>
      </c>
      <c r="CA102" s="103">
        <v>4.7210300429184553</v>
      </c>
      <c r="CB102" s="103">
        <v>1.4561618638871858</v>
      </c>
      <c r="CC102" s="42"/>
      <c r="CD102" s="110"/>
      <c r="CE102" s="46" t="s">
        <v>9</v>
      </c>
      <c r="CF102" s="103">
        <v>0.13206629132036504</v>
      </c>
      <c r="CG102" s="103">
        <v>0.22143445837925863</v>
      </c>
      <c r="CH102" s="103">
        <v>1.0187971044713873</v>
      </c>
      <c r="CI102" s="103">
        <v>4.429682147219161</v>
      </c>
      <c r="CJ102" s="103">
        <v>21.58737724289275</v>
      </c>
      <c r="CK102" s="103">
        <v>30.466601130010822</v>
      </c>
      <c r="CL102" s="103">
        <v>20.743344554003198</v>
      </c>
      <c r="CM102" s="103">
        <v>13.839157158886673</v>
      </c>
      <c r="CN102" s="103">
        <v>6.291518960946112</v>
      </c>
      <c r="CO102" s="103">
        <v>1.2700209518702772</v>
      </c>
      <c r="CQ102" s="110"/>
      <c r="CR102" s="46" t="s">
        <v>9</v>
      </c>
      <c r="CS102" s="103">
        <v>0.19907100199071004</v>
      </c>
      <c r="CT102" s="103">
        <v>0.22119000221190005</v>
      </c>
      <c r="CU102" s="103">
        <v>0.77416500774165009</v>
      </c>
      <c r="CV102" s="103">
        <v>3.2809850328098502</v>
      </c>
      <c r="CW102" s="103">
        <v>15.217872152178721</v>
      </c>
      <c r="CX102" s="103">
        <v>23.254442232544424</v>
      </c>
      <c r="CY102" s="103">
        <v>21.868318218683182</v>
      </c>
      <c r="CZ102" s="103">
        <v>20.039814200398144</v>
      </c>
      <c r="DA102" s="103">
        <v>12.047482120474822</v>
      </c>
      <c r="DB102" s="103">
        <v>3.0966600309666004</v>
      </c>
      <c r="DC102" s="42"/>
      <c r="DD102" s="110"/>
      <c r="DE102" s="46" t="s">
        <v>9</v>
      </c>
      <c r="DF102" s="103">
        <v>0.15800486825810309</v>
      </c>
      <c r="DG102" s="103">
        <v>0.34163214758508775</v>
      </c>
      <c r="DH102" s="103">
        <v>1.2683093479096383</v>
      </c>
      <c r="DI102" s="103">
        <v>4.9579365418285857</v>
      </c>
      <c r="DJ102" s="103">
        <v>22.766579835162489</v>
      </c>
      <c r="DK102" s="103">
        <v>31.24119229619507</v>
      </c>
      <c r="DL102" s="103">
        <v>20.237434342571635</v>
      </c>
      <c r="DM102" s="103">
        <v>12.661741469872315</v>
      </c>
      <c r="DN102" s="103">
        <v>5.3486783106290297</v>
      </c>
      <c r="DO102" s="103">
        <v>1.0184908399880428</v>
      </c>
    </row>
    <row r="103" spans="2:119" ht="15.4" customHeight="1" x14ac:dyDescent="0.45">
      <c r="B103" s="99"/>
      <c r="C103" s="42"/>
      <c r="D103" s="110"/>
      <c r="E103" s="47" t="s">
        <v>10</v>
      </c>
      <c r="F103" s="103">
        <v>4.734186204151021E-2</v>
      </c>
      <c r="G103" s="103">
        <v>5.1645667681647495E-2</v>
      </c>
      <c r="H103" s="103">
        <v>0.13019012061415305</v>
      </c>
      <c r="I103" s="103">
        <v>0.82525473149632556</v>
      </c>
      <c r="J103" s="103">
        <v>6.2437460324291756</v>
      </c>
      <c r="K103" s="103">
        <v>15.999397467210381</v>
      </c>
      <c r="L103" s="103">
        <v>20.995039863999743</v>
      </c>
      <c r="M103" s="103">
        <v>24.78238882732056</v>
      </c>
      <c r="N103" s="103">
        <v>21.254344153818014</v>
      </c>
      <c r="O103" s="103">
        <v>9.6706512733884935</v>
      </c>
      <c r="P103" s="42"/>
      <c r="Q103" s="110"/>
      <c r="R103" s="46" t="s">
        <v>10</v>
      </c>
      <c r="S103" s="103">
        <v>3.1371143030004253E-2</v>
      </c>
      <c r="T103" s="103">
        <v>4.9297510475720972E-2</v>
      </c>
      <c r="U103" s="103">
        <v>9.1872633159298181E-2</v>
      </c>
      <c r="V103" s="103">
        <v>0.73498106527438545</v>
      </c>
      <c r="W103" s="103">
        <v>6.0613529925829654</v>
      </c>
      <c r="X103" s="103">
        <v>16.120285925560758</v>
      </c>
      <c r="Y103" s="103">
        <v>21.863445895982252</v>
      </c>
      <c r="Z103" s="103">
        <v>25.966343245120665</v>
      </c>
      <c r="AA103" s="103">
        <v>21.251708606897171</v>
      </c>
      <c r="AB103" s="103">
        <v>7.8293409819167774</v>
      </c>
      <c r="AC103" s="42"/>
      <c r="AD103" s="110"/>
      <c r="AE103" s="46" t="s">
        <v>10</v>
      </c>
      <c r="AF103" s="103">
        <v>6.2093803038456762E-2</v>
      </c>
      <c r="AG103" s="103">
        <v>5.3814629299995857E-2</v>
      </c>
      <c r="AH103" s="103">
        <v>0.16558347476921803</v>
      </c>
      <c r="AI103" s="103">
        <v>0.90863931779608387</v>
      </c>
      <c r="AJ103" s="103">
        <v>6.4122200604379689</v>
      </c>
      <c r="AK103" s="103">
        <v>15.887734404106471</v>
      </c>
      <c r="AL103" s="103">
        <v>20.192904748106137</v>
      </c>
      <c r="AM103" s="103">
        <v>23.688785859171254</v>
      </c>
      <c r="AN103" s="103">
        <v>21.256778573498362</v>
      </c>
      <c r="AO103" s="103">
        <v>11.371445129776047</v>
      </c>
      <c r="AP103" s="6"/>
      <c r="AQ103" s="110"/>
      <c r="AR103" s="46" t="s">
        <v>10</v>
      </c>
      <c r="AS103" s="103">
        <v>0.19141574026356475</v>
      </c>
      <c r="AT103" s="103">
        <v>0.21350217183243761</v>
      </c>
      <c r="AU103" s="103">
        <v>0.49326363837149378</v>
      </c>
      <c r="AV103" s="103">
        <v>2.2822645954501954</v>
      </c>
      <c r="AW103" s="103">
        <v>12.14017521902378</v>
      </c>
      <c r="AX103" s="103">
        <v>20.2606198925127</v>
      </c>
      <c r="AY103" s="103">
        <v>21.769859383052346</v>
      </c>
      <c r="AZ103" s="103">
        <v>21.114628579842449</v>
      </c>
      <c r="BA103" s="103">
        <v>15.357432084222925</v>
      </c>
      <c r="BB103" s="103">
        <v>6.1768386954281089</v>
      </c>
      <c r="BC103" s="42"/>
      <c r="BD103" s="110"/>
      <c r="BE103" s="46" t="s">
        <v>10</v>
      </c>
      <c r="BF103" s="103">
        <v>2.2682023236472695E-2</v>
      </c>
      <c r="BG103" s="103">
        <v>2.3942135638498955E-2</v>
      </c>
      <c r="BH103" s="103">
        <v>6.8046069709418081E-2</v>
      </c>
      <c r="BI103" s="103">
        <v>0.57587136772600112</v>
      </c>
      <c r="BJ103" s="103">
        <v>5.2345069180170869</v>
      </c>
      <c r="BK103" s="103">
        <v>15.270042087754227</v>
      </c>
      <c r="BL103" s="103">
        <v>20.862420927946772</v>
      </c>
      <c r="BM103" s="103">
        <v>25.41016658685955</v>
      </c>
      <c r="BN103" s="103">
        <v>22.263665918999976</v>
      </c>
      <c r="BO103" s="103">
        <v>10.268655964111998</v>
      </c>
      <c r="BQ103" s="110"/>
      <c r="BR103" s="46" t="s">
        <v>10</v>
      </c>
      <c r="BS103" s="103">
        <v>0.12712941774726672</v>
      </c>
      <c r="BT103" s="103">
        <v>0.48309178743961351</v>
      </c>
      <c r="BU103" s="103">
        <v>0.61022120518688028</v>
      </c>
      <c r="BV103" s="103">
        <v>2.9748283752860414</v>
      </c>
      <c r="BW103" s="103">
        <v>11.212814645308924</v>
      </c>
      <c r="BX103" s="103">
        <v>19.654207983727435</v>
      </c>
      <c r="BY103" s="103">
        <v>19.171116196287823</v>
      </c>
      <c r="BZ103" s="103">
        <v>20.340706839562674</v>
      </c>
      <c r="CA103" s="103">
        <v>16.653953724891942</v>
      </c>
      <c r="CB103" s="103">
        <v>8.7719298245614024</v>
      </c>
      <c r="CC103" s="42"/>
      <c r="CD103" s="110"/>
      <c r="CE103" s="46" t="s">
        <v>10</v>
      </c>
      <c r="CF103" s="103">
        <v>4.3816286176523458E-2</v>
      </c>
      <c r="CG103" s="103">
        <v>3.2581341003055903E-2</v>
      </c>
      <c r="CH103" s="103">
        <v>0.10897896818263526</v>
      </c>
      <c r="CI103" s="103">
        <v>0.73027143627539093</v>
      </c>
      <c r="CJ103" s="103">
        <v>6.0241776020133022</v>
      </c>
      <c r="CK103" s="103">
        <v>15.837902211037211</v>
      </c>
      <c r="CL103" s="103">
        <v>21.075633650907783</v>
      </c>
      <c r="CM103" s="103">
        <v>24.978653604170411</v>
      </c>
      <c r="CN103" s="103">
        <v>21.457621786805682</v>
      </c>
      <c r="CO103" s="103">
        <v>9.7103631134280075</v>
      </c>
      <c r="CQ103" s="110"/>
      <c r="CR103" s="46" t="s">
        <v>10</v>
      </c>
      <c r="CS103" s="103">
        <v>4.3361373688318446E-2</v>
      </c>
      <c r="CT103" s="103">
        <v>1.7344549475327379E-2</v>
      </c>
      <c r="CU103" s="103">
        <v>6.0705923163645821E-2</v>
      </c>
      <c r="CV103" s="103">
        <v>0.52900875899748512</v>
      </c>
      <c r="CW103" s="103">
        <v>3.876506807735669</v>
      </c>
      <c r="CX103" s="103">
        <v>9.9470991241002515</v>
      </c>
      <c r="CY103" s="103">
        <v>16.97164166160784</v>
      </c>
      <c r="CZ103" s="103">
        <v>25.418437256092275</v>
      </c>
      <c r="DA103" s="103">
        <v>27.560489116295205</v>
      </c>
      <c r="DB103" s="103">
        <v>15.575405428843986</v>
      </c>
      <c r="DC103" s="42"/>
      <c r="DD103" s="110"/>
      <c r="DE103" s="46" t="s">
        <v>10</v>
      </c>
      <c r="DF103" s="103">
        <v>4.7905662695000614E-2</v>
      </c>
      <c r="DG103" s="103">
        <v>5.6504114973590473E-2</v>
      </c>
      <c r="DH103" s="103">
        <v>0.14003193710846334</v>
      </c>
      <c r="DI103" s="103">
        <v>0.8672153298120624</v>
      </c>
      <c r="DJ103" s="103">
        <v>6.5790443434467507</v>
      </c>
      <c r="DK103" s="103">
        <v>16.856651517012651</v>
      </c>
      <c r="DL103" s="103">
        <v>21.564918314703355</v>
      </c>
      <c r="DM103" s="103">
        <v>24.692298243459035</v>
      </c>
      <c r="DN103" s="103">
        <v>20.361134995700773</v>
      </c>
      <c r="DO103" s="103">
        <v>8.8342955410883182</v>
      </c>
    </row>
    <row r="104" spans="2:119" ht="15.4" customHeight="1" x14ac:dyDescent="0.45">
      <c r="B104" s="99"/>
      <c r="C104" s="42"/>
      <c r="D104" s="111"/>
      <c r="E104" s="47" t="s">
        <v>11</v>
      </c>
      <c r="F104" s="103">
        <v>1.3290213972444958E-2</v>
      </c>
      <c r="G104" s="103">
        <v>0</v>
      </c>
      <c r="H104" s="103">
        <v>2.2150356620741597E-2</v>
      </c>
      <c r="I104" s="103">
        <v>5.7590927213928146E-2</v>
      </c>
      <c r="J104" s="103">
        <v>0.8195631949674389</v>
      </c>
      <c r="K104" s="103">
        <v>3.6725291277189562</v>
      </c>
      <c r="L104" s="103">
        <v>9.2189784255526508</v>
      </c>
      <c r="M104" s="103">
        <v>18.628449918043678</v>
      </c>
      <c r="N104" s="103">
        <v>32.069286315509679</v>
      </c>
      <c r="O104" s="103">
        <v>35.49816152040048</v>
      </c>
      <c r="P104" s="42"/>
      <c r="Q104" s="111"/>
      <c r="R104" s="46" t="s">
        <v>11</v>
      </c>
      <c r="S104" s="103">
        <v>0</v>
      </c>
      <c r="T104" s="103">
        <v>0</v>
      </c>
      <c r="U104" s="103">
        <v>1.7943656917279744E-2</v>
      </c>
      <c r="V104" s="103">
        <v>2.6915485375919611E-2</v>
      </c>
      <c r="W104" s="103">
        <v>0.73568993360846935</v>
      </c>
      <c r="X104" s="103">
        <v>3.5438722411627488</v>
      </c>
      <c r="Y104" s="103">
        <v>9.5191099946169029</v>
      </c>
      <c r="Z104" s="103">
        <v>19.773909922842275</v>
      </c>
      <c r="AA104" s="103">
        <v>33.276511753095278</v>
      </c>
      <c r="AB104" s="103">
        <v>33.106047012381126</v>
      </c>
      <c r="AC104" s="42"/>
      <c r="AD104" s="111"/>
      <c r="AE104" s="46" t="s">
        <v>11</v>
      </c>
      <c r="AF104" s="103">
        <v>2.6253609871357313E-2</v>
      </c>
      <c r="AG104" s="103">
        <v>0</v>
      </c>
      <c r="AH104" s="103">
        <v>2.6253609871357313E-2</v>
      </c>
      <c r="AI104" s="103">
        <v>8.7512032904524376E-2</v>
      </c>
      <c r="AJ104" s="103">
        <v>0.901373938916601</v>
      </c>
      <c r="AK104" s="103">
        <v>3.7980222280563583</v>
      </c>
      <c r="AL104" s="103">
        <v>8.9262273562614869</v>
      </c>
      <c r="AM104" s="103">
        <v>17.511157784195326</v>
      </c>
      <c r="AN104" s="103">
        <v>30.891747615297106</v>
      </c>
      <c r="AO104" s="103">
        <v>37.831451824625887</v>
      </c>
      <c r="AP104" s="6"/>
      <c r="AQ104" s="111"/>
      <c r="AR104" s="46" t="s">
        <v>11</v>
      </c>
      <c r="AS104" s="103">
        <v>0.10325245224574084</v>
      </c>
      <c r="AT104" s="103">
        <v>0</v>
      </c>
      <c r="AU104" s="103">
        <v>0.15487867836861124</v>
      </c>
      <c r="AV104" s="103">
        <v>0.30975735673722249</v>
      </c>
      <c r="AW104" s="103">
        <v>2.8910686628807434</v>
      </c>
      <c r="AX104" s="103">
        <v>8.5699535363964898</v>
      </c>
      <c r="AY104" s="103">
        <v>14.093959731543624</v>
      </c>
      <c r="AZ104" s="103">
        <v>21.321631388745484</v>
      </c>
      <c r="BA104" s="103">
        <v>29.220443985544659</v>
      </c>
      <c r="BB104" s="103">
        <v>23.335054207537429</v>
      </c>
      <c r="BC104" s="42"/>
      <c r="BD104" s="111"/>
      <c r="BE104" s="46" t="s">
        <v>11</v>
      </c>
      <c r="BF104" s="103">
        <v>4.8459003682884277E-3</v>
      </c>
      <c r="BG104" s="103">
        <v>0</v>
      </c>
      <c r="BH104" s="103">
        <v>9.6918007365768555E-3</v>
      </c>
      <c r="BI104" s="103">
        <v>3.3921302578018994E-2</v>
      </c>
      <c r="BJ104" s="103">
        <v>0.62512114750920722</v>
      </c>
      <c r="BK104" s="103">
        <v>3.2128319441752278</v>
      </c>
      <c r="BL104" s="103">
        <v>8.761387865865478</v>
      </c>
      <c r="BM104" s="103">
        <v>18.375654196549718</v>
      </c>
      <c r="BN104" s="103">
        <v>32.336693157588684</v>
      </c>
      <c r="BO104" s="103">
        <v>36.639852684628806</v>
      </c>
      <c r="BQ104" s="111"/>
      <c r="BR104" s="46" t="s">
        <v>11</v>
      </c>
      <c r="BS104" s="103">
        <v>0.13774104683195593</v>
      </c>
      <c r="BT104" s="103">
        <v>0</v>
      </c>
      <c r="BU104" s="103">
        <v>0</v>
      </c>
      <c r="BV104" s="103">
        <v>0</v>
      </c>
      <c r="BW104" s="103">
        <v>2.2038567493112948</v>
      </c>
      <c r="BX104" s="103">
        <v>8.1267217630853992</v>
      </c>
      <c r="BY104" s="103">
        <v>12.534435261707987</v>
      </c>
      <c r="BZ104" s="103">
        <v>20.385674931129476</v>
      </c>
      <c r="CA104" s="103">
        <v>26.859504132231404</v>
      </c>
      <c r="CB104" s="103">
        <v>29.75206611570248</v>
      </c>
      <c r="CC104" s="42"/>
      <c r="CD104" s="111"/>
      <c r="CE104" s="46" t="s">
        <v>11</v>
      </c>
      <c r="CF104" s="103">
        <v>9.1545749988556774E-3</v>
      </c>
      <c r="CG104" s="103">
        <v>0</v>
      </c>
      <c r="CH104" s="103">
        <v>2.2886437497139193E-2</v>
      </c>
      <c r="CI104" s="103">
        <v>5.950473749256191E-2</v>
      </c>
      <c r="CJ104" s="103">
        <v>0.77356158740330472</v>
      </c>
      <c r="CK104" s="103">
        <v>3.5245113745594359</v>
      </c>
      <c r="CL104" s="103">
        <v>9.1088021238614001</v>
      </c>
      <c r="CM104" s="103">
        <v>18.570055385178744</v>
      </c>
      <c r="CN104" s="103">
        <v>32.242413145969699</v>
      </c>
      <c r="CO104" s="103">
        <v>35.689110633038865</v>
      </c>
      <c r="CQ104" s="111"/>
      <c r="CR104" s="46" t="s">
        <v>11</v>
      </c>
      <c r="CS104" s="103">
        <v>0</v>
      </c>
      <c r="CT104" s="103">
        <v>0</v>
      </c>
      <c r="CU104" s="103">
        <v>0</v>
      </c>
      <c r="CV104" s="103">
        <v>3.9510075069142628E-2</v>
      </c>
      <c r="CW104" s="103">
        <v>0.5136309758988542</v>
      </c>
      <c r="CX104" s="103">
        <v>2.015013828526274</v>
      </c>
      <c r="CY104" s="103">
        <v>5.8474911102331095</v>
      </c>
      <c r="CZ104" s="103">
        <v>14.500197550375345</v>
      </c>
      <c r="DA104" s="103">
        <v>32.714342157250101</v>
      </c>
      <c r="DB104" s="103">
        <v>44.369814302647178</v>
      </c>
      <c r="DC104" s="42"/>
      <c r="DD104" s="111"/>
      <c r="DE104" s="46" t="s">
        <v>11</v>
      </c>
      <c r="DF104" s="103">
        <v>1.4968566011376111E-2</v>
      </c>
      <c r="DG104" s="103">
        <v>0</v>
      </c>
      <c r="DH104" s="103">
        <v>2.4947610018960183E-2</v>
      </c>
      <c r="DI104" s="103">
        <v>5.9874264045504444E-2</v>
      </c>
      <c r="DJ104" s="103">
        <v>0.85819778465223029</v>
      </c>
      <c r="DK104" s="103">
        <v>3.881848118950205</v>
      </c>
      <c r="DL104" s="103">
        <v>9.6447460333300068</v>
      </c>
      <c r="DM104" s="103">
        <v>19.149785450553836</v>
      </c>
      <c r="DN104" s="103">
        <v>31.987825566310747</v>
      </c>
      <c r="DO104" s="103">
        <v>34.37780660612713</v>
      </c>
    </row>
    <row r="105" spans="2:119" ht="15.4" customHeight="1" x14ac:dyDescent="0.45">
      <c r="B105" s="99"/>
      <c r="C105" s="42"/>
      <c r="D105" s="42"/>
      <c r="E105" s="42"/>
      <c r="F105" s="48"/>
      <c r="G105" s="48"/>
      <c r="H105" s="48"/>
      <c r="I105" s="48"/>
      <c r="J105" s="48"/>
      <c r="K105" s="48"/>
      <c r="L105" s="48"/>
      <c r="M105" s="48"/>
      <c r="N105" s="48"/>
      <c r="O105" s="42"/>
      <c r="P105" s="42"/>
      <c r="Q105" s="42"/>
      <c r="R105" s="48"/>
      <c r="S105" s="48"/>
      <c r="T105" s="48"/>
      <c r="U105" s="48"/>
      <c r="V105" s="48"/>
      <c r="W105" s="48"/>
      <c r="X105" s="48"/>
      <c r="Y105" s="48"/>
      <c r="Z105" s="48"/>
      <c r="AA105" s="42"/>
      <c r="AB105" s="42"/>
      <c r="AC105" s="42"/>
      <c r="AD105" s="42"/>
      <c r="AE105" s="42"/>
      <c r="AF105" s="42"/>
      <c r="AG105" s="42"/>
      <c r="AH105" s="42"/>
      <c r="AI105" s="42"/>
      <c r="AJ105" s="42"/>
      <c r="AK105" s="42"/>
      <c r="AL105" s="42"/>
      <c r="AM105" s="42"/>
      <c r="AN105" s="42"/>
      <c r="AO105" s="42"/>
      <c r="AQ105" s="42"/>
      <c r="AR105" s="42"/>
      <c r="AS105" s="48"/>
      <c r="AT105" s="48"/>
      <c r="AU105" s="48"/>
      <c r="AV105" s="48"/>
      <c r="AW105" s="48"/>
      <c r="AX105" s="48"/>
      <c r="AY105" s="48"/>
      <c r="AZ105" s="48"/>
      <c r="BA105" s="42"/>
      <c r="BB105" s="42"/>
      <c r="BC105" s="42"/>
      <c r="BD105" s="42"/>
      <c r="BE105" s="42"/>
      <c r="BF105" s="42"/>
      <c r="BG105" s="42"/>
      <c r="BH105" s="42"/>
      <c r="BI105" s="42"/>
      <c r="BJ105" s="42"/>
      <c r="BK105" s="42"/>
      <c r="BL105" s="42"/>
      <c r="BM105" s="42"/>
      <c r="BN105" s="42"/>
      <c r="BO105" s="42"/>
      <c r="BQ105" s="42"/>
      <c r="BR105" s="42"/>
      <c r="BS105" s="48"/>
      <c r="BT105" s="48"/>
      <c r="BU105" s="48"/>
      <c r="BV105" s="48"/>
      <c r="BW105" s="48"/>
      <c r="BX105" s="48"/>
      <c r="BY105" s="48"/>
      <c r="BZ105" s="48"/>
      <c r="CA105" s="42"/>
      <c r="CB105" s="42"/>
      <c r="CC105" s="42"/>
      <c r="CD105" s="42"/>
      <c r="CE105" s="42"/>
      <c r="CF105" s="42"/>
      <c r="CG105" s="42"/>
      <c r="CH105" s="42"/>
      <c r="CI105" s="42"/>
      <c r="CJ105" s="42"/>
      <c r="CK105" s="42"/>
      <c r="CL105" s="42"/>
      <c r="CM105" s="42"/>
      <c r="CN105" s="42"/>
      <c r="CO105" s="42"/>
      <c r="CQ105" s="42"/>
      <c r="CR105" s="42"/>
      <c r="CS105" s="48"/>
      <c r="CT105" s="48"/>
      <c r="CU105" s="48"/>
      <c r="CV105" s="48"/>
      <c r="CW105" s="48"/>
      <c r="CX105" s="48"/>
      <c r="CY105" s="48"/>
      <c r="CZ105" s="48"/>
      <c r="DA105" s="42"/>
      <c r="DB105" s="42"/>
      <c r="DC105" s="42"/>
      <c r="DD105" s="42"/>
      <c r="DE105" s="42"/>
      <c r="DF105" s="42"/>
      <c r="DG105" s="42"/>
      <c r="DH105" s="42"/>
      <c r="DI105" s="42"/>
      <c r="DJ105" s="42"/>
      <c r="DK105" s="42"/>
      <c r="DL105" s="42"/>
      <c r="DM105" s="42"/>
      <c r="DN105" s="42"/>
      <c r="DO105" s="42"/>
    </row>
    <row r="106" spans="2:119" ht="15.4" customHeight="1" x14ac:dyDescent="0.45">
      <c r="B106" s="99"/>
      <c r="C106" s="42"/>
      <c r="D106" s="42"/>
      <c r="E106" s="42"/>
      <c r="F106" s="48"/>
      <c r="G106" s="48"/>
      <c r="H106" s="48"/>
      <c r="I106" s="48"/>
      <c r="J106" s="48"/>
      <c r="K106" s="48"/>
      <c r="L106" s="48"/>
      <c r="M106" s="48"/>
      <c r="N106" s="48"/>
      <c r="O106" s="42"/>
      <c r="P106" s="42"/>
      <c r="Q106" s="42"/>
      <c r="R106" s="48"/>
      <c r="S106" s="48"/>
      <c r="T106" s="48"/>
      <c r="U106" s="48"/>
      <c r="V106" s="48"/>
      <c r="W106" s="48"/>
      <c r="X106" s="48"/>
      <c r="Y106" s="48"/>
      <c r="Z106" s="48"/>
      <c r="AA106" s="42"/>
      <c r="AB106" s="42"/>
      <c r="AC106" s="42"/>
      <c r="AD106" s="42"/>
      <c r="AE106" s="42"/>
      <c r="AF106" s="42"/>
      <c r="AG106" s="42"/>
      <c r="AH106" s="42"/>
      <c r="AI106" s="42"/>
      <c r="AJ106" s="42"/>
      <c r="AK106" s="42"/>
      <c r="AL106" s="42"/>
      <c r="AM106" s="42"/>
      <c r="AN106" s="42"/>
      <c r="AO106" s="42"/>
      <c r="AQ106" s="42"/>
      <c r="AR106" s="42"/>
      <c r="AS106" s="48"/>
      <c r="AT106" s="48"/>
      <c r="AU106" s="48"/>
      <c r="AV106" s="48"/>
      <c r="AW106" s="48"/>
      <c r="AX106" s="48"/>
      <c r="AY106" s="48"/>
      <c r="AZ106" s="48"/>
      <c r="BA106" s="42"/>
      <c r="BB106" s="42"/>
      <c r="BC106" s="42"/>
      <c r="BD106" s="42"/>
      <c r="BE106" s="42"/>
      <c r="BF106" s="42"/>
      <c r="BG106" s="42"/>
      <c r="BH106" s="42"/>
      <c r="BI106" s="42"/>
      <c r="BJ106" s="42"/>
      <c r="BK106" s="42"/>
      <c r="BL106" s="42"/>
      <c r="BM106" s="42"/>
      <c r="BN106" s="42"/>
      <c r="BO106" s="42"/>
      <c r="BQ106" s="42"/>
      <c r="BR106" s="42"/>
      <c r="BS106" s="48"/>
      <c r="BT106" s="48"/>
      <c r="BU106" s="48"/>
      <c r="BV106" s="48"/>
      <c r="BW106" s="48"/>
      <c r="BX106" s="48"/>
      <c r="BY106" s="48"/>
      <c r="BZ106" s="48"/>
      <c r="CA106" s="42"/>
      <c r="CB106" s="42"/>
      <c r="CC106" s="42"/>
      <c r="CD106" s="42"/>
      <c r="CE106" s="42"/>
      <c r="CF106" s="42"/>
      <c r="CG106" s="42"/>
      <c r="CH106" s="42"/>
      <c r="CI106" s="42"/>
      <c r="CJ106" s="42"/>
      <c r="CK106" s="42"/>
      <c r="CL106" s="42"/>
      <c r="CM106" s="42"/>
      <c r="CN106" s="42"/>
      <c r="CO106" s="42"/>
      <c r="CQ106" s="42"/>
      <c r="CR106" s="42"/>
      <c r="CS106" s="48"/>
      <c r="CT106" s="48"/>
      <c r="CU106" s="48"/>
      <c r="CV106" s="48"/>
      <c r="CW106" s="48"/>
      <c r="CX106" s="48"/>
      <c r="CY106" s="48"/>
      <c r="CZ106" s="48"/>
      <c r="DA106" s="42"/>
      <c r="DB106" s="42"/>
      <c r="DC106" s="42"/>
      <c r="DD106" s="42"/>
      <c r="DE106" s="42"/>
      <c r="DF106" s="42"/>
      <c r="DG106" s="42"/>
      <c r="DH106" s="42"/>
      <c r="DI106" s="42"/>
      <c r="DJ106" s="42"/>
      <c r="DK106" s="42"/>
      <c r="DL106" s="42"/>
      <c r="DM106" s="42"/>
      <c r="DN106" s="42"/>
      <c r="DO106" s="42"/>
    </row>
    <row r="107" spans="2:119" ht="15.4" customHeight="1" x14ac:dyDescent="0.55000000000000004">
      <c r="B107" s="99"/>
      <c r="C107" s="42"/>
      <c r="D107" s="112" t="s">
        <v>24</v>
      </c>
      <c r="E107" s="112"/>
      <c r="F107" s="45"/>
      <c r="G107" s="45"/>
      <c r="H107" s="45"/>
      <c r="I107" s="45"/>
      <c r="J107" s="45"/>
      <c r="K107" s="45"/>
      <c r="L107" s="45"/>
      <c r="M107" s="45"/>
      <c r="N107" s="45"/>
      <c r="O107" s="45"/>
      <c r="P107" s="42"/>
      <c r="Q107" s="112" t="s">
        <v>24</v>
      </c>
      <c r="R107" s="112"/>
      <c r="S107" s="45"/>
      <c r="T107" s="45"/>
      <c r="U107" s="45"/>
      <c r="V107" s="45"/>
      <c r="W107" s="45"/>
      <c r="X107" s="45"/>
      <c r="Y107" s="45"/>
      <c r="Z107" s="45"/>
      <c r="AA107" s="45"/>
      <c r="AB107" s="45"/>
      <c r="AC107" s="42"/>
      <c r="AD107" s="112" t="s">
        <v>24</v>
      </c>
      <c r="AE107" s="112"/>
      <c r="AF107" s="45"/>
      <c r="AG107" s="45"/>
      <c r="AH107" s="45"/>
      <c r="AI107" s="45"/>
      <c r="AJ107" s="45"/>
      <c r="AK107" s="45"/>
      <c r="AL107" s="45"/>
      <c r="AM107" s="45"/>
      <c r="AN107" s="45"/>
      <c r="AO107" s="45"/>
      <c r="AP107" s="6"/>
      <c r="AQ107" s="112" t="s">
        <v>24</v>
      </c>
      <c r="AR107" s="112"/>
      <c r="AS107" s="45"/>
      <c r="AT107" s="45"/>
      <c r="AU107" s="45"/>
      <c r="AV107" s="45"/>
      <c r="AW107" s="45"/>
      <c r="AX107" s="45"/>
      <c r="AY107" s="45"/>
      <c r="AZ107" s="45"/>
      <c r="BA107" s="45"/>
      <c r="BB107" s="45"/>
      <c r="BC107" s="42"/>
      <c r="BD107" s="112" t="s">
        <v>24</v>
      </c>
      <c r="BE107" s="112"/>
      <c r="BF107" s="45"/>
      <c r="BG107" s="45"/>
      <c r="BH107" s="45"/>
      <c r="BI107" s="45"/>
      <c r="BJ107" s="45"/>
      <c r="BK107" s="45"/>
      <c r="BL107" s="45"/>
      <c r="BM107" s="45"/>
      <c r="BN107" s="45"/>
      <c r="BO107" s="45"/>
      <c r="BQ107" s="112" t="s">
        <v>24</v>
      </c>
      <c r="BR107" s="112"/>
      <c r="BS107" s="45"/>
      <c r="BT107" s="45"/>
      <c r="BU107" s="45"/>
      <c r="BV107" s="45"/>
      <c r="BW107" s="45"/>
      <c r="BX107" s="45"/>
      <c r="BY107" s="45"/>
      <c r="BZ107" s="45"/>
      <c r="CA107" s="45"/>
      <c r="CB107" s="45"/>
      <c r="CC107" s="42"/>
      <c r="CD107" s="112" t="s">
        <v>24</v>
      </c>
      <c r="CE107" s="112"/>
      <c r="CF107" s="45"/>
      <c r="CG107" s="45"/>
      <c r="CH107" s="45"/>
      <c r="CI107" s="45"/>
      <c r="CJ107" s="45"/>
      <c r="CK107" s="45"/>
      <c r="CL107" s="45"/>
      <c r="CM107" s="45"/>
      <c r="CN107" s="45"/>
      <c r="CO107" s="45"/>
      <c r="CQ107" s="112" t="s">
        <v>24</v>
      </c>
      <c r="CR107" s="112"/>
      <c r="CS107" s="45"/>
      <c r="CT107" s="45"/>
      <c r="CU107" s="45"/>
      <c r="CV107" s="45"/>
      <c r="CW107" s="45"/>
      <c r="CX107" s="45"/>
      <c r="CY107" s="45"/>
      <c r="CZ107" s="45"/>
      <c r="DA107" s="45"/>
      <c r="DB107" s="45"/>
      <c r="DC107" s="42"/>
      <c r="DD107" s="112" t="s">
        <v>24</v>
      </c>
      <c r="DE107" s="112"/>
      <c r="DF107" s="45"/>
      <c r="DG107" s="45"/>
      <c r="DH107" s="45"/>
      <c r="DI107" s="45"/>
      <c r="DJ107" s="45"/>
      <c r="DK107" s="45"/>
      <c r="DL107" s="45"/>
      <c r="DM107" s="45"/>
      <c r="DN107" s="45"/>
      <c r="DO107" s="45"/>
    </row>
    <row r="108" spans="2:119" ht="28.9" customHeight="1" x14ac:dyDescent="0.45">
      <c r="B108" s="99"/>
      <c r="C108" s="42"/>
      <c r="D108" s="112"/>
      <c r="E108" s="112"/>
      <c r="F108" s="108" t="s">
        <v>12</v>
      </c>
      <c r="G108" s="108"/>
      <c r="H108" s="108"/>
      <c r="I108" s="108"/>
      <c r="J108" s="108"/>
      <c r="K108" s="108"/>
      <c r="L108" s="108"/>
      <c r="M108" s="108"/>
      <c r="N108" s="108"/>
      <c r="O108" s="108"/>
      <c r="P108" s="42"/>
      <c r="Q108" s="112"/>
      <c r="R108" s="112"/>
      <c r="S108" s="108" t="s">
        <v>12</v>
      </c>
      <c r="T108" s="108"/>
      <c r="U108" s="108"/>
      <c r="V108" s="108"/>
      <c r="W108" s="108"/>
      <c r="X108" s="108"/>
      <c r="Y108" s="108"/>
      <c r="Z108" s="108"/>
      <c r="AA108" s="108"/>
      <c r="AB108" s="108"/>
      <c r="AC108" s="42"/>
      <c r="AD108" s="112"/>
      <c r="AE108" s="112"/>
      <c r="AF108" s="108" t="s">
        <v>12</v>
      </c>
      <c r="AG108" s="108"/>
      <c r="AH108" s="108"/>
      <c r="AI108" s="108"/>
      <c r="AJ108" s="108"/>
      <c r="AK108" s="108"/>
      <c r="AL108" s="108"/>
      <c r="AM108" s="108"/>
      <c r="AN108" s="108"/>
      <c r="AO108" s="108"/>
      <c r="AP108" s="6"/>
      <c r="AQ108" s="112"/>
      <c r="AR108" s="112"/>
      <c r="AS108" s="108" t="s">
        <v>12</v>
      </c>
      <c r="AT108" s="108"/>
      <c r="AU108" s="108"/>
      <c r="AV108" s="108"/>
      <c r="AW108" s="108"/>
      <c r="AX108" s="108"/>
      <c r="AY108" s="108"/>
      <c r="AZ108" s="108"/>
      <c r="BA108" s="108"/>
      <c r="BB108" s="108"/>
      <c r="BC108" s="42"/>
      <c r="BD108" s="112"/>
      <c r="BE108" s="112"/>
      <c r="BF108" s="108" t="s">
        <v>12</v>
      </c>
      <c r="BG108" s="108"/>
      <c r="BH108" s="108"/>
      <c r="BI108" s="108"/>
      <c r="BJ108" s="108"/>
      <c r="BK108" s="108"/>
      <c r="BL108" s="108"/>
      <c r="BM108" s="108"/>
      <c r="BN108" s="108"/>
      <c r="BO108" s="108"/>
      <c r="BQ108" s="112"/>
      <c r="BR108" s="112"/>
      <c r="BS108" s="108" t="s">
        <v>12</v>
      </c>
      <c r="BT108" s="108"/>
      <c r="BU108" s="108"/>
      <c r="BV108" s="108"/>
      <c r="BW108" s="108"/>
      <c r="BX108" s="108"/>
      <c r="BY108" s="108"/>
      <c r="BZ108" s="108"/>
      <c r="CA108" s="108"/>
      <c r="CB108" s="108"/>
      <c r="CC108" s="42"/>
      <c r="CD108" s="112"/>
      <c r="CE108" s="112"/>
      <c r="CF108" s="108" t="s">
        <v>12</v>
      </c>
      <c r="CG108" s="108"/>
      <c r="CH108" s="108"/>
      <c r="CI108" s="108"/>
      <c r="CJ108" s="108"/>
      <c r="CK108" s="108"/>
      <c r="CL108" s="108"/>
      <c r="CM108" s="108"/>
      <c r="CN108" s="108"/>
      <c r="CO108" s="108"/>
      <c r="CQ108" s="112"/>
      <c r="CR108" s="112"/>
      <c r="CS108" s="108" t="s">
        <v>12</v>
      </c>
      <c r="CT108" s="108"/>
      <c r="CU108" s="108"/>
      <c r="CV108" s="108"/>
      <c r="CW108" s="108"/>
      <c r="CX108" s="108"/>
      <c r="CY108" s="108"/>
      <c r="CZ108" s="108"/>
      <c r="DA108" s="108"/>
      <c r="DB108" s="108"/>
      <c r="DC108" s="42"/>
      <c r="DD108" s="112"/>
      <c r="DE108" s="112"/>
      <c r="DF108" s="108" t="s">
        <v>12</v>
      </c>
      <c r="DG108" s="108"/>
      <c r="DH108" s="108"/>
      <c r="DI108" s="108"/>
      <c r="DJ108" s="108"/>
      <c r="DK108" s="108"/>
      <c r="DL108" s="108"/>
      <c r="DM108" s="108"/>
      <c r="DN108" s="108"/>
      <c r="DO108" s="108"/>
    </row>
    <row r="109" spans="2:119" ht="15.4" customHeight="1" x14ac:dyDescent="0.45">
      <c r="B109" s="99"/>
      <c r="C109" s="42"/>
      <c r="D109" s="113"/>
      <c r="E109" s="113"/>
      <c r="F109" s="9" t="s">
        <v>0</v>
      </c>
      <c r="G109" s="9">
        <v>1</v>
      </c>
      <c r="H109" s="9">
        <v>2</v>
      </c>
      <c r="I109" s="9">
        <v>3</v>
      </c>
      <c r="J109" s="9">
        <v>4</v>
      </c>
      <c r="K109" s="9">
        <v>5</v>
      </c>
      <c r="L109" s="9">
        <v>6</v>
      </c>
      <c r="M109" s="9">
        <v>7</v>
      </c>
      <c r="N109" s="9">
        <v>8</v>
      </c>
      <c r="O109" s="9">
        <v>9</v>
      </c>
      <c r="P109" s="42"/>
      <c r="Q109" s="113"/>
      <c r="R109" s="113"/>
      <c r="S109" s="9" t="s">
        <v>0</v>
      </c>
      <c r="T109" s="9">
        <v>1</v>
      </c>
      <c r="U109" s="9">
        <v>2</v>
      </c>
      <c r="V109" s="9">
        <v>3</v>
      </c>
      <c r="W109" s="9">
        <v>4</v>
      </c>
      <c r="X109" s="9">
        <v>5</v>
      </c>
      <c r="Y109" s="9">
        <v>6</v>
      </c>
      <c r="Z109" s="9">
        <v>7</v>
      </c>
      <c r="AA109" s="9">
        <v>8</v>
      </c>
      <c r="AB109" s="9">
        <v>9</v>
      </c>
      <c r="AC109" s="42"/>
      <c r="AD109" s="113"/>
      <c r="AE109" s="113"/>
      <c r="AF109" s="9" t="s">
        <v>0</v>
      </c>
      <c r="AG109" s="9">
        <v>1</v>
      </c>
      <c r="AH109" s="9">
        <v>2</v>
      </c>
      <c r="AI109" s="9">
        <v>3</v>
      </c>
      <c r="AJ109" s="9">
        <v>4</v>
      </c>
      <c r="AK109" s="9">
        <v>5</v>
      </c>
      <c r="AL109" s="9">
        <v>6</v>
      </c>
      <c r="AM109" s="9">
        <v>7</v>
      </c>
      <c r="AN109" s="9">
        <v>8</v>
      </c>
      <c r="AO109" s="9">
        <v>9</v>
      </c>
      <c r="AP109" s="6"/>
      <c r="AQ109" s="113"/>
      <c r="AR109" s="113"/>
      <c r="AS109" s="9" t="s">
        <v>0</v>
      </c>
      <c r="AT109" s="9">
        <v>1</v>
      </c>
      <c r="AU109" s="9">
        <v>2</v>
      </c>
      <c r="AV109" s="9">
        <v>3</v>
      </c>
      <c r="AW109" s="9">
        <v>4</v>
      </c>
      <c r="AX109" s="9">
        <v>5</v>
      </c>
      <c r="AY109" s="9">
        <v>6</v>
      </c>
      <c r="AZ109" s="9">
        <v>7</v>
      </c>
      <c r="BA109" s="9">
        <v>8</v>
      </c>
      <c r="BB109" s="9">
        <v>9</v>
      </c>
      <c r="BC109" s="42"/>
      <c r="BD109" s="113"/>
      <c r="BE109" s="113"/>
      <c r="BF109" s="9" t="s">
        <v>0</v>
      </c>
      <c r="BG109" s="9">
        <v>1</v>
      </c>
      <c r="BH109" s="9">
        <v>2</v>
      </c>
      <c r="BI109" s="9">
        <v>3</v>
      </c>
      <c r="BJ109" s="9">
        <v>4</v>
      </c>
      <c r="BK109" s="9">
        <v>5</v>
      </c>
      <c r="BL109" s="9">
        <v>6</v>
      </c>
      <c r="BM109" s="9">
        <v>7</v>
      </c>
      <c r="BN109" s="9">
        <v>8</v>
      </c>
      <c r="BO109" s="9">
        <v>9</v>
      </c>
      <c r="BQ109" s="113"/>
      <c r="BR109" s="113"/>
      <c r="BS109" s="9" t="s">
        <v>0</v>
      </c>
      <c r="BT109" s="9">
        <v>1</v>
      </c>
      <c r="BU109" s="9">
        <v>2</v>
      </c>
      <c r="BV109" s="9">
        <v>3</v>
      </c>
      <c r="BW109" s="9">
        <v>4</v>
      </c>
      <c r="BX109" s="9">
        <v>5</v>
      </c>
      <c r="BY109" s="9">
        <v>6</v>
      </c>
      <c r="BZ109" s="9">
        <v>7</v>
      </c>
      <c r="CA109" s="9">
        <v>8</v>
      </c>
      <c r="CB109" s="9">
        <v>9</v>
      </c>
      <c r="CC109" s="42"/>
      <c r="CD109" s="113"/>
      <c r="CE109" s="113"/>
      <c r="CF109" s="9" t="s">
        <v>0</v>
      </c>
      <c r="CG109" s="9">
        <v>1</v>
      </c>
      <c r="CH109" s="9">
        <v>2</v>
      </c>
      <c r="CI109" s="9">
        <v>3</v>
      </c>
      <c r="CJ109" s="9">
        <v>4</v>
      </c>
      <c r="CK109" s="9">
        <v>5</v>
      </c>
      <c r="CL109" s="9">
        <v>6</v>
      </c>
      <c r="CM109" s="9">
        <v>7</v>
      </c>
      <c r="CN109" s="9">
        <v>8</v>
      </c>
      <c r="CO109" s="9">
        <v>9</v>
      </c>
      <c r="CQ109" s="113"/>
      <c r="CR109" s="113"/>
      <c r="CS109" s="9" t="s">
        <v>0</v>
      </c>
      <c r="CT109" s="9">
        <v>1</v>
      </c>
      <c r="CU109" s="9">
        <v>2</v>
      </c>
      <c r="CV109" s="9">
        <v>3</v>
      </c>
      <c r="CW109" s="9">
        <v>4</v>
      </c>
      <c r="CX109" s="9">
        <v>5</v>
      </c>
      <c r="CY109" s="9">
        <v>6</v>
      </c>
      <c r="CZ109" s="9">
        <v>7</v>
      </c>
      <c r="DA109" s="9">
        <v>8</v>
      </c>
      <c r="DB109" s="9">
        <v>9</v>
      </c>
      <c r="DC109" s="42"/>
      <c r="DD109" s="113"/>
      <c r="DE109" s="113"/>
      <c r="DF109" s="9" t="s">
        <v>0</v>
      </c>
      <c r="DG109" s="9">
        <v>1</v>
      </c>
      <c r="DH109" s="9">
        <v>2</v>
      </c>
      <c r="DI109" s="9">
        <v>3</v>
      </c>
      <c r="DJ109" s="9">
        <v>4</v>
      </c>
      <c r="DK109" s="9">
        <v>5</v>
      </c>
      <c r="DL109" s="9">
        <v>6</v>
      </c>
      <c r="DM109" s="9">
        <v>7</v>
      </c>
      <c r="DN109" s="9">
        <v>8</v>
      </c>
      <c r="DO109" s="9">
        <v>9</v>
      </c>
    </row>
    <row r="110" spans="2:119" ht="15.4" customHeight="1" x14ac:dyDescent="0.45">
      <c r="B110" s="134" t="s">
        <v>28</v>
      </c>
      <c r="C110" s="42"/>
      <c r="D110" s="109" t="s">
        <v>13</v>
      </c>
      <c r="E110" s="46" t="s">
        <v>1</v>
      </c>
      <c r="F110" s="103">
        <v>3</v>
      </c>
      <c r="G110" s="103">
        <v>0</v>
      </c>
      <c r="H110" s="103">
        <v>0</v>
      </c>
      <c r="I110" s="103">
        <v>0</v>
      </c>
      <c r="J110" s="103">
        <v>0</v>
      </c>
      <c r="K110" s="103">
        <v>1</v>
      </c>
      <c r="L110" s="103">
        <v>0</v>
      </c>
      <c r="M110" s="103">
        <v>0</v>
      </c>
      <c r="N110" s="103">
        <v>1</v>
      </c>
      <c r="O110" s="17">
        <v>0</v>
      </c>
      <c r="P110" s="42"/>
      <c r="Q110" s="109" t="s">
        <v>13</v>
      </c>
      <c r="R110" s="46" t="s">
        <v>1</v>
      </c>
      <c r="S110" s="103">
        <v>1</v>
      </c>
      <c r="T110" s="103">
        <v>0</v>
      </c>
      <c r="U110" s="103">
        <v>0</v>
      </c>
      <c r="V110" s="103">
        <v>0</v>
      </c>
      <c r="W110" s="103">
        <v>0</v>
      </c>
      <c r="X110" s="103">
        <v>1</v>
      </c>
      <c r="Y110" s="103">
        <v>0</v>
      </c>
      <c r="Z110" s="103">
        <v>0</v>
      </c>
      <c r="AA110" s="103">
        <v>0</v>
      </c>
      <c r="AB110" s="17">
        <v>0</v>
      </c>
      <c r="AC110" s="42"/>
      <c r="AD110" s="109" t="s">
        <v>13</v>
      </c>
      <c r="AE110" s="46" t="s">
        <v>1</v>
      </c>
      <c r="AF110" s="103">
        <v>2</v>
      </c>
      <c r="AG110" s="103">
        <v>0</v>
      </c>
      <c r="AH110" s="103">
        <v>0</v>
      </c>
      <c r="AI110" s="103">
        <v>0</v>
      </c>
      <c r="AJ110" s="103">
        <v>0</v>
      </c>
      <c r="AK110" s="103">
        <v>0</v>
      </c>
      <c r="AL110" s="103">
        <v>0</v>
      </c>
      <c r="AM110" s="103">
        <v>0</v>
      </c>
      <c r="AN110" s="103">
        <v>1</v>
      </c>
      <c r="AO110" s="17">
        <v>0</v>
      </c>
      <c r="AP110" s="6"/>
      <c r="AQ110" s="109" t="s">
        <v>13</v>
      </c>
      <c r="AR110" s="46" t="s">
        <v>1</v>
      </c>
      <c r="AS110" s="103">
        <v>3</v>
      </c>
      <c r="AT110" s="103">
        <v>0</v>
      </c>
      <c r="AU110" s="103">
        <v>0</v>
      </c>
      <c r="AV110" s="103">
        <v>0</v>
      </c>
      <c r="AW110" s="103">
        <v>0</v>
      </c>
      <c r="AX110" s="103">
        <v>1</v>
      </c>
      <c r="AY110" s="103">
        <v>0</v>
      </c>
      <c r="AZ110" s="103">
        <v>0</v>
      </c>
      <c r="BA110" s="103">
        <v>0</v>
      </c>
      <c r="BB110" s="17">
        <v>0</v>
      </c>
      <c r="BC110" s="42"/>
      <c r="BD110" s="109" t="s">
        <v>13</v>
      </c>
      <c r="BE110" s="46" t="s">
        <v>1</v>
      </c>
      <c r="BF110" s="103">
        <v>0</v>
      </c>
      <c r="BG110" s="103">
        <v>0</v>
      </c>
      <c r="BH110" s="103">
        <v>0</v>
      </c>
      <c r="BI110" s="103">
        <v>0</v>
      </c>
      <c r="BJ110" s="103">
        <v>0</v>
      </c>
      <c r="BK110" s="103">
        <v>0</v>
      </c>
      <c r="BL110" s="103">
        <v>0</v>
      </c>
      <c r="BM110" s="103">
        <v>0</v>
      </c>
      <c r="BN110" s="103">
        <v>1</v>
      </c>
      <c r="BO110" s="17">
        <v>0</v>
      </c>
      <c r="BQ110" s="109" t="s">
        <v>13</v>
      </c>
      <c r="BR110" s="46" t="s">
        <v>1</v>
      </c>
      <c r="BS110" s="103">
        <v>2</v>
      </c>
      <c r="BT110" s="103">
        <v>0</v>
      </c>
      <c r="BU110" s="103">
        <v>0</v>
      </c>
      <c r="BV110" s="103">
        <v>0</v>
      </c>
      <c r="BW110" s="103">
        <v>0</v>
      </c>
      <c r="BX110" s="103">
        <v>0</v>
      </c>
      <c r="BY110" s="103">
        <v>0</v>
      </c>
      <c r="BZ110" s="103">
        <v>0</v>
      </c>
      <c r="CA110" s="103">
        <v>1</v>
      </c>
      <c r="CB110" s="17">
        <v>0</v>
      </c>
      <c r="CC110" s="42"/>
      <c r="CD110" s="109" t="s">
        <v>13</v>
      </c>
      <c r="CE110" s="46" t="s">
        <v>1</v>
      </c>
      <c r="CF110" s="103">
        <v>1</v>
      </c>
      <c r="CG110" s="103">
        <v>0</v>
      </c>
      <c r="CH110" s="103">
        <v>0</v>
      </c>
      <c r="CI110" s="103">
        <v>0</v>
      </c>
      <c r="CJ110" s="103">
        <v>0</v>
      </c>
      <c r="CK110" s="103">
        <v>1</v>
      </c>
      <c r="CL110" s="103">
        <v>0</v>
      </c>
      <c r="CM110" s="103">
        <v>0</v>
      </c>
      <c r="CN110" s="103">
        <v>0</v>
      </c>
      <c r="CO110" s="17">
        <v>0</v>
      </c>
      <c r="CQ110" s="109" t="s">
        <v>13</v>
      </c>
      <c r="CR110" s="46" t="s">
        <v>1</v>
      </c>
      <c r="CS110" s="103">
        <v>3</v>
      </c>
      <c r="CT110" s="103">
        <v>0</v>
      </c>
      <c r="CU110" s="103">
        <v>0</v>
      </c>
      <c r="CV110" s="103">
        <v>0</v>
      </c>
      <c r="CW110" s="103">
        <v>0</v>
      </c>
      <c r="CX110" s="103">
        <v>1</v>
      </c>
      <c r="CY110" s="103">
        <v>0</v>
      </c>
      <c r="CZ110" s="103">
        <v>0</v>
      </c>
      <c r="DA110" s="103">
        <v>1</v>
      </c>
      <c r="DB110" s="17">
        <v>0</v>
      </c>
      <c r="DC110" s="42"/>
      <c r="DD110" s="109" t="s">
        <v>13</v>
      </c>
      <c r="DE110" s="46" t="s">
        <v>1</v>
      </c>
      <c r="DF110" s="103">
        <v>0</v>
      </c>
      <c r="DG110" s="103">
        <v>0</v>
      </c>
      <c r="DH110" s="103">
        <v>0</v>
      </c>
      <c r="DI110" s="103">
        <v>0</v>
      </c>
      <c r="DJ110" s="103">
        <v>0</v>
      </c>
      <c r="DK110" s="103">
        <v>0</v>
      </c>
      <c r="DL110" s="103">
        <v>0</v>
      </c>
      <c r="DM110" s="103">
        <v>0</v>
      </c>
      <c r="DN110" s="103">
        <v>0</v>
      </c>
      <c r="DO110" s="17">
        <v>0</v>
      </c>
    </row>
    <row r="111" spans="2:119" ht="15.4" customHeight="1" x14ac:dyDescent="0.45">
      <c r="B111" s="134"/>
      <c r="C111" s="42"/>
      <c r="D111" s="110"/>
      <c r="E111" s="46">
        <v>1</v>
      </c>
      <c r="F111" s="103">
        <v>1</v>
      </c>
      <c r="G111" s="103">
        <v>2</v>
      </c>
      <c r="H111" s="103">
        <v>2</v>
      </c>
      <c r="I111" s="103">
        <v>3</v>
      </c>
      <c r="J111" s="103">
        <v>1</v>
      </c>
      <c r="K111" s="103">
        <v>0</v>
      </c>
      <c r="L111" s="103">
        <v>0</v>
      </c>
      <c r="M111" s="103">
        <v>1</v>
      </c>
      <c r="N111" s="103">
        <v>1</v>
      </c>
      <c r="O111" s="103">
        <v>1</v>
      </c>
      <c r="P111" s="42"/>
      <c r="Q111" s="110"/>
      <c r="R111" s="46">
        <v>1</v>
      </c>
      <c r="S111" s="103">
        <v>0</v>
      </c>
      <c r="T111" s="103">
        <v>1</v>
      </c>
      <c r="U111" s="103">
        <v>1</v>
      </c>
      <c r="V111" s="103">
        <v>2</v>
      </c>
      <c r="W111" s="103">
        <v>0</v>
      </c>
      <c r="X111" s="103">
        <v>0</v>
      </c>
      <c r="Y111" s="103">
        <v>0</v>
      </c>
      <c r="Z111" s="103">
        <v>1</v>
      </c>
      <c r="AA111" s="103">
        <v>1</v>
      </c>
      <c r="AB111" s="103">
        <v>0</v>
      </c>
      <c r="AC111" s="42"/>
      <c r="AD111" s="110"/>
      <c r="AE111" s="46">
        <v>1</v>
      </c>
      <c r="AF111" s="103">
        <v>1</v>
      </c>
      <c r="AG111" s="103">
        <v>1</v>
      </c>
      <c r="AH111" s="103">
        <v>1</v>
      </c>
      <c r="AI111" s="103">
        <v>1</v>
      </c>
      <c r="AJ111" s="103">
        <v>1</v>
      </c>
      <c r="AK111" s="103">
        <v>0</v>
      </c>
      <c r="AL111" s="103">
        <v>0</v>
      </c>
      <c r="AM111" s="103">
        <v>0</v>
      </c>
      <c r="AN111" s="103">
        <v>0</v>
      </c>
      <c r="AO111" s="103">
        <v>1</v>
      </c>
      <c r="AP111" s="6"/>
      <c r="AQ111" s="110"/>
      <c r="AR111" s="46">
        <v>1</v>
      </c>
      <c r="AS111" s="103">
        <v>1</v>
      </c>
      <c r="AT111" s="103">
        <v>2</v>
      </c>
      <c r="AU111" s="103">
        <v>1</v>
      </c>
      <c r="AV111" s="103">
        <v>1</v>
      </c>
      <c r="AW111" s="103">
        <v>1</v>
      </c>
      <c r="AX111" s="103">
        <v>0</v>
      </c>
      <c r="AY111" s="103">
        <v>0</v>
      </c>
      <c r="AZ111" s="103">
        <v>0</v>
      </c>
      <c r="BA111" s="103">
        <v>0</v>
      </c>
      <c r="BB111" s="103">
        <v>0</v>
      </c>
      <c r="BC111" s="42"/>
      <c r="BD111" s="110"/>
      <c r="BE111" s="46">
        <v>1</v>
      </c>
      <c r="BF111" s="103">
        <v>0</v>
      </c>
      <c r="BG111" s="103">
        <v>0</v>
      </c>
      <c r="BH111" s="103">
        <v>1</v>
      </c>
      <c r="BI111" s="103">
        <v>2</v>
      </c>
      <c r="BJ111" s="103">
        <v>0</v>
      </c>
      <c r="BK111" s="103">
        <v>0</v>
      </c>
      <c r="BL111" s="103">
        <v>0</v>
      </c>
      <c r="BM111" s="103">
        <v>1</v>
      </c>
      <c r="BN111" s="103">
        <v>1</v>
      </c>
      <c r="BO111" s="103">
        <v>1</v>
      </c>
      <c r="BQ111" s="110"/>
      <c r="BR111" s="46">
        <v>1</v>
      </c>
      <c r="BS111" s="103">
        <v>1</v>
      </c>
      <c r="BT111" s="103">
        <v>1</v>
      </c>
      <c r="BU111" s="103">
        <v>1</v>
      </c>
      <c r="BV111" s="103">
        <v>0</v>
      </c>
      <c r="BW111" s="103">
        <v>0</v>
      </c>
      <c r="BX111" s="103">
        <v>0</v>
      </c>
      <c r="BY111" s="103">
        <v>0</v>
      </c>
      <c r="BZ111" s="103">
        <v>0</v>
      </c>
      <c r="CA111" s="103">
        <v>0</v>
      </c>
      <c r="CB111" s="103">
        <v>0</v>
      </c>
      <c r="CC111" s="42"/>
      <c r="CD111" s="110"/>
      <c r="CE111" s="46">
        <v>1</v>
      </c>
      <c r="CF111" s="103">
        <v>0</v>
      </c>
      <c r="CG111" s="103">
        <v>1</v>
      </c>
      <c r="CH111" s="103">
        <v>1</v>
      </c>
      <c r="CI111" s="103">
        <v>3</v>
      </c>
      <c r="CJ111" s="103">
        <v>1</v>
      </c>
      <c r="CK111" s="103">
        <v>0</v>
      </c>
      <c r="CL111" s="103">
        <v>0</v>
      </c>
      <c r="CM111" s="103">
        <v>1</v>
      </c>
      <c r="CN111" s="103">
        <v>1</v>
      </c>
      <c r="CO111" s="103">
        <v>1</v>
      </c>
      <c r="CQ111" s="110"/>
      <c r="CR111" s="46">
        <v>1</v>
      </c>
      <c r="CS111" s="103">
        <v>1</v>
      </c>
      <c r="CT111" s="103">
        <v>2</v>
      </c>
      <c r="CU111" s="103">
        <v>1</v>
      </c>
      <c r="CV111" s="103">
        <v>3</v>
      </c>
      <c r="CW111" s="103">
        <v>1</v>
      </c>
      <c r="CX111" s="103">
        <v>0</v>
      </c>
      <c r="CY111" s="103">
        <v>0</v>
      </c>
      <c r="CZ111" s="103">
        <v>1</v>
      </c>
      <c r="DA111" s="103">
        <v>1</v>
      </c>
      <c r="DB111" s="103">
        <v>1</v>
      </c>
      <c r="DC111" s="42"/>
      <c r="DD111" s="110"/>
      <c r="DE111" s="46">
        <v>1</v>
      </c>
      <c r="DF111" s="103">
        <v>0</v>
      </c>
      <c r="DG111" s="103">
        <v>0</v>
      </c>
      <c r="DH111" s="103">
        <v>1</v>
      </c>
      <c r="DI111" s="103">
        <v>0</v>
      </c>
      <c r="DJ111" s="103">
        <v>0</v>
      </c>
      <c r="DK111" s="103">
        <v>0</v>
      </c>
      <c r="DL111" s="103">
        <v>0</v>
      </c>
      <c r="DM111" s="103">
        <v>0</v>
      </c>
      <c r="DN111" s="103">
        <v>0</v>
      </c>
      <c r="DO111" s="103">
        <v>0</v>
      </c>
    </row>
    <row r="112" spans="2:119" ht="15.4" customHeight="1" x14ac:dyDescent="0.45">
      <c r="B112" s="134"/>
      <c r="C112" s="42"/>
      <c r="D112" s="110"/>
      <c r="E112" s="46" t="s">
        <v>2</v>
      </c>
      <c r="F112" s="103">
        <v>35</v>
      </c>
      <c r="G112" s="103">
        <v>95</v>
      </c>
      <c r="H112" s="103">
        <v>81</v>
      </c>
      <c r="I112" s="103">
        <v>27</v>
      </c>
      <c r="J112" s="103">
        <v>11</v>
      </c>
      <c r="K112" s="103">
        <v>19</v>
      </c>
      <c r="L112" s="103">
        <v>7</v>
      </c>
      <c r="M112" s="103">
        <v>3</v>
      </c>
      <c r="N112" s="103">
        <v>7</v>
      </c>
      <c r="O112" s="103">
        <v>2</v>
      </c>
      <c r="P112" s="42"/>
      <c r="Q112" s="110"/>
      <c r="R112" s="46" t="s">
        <v>2</v>
      </c>
      <c r="S112" s="103">
        <v>13</v>
      </c>
      <c r="T112" s="103">
        <v>39</v>
      </c>
      <c r="U112" s="103">
        <v>32</v>
      </c>
      <c r="V112" s="103">
        <v>11</v>
      </c>
      <c r="W112" s="103">
        <v>4</v>
      </c>
      <c r="X112" s="103">
        <v>9</v>
      </c>
      <c r="Y112" s="103">
        <v>3</v>
      </c>
      <c r="Z112" s="103">
        <v>2</v>
      </c>
      <c r="AA112" s="103">
        <v>2</v>
      </c>
      <c r="AB112" s="103">
        <v>1</v>
      </c>
      <c r="AC112" s="42"/>
      <c r="AD112" s="110"/>
      <c r="AE112" s="46" t="s">
        <v>2</v>
      </c>
      <c r="AF112" s="103">
        <v>22</v>
      </c>
      <c r="AG112" s="103">
        <v>56</v>
      </c>
      <c r="AH112" s="103">
        <v>49</v>
      </c>
      <c r="AI112" s="103">
        <v>16</v>
      </c>
      <c r="AJ112" s="103">
        <v>7</v>
      </c>
      <c r="AK112" s="103">
        <v>10</v>
      </c>
      <c r="AL112" s="103">
        <v>4</v>
      </c>
      <c r="AM112" s="103">
        <v>1</v>
      </c>
      <c r="AN112" s="103">
        <v>5</v>
      </c>
      <c r="AO112" s="103">
        <v>1</v>
      </c>
      <c r="AP112" s="6"/>
      <c r="AQ112" s="110"/>
      <c r="AR112" s="46" t="s">
        <v>2</v>
      </c>
      <c r="AS112" s="103">
        <v>30</v>
      </c>
      <c r="AT112" s="103">
        <v>57</v>
      </c>
      <c r="AU112" s="103">
        <v>41</v>
      </c>
      <c r="AV112" s="103">
        <v>11</v>
      </c>
      <c r="AW112" s="103">
        <v>5</v>
      </c>
      <c r="AX112" s="103">
        <v>5</v>
      </c>
      <c r="AY112" s="103">
        <v>1</v>
      </c>
      <c r="AZ112" s="103">
        <v>1</v>
      </c>
      <c r="BA112" s="103">
        <v>2</v>
      </c>
      <c r="BB112" s="103">
        <v>1</v>
      </c>
      <c r="BC112" s="42"/>
      <c r="BD112" s="110"/>
      <c r="BE112" s="46" t="s">
        <v>2</v>
      </c>
      <c r="BF112" s="103">
        <v>5</v>
      </c>
      <c r="BG112" s="103">
        <v>38</v>
      </c>
      <c r="BH112" s="103">
        <v>40</v>
      </c>
      <c r="BI112" s="103">
        <v>16</v>
      </c>
      <c r="BJ112" s="103">
        <v>6</v>
      </c>
      <c r="BK112" s="103">
        <v>14</v>
      </c>
      <c r="BL112" s="103">
        <v>6</v>
      </c>
      <c r="BM112" s="103">
        <v>2</v>
      </c>
      <c r="BN112" s="103">
        <v>5</v>
      </c>
      <c r="BO112" s="103">
        <v>1</v>
      </c>
      <c r="BQ112" s="110"/>
      <c r="BR112" s="46" t="s">
        <v>2</v>
      </c>
      <c r="BS112" s="103">
        <v>23</v>
      </c>
      <c r="BT112" s="103">
        <v>77</v>
      </c>
      <c r="BU112" s="103">
        <v>57</v>
      </c>
      <c r="BV112" s="103">
        <v>18</v>
      </c>
      <c r="BW112" s="103">
        <v>4</v>
      </c>
      <c r="BX112" s="103">
        <v>2</v>
      </c>
      <c r="BY112" s="103">
        <v>3</v>
      </c>
      <c r="BZ112" s="103">
        <v>2</v>
      </c>
      <c r="CA112" s="103">
        <v>0</v>
      </c>
      <c r="CB112" s="103">
        <v>1</v>
      </c>
      <c r="CC112" s="42"/>
      <c r="CD112" s="110"/>
      <c r="CE112" s="46" t="s">
        <v>2</v>
      </c>
      <c r="CF112" s="103">
        <v>12</v>
      </c>
      <c r="CG112" s="103">
        <v>18</v>
      </c>
      <c r="CH112" s="103">
        <v>24</v>
      </c>
      <c r="CI112" s="103">
        <v>9</v>
      </c>
      <c r="CJ112" s="103">
        <v>7</v>
      </c>
      <c r="CK112" s="103">
        <v>17</v>
      </c>
      <c r="CL112" s="103">
        <v>4</v>
      </c>
      <c r="CM112" s="103">
        <v>1</v>
      </c>
      <c r="CN112" s="103">
        <v>7</v>
      </c>
      <c r="CO112" s="103">
        <v>1</v>
      </c>
      <c r="CQ112" s="110"/>
      <c r="CR112" s="46" t="s">
        <v>2</v>
      </c>
      <c r="CS112" s="103">
        <v>12</v>
      </c>
      <c r="CT112" s="103">
        <v>15</v>
      </c>
      <c r="CU112" s="103">
        <v>22</v>
      </c>
      <c r="CV112" s="103">
        <v>12</v>
      </c>
      <c r="CW112" s="103">
        <v>7</v>
      </c>
      <c r="CX112" s="103">
        <v>16</v>
      </c>
      <c r="CY112" s="103">
        <v>5</v>
      </c>
      <c r="CZ112" s="103">
        <v>3</v>
      </c>
      <c r="DA112" s="103">
        <v>7</v>
      </c>
      <c r="DB112" s="103">
        <v>0</v>
      </c>
      <c r="DC112" s="42"/>
      <c r="DD112" s="110"/>
      <c r="DE112" s="46" t="s">
        <v>2</v>
      </c>
      <c r="DF112" s="103">
        <v>23</v>
      </c>
      <c r="DG112" s="103">
        <v>80</v>
      </c>
      <c r="DH112" s="103">
        <v>59</v>
      </c>
      <c r="DI112" s="103">
        <v>15</v>
      </c>
      <c r="DJ112" s="103">
        <v>4</v>
      </c>
      <c r="DK112" s="103">
        <v>3</v>
      </c>
      <c r="DL112" s="103">
        <v>2</v>
      </c>
      <c r="DM112" s="103">
        <v>0</v>
      </c>
      <c r="DN112" s="103">
        <v>0</v>
      </c>
      <c r="DO112" s="103">
        <v>2</v>
      </c>
    </row>
    <row r="113" spans="2:119" ht="15.4" customHeight="1" x14ac:dyDescent="0.45">
      <c r="B113" s="134"/>
      <c r="C113" s="42"/>
      <c r="D113" s="110"/>
      <c r="E113" s="46" t="s">
        <v>3</v>
      </c>
      <c r="F113" s="103">
        <v>14</v>
      </c>
      <c r="G113" s="103">
        <v>56</v>
      </c>
      <c r="H113" s="103">
        <v>73</v>
      </c>
      <c r="I113" s="103">
        <v>32</v>
      </c>
      <c r="J113" s="103">
        <v>12</v>
      </c>
      <c r="K113" s="103">
        <v>9</v>
      </c>
      <c r="L113" s="103">
        <v>6</v>
      </c>
      <c r="M113" s="103">
        <v>4</v>
      </c>
      <c r="N113" s="103">
        <v>2</v>
      </c>
      <c r="O113" s="103">
        <v>0</v>
      </c>
      <c r="P113" s="42"/>
      <c r="Q113" s="110"/>
      <c r="R113" s="46" t="s">
        <v>3</v>
      </c>
      <c r="S113" s="103">
        <v>2</v>
      </c>
      <c r="T113" s="103">
        <v>29</v>
      </c>
      <c r="U113" s="103">
        <v>39</v>
      </c>
      <c r="V113" s="103">
        <v>17</v>
      </c>
      <c r="W113" s="103">
        <v>6</v>
      </c>
      <c r="X113" s="103">
        <v>5</v>
      </c>
      <c r="Y113" s="103">
        <v>2</v>
      </c>
      <c r="Z113" s="103">
        <v>1</v>
      </c>
      <c r="AA113" s="103">
        <v>0</v>
      </c>
      <c r="AB113" s="103">
        <v>0</v>
      </c>
      <c r="AC113" s="42"/>
      <c r="AD113" s="110"/>
      <c r="AE113" s="46" t="s">
        <v>3</v>
      </c>
      <c r="AF113" s="103">
        <v>12</v>
      </c>
      <c r="AG113" s="103">
        <v>27</v>
      </c>
      <c r="AH113" s="103">
        <v>34</v>
      </c>
      <c r="AI113" s="103">
        <v>15</v>
      </c>
      <c r="AJ113" s="103">
        <v>6</v>
      </c>
      <c r="AK113" s="103">
        <v>4</v>
      </c>
      <c r="AL113" s="103">
        <v>4</v>
      </c>
      <c r="AM113" s="103">
        <v>3</v>
      </c>
      <c r="AN113" s="103">
        <v>2</v>
      </c>
      <c r="AO113" s="103">
        <v>0</v>
      </c>
      <c r="AP113" s="6"/>
      <c r="AQ113" s="110"/>
      <c r="AR113" s="46" t="s">
        <v>3</v>
      </c>
      <c r="AS113" s="103">
        <v>8</v>
      </c>
      <c r="AT113" s="103">
        <v>28</v>
      </c>
      <c r="AU113" s="103">
        <v>23</v>
      </c>
      <c r="AV113" s="103">
        <v>13</v>
      </c>
      <c r="AW113" s="103">
        <v>1</v>
      </c>
      <c r="AX113" s="103">
        <v>3</v>
      </c>
      <c r="AY113" s="103">
        <v>1</v>
      </c>
      <c r="AZ113" s="103">
        <v>1</v>
      </c>
      <c r="BA113" s="103">
        <v>0</v>
      </c>
      <c r="BB113" s="103">
        <v>0</v>
      </c>
      <c r="BC113" s="42"/>
      <c r="BD113" s="110"/>
      <c r="BE113" s="46" t="s">
        <v>3</v>
      </c>
      <c r="BF113" s="103">
        <v>6</v>
      </c>
      <c r="BG113" s="103">
        <v>28</v>
      </c>
      <c r="BH113" s="103">
        <v>50</v>
      </c>
      <c r="BI113" s="103">
        <v>19</v>
      </c>
      <c r="BJ113" s="103">
        <v>11</v>
      </c>
      <c r="BK113" s="103">
        <v>6</v>
      </c>
      <c r="BL113" s="103">
        <v>5</v>
      </c>
      <c r="BM113" s="103">
        <v>3</v>
      </c>
      <c r="BN113" s="103">
        <v>2</v>
      </c>
      <c r="BO113" s="103">
        <v>0</v>
      </c>
      <c r="BQ113" s="110"/>
      <c r="BR113" s="46" t="s">
        <v>3</v>
      </c>
      <c r="BS113" s="103">
        <v>5</v>
      </c>
      <c r="BT113" s="103">
        <v>34</v>
      </c>
      <c r="BU113" s="103">
        <v>40</v>
      </c>
      <c r="BV113" s="103">
        <v>11</v>
      </c>
      <c r="BW113" s="103">
        <v>6</v>
      </c>
      <c r="BX113" s="103">
        <v>3</v>
      </c>
      <c r="BY113" s="103">
        <v>1</v>
      </c>
      <c r="BZ113" s="103">
        <v>1</v>
      </c>
      <c r="CA113" s="103">
        <v>0</v>
      </c>
      <c r="CB113" s="103">
        <v>0</v>
      </c>
      <c r="CC113" s="42"/>
      <c r="CD113" s="110"/>
      <c r="CE113" s="46" t="s">
        <v>3</v>
      </c>
      <c r="CF113" s="103">
        <v>9</v>
      </c>
      <c r="CG113" s="103">
        <v>22</v>
      </c>
      <c r="CH113" s="103">
        <v>33</v>
      </c>
      <c r="CI113" s="103">
        <v>21</v>
      </c>
      <c r="CJ113" s="103">
        <v>6</v>
      </c>
      <c r="CK113" s="103">
        <v>6</v>
      </c>
      <c r="CL113" s="103">
        <v>5</v>
      </c>
      <c r="CM113" s="103">
        <v>3</v>
      </c>
      <c r="CN113" s="103">
        <v>2</v>
      </c>
      <c r="CO113" s="103">
        <v>0</v>
      </c>
      <c r="CQ113" s="110"/>
      <c r="CR113" s="46" t="s">
        <v>3</v>
      </c>
      <c r="CS113" s="103">
        <v>2</v>
      </c>
      <c r="CT113" s="103">
        <v>6</v>
      </c>
      <c r="CU113" s="103">
        <v>15</v>
      </c>
      <c r="CV113" s="103">
        <v>14</v>
      </c>
      <c r="CW113" s="103">
        <v>6</v>
      </c>
      <c r="CX113" s="103">
        <v>7</v>
      </c>
      <c r="CY113" s="103">
        <v>5</v>
      </c>
      <c r="CZ113" s="103">
        <v>4</v>
      </c>
      <c r="DA113" s="103">
        <v>2</v>
      </c>
      <c r="DB113" s="103">
        <v>0</v>
      </c>
      <c r="DC113" s="42"/>
      <c r="DD113" s="110"/>
      <c r="DE113" s="46" t="s">
        <v>3</v>
      </c>
      <c r="DF113" s="103">
        <v>12</v>
      </c>
      <c r="DG113" s="103">
        <v>50</v>
      </c>
      <c r="DH113" s="103">
        <v>58</v>
      </c>
      <c r="DI113" s="103">
        <v>18</v>
      </c>
      <c r="DJ113" s="103">
        <v>6</v>
      </c>
      <c r="DK113" s="103">
        <v>2</v>
      </c>
      <c r="DL113" s="103">
        <v>1</v>
      </c>
      <c r="DM113" s="103">
        <v>0</v>
      </c>
      <c r="DN113" s="103">
        <v>0</v>
      </c>
      <c r="DO113" s="103">
        <v>0</v>
      </c>
    </row>
    <row r="114" spans="2:119" ht="15.4" customHeight="1" x14ac:dyDescent="0.45">
      <c r="B114" s="134"/>
      <c r="C114" s="42"/>
      <c r="D114" s="110"/>
      <c r="E114" s="46" t="s">
        <v>4</v>
      </c>
      <c r="F114" s="103">
        <v>14</v>
      </c>
      <c r="G114" s="103">
        <v>83</v>
      </c>
      <c r="H114" s="103">
        <v>122</v>
      </c>
      <c r="I114" s="103">
        <v>93</v>
      </c>
      <c r="J114" s="103">
        <v>33</v>
      </c>
      <c r="K114" s="103">
        <v>20</v>
      </c>
      <c r="L114" s="103">
        <v>12</v>
      </c>
      <c r="M114" s="103">
        <v>13</v>
      </c>
      <c r="N114" s="103">
        <v>8</v>
      </c>
      <c r="O114" s="103">
        <v>2</v>
      </c>
      <c r="P114" s="42"/>
      <c r="Q114" s="110"/>
      <c r="R114" s="46" t="s">
        <v>4</v>
      </c>
      <c r="S114" s="103">
        <v>3</v>
      </c>
      <c r="T114" s="103">
        <v>28</v>
      </c>
      <c r="U114" s="103">
        <v>57</v>
      </c>
      <c r="V114" s="103">
        <v>37</v>
      </c>
      <c r="W114" s="103">
        <v>11</v>
      </c>
      <c r="X114" s="103">
        <v>10</v>
      </c>
      <c r="Y114" s="103">
        <v>5</v>
      </c>
      <c r="Z114" s="103">
        <v>4</v>
      </c>
      <c r="AA114" s="103">
        <v>2</v>
      </c>
      <c r="AB114" s="103">
        <v>1</v>
      </c>
      <c r="AC114" s="42"/>
      <c r="AD114" s="110"/>
      <c r="AE114" s="46" t="s">
        <v>4</v>
      </c>
      <c r="AF114" s="103">
        <v>11</v>
      </c>
      <c r="AG114" s="103">
        <v>55</v>
      </c>
      <c r="AH114" s="103">
        <v>65</v>
      </c>
      <c r="AI114" s="103">
        <v>56</v>
      </c>
      <c r="AJ114" s="103">
        <v>22</v>
      </c>
      <c r="AK114" s="103">
        <v>10</v>
      </c>
      <c r="AL114" s="103">
        <v>7</v>
      </c>
      <c r="AM114" s="103">
        <v>9</v>
      </c>
      <c r="AN114" s="103">
        <v>6</v>
      </c>
      <c r="AO114" s="103">
        <v>1</v>
      </c>
      <c r="AP114" s="6"/>
      <c r="AQ114" s="110"/>
      <c r="AR114" s="46" t="s">
        <v>4</v>
      </c>
      <c r="AS114" s="103">
        <v>5</v>
      </c>
      <c r="AT114" s="103">
        <v>48</v>
      </c>
      <c r="AU114" s="103">
        <v>52</v>
      </c>
      <c r="AV114" s="103">
        <v>29</v>
      </c>
      <c r="AW114" s="103">
        <v>8</v>
      </c>
      <c r="AX114" s="103">
        <v>5</v>
      </c>
      <c r="AY114" s="103">
        <v>2</v>
      </c>
      <c r="AZ114" s="103">
        <v>4</v>
      </c>
      <c r="BA114" s="103">
        <v>4</v>
      </c>
      <c r="BB114" s="103">
        <v>1</v>
      </c>
      <c r="BC114" s="42"/>
      <c r="BD114" s="110"/>
      <c r="BE114" s="46" t="s">
        <v>4</v>
      </c>
      <c r="BF114" s="103">
        <v>9</v>
      </c>
      <c r="BG114" s="103">
        <v>35</v>
      </c>
      <c r="BH114" s="103">
        <v>70</v>
      </c>
      <c r="BI114" s="103">
        <v>64</v>
      </c>
      <c r="BJ114" s="103">
        <v>25</v>
      </c>
      <c r="BK114" s="103">
        <v>15</v>
      </c>
      <c r="BL114" s="103">
        <v>10</v>
      </c>
      <c r="BM114" s="103">
        <v>9</v>
      </c>
      <c r="BN114" s="103">
        <v>4</v>
      </c>
      <c r="BO114" s="103">
        <v>1</v>
      </c>
      <c r="BQ114" s="110"/>
      <c r="BR114" s="46" t="s">
        <v>4</v>
      </c>
      <c r="BS114" s="103">
        <v>4</v>
      </c>
      <c r="BT114" s="103">
        <v>42</v>
      </c>
      <c r="BU114" s="103">
        <v>44</v>
      </c>
      <c r="BV114" s="103">
        <v>36</v>
      </c>
      <c r="BW114" s="103">
        <v>8</v>
      </c>
      <c r="BX114" s="103">
        <v>5</v>
      </c>
      <c r="BY114" s="103">
        <v>3</v>
      </c>
      <c r="BZ114" s="103">
        <v>4</v>
      </c>
      <c r="CA114" s="103">
        <v>0</v>
      </c>
      <c r="CB114" s="103">
        <v>0</v>
      </c>
      <c r="CC114" s="42"/>
      <c r="CD114" s="110"/>
      <c r="CE114" s="46" t="s">
        <v>4</v>
      </c>
      <c r="CF114" s="103">
        <v>10</v>
      </c>
      <c r="CG114" s="103">
        <v>41</v>
      </c>
      <c r="CH114" s="103">
        <v>78</v>
      </c>
      <c r="CI114" s="103">
        <v>57</v>
      </c>
      <c r="CJ114" s="103">
        <v>25</v>
      </c>
      <c r="CK114" s="103">
        <v>15</v>
      </c>
      <c r="CL114" s="103">
        <v>9</v>
      </c>
      <c r="CM114" s="103">
        <v>9</v>
      </c>
      <c r="CN114" s="103">
        <v>8</v>
      </c>
      <c r="CO114" s="103">
        <v>2</v>
      </c>
      <c r="CQ114" s="110"/>
      <c r="CR114" s="46" t="s">
        <v>4</v>
      </c>
      <c r="CS114" s="103">
        <v>0</v>
      </c>
      <c r="CT114" s="103">
        <v>8</v>
      </c>
      <c r="CU114" s="103">
        <v>21</v>
      </c>
      <c r="CV114" s="103">
        <v>24</v>
      </c>
      <c r="CW114" s="103">
        <v>18</v>
      </c>
      <c r="CX114" s="103">
        <v>14</v>
      </c>
      <c r="CY114" s="103">
        <v>8</v>
      </c>
      <c r="CZ114" s="103">
        <v>8</v>
      </c>
      <c r="DA114" s="103">
        <v>7</v>
      </c>
      <c r="DB114" s="103">
        <v>2</v>
      </c>
      <c r="DC114" s="42"/>
      <c r="DD114" s="110"/>
      <c r="DE114" s="46" t="s">
        <v>4</v>
      </c>
      <c r="DF114" s="103">
        <v>14</v>
      </c>
      <c r="DG114" s="103">
        <v>75</v>
      </c>
      <c r="DH114" s="103">
        <v>101</v>
      </c>
      <c r="DI114" s="103">
        <v>69</v>
      </c>
      <c r="DJ114" s="103">
        <v>15</v>
      </c>
      <c r="DK114" s="103">
        <v>6</v>
      </c>
      <c r="DL114" s="103">
        <v>4</v>
      </c>
      <c r="DM114" s="103">
        <v>5</v>
      </c>
      <c r="DN114" s="103">
        <v>1</v>
      </c>
      <c r="DO114" s="103">
        <v>0</v>
      </c>
    </row>
    <row r="115" spans="2:119" ht="15.4" customHeight="1" x14ac:dyDescent="0.45">
      <c r="B115" s="134"/>
      <c r="C115" s="42"/>
      <c r="D115" s="110"/>
      <c r="E115" s="46" t="s">
        <v>5</v>
      </c>
      <c r="F115" s="103">
        <v>19</v>
      </c>
      <c r="G115" s="103">
        <v>97</v>
      </c>
      <c r="H115" s="103">
        <v>230</v>
      </c>
      <c r="I115" s="103">
        <v>223</v>
      </c>
      <c r="J115" s="103">
        <v>101</v>
      </c>
      <c r="K115" s="103">
        <v>48</v>
      </c>
      <c r="L115" s="103">
        <v>24</v>
      </c>
      <c r="M115" s="103">
        <v>16</v>
      </c>
      <c r="N115" s="103">
        <v>5</v>
      </c>
      <c r="O115" s="103">
        <v>2</v>
      </c>
      <c r="P115" s="42"/>
      <c r="Q115" s="110"/>
      <c r="R115" s="46" t="s">
        <v>5</v>
      </c>
      <c r="S115" s="103">
        <v>7</v>
      </c>
      <c r="T115" s="103">
        <v>45</v>
      </c>
      <c r="U115" s="103">
        <v>121</v>
      </c>
      <c r="V115" s="103">
        <v>109</v>
      </c>
      <c r="W115" s="103">
        <v>56</v>
      </c>
      <c r="X115" s="103">
        <v>19</v>
      </c>
      <c r="Y115" s="103">
        <v>11</v>
      </c>
      <c r="Z115" s="103">
        <v>3</v>
      </c>
      <c r="AA115" s="103">
        <v>4</v>
      </c>
      <c r="AB115" s="103">
        <v>0</v>
      </c>
      <c r="AC115" s="42"/>
      <c r="AD115" s="110"/>
      <c r="AE115" s="46" t="s">
        <v>5</v>
      </c>
      <c r="AF115" s="103">
        <v>12</v>
      </c>
      <c r="AG115" s="103">
        <v>52</v>
      </c>
      <c r="AH115" s="103">
        <v>109</v>
      </c>
      <c r="AI115" s="103">
        <v>114</v>
      </c>
      <c r="AJ115" s="103">
        <v>45</v>
      </c>
      <c r="AK115" s="103">
        <v>29</v>
      </c>
      <c r="AL115" s="103">
        <v>13</v>
      </c>
      <c r="AM115" s="103">
        <v>13</v>
      </c>
      <c r="AN115" s="103">
        <v>1</v>
      </c>
      <c r="AO115" s="103">
        <v>2</v>
      </c>
      <c r="AP115" s="6"/>
      <c r="AQ115" s="110"/>
      <c r="AR115" s="46" t="s">
        <v>5</v>
      </c>
      <c r="AS115" s="103">
        <v>9</v>
      </c>
      <c r="AT115" s="103">
        <v>42</v>
      </c>
      <c r="AU115" s="103">
        <v>93</v>
      </c>
      <c r="AV115" s="103">
        <v>82</v>
      </c>
      <c r="AW115" s="103">
        <v>22</v>
      </c>
      <c r="AX115" s="103">
        <v>12</v>
      </c>
      <c r="AY115" s="103">
        <v>7</v>
      </c>
      <c r="AZ115" s="103">
        <v>5</v>
      </c>
      <c r="BA115" s="103">
        <v>2</v>
      </c>
      <c r="BB115" s="103">
        <v>0</v>
      </c>
      <c r="BC115" s="42"/>
      <c r="BD115" s="110"/>
      <c r="BE115" s="46" t="s">
        <v>5</v>
      </c>
      <c r="BF115" s="103">
        <v>10</v>
      </c>
      <c r="BG115" s="103">
        <v>55</v>
      </c>
      <c r="BH115" s="103">
        <v>137</v>
      </c>
      <c r="BI115" s="103">
        <v>141</v>
      </c>
      <c r="BJ115" s="103">
        <v>79</v>
      </c>
      <c r="BK115" s="103">
        <v>36</v>
      </c>
      <c r="BL115" s="103">
        <v>17</v>
      </c>
      <c r="BM115" s="103">
        <v>11</v>
      </c>
      <c r="BN115" s="103">
        <v>3</v>
      </c>
      <c r="BO115" s="103">
        <v>2</v>
      </c>
      <c r="BQ115" s="110"/>
      <c r="BR115" s="46" t="s">
        <v>5</v>
      </c>
      <c r="BS115" s="103">
        <v>6</v>
      </c>
      <c r="BT115" s="103">
        <v>41</v>
      </c>
      <c r="BU115" s="103">
        <v>79</v>
      </c>
      <c r="BV115" s="103">
        <v>55</v>
      </c>
      <c r="BW115" s="103">
        <v>19</v>
      </c>
      <c r="BX115" s="103">
        <v>12</v>
      </c>
      <c r="BY115" s="103">
        <v>4</v>
      </c>
      <c r="BZ115" s="103">
        <v>3</v>
      </c>
      <c r="CA115" s="103">
        <v>0</v>
      </c>
      <c r="CB115" s="103">
        <v>0</v>
      </c>
      <c r="CC115" s="42"/>
      <c r="CD115" s="110"/>
      <c r="CE115" s="46" t="s">
        <v>5</v>
      </c>
      <c r="CF115" s="103">
        <v>13</v>
      </c>
      <c r="CG115" s="103">
        <v>56</v>
      </c>
      <c r="CH115" s="103">
        <v>151</v>
      </c>
      <c r="CI115" s="103">
        <v>168</v>
      </c>
      <c r="CJ115" s="103">
        <v>82</v>
      </c>
      <c r="CK115" s="103">
        <v>36</v>
      </c>
      <c r="CL115" s="103">
        <v>20</v>
      </c>
      <c r="CM115" s="103">
        <v>13</v>
      </c>
      <c r="CN115" s="103">
        <v>5</v>
      </c>
      <c r="CO115" s="103">
        <v>2</v>
      </c>
      <c r="CQ115" s="110"/>
      <c r="CR115" s="46" t="s">
        <v>5</v>
      </c>
      <c r="CS115" s="103">
        <v>2</v>
      </c>
      <c r="CT115" s="103">
        <v>8</v>
      </c>
      <c r="CU115" s="103">
        <v>25</v>
      </c>
      <c r="CV115" s="103">
        <v>45</v>
      </c>
      <c r="CW115" s="103">
        <v>28</v>
      </c>
      <c r="CX115" s="103">
        <v>23</v>
      </c>
      <c r="CY115" s="103">
        <v>13</v>
      </c>
      <c r="CZ115" s="103">
        <v>9</v>
      </c>
      <c r="DA115" s="103">
        <v>5</v>
      </c>
      <c r="DB115" s="103">
        <v>2</v>
      </c>
      <c r="DC115" s="42"/>
      <c r="DD115" s="110"/>
      <c r="DE115" s="46" t="s">
        <v>5</v>
      </c>
      <c r="DF115" s="103">
        <v>17</v>
      </c>
      <c r="DG115" s="103">
        <v>89</v>
      </c>
      <c r="DH115" s="103">
        <v>205</v>
      </c>
      <c r="DI115" s="103">
        <v>178</v>
      </c>
      <c r="DJ115" s="103">
        <v>73</v>
      </c>
      <c r="DK115" s="103">
        <v>25</v>
      </c>
      <c r="DL115" s="103">
        <v>11</v>
      </c>
      <c r="DM115" s="103">
        <v>7</v>
      </c>
      <c r="DN115" s="103">
        <v>0</v>
      </c>
      <c r="DO115" s="103">
        <v>0</v>
      </c>
    </row>
    <row r="116" spans="2:119" ht="15.4" customHeight="1" x14ac:dyDescent="0.45">
      <c r="B116" s="134"/>
      <c r="C116" s="42"/>
      <c r="D116" s="110"/>
      <c r="E116" s="46" t="s">
        <v>6</v>
      </c>
      <c r="F116" s="103">
        <v>66</v>
      </c>
      <c r="G116" s="103">
        <v>132</v>
      </c>
      <c r="H116" s="103">
        <v>423</v>
      </c>
      <c r="I116" s="103">
        <v>743</v>
      </c>
      <c r="J116" s="103">
        <v>459</v>
      </c>
      <c r="K116" s="103">
        <v>275</v>
      </c>
      <c r="L116" s="103">
        <v>136</v>
      </c>
      <c r="M116" s="103">
        <v>57</v>
      </c>
      <c r="N116" s="103">
        <v>17</v>
      </c>
      <c r="O116" s="103">
        <v>4</v>
      </c>
      <c r="P116" s="42"/>
      <c r="Q116" s="110"/>
      <c r="R116" s="46" t="s">
        <v>6</v>
      </c>
      <c r="S116" s="103">
        <v>26</v>
      </c>
      <c r="T116" s="103">
        <v>58</v>
      </c>
      <c r="U116" s="103">
        <v>226</v>
      </c>
      <c r="V116" s="103">
        <v>388</v>
      </c>
      <c r="W116" s="103">
        <v>230</v>
      </c>
      <c r="X116" s="103">
        <v>133</v>
      </c>
      <c r="Y116" s="103">
        <v>62</v>
      </c>
      <c r="Z116" s="103">
        <v>21</v>
      </c>
      <c r="AA116" s="103">
        <v>3</v>
      </c>
      <c r="AB116" s="103">
        <v>0</v>
      </c>
      <c r="AC116" s="42"/>
      <c r="AD116" s="110"/>
      <c r="AE116" s="46" t="s">
        <v>6</v>
      </c>
      <c r="AF116" s="103">
        <v>40</v>
      </c>
      <c r="AG116" s="103">
        <v>74</v>
      </c>
      <c r="AH116" s="103">
        <v>197</v>
      </c>
      <c r="AI116" s="103">
        <v>355</v>
      </c>
      <c r="AJ116" s="103">
        <v>229</v>
      </c>
      <c r="AK116" s="103">
        <v>142</v>
      </c>
      <c r="AL116" s="103">
        <v>74</v>
      </c>
      <c r="AM116" s="103">
        <v>36</v>
      </c>
      <c r="AN116" s="103">
        <v>14</v>
      </c>
      <c r="AO116" s="103">
        <v>4</v>
      </c>
      <c r="AP116" s="6"/>
      <c r="AQ116" s="110"/>
      <c r="AR116" s="46" t="s">
        <v>6</v>
      </c>
      <c r="AS116" s="103">
        <v>23</v>
      </c>
      <c r="AT116" s="103">
        <v>72</v>
      </c>
      <c r="AU116" s="103">
        <v>147</v>
      </c>
      <c r="AV116" s="103">
        <v>247</v>
      </c>
      <c r="AW116" s="103">
        <v>110</v>
      </c>
      <c r="AX116" s="103">
        <v>63</v>
      </c>
      <c r="AY116" s="103">
        <v>31</v>
      </c>
      <c r="AZ116" s="103">
        <v>16</v>
      </c>
      <c r="BA116" s="103">
        <v>3</v>
      </c>
      <c r="BB116" s="103">
        <v>1</v>
      </c>
      <c r="BC116" s="42"/>
      <c r="BD116" s="110"/>
      <c r="BE116" s="46" t="s">
        <v>6</v>
      </c>
      <c r="BF116" s="103">
        <v>43</v>
      </c>
      <c r="BG116" s="103">
        <v>60</v>
      </c>
      <c r="BH116" s="103">
        <v>276</v>
      </c>
      <c r="BI116" s="103">
        <v>496</v>
      </c>
      <c r="BJ116" s="103">
        <v>349</v>
      </c>
      <c r="BK116" s="103">
        <v>212</v>
      </c>
      <c r="BL116" s="103">
        <v>105</v>
      </c>
      <c r="BM116" s="103">
        <v>41</v>
      </c>
      <c r="BN116" s="103">
        <v>14</v>
      </c>
      <c r="BO116" s="103">
        <v>3</v>
      </c>
      <c r="BQ116" s="110"/>
      <c r="BR116" s="46" t="s">
        <v>6</v>
      </c>
      <c r="BS116" s="103">
        <v>16</v>
      </c>
      <c r="BT116" s="103">
        <v>45</v>
      </c>
      <c r="BU116" s="103">
        <v>82</v>
      </c>
      <c r="BV116" s="103">
        <v>126</v>
      </c>
      <c r="BW116" s="103">
        <v>73</v>
      </c>
      <c r="BX116" s="103">
        <v>39</v>
      </c>
      <c r="BY116" s="103">
        <v>12</v>
      </c>
      <c r="BZ116" s="103">
        <v>9</v>
      </c>
      <c r="CA116" s="103">
        <v>2</v>
      </c>
      <c r="CB116" s="103">
        <v>2</v>
      </c>
      <c r="CC116" s="42"/>
      <c r="CD116" s="110"/>
      <c r="CE116" s="46" t="s">
        <v>6</v>
      </c>
      <c r="CF116" s="103">
        <v>50</v>
      </c>
      <c r="CG116" s="103">
        <v>87</v>
      </c>
      <c r="CH116" s="103">
        <v>341</v>
      </c>
      <c r="CI116" s="103">
        <v>617</v>
      </c>
      <c r="CJ116" s="103">
        <v>386</v>
      </c>
      <c r="CK116" s="103">
        <v>236</v>
      </c>
      <c r="CL116" s="103">
        <v>124</v>
      </c>
      <c r="CM116" s="103">
        <v>48</v>
      </c>
      <c r="CN116" s="103">
        <v>15</v>
      </c>
      <c r="CO116" s="103">
        <v>2</v>
      </c>
      <c r="CQ116" s="110"/>
      <c r="CR116" s="46" t="s">
        <v>6</v>
      </c>
      <c r="CS116" s="103">
        <v>7</v>
      </c>
      <c r="CT116" s="103">
        <v>13</v>
      </c>
      <c r="CU116" s="103">
        <v>42</v>
      </c>
      <c r="CV116" s="103">
        <v>126</v>
      </c>
      <c r="CW116" s="103">
        <v>106</v>
      </c>
      <c r="CX116" s="103">
        <v>86</v>
      </c>
      <c r="CY116" s="103">
        <v>70</v>
      </c>
      <c r="CZ116" s="103">
        <v>33</v>
      </c>
      <c r="DA116" s="103">
        <v>13</v>
      </c>
      <c r="DB116" s="103">
        <v>2</v>
      </c>
      <c r="DC116" s="42"/>
      <c r="DD116" s="110"/>
      <c r="DE116" s="46" t="s">
        <v>6</v>
      </c>
      <c r="DF116" s="103">
        <v>59</v>
      </c>
      <c r="DG116" s="103">
        <v>119</v>
      </c>
      <c r="DH116" s="103">
        <v>381</v>
      </c>
      <c r="DI116" s="103">
        <v>617</v>
      </c>
      <c r="DJ116" s="103">
        <v>353</v>
      </c>
      <c r="DK116" s="103">
        <v>189</v>
      </c>
      <c r="DL116" s="103">
        <v>66</v>
      </c>
      <c r="DM116" s="103">
        <v>24</v>
      </c>
      <c r="DN116" s="103">
        <v>4</v>
      </c>
      <c r="DO116" s="103">
        <v>2</v>
      </c>
    </row>
    <row r="117" spans="2:119" ht="15.4" customHeight="1" x14ac:dyDescent="0.45">
      <c r="B117" s="134"/>
      <c r="C117" s="42"/>
      <c r="D117" s="110"/>
      <c r="E117" s="46" t="s">
        <v>7</v>
      </c>
      <c r="F117" s="103">
        <v>111</v>
      </c>
      <c r="G117" s="103">
        <v>192</v>
      </c>
      <c r="H117" s="103">
        <v>616</v>
      </c>
      <c r="I117" s="103">
        <v>1905</v>
      </c>
      <c r="J117" s="103">
        <v>1664</v>
      </c>
      <c r="K117" s="103">
        <v>1260</v>
      </c>
      <c r="L117" s="103">
        <v>679</v>
      </c>
      <c r="M117" s="103">
        <v>305</v>
      </c>
      <c r="N117" s="103">
        <v>145</v>
      </c>
      <c r="O117" s="103">
        <v>36</v>
      </c>
      <c r="P117" s="42"/>
      <c r="Q117" s="110"/>
      <c r="R117" s="46" t="s">
        <v>7</v>
      </c>
      <c r="S117" s="103">
        <v>51</v>
      </c>
      <c r="T117" s="103">
        <v>74</v>
      </c>
      <c r="U117" s="103">
        <v>316</v>
      </c>
      <c r="V117" s="103">
        <v>1041</v>
      </c>
      <c r="W117" s="103">
        <v>894</v>
      </c>
      <c r="X117" s="103">
        <v>653</v>
      </c>
      <c r="Y117" s="103">
        <v>329</v>
      </c>
      <c r="Z117" s="103">
        <v>141</v>
      </c>
      <c r="AA117" s="103">
        <v>58</v>
      </c>
      <c r="AB117" s="103">
        <v>8</v>
      </c>
      <c r="AC117" s="42"/>
      <c r="AD117" s="110"/>
      <c r="AE117" s="46" t="s">
        <v>7</v>
      </c>
      <c r="AF117" s="103">
        <v>60</v>
      </c>
      <c r="AG117" s="103">
        <v>118</v>
      </c>
      <c r="AH117" s="103">
        <v>300</v>
      </c>
      <c r="AI117" s="103">
        <v>864</v>
      </c>
      <c r="AJ117" s="103">
        <v>770</v>
      </c>
      <c r="AK117" s="103">
        <v>607</v>
      </c>
      <c r="AL117" s="103">
        <v>350</v>
      </c>
      <c r="AM117" s="103">
        <v>164</v>
      </c>
      <c r="AN117" s="103">
        <v>87</v>
      </c>
      <c r="AO117" s="103">
        <v>28</v>
      </c>
      <c r="AP117" s="6"/>
      <c r="AQ117" s="110"/>
      <c r="AR117" s="46" t="s">
        <v>7</v>
      </c>
      <c r="AS117" s="103">
        <v>39</v>
      </c>
      <c r="AT117" s="103">
        <v>103</v>
      </c>
      <c r="AU117" s="103">
        <v>231</v>
      </c>
      <c r="AV117" s="103">
        <v>579</v>
      </c>
      <c r="AW117" s="103">
        <v>403</v>
      </c>
      <c r="AX117" s="103">
        <v>270</v>
      </c>
      <c r="AY117" s="103">
        <v>149</v>
      </c>
      <c r="AZ117" s="103">
        <v>56</v>
      </c>
      <c r="BA117" s="103">
        <v>30</v>
      </c>
      <c r="BB117" s="103">
        <v>8</v>
      </c>
      <c r="BC117" s="42"/>
      <c r="BD117" s="110"/>
      <c r="BE117" s="46" t="s">
        <v>7</v>
      </c>
      <c r="BF117" s="103">
        <v>72</v>
      </c>
      <c r="BG117" s="103">
        <v>89</v>
      </c>
      <c r="BH117" s="103">
        <v>385</v>
      </c>
      <c r="BI117" s="103">
        <v>1326</v>
      </c>
      <c r="BJ117" s="103">
        <v>1261</v>
      </c>
      <c r="BK117" s="103">
        <v>990</v>
      </c>
      <c r="BL117" s="103">
        <v>530</v>
      </c>
      <c r="BM117" s="103">
        <v>249</v>
      </c>
      <c r="BN117" s="103">
        <v>115</v>
      </c>
      <c r="BO117" s="103">
        <v>28</v>
      </c>
      <c r="BQ117" s="110"/>
      <c r="BR117" s="46" t="s">
        <v>7</v>
      </c>
      <c r="BS117" s="103">
        <v>11</v>
      </c>
      <c r="BT117" s="103">
        <v>57</v>
      </c>
      <c r="BU117" s="103">
        <v>124</v>
      </c>
      <c r="BV117" s="103">
        <v>187</v>
      </c>
      <c r="BW117" s="103">
        <v>137</v>
      </c>
      <c r="BX117" s="103">
        <v>112</v>
      </c>
      <c r="BY117" s="103">
        <v>56</v>
      </c>
      <c r="BZ117" s="103">
        <v>26</v>
      </c>
      <c r="CA117" s="103">
        <v>13</v>
      </c>
      <c r="CB117" s="103">
        <v>6</v>
      </c>
      <c r="CC117" s="42"/>
      <c r="CD117" s="110"/>
      <c r="CE117" s="46" t="s">
        <v>7</v>
      </c>
      <c r="CF117" s="103">
        <v>100</v>
      </c>
      <c r="CG117" s="103">
        <v>135</v>
      </c>
      <c r="CH117" s="103">
        <v>492</v>
      </c>
      <c r="CI117" s="103">
        <v>1718</v>
      </c>
      <c r="CJ117" s="103">
        <v>1527</v>
      </c>
      <c r="CK117" s="103">
        <v>1148</v>
      </c>
      <c r="CL117" s="103">
        <v>623</v>
      </c>
      <c r="CM117" s="103">
        <v>279</v>
      </c>
      <c r="CN117" s="103">
        <v>132</v>
      </c>
      <c r="CO117" s="103">
        <v>30</v>
      </c>
      <c r="CQ117" s="110"/>
      <c r="CR117" s="46" t="s">
        <v>7</v>
      </c>
      <c r="CS117" s="103">
        <v>21</v>
      </c>
      <c r="CT117" s="103">
        <v>12</v>
      </c>
      <c r="CU117" s="103">
        <v>40</v>
      </c>
      <c r="CV117" s="103">
        <v>245</v>
      </c>
      <c r="CW117" s="103">
        <v>335</v>
      </c>
      <c r="CX117" s="103">
        <v>339</v>
      </c>
      <c r="CY117" s="103">
        <v>258</v>
      </c>
      <c r="CZ117" s="103">
        <v>125</v>
      </c>
      <c r="DA117" s="103">
        <v>63</v>
      </c>
      <c r="DB117" s="103">
        <v>15</v>
      </c>
      <c r="DC117" s="42"/>
      <c r="DD117" s="110"/>
      <c r="DE117" s="46" t="s">
        <v>7</v>
      </c>
      <c r="DF117" s="103">
        <v>90</v>
      </c>
      <c r="DG117" s="103">
        <v>180</v>
      </c>
      <c r="DH117" s="103">
        <v>576</v>
      </c>
      <c r="DI117" s="103">
        <v>1660</v>
      </c>
      <c r="DJ117" s="103">
        <v>1329</v>
      </c>
      <c r="DK117" s="103">
        <v>921</v>
      </c>
      <c r="DL117" s="103">
        <v>421</v>
      </c>
      <c r="DM117" s="103">
        <v>180</v>
      </c>
      <c r="DN117" s="103">
        <v>82</v>
      </c>
      <c r="DO117" s="103">
        <v>21</v>
      </c>
    </row>
    <row r="118" spans="2:119" ht="15.4" customHeight="1" x14ac:dyDescent="0.45">
      <c r="B118" s="134"/>
      <c r="C118" s="42"/>
      <c r="D118" s="110"/>
      <c r="E118" s="46" t="s">
        <v>8</v>
      </c>
      <c r="F118" s="103">
        <v>223</v>
      </c>
      <c r="G118" s="103">
        <v>118</v>
      </c>
      <c r="H118" s="103">
        <v>514</v>
      </c>
      <c r="I118" s="103">
        <v>2756</v>
      </c>
      <c r="J118" s="103">
        <v>4386</v>
      </c>
      <c r="K118" s="103">
        <v>4441</v>
      </c>
      <c r="L118" s="103">
        <v>2959</v>
      </c>
      <c r="M118" s="103">
        <v>1553</v>
      </c>
      <c r="N118" s="103">
        <v>742</v>
      </c>
      <c r="O118" s="103">
        <v>194</v>
      </c>
      <c r="P118" s="42"/>
      <c r="Q118" s="110"/>
      <c r="R118" s="46" t="s">
        <v>8</v>
      </c>
      <c r="S118" s="103">
        <v>123</v>
      </c>
      <c r="T118" s="103">
        <v>43</v>
      </c>
      <c r="U118" s="103">
        <v>248</v>
      </c>
      <c r="V118" s="103">
        <v>1494</v>
      </c>
      <c r="W118" s="103">
        <v>2346</v>
      </c>
      <c r="X118" s="103">
        <v>2378</v>
      </c>
      <c r="Y118" s="103">
        <v>1547</v>
      </c>
      <c r="Z118" s="103">
        <v>776</v>
      </c>
      <c r="AA118" s="103">
        <v>299</v>
      </c>
      <c r="AB118" s="103">
        <v>59</v>
      </c>
      <c r="AC118" s="42"/>
      <c r="AD118" s="110"/>
      <c r="AE118" s="46" t="s">
        <v>8</v>
      </c>
      <c r="AF118" s="103">
        <v>100</v>
      </c>
      <c r="AG118" s="103">
        <v>75</v>
      </c>
      <c r="AH118" s="103">
        <v>266</v>
      </c>
      <c r="AI118" s="103">
        <v>1262</v>
      </c>
      <c r="AJ118" s="103">
        <v>2040</v>
      </c>
      <c r="AK118" s="103">
        <v>2063</v>
      </c>
      <c r="AL118" s="103">
        <v>1412</v>
      </c>
      <c r="AM118" s="103">
        <v>777</v>
      </c>
      <c r="AN118" s="103">
        <v>443</v>
      </c>
      <c r="AO118" s="103">
        <v>135</v>
      </c>
      <c r="AP118" s="6"/>
      <c r="AQ118" s="110"/>
      <c r="AR118" s="46" t="s">
        <v>8</v>
      </c>
      <c r="AS118" s="103">
        <v>77</v>
      </c>
      <c r="AT118" s="103">
        <v>57</v>
      </c>
      <c r="AU118" s="103">
        <v>188</v>
      </c>
      <c r="AV118" s="103">
        <v>766</v>
      </c>
      <c r="AW118" s="103">
        <v>944</v>
      </c>
      <c r="AX118" s="103">
        <v>788</v>
      </c>
      <c r="AY118" s="103">
        <v>526</v>
      </c>
      <c r="AZ118" s="103">
        <v>283</v>
      </c>
      <c r="BA118" s="103">
        <v>110</v>
      </c>
      <c r="BB118" s="103">
        <v>27</v>
      </c>
      <c r="BC118" s="42"/>
      <c r="BD118" s="110"/>
      <c r="BE118" s="46" t="s">
        <v>8</v>
      </c>
      <c r="BF118" s="103">
        <v>146</v>
      </c>
      <c r="BG118" s="103">
        <v>61</v>
      </c>
      <c r="BH118" s="103">
        <v>326</v>
      </c>
      <c r="BI118" s="103">
        <v>1990</v>
      </c>
      <c r="BJ118" s="103">
        <v>3442</v>
      </c>
      <c r="BK118" s="103">
        <v>3653</v>
      </c>
      <c r="BL118" s="103">
        <v>2433</v>
      </c>
      <c r="BM118" s="103">
        <v>1270</v>
      </c>
      <c r="BN118" s="103">
        <v>632</v>
      </c>
      <c r="BO118" s="103">
        <v>167</v>
      </c>
      <c r="BQ118" s="110"/>
      <c r="BR118" s="46" t="s">
        <v>8</v>
      </c>
      <c r="BS118" s="103">
        <v>17</v>
      </c>
      <c r="BT118" s="103">
        <v>14</v>
      </c>
      <c r="BU118" s="103">
        <v>63</v>
      </c>
      <c r="BV118" s="103">
        <v>189</v>
      </c>
      <c r="BW118" s="103">
        <v>292</v>
      </c>
      <c r="BX118" s="103">
        <v>265</v>
      </c>
      <c r="BY118" s="103">
        <v>160</v>
      </c>
      <c r="BZ118" s="103">
        <v>104</v>
      </c>
      <c r="CA118" s="103">
        <v>42</v>
      </c>
      <c r="CB118" s="103">
        <v>20</v>
      </c>
      <c r="CC118" s="42"/>
      <c r="CD118" s="110"/>
      <c r="CE118" s="46" t="s">
        <v>8</v>
      </c>
      <c r="CF118" s="103">
        <v>206</v>
      </c>
      <c r="CG118" s="103">
        <v>104</v>
      </c>
      <c r="CH118" s="103">
        <v>451</v>
      </c>
      <c r="CI118" s="103">
        <v>2567</v>
      </c>
      <c r="CJ118" s="103">
        <v>4094</v>
      </c>
      <c r="CK118" s="103">
        <v>4176</v>
      </c>
      <c r="CL118" s="103">
        <v>2799</v>
      </c>
      <c r="CM118" s="103">
        <v>1449</v>
      </c>
      <c r="CN118" s="103">
        <v>700</v>
      </c>
      <c r="CO118" s="103">
        <v>174</v>
      </c>
      <c r="CQ118" s="110"/>
      <c r="CR118" s="46" t="s">
        <v>8</v>
      </c>
      <c r="CS118" s="103">
        <v>36</v>
      </c>
      <c r="CT118" s="103">
        <v>2</v>
      </c>
      <c r="CU118" s="103">
        <v>50</v>
      </c>
      <c r="CV118" s="103">
        <v>279</v>
      </c>
      <c r="CW118" s="103">
        <v>574</v>
      </c>
      <c r="CX118" s="103">
        <v>777</v>
      </c>
      <c r="CY118" s="103">
        <v>716</v>
      </c>
      <c r="CZ118" s="103">
        <v>459</v>
      </c>
      <c r="DA118" s="103">
        <v>242</v>
      </c>
      <c r="DB118" s="103">
        <v>59</v>
      </c>
      <c r="DC118" s="42"/>
      <c r="DD118" s="110"/>
      <c r="DE118" s="46" t="s">
        <v>8</v>
      </c>
      <c r="DF118" s="103">
        <v>187</v>
      </c>
      <c r="DG118" s="103">
        <v>116</v>
      </c>
      <c r="DH118" s="103">
        <v>464</v>
      </c>
      <c r="DI118" s="103">
        <v>2477</v>
      </c>
      <c r="DJ118" s="103">
        <v>3812</v>
      </c>
      <c r="DK118" s="103">
        <v>3664</v>
      </c>
      <c r="DL118" s="103">
        <v>2243</v>
      </c>
      <c r="DM118" s="103">
        <v>1094</v>
      </c>
      <c r="DN118" s="103">
        <v>500</v>
      </c>
      <c r="DO118" s="103">
        <v>135</v>
      </c>
    </row>
    <row r="119" spans="2:119" ht="15.4" customHeight="1" x14ac:dyDescent="0.45">
      <c r="B119" s="134"/>
      <c r="C119" s="42"/>
      <c r="D119" s="110"/>
      <c r="E119" s="46" t="s">
        <v>9</v>
      </c>
      <c r="F119" s="103">
        <v>200</v>
      </c>
      <c r="G119" s="103">
        <v>44</v>
      </c>
      <c r="H119" s="103">
        <v>251</v>
      </c>
      <c r="I119" s="103">
        <v>2382</v>
      </c>
      <c r="J119" s="103">
        <v>6165</v>
      </c>
      <c r="K119" s="103">
        <v>8929</v>
      </c>
      <c r="L119" s="103">
        <v>8433</v>
      </c>
      <c r="M119" s="103">
        <v>5780</v>
      </c>
      <c r="N119" s="103">
        <v>3569</v>
      </c>
      <c r="O119" s="103">
        <v>1241</v>
      </c>
      <c r="P119" s="42"/>
      <c r="Q119" s="110"/>
      <c r="R119" s="46" t="s">
        <v>9</v>
      </c>
      <c r="S119" s="103">
        <v>101</v>
      </c>
      <c r="T119" s="103">
        <v>13</v>
      </c>
      <c r="U119" s="103">
        <v>123</v>
      </c>
      <c r="V119" s="103">
        <v>1170</v>
      </c>
      <c r="W119" s="103">
        <v>3169</v>
      </c>
      <c r="X119" s="103">
        <v>4724</v>
      </c>
      <c r="Y119" s="103">
        <v>4333</v>
      </c>
      <c r="Z119" s="103">
        <v>2874</v>
      </c>
      <c r="AA119" s="103">
        <v>1564</v>
      </c>
      <c r="AB119" s="103">
        <v>470</v>
      </c>
      <c r="AC119" s="42"/>
      <c r="AD119" s="110"/>
      <c r="AE119" s="46" t="s">
        <v>9</v>
      </c>
      <c r="AF119" s="103">
        <v>99</v>
      </c>
      <c r="AG119" s="103">
        <v>31</v>
      </c>
      <c r="AH119" s="103">
        <v>128</v>
      </c>
      <c r="AI119" s="103">
        <v>1212</v>
      </c>
      <c r="AJ119" s="103">
        <v>2996</v>
      </c>
      <c r="AK119" s="103">
        <v>4205</v>
      </c>
      <c r="AL119" s="103">
        <v>4100</v>
      </c>
      <c r="AM119" s="103">
        <v>2906</v>
      </c>
      <c r="AN119" s="103">
        <v>2005</v>
      </c>
      <c r="AO119" s="103">
        <v>771</v>
      </c>
      <c r="AP119" s="6"/>
      <c r="AQ119" s="110"/>
      <c r="AR119" s="46" t="s">
        <v>9</v>
      </c>
      <c r="AS119" s="103">
        <v>51</v>
      </c>
      <c r="AT119" s="103">
        <v>15</v>
      </c>
      <c r="AU119" s="103">
        <v>87</v>
      </c>
      <c r="AV119" s="103">
        <v>602</v>
      </c>
      <c r="AW119" s="103">
        <v>1245</v>
      </c>
      <c r="AX119" s="103">
        <v>1444</v>
      </c>
      <c r="AY119" s="103">
        <v>1262</v>
      </c>
      <c r="AZ119" s="103">
        <v>807</v>
      </c>
      <c r="BA119" s="103">
        <v>447</v>
      </c>
      <c r="BB119" s="103">
        <v>123</v>
      </c>
      <c r="BC119" s="42"/>
      <c r="BD119" s="110"/>
      <c r="BE119" s="46" t="s">
        <v>9</v>
      </c>
      <c r="BF119" s="103">
        <v>149</v>
      </c>
      <c r="BG119" s="103">
        <v>29</v>
      </c>
      <c r="BH119" s="103">
        <v>164</v>
      </c>
      <c r="BI119" s="103">
        <v>1780</v>
      </c>
      <c r="BJ119" s="103">
        <v>4920</v>
      </c>
      <c r="BK119" s="103">
        <v>7485</v>
      </c>
      <c r="BL119" s="103">
        <v>7171</v>
      </c>
      <c r="BM119" s="103">
        <v>4973</v>
      </c>
      <c r="BN119" s="103">
        <v>3122</v>
      </c>
      <c r="BO119" s="103">
        <v>1118</v>
      </c>
      <c r="BQ119" s="110"/>
      <c r="BR119" s="46" t="s">
        <v>9</v>
      </c>
      <c r="BS119" s="103">
        <v>17</v>
      </c>
      <c r="BT119" s="103">
        <v>7</v>
      </c>
      <c r="BU119" s="103">
        <v>27</v>
      </c>
      <c r="BV119" s="103">
        <v>160</v>
      </c>
      <c r="BW119" s="103">
        <v>316</v>
      </c>
      <c r="BX119" s="103">
        <v>462</v>
      </c>
      <c r="BY119" s="103">
        <v>368</v>
      </c>
      <c r="BZ119" s="103">
        <v>257</v>
      </c>
      <c r="CA119" s="103">
        <v>167</v>
      </c>
      <c r="CB119" s="103">
        <v>82</v>
      </c>
      <c r="CC119" s="42"/>
      <c r="CD119" s="110"/>
      <c r="CE119" s="46" t="s">
        <v>9</v>
      </c>
      <c r="CF119" s="103">
        <v>183</v>
      </c>
      <c r="CG119" s="103">
        <v>37</v>
      </c>
      <c r="CH119" s="103">
        <v>224</v>
      </c>
      <c r="CI119" s="103">
        <v>2222</v>
      </c>
      <c r="CJ119" s="103">
        <v>5849</v>
      </c>
      <c r="CK119" s="103">
        <v>8467</v>
      </c>
      <c r="CL119" s="103">
        <v>8065</v>
      </c>
      <c r="CM119" s="103">
        <v>5523</v>
      </c>
      <c r="CN119" s="103">
        <v>3402</v>
      </c>
      <c r="CO119" s="103">
        <v>1159</v>
      </c>
      <c r="CQ119" s="110"/>
      <c r="CR119" s="46" t="s">
        <v>9</v>
      </c>
      <c r="CS119" s="103">
        <v>12</v>
      </c>
      <c r="CT119" s="103">
        <v>7</v>
      </c>
      <c r="CU119" s="103">
        <v>17</v>
      </c>
      <c r="CV119" s="103">
        <v>183</v>
      </c>
      <c r="CW119" s="103">
        <v>593</v>
      </c>
      <c r="CX119" s="103">
        <v>1085</v>
      </c>
      <c r="CY119" s="103">
        <v>1419</v>
      </c>
      <c r="CZ119" s="103">
        <v>1203</v>
      </c>
      <c r="DA119" s="103">
        <v>850</v>
      </c>
      <c r="DB119" s="103">
        <v>280</v>
      </c>
      <c r="DC119" s="42"/>
      <c r="DD119" s="110"/>
      <c r="DE119" s="46" t="s">
        <v>9</v>
      </c>
      <c r="DF119" s="103">
        <v>188</v>
      </c>
      <c r="DG119" s="103">
        <v>37</v>
      </c>
      <c r="DH119" s="103">
        <v>234</v>
      </c>
      <c r="DI119" s="103">
        <v>2199</v>
      </c>
      <c r="DJ119" s="103">
        <v>5572</v>
      </c>
      <c r="DK119" s="103">
        <v>7844</v>
      </c>
      <c r="DL119" s="103">
        <v>7014</v>
      </c>
      <c r="DM119" s="103">
        <v>4577</v>
      </c>
      <c r="DN119" s="103">
        <v>2719</v>
      </c>
      <c r="DO119" s="103">
        <v>961</v>
      </c>
    </row>
    <row r="120" spans="2:119" ht="15.4" customHeight="1" x14ac:dyDescent="0.45">
      <c r="B120" s="134"/>
      <c r="C120" s="42"/>
      <c r="D120" s="110"/>
      <c r="E120" s="46" t="s">
        <v>10</v>
      </c>
      <c r="F120" s="103">
        <v>93</v>
      </c>
      <c r="G120" s="103">
        <v>11</v>
      </c>
      <c r="H120" s="103">
        <v>57</v>
      </c>
      <c r="I120" s="103">
        <v>833</v>
      </c>
      <c r="J120" s="103">
        <v>3616</v>
      </c>
      <c r="K120" s="103">
        <v>8109</v>
      </c>
      <c r="L120" s="103">
        <v>11670</v>
      </c>
      <c r="M120" s="103">
        <v>11691</v>
      </c>
      <c r="N120" s="103">
        <v>11266</v>
      </c>
      <c r="O120" s="103">
        <v>7729</v>
      </c>
      <c r="P120" s="42"/>
      <c r="Q120" s="110"/>
      <c r="R120" s="46" t="s">
        <v>10</v>
      </c>
      <c r="S120" s="103">
        <v>34</v>
      </c>
      <c r="T120" s="103">
        <v>3</v>
      </c>
      <c r="U120" s="103">
        <v>20</v>
      </c>
      <c r="V120" s="103">
        <v>400</v>
      </c>
      <c r="W120" s="103">
        <v>1745</v>
      </c>
      <c r="X120" s="103">
        <v>4053</v>
      </c>
      <c r="Y120" s="103">
        <v>5938</v>
      </c>
      <c r="Z120" s="103">
        <v>5835</v>
      </c>
      <c r="AA120" s="103">
        <v>5229</v>
      </c>
      <c r="AB120" s="103">
        <v>2968</v>
      </c>
      <c r="AC120" s="42"/>
      <c r="AD120" s="110"/>
      <c r="AE120" s="46" t="s">
        <v>10</v>
      </c>
      <c r="AF120" s="103">
        <v>59</v>
      </c>
      <c r="AG120" s="103">
        <v>8</v>
      </c>
      <c r="AH120" s="103">
        <v>37</v>
      </c>
      <c r="AI120" s="103">
        <v>433</v>
      </c>
      <c r="AJ120" s="103">
        <v>1871</v>
      </c>
      <c r="AK120" s="103">
        <v>4056</v>
      </c>
      <c r="AL120" s="103">
        <v>5732</v>
      </c>
      <c r="AM120" s="103">
        <v>5856</v>
      </c>
      <c r="AN120" s="103">
        <v>6037</v>
      </c>
      <c r="AO120" s="103">
        <v>4761</v>
      </c>
      <c r="AP120" s="6"/>
      <c r="AQ120" s="110"/>
      <c r="AR120" s="46" t="s">
        <v>10</v>
      </c>
      <c r="AS120" s="103">
        <v>25</v>
      </c>
      <c r="AT120" s="103">
        <v>5</v>
      </c>
      <c r="AU120" s="103">
        <v>20</v>
      </c>
      <c r="AV120" s="103">
        <v>209</v>
      </c>
      <c r="AW120" s="103">
        <v>670</v>
      </c>
      <c r="AX120" s="103">
        <v>1187</v>
      </c>
      <c r="AY120" s="103">
        <v>1460</v>
      </c>
      <c r="AZ120" s="103">
        <v>1190</v>
      </c>
      <c r="BA120" s="103">
        <v>1059</v>
      </c>
      <c r="BB120" s="103">
        <v>613</v>
      </c>
      <c r="BC120" s="42"/>
      <c r="BD120" s="110"/>
      <c r="BE120" s="46" t="s">
        <v>10</v>
      </c>
      <c r="BF120" s="103">
        <v>68</v>
      </c>
      <c r="BG120" s="103">
        <v>6</v>
      </c>
      <c r="BH120" s="103">
        <v>37</v>
      </c>
      <c r="BI120" s="103">
        <v>624</v>
      </c>
      <c r="BJ120" s="103">
        <v>2946</v>
      </c>
      <c r="BK120" s="103">
        <v>6922</v>
      </c>
      <c r="BL120" s="103">
        <v>10210</v>
      </c>
      <c r="BM120" s="103">
        <v>10501</v>
      </c>
      <c r="BN120" s="103">
        <v>10207</v>
      </c>
      <c r="BO120" s="103">
        <v>7116</v>
      </c>
      <c r="BQ120" s="110"/>
      <c r="BR120" s="46" t="s">
        <v>10</v>
      </c>
      <c r="BS120" s="103">
        <v>12</v>
      </c>
      <c r="BT120" s="103">
        <v>2</v>
      </c>
      <c r="BU120" s="103">
        <v>5</v>
      </c>
      <c r="BV120" s="103">
        <v>44</v>
      </c>
      <c r="BW120" s="103">
        <v>172</v>
      </c>
      <c r="BX120" s="103">
        <v>320</v>
      </c>
      <c r="BY120" s="103">
        <v>389</v>
      </c>
      <c r="BZ120" s="103">
        <v>433</v>
      </c>
      <c r="CA120" s="103">
        <v>356</v>
      </c>
      <c r="CB120" s="103">
        <v>273</v>
      </c>
      <c r="CC120" s="42"/>
      <c r="CD120" s="110"/>
      <c r="CE120" s="46" t="s">
        <v>10</v>
      </c>
      <c r="CF120" s="103">
        <v>81</v>
      </c>
      <c r="CG120" s="103">
        <v>9</v>
      </c>
      <c r="CH120" s="103">
        <v>52</v>
      </c>
      <c r="CI120" s="103">
        <v>789</v>
      </c>
      <c r="CJ120" s="103">
        <v>3444</v>
      </c>
      <c r="CK120" s="103">
        <v>7789</v>
      </c>
      <c r="CL120" s="103">
        <v>11281</v>
      </c>
      <c r="CM120" s="103">
        <v>11258</v>
      </c>
      <c r="CN120" s="103">
        <v>10910</v>
      </c>
      <c r="CO120" s="103">
        <v>7456</v>
      </c>
      <c r="CQ120" s="110"/>
      <c r="CR120" s="46" t="s">
        <v>10</v>
      </c>
      <c r="CS120" s="103">
        <v>7</v>
      </c>
      <c r="CT120" s="103">
        <v>0</v>
      </c>
      <c r="CU120" s="103">
        <v>3</v>
      </c>
      <c r="CV120" s="103">
        <v>68</v>
      </c>
      <c r="CW120" s="103">
        <v>267</v>
      </c>
      <c r="CX120" s="103">
        <v>742</v>
      </c>
      <c r="CY120" s="103">
        <v>1405</v>
      </c>
      <c r="CZ120" s="103">
        <v>1710</v>
      </c>
      <c r="DA120" s="103">
        <v>1957</v>
      </c>
      <c r="DB120" s="103">
        <v>1494</v>
      </c>
      <c r="DC120" s="42"/>
      <c r="DD120" s="110"/>
      <c r="DE120" s="46" t="s">
        <v>10</v>
      </c>
      <c r="DF120" s="103">
        <v>86</v>
      </c>
      <c r="DG120" s="103">
        <v>11</v>
      </c>
      <c r="DH120" s="103">
        <v>54</v>
      </c>
      <c r="DI120" s="103">
        <v>765</v>
      </c>
      <c r="DJ120" s="103">
        <v>3349</v>
      </c>
      <c r="DK120" s="103">
        <v>7367</v>
      </c>
      <c r="DL120" s="103">
        <v>10265</v>
      </c>
      <c r="DM120" s="103">
        <v>9981</v>
      </c>
      <c r="DN120" s="103">
        <v>9309</v>
      </c>
      <c r="DO120" s="103">
        <v>6235</v>
      </c>
    </row>
    <row r="121" spans="2:119" ht="15.4" customHeight="1" x14ac:dyDescent="0.45">
      <c r="B121" s="134"/>
      <c r="C121" s="42"/>
      <c r="D121" s="111"/>
      <c r="E121" s="46" t="s">
        <v>11</v>
      </c>
      <c r="F121" s="103">
        <v>10</v>
      </c>
      <c r="G121" s="103">
        <v>0</v>
      </c>
      <c r="H121" s="103">
        <v>1</v>
      </c>
      <c r="I121" s="103">
        <v>30</v>
      </c>
      <c r="J121" s="103">
        <v>257</v>
      </c>
      <c r="K121" s="103">
        <v>914</v>
      </c>
      <c r="L121" s="103">
        <v>1948</v>
      </c>
      <c r="M121" s="103">
        <v>2936</v>
      </c>
      <c r="N121" s="103">
        <v>4661</v>
      </c>
      <c r="O121" s="103">
        <v>7241</v>
      </c>
      <c r="P121" s="42"/>
      <c r="Q121" s="111"/>
      <c r="R121" s="46" t="s">
        <v>11</v>
      </c>
      <c r="S121" s="103">
        <v>7</v>
      </c>
      <c r="T121" s="103">
        <v>0</v>
      </c>
      <c r="U121" s="103">
        <v>1</v>
      </c>
      <c r="V121" s="103">
        <v>12</v>
      </c>
      <c r="W121" s="103">
        <v>111</v>
      </c>
      <c r="X121" s="103">
        <v>468</v>
      </c>
      <c r="Y121" s="103">
        <v>989</v>
      </c>
      <c r="Z121" s="103">
        <v>1533</v>
      </c>
      <c r="AA121" s="103">
        <v>2409</v>
      </c>
      <c r="AB121" s="103">
        <v>3240</v>
      </c>
      <c r="AC121" s="42"/>
      <c r="AD121" s="111"/>
      <c r="AE121" s="46" t="s">
        <v>11</v>
      </c>
      <c r="AF121" s="103">
        <v>3</v>
      </c>
      <c r="AG121" s="103">
        <v>0</v>
      </c>
      <c r="AH121" s="103">
        <v>0</v>
      </c>
      <c r="AI121" s="103">
        <v>18</v>
      </c>
      <c r="AJ121" s="103">
        <v>146</v>
      </c>
      <c r="AK121" s="103">
        <v>446</v>
      </c>
      <c r="AL121" s="103">
        <v>959</v>
      </c>
      <c r="AM121" s="103">
        <v>1403</v>
      </c>
      <c r="AN121" s="103">
        <v>2252</v>
      </c>
      <c r="AO121" s="103">
        <v>4001</v>
      </c>
      <c r="AP121" s="6"/>
      <c r="AQ121" s="111"/>
      <c r="AR121" s="46" t="s">
        <v>11</v>
      </c>
      <c r="AS121" s="103">
        <v>3</v>
      </c>
      <c r="AT121" s="103">
        <v>0</v>
      </c>
      <c r="AU121" s="103">
        <v>0</v>
      </c>
      <c r="AV121" s="103">
        <v>6</v>
      </c>
      <c r="AW121" s="103">
        <v>37</v>
      </c>
      <c r="AX121" s="103">
        <v>126</v>
      </c>
      <c r="AY121" s="103">
        <v>201</v>
      </c>
      <c r="AZ121" s="103">
        <v>252</v>
      </c>
      <c r="BA121" s="103">
        <v>344</v>
      </c>
      <c r="BB121" s="103">
        <v>351</v>
      </c>
      <c r="BC121" s="42"/>
      <c r="BD121" s="111"/>
      <c r="BE121" s="46" t="s">
        <v>11</v>
      </c>
      <c r="BF121" s="103">
        <v>7</v>
      </c>
      <c r="BG121" s="103">
        <v>0</v>
      </c>
      <c r="BH121" s="103">
        <v>1</v>
      </c>
      <c r="BI121" s="103">
        <v>24</v>
      </c>
      <c r="BJ121" s="103">
        <v>220</v>
      </c>
      <c r="BK121" s="103">
        <v>788</v>
      </c>
      <c r="BL121" s="103">
        <v>1747</v>
      </c>
      <c r="BM121" s="103">
        <v>2684</v>
      </c>
      <c r="BN121" s="103">
        <v>4317</v>
      </c>
      <c r="BO121" s="103">
        <v>6890</v>
      </c>
      <c r="BQ121" s="111"/>
      <c r="BR121" s="46" t="s">
        <v>11</v>
      </c>
      <c r="BS121" s="103">
        <v>2</v>
      </c>
      <c r="BT121" s="103">
        <v>0</v>
      </c>
      <c r="BU121" s="103">
        <v>0</v>
      </c>
      <c r="BV121" s="103">
        <v>3</v>
      </c>
      <c r="BW121" s="103">
        <v>12</v>
      </c>
      <c r="BX121" s="103">
        <v>35</v>
      </c>
      <c r="BY121" s="103">
        <v>84</v>
      </c>
      <c r="BZ121" s="103">
        <v>82</v>
      </c>
      <c r="CA121" s="103">
        <v>136</v>
      </c>
      <c r="CB121" s="103">
        <v>172</v>
      </c>
      <c r="CC121" s="42"/>
      <c r="CD121" s="111"/>
      <c r="CE121" s="46" t="s">
        <v>11</v>
      </c>
      <c r="CF121" s="103">
        <v>8</v>
      </c>
      <c r="CG121" s="103">
        <v>0</v>
      </c>
      <c r="CH121" s="103">
        <v>1</v>
      </c>
      <c r="CI121" s="103">
        <v>27</v>
      </c>
      <c r="CJ121" s="103">
        <v>245</v>
      </c>
      <c r="CK121" s="103">
        <v>879</v>
      </c>
      <c r="CL121" s="103">
        <v>1864</v>
      </c>
      <c r="CM121" s="103">
        <v>2854</v>
      </c>
      <c r="CN121" s="103">
        <v>4525</v>
      </c>
      <c r="CO121" s="103">
        <v>7069</v>
      </c>
      <c r="CQ121" s="111"/>
      <c r="CR121" s="46" t="s">
        <v>11</v>
      </c>
      <c r="CS121" s="103">
        <v>1</v>
      </c>
      <c r="CT121" s="103">
        <v>0</v>
      </c>
      <c r="CU121" s="103">
        <v>0</v>
      </c>
      <c r="CV121" s="103">
        <v>0</v>
      </c>
      <c r="CW121" s="103">
        <v>15</v>
      </c>
      <c r="CX121" s="103">
        <v>67</v>
      </c>
      <c r="CY121" s="103">
        <v>153</v>
      </c>
      <c r="CZ121" s="103">
        <v>326</v>
      </c>
      <c r="DA121" s="103">
        <v>560</v>
      </c>
      <c r="DB121" s="103">
        <v>1031</v>
      </c>
      <c r="DC121" s="42"/>
      <c r="DD121" s="111"/>
      <c r="DE121" s="46" t="s">
        <v>11</v>
      </c>
      <c r="DF121" s="103">
        <v>9</v>
      </c>
      <c r="DG121" s="103">
        <v>0</v>
      </c>
      <c r="DH121" s="103">
        <v>1</v>
      </c>
      <c r="DI121" s="103">
        <v>30</v>
      </c>
      <c r="DJ121" s="103">
        <v>242</v>
      </c>
      <c r="DK121" s="103">
        <v>847</v>
      </c>
      <c r="DL121" s="103">
        <v>1795</v>
      </c>
      <c r="DM121" s="103">
        <v>2610</v>
      </c>
      <c r="DN121" s="103">
        <v>4101</v>
      </c>
      <c r="DO121" s="103">
        <v>6210</v>
      </c>
    </row>
    <row r="122" spans="2:119" ht="15.4" customHeight="1" x14ac:dyDescent="0.45">
      <c r="B122" s="99"/>
      <c r="C122" s="42"/>
      <c r="D122" s="42"/>
      <c r="E122" s="42"/>
      <c r="F122" s="42"/>
      <c r="G122" s="42"/>
      <c r="H122" s="42"/>
      <c r="I122" s="42"/>
      <c r="J122" s="42"/>
      <c r="K122" s="42"/>
      <c r="L122" s="42"/>
      <c r="M122" s="42"/>
      <c r="N122" s="42"/>
      <c r="O122" s="42"/>
      <c r="P122" s="42"/>
      <c r="Q122" s="42"/>
      <c r="R122" s="42"/>
      <c r="S122" s="42"/>
      <c r="T122" s="42"/>
      <c r="U122" s="42"/>
      <c r="V122" s="42"/>
      <c r="W122" s="42"/>
      <c r="X122" s="42"/>
      <c r="Y122" s="42"/>
      <c r="Z122" s="42"/>
      <c r="AA122" s="42"/>
      <c r="AB122" s="42"/>
      <c r="AC122" s="42"/>
      <c r="AD122" s="42"/>
      <c r="AE122" s="42"/>
      <c r="AF122" s="42"/>
      <c r="AG122" s="42"/>
      <c r="AH122" s="42"/>
      <c r="AI122" s="42"/>
      <c r="AJ122" s="42"/>
      <c r="AK122" s="42"/>
      <c r="AL122" s="42"/>
      <c r="AM122" s="42"/>
      <c r="AN122" s="42"/>
      <c r="AO122" s="42"/>
      <c r="AP122" s="6"/>
      <c r="AQ122" s="42"/>
      <c r="AR122" s="42"/>
      <c r="AS122" s="42"/>
      <c r="AT122" s="42"/>
      <c r="AU122" s="42"/>
      <c r="AV122" s="42"/>
      <c r="AW122" s="42"/>
      <c r="AX122" s="42"/>
      <c r="AY122" s="42"/>
      <c r="AZ122" s="42"/>
      <c r="BA122" s="42"/>
      <c r="BB122" s="42"/>
      <c r="BC122" s="42"/>
      <c r="BD122" s="42"/>
      <c r="BE122" s="42"/>
      <c r="BF122" s="42"/>
      <c r="BG122" s="42"/>
      <c r="BH122" s="42"/>
      <c r="BI122" s="42"/>
      <c r="BJ122" s="42"/>
      <c r="BK122" s="42"/>
      <c r="BL122" s="42"/>
      <c r="BM122" s="42"/>
      <c r="BN122" s="42"/>
      <c r="BO122" s="42"/>
      <c r="BQ122" s="42"/>
      <c r="BR122" s="42"/>
      <c r="BS122" s="42"/>
      <c r="BT122" s="42"/>
      <c r="BU122" s="42"/>
      <c r="BV122" s="42"/>
      <c r="BW122" s="42"/>
      <c r="BX122" s="42"/>
      <c r="BY122" s="42"/>
      <c r="BZ122" s="42"/>
      <c r="CA122" s="42"/>
      <c r="CB122" s="42"/>
      <c r="CC122" s="42"/>
      <c r="CD122" s="42"/>
      <c r="CE122" s="42"/>
      <c r="CF122" s="42"/>
      <c r="CG122" s="42"/>
      <c r="CH122" s="42"/>
      <c r="CI122" s="42"/>
      <c r="CJ122" s="42"/>
      <c r="CK122" s="42"/>
      <c r="CL122" s="42"/>
      <c r="CM122" s="42"/>
      <c r="CN122" s="42"/>
      <c r="CO122" s="42"/>
      <c r="CQ122" s="42"/>
      <c r="CR122" s="42"/>
      <c r="CS122" s="42"/>
      <c r="CT122" s="42"/>
      <c r="CU122" s="42"/>
      <c r="CV122" s="42"/>
      <c r="CW122" s="42"/>
      <c r="CX122" s="42"/>
      <c r="CY122" s="42"/>
      <c r="CZ122" s="42"/>
      <c r="DA122" s="42"/>
      <c r="DB122" s="42"/>
      <c r="DC122" s="42"/>
      <c r="DD122" s="42"/>
      <c r="DE122" s="42"/>
      <c r="DF122" s="42"/>
      <c r="DG122" s="42"/>
      <c r="DH122" s="42"/>
      <c r="DI122" s="42"/>
      <c r="DJ122" s="42"/>
      <c r="DK122" s="42"/>
      <c r="DL122" s="42"/>
      <c r="DM122" s="42"/>
      <c r="DN122" s="42"/>
      <c r="DO122" s="42"/>
    </row>
    <row r="123" spans="2:119" ht="15.4" customHeight="1" x14ac:dyDescent="0.55000000000000004">
      <c r="B123" s="99"/>
      <c r="C123" s="42"/>
      <c r="D123" s="112" t="s">
        <v>16</v>
      </c>
      <c r="E123" s="112"/>
      <c r="F123" s="45"/>
      <c r="G123" s="45"/>
      <c r="H123" s="45"/>
      <c r="I123" s="45"/>
      <c r="J123" s="45"/>
      <c r="K123" s="45"/>
      <c r="L123" s="45"/>
      <c r="M123" s="45"/>
      <c r="N123" s="45"/>
      <c r="O123" s="45"/>
      <c r="P123" s="42"/>
      <c r="Q123" s="112" t="s">
        <v>16</v>
      </c>
      <c r="R123" s="112"/>
      <c r="S123" s="45"/>
      <c r="T123" s="45"/>
      <c r="U123" s="45"/>
      <c r="V123" s="45"/>
      <c r="W123" s="45"/>
      <c r="X123" s="45"/>
      <c r="Y123" s="45"/>
      <c r="Z123" s="45"/>
      <c r="AA123" s="45"/>
      <c r="AB123" s="45"/>
      <c r="AC123" s="42"/>
      <c r="AD123" s="112" t="s">
        <v>16</v>
      </c>
      <c r="AE123" s="112"/>
      <c r="AF123" s="45"/>
      <c r="AG123" s="45"/>
      <c r="AH123" s="45"/>
      <c r="AI123" s="45"/>
      <c r="AJ123" s="45"/>
      <c r="AK123" s="45"/>
      <c r="AL123" s="45"/>
      <c r="AM123" s="45"/>
      <c r="AN123" s="45"/>
      <c r="AO123" s="45"/>
      <c r="AP123" s="6"/>
      <c r="AQ123" s="112" t="s">
        <v>16</v>
      </c>
      <c r="AR123" s="112"/>
      <c r="AS123" s="45"/>
      <c r="AT123" s="45"/>
      <c r="AU123" s="45"/>
      <c r="AV123" s="45"/>
      <c r="AW123" s="45"/>
      <c r="AX123" s="45"/>
      <c r="AY123" s="45"/>
      <c r="AZ123" s="45"/>
      <c r="BA123" s="45"/>
      <c r="BB123" s="45"/>
      <c r="BC123" s="42"/>
      <c r="BD123" s="112" t="s">
        <v>16</v>
      </c>
      <c r="BE123" s="112"/>
      <c r="BF123" s="45"/>
      <c r="BG123" s="45"/>
      <c r="BH123" s="45"/>
      <c r="BI123" s="45"/>
      <c r="BJ123" s="45"/>
      <c r="BK123" s="45"/>
      <c r="BL123" s="45"/>
      <c r="BM123" s="45"/>
      <c r="BN123" s="45"/>
      <c r="BO123" s="45"/>
      <c r="BQ123" s="112" t="s">
        <v>16</v>
      </c>
      <c r="BR123" s="112"/>
      <c r="BS123" s="45"/>
      <c r="BT123" s="45"/>
      <c r="BU123" s="45"/>
      <c r="BV123" s="45"/>
      <c r="BW123" s="45"/>
      <c r="BX123" s="45"/>
      <c r="BY123" s="45"/>
      <c r="BZ123" s="45"/>
      <c r="CA123" s="45"/>
      <c r="CB123" s="45"/>
      <c r="CC123" s="42"/>
      <c r="CD123" s="112" t="s">
        <v>16</v>
      </c>
      <c r="CE123" s="112"/>
      <c r="CF123" s="45"/>
      <c r="CG123" s="45"/>
      <c r="CH123" s="45"/>
      <c r="CI123" s="45"/>
      <c r="CJ123" s="45"/>
      <c r="CK123" s="45"/>
      <c r="CL123" s="45"/>
      <c r="CM123" s="45"/>
      <c r="CN123" s="45"/>
      <c r="CO123" s="45"/>
      <c r="CQ123" s="112" t="s">
        <v>16</v>
      </c>
      <c r="CR123" s="112"/>
      <c r="CS123" s="45"/>
      <c r="CT123" s="45"/>
      <c r="CU123" s="45"/>
      <c r="CV123" s="45"/>
      <c r="CW123" s="45"/>
      <c r="CX123" s="45"/>
      <c r="CY123" s="45"/>
      <c r="CZ123" s="45"/>
      <c r="DA123" s="45"/>
      <c r="DB123" s="45"/>
      <c r="DC123" s="42"/>
      <c r="DD123" s="112" t="s">
        <v>16</v>
      </c>
      <c r="DE123" s="112"/>
      <c r="DF123" s="45"/>
      <c r="DG123" s="45"/>
      <c r="DH123" s="45"/>
      <c r="DI123" s="45"/>
      <c r="DJ123" s="45"/>
      <c r="DK123" s="45"/>
      <c r="DL123" s="45"/>
      <c r="DM123" s="45"/>
      <c r="DN123" s="45"/>
      <c r="DO123" s="45"/>
    </row>
    <row r="124" spans="2:119" ht="28.9" customHeight="1" x14ac:dyDescent="0.45">
      <c r="B124" s="99"/>
      <c r="C124" s="42"/>
      <c r="D124" s="112"/>
      <c r="E124" s="112"/>
      <c r="F124" s="108" t="s">
        <v>12</v>
      </c>
      <c r="G124" s="108"/>
      <c r="H124" s="108"/>
      <c r="I124" s="108"/>
      <c r="J124" s="108"/>
      <c r="K124" s="108"/>
      <c r="L124" s="108"/>
      <c r="M124" s="108"/>
      <c r="N124" s="108"/>
      <c r="O124" s="108"/>
      <c r="P124" s="42"/>
      <c r="Q124" s="112"/>
      <c r="R124" s="112"/>
      <c r="S124" s="108" t="s">
        <v>12</v>
      </c>
      <c r="T124" s="108"/>
      <c r="U124" s="108"/>
      <c r="V124" s="108"/>
      <c r="W124" s="108"/>
      <c r="X124" s="108"/>
      <c r="Y124" s="108"/>
      <c r="Z124" s="108"/>
      <c r="AA124" s="108"/>
      <c r="AB124" s="108"/>
      <c r="AC124" s="42"/>
      <c r="AD124" s="112"/>
      <c r="AE124" s="112"/>
      <c r="AF124" s="131" t="s">
        <v>12</v>
      </c>
      <c r="AG124" s="132"/>
      <c r="AH124" s="132"/>
      <c r="AI124" s="132"/>
      <c r="AJ124" s="132"/>
      <c r="AK124" s="132"/>
      <c r="AL124" s="132"/>
      <c r="AM124" s="132"/>
      <c r="AN124" s="132"/>
      <c r="AO124" s="133"/>
      <c r="AP124" s="6"/>
      <c r="AQ124" s="112"/>
      <c r="AR124" s="112"/>
      <c r="AS124" s="108" t="s">
        <v>12</v>
      </c>
      <c r="AT124" s="108"/>
      <c r="AU124" s="108"/>
      <c r="AV124" s="108"/>
      <c r="AW124" s="108"/>
      <c r="AX124" s="108"/>
      <c r="AY124" s="108"/>
      <c r="AZ124" s="108"/>
      <c r="BA124" s="108"/>
      <c r="BB124" s="108"/>
      <c r="BC124" s="42"/>
      <c r="BD124" s="112"/>
      <c r="BE124" s="112"/>
      <c r="BF124" s="108" t="s">
        <v>12</v>
      </c>
      <c r="BG124" s="108"/>
      <c r="BH124" s="108"/>
      <c r="BI124" s="108"/>
      <c r="BJ124" s="108"/>
      <c r="BK124" s="108"/>
      <c r="BL124" s="108"/>
      <c r="BM124" s="108"/>
      <c r="BN124" s="108"/>
      <c r="BO124" s="108"/>
      <c r="BQ124" s="112"/>
      <c r="BR124" s="112"/>
      <c r="BS124" s="108" t="s">
        <v>12</v>
      </c>
      <c r="BT124" s="108"/>
      <c r="BU124" s="108"/>
      <c r="BV124" s="108"/>
      <c r="BW124" s="108"/>
      <c r="BX124" s="108"/>
      <c r="BY124" s="108"/>
      <c r="BZ124" s="108"/>
      <c r="CA124" s="108"/>
      <c r="CB124" s="108"/>
      <c r="CC124" s="42"/>
      <c r="CD124" s="112"/>
      <c r="CE124" s="112"/>
      <c r="CF124" s="108" t="s">
        <v>12</v>
      </c>
      <c r="CG124" s="108"/>
      <c r="CH124" s="108"/>
      <c r="CI124" s="108"/>
      <c r="CJ124" s="108"/>
      <c r="CK124" s="108"/>
      <c r="CL124" s="108"/>
      <c r="CM124" s="108"/>
      <c r="CN124" s="108"/>
      <c r="CO124" s="108"/>
      <c r="CQ124" s="112"/>
      <c r="CR124" s="112"/>
      <c r="CS124" s="108" t="s">
        <v>12</v>
      </c>
      <c r="CT124" s="108"/>
      <c r="CU124" s="108"/>
      <c r="CV124" s="108"/>
      <c r="CW124" s="108"/>
      <c r="CX124" s="108"/>
      <c r="CY124" s="108"/>
      <c r="CZ124" s="108"/>
      <c r="DA124" s="108"/>
      <c r="DB124" s="108"/>
      <c r="DC124" s="42"/>
      <c r="DD124" s="112"/>
      <c r="DE124" s="112"/>
      <c r="DF124" s="108" t="s">
        <v>12</v>
      </c>
      <c r="DG124" s="108"/>
      <c r="DH124" s="108"/>
      <c r="DI124" s="108"/>
      <c r="DJ124" s="108"/>
      <c r="DK124" s="108"/>
      <c r="DL124" s="108"/>
      <c r="DM124" s="108"/>
      <c r="DN124" s="108"/>
      <c r="DO124" s="108"/>
    </row>
    <row r="125" spans="2:119" ht="15.4" customHeight="1" x14ac:dyDescent="0.45">
      <c r="B125" s="99"/>
      <c r="C125" s="42"/>
      <c r="D125" s="113"/>
      <c r="E125" s="113"/>
      <c r="F125" s="9" t="s">
        <v>0</v>
      </c>
      <c r="G125" s="9">
        <v>1</v>
      </c>
      <c r="H125" s="9">
        <v>2</v>
      </c>
      <c r="I125" s="9">
        <v>3</v>
      </c>
      <c r="J125" s="9">
        <v>4</v>
      </c>
      <c r="K125" s="9">
        <v>5</v>
      </c>
      <c r="L125" s="9">
        <v>6</v>
      </c>
      <c r="M125" s="9">
        <v>7</v>
      </c>
      <c r="N125" s="9">
        <v>8</v>
      </c>
      <c r="O125" s="9">
        <v>9</v>
      </c>
      <c r="P125" s="42"/>
      <c r="Q125" s="113"/>
      <c r="R125" s="113"/>
      <c r="S125" s="9" t="s">
        <v>0</v>
      </c>
      <c r="T125" s="9">
        <v>1</v>
      </c>
      <c r="U125" s="9">
        <v>2</v>
      </c>
      <c r="V125" s="9">
        <v>3</v>
      </c>
      <c r="W125" s="9">
        <v>4</v>
      </c>
      <c r="X125" s="9">
        <v>5</v>
      </c>
      <c r="Y125" s="9">
        <v>6</v>
      </c>
      <c r="Z125" s="9">
        <v>7</v>
      </c>
      <c r="AA125" s="9">
        <v>8</v>
      </c>
      <c r="AB125" s="9">
        <v>9</v>
      </c>
      <c r="AC125" s="42"/>
      <c r="AD125" s="113"/>
      <c r="AE125" s="113"/>
      <c r="AF125" s="9" t="s">
        <v>0</v>
      </c>
      <c r="AG125" s="9">
        <v>1</v>
      </c>
      <c r="AH125" s="9">
        <v>2</v>
      </c>
      <c r="AI125" s="9">
        <v>3</v>
      </c>
      <c r="AJ125" s="9">
        <v>4</v>
      </c>
      <c r="AK125" s="9">
        <v>5</v>
      </c>
      <c r="AL125" s="9">
        <v>6</v>
      </c>
      <c r="AM125" s="9">
        <v>7</v>
      </c>
      <c r="AN125" s="9">
        <v>8</v>
      </c>
      <c r="AO125" s="9">
        <v>9</v>
      </c>
      <c r="AP125" s="6"/>
      <c r="AQ125" s="113"/>
      <c r="AR125" s="113"/>
      <c r="AS125" s="9" t="s">
        <v>0</v>
      </c>
      <c r="AT125" s="9">
        <v>1</v>
      </c>
      <c r="AU125" s="9">
        <v>2</v>
      </c>
      <c r="AV125" s="9">
        <v>3</v>
      </c>
      <c r="AW125" s="9">
        <v>4</v>
      </c>
      <c r="AX125" s="9">
        <v>5</v>
      </c>
      <c r="AY125" s="9">
        <v>6</v>
      </c>
      <c r="AZ125" s="9">
        <v>7</v>
      </c>
      <c r="BA125" s="9">
        <v>8</v>
      </c>
      <c r="BB125" s="9">
        <v>9</v>
      </c>
      <c r="BC125" s="42"/>
      <c r="BD125" s="113"/>
      <c r="BE125" s="113"/>
      <c r="BF125" s="9" t="s">
        <v>0</v>
      </c>
      <c r="BG125" s="9">
        <v>1</v>
      </c>
      <c r="BH125" s="9">
        <v>2</v>
      </c>
      <c r="BI125" s="9">
        <v>3</v>
      </c>
      <c r="BJ125" s="9">
        <v>4</v>
      </c>
      <c r="BK125" s="9">
        <v>5</v>
      </c>
      <c r="BL125" s="9">
        <v>6</v>
      </c>
      <c r="BM125" s="9">
        <v>7</v>
      </c>
      <c r="BN125" s="9">
        <v>8</v>
      </c>
      <c r="BO125" s="9">
        <v>9</v>
      </c>
      <c r="BQ125" s="113"/>
      <c r="BR125" s="113"/>
      <c r="BS125" s="9" t="s">
        <v>0</v>
      </c>
      <c r="BT125" s="9">
        <v>1</v>
      </c>
      <c r="BU125" s="9">
        <v>2</v>
      </c>
      <c r="BV125" s="9">
        <v>3</v>
      </c>
      <c r="BW125" s="9">
        <v>4</v>
      </c>
      <c r="BX125" s="9">
        <v>5</v>
      </c>
      <c r="BY125" s="9">
        <v>6</v>
      </c>
      <c r="BZ125" s="9">
        <v>7</v>
      </c>
      <c r="CA125" s="9">
        <v>8</v>
      </c>
      <c r="CB125" s="9">
        <v>9</v>
      </c>
      <c r="CC125" s="42"/>
      <c r="CD125" s="113"/>
      <c r="CE125" s="113"/>
      <c r="CF125" s="9" t="s">
        <v>0</v>
      </c>
      <c r="CG125" s="9">
        <v>1</v>
      </c>
      <c r="CH125" s="9">
        <v>2</v>
      </c>
      <c r="CI125" s="9">
        <v>3</v>
      </c>
      <c r="CJ125" s="9">
        <v>4</v>
      </c>
      <c r="CK125" s="9">
        <v>5</v>
      </c>
      <c r="CL125" s="9">
        <v>6</v>
      </c>
      <c r="CM125" s="9">
        <v>7</v>
      </c>
      <c r="CN125" s="9">
        <v>8</v>
      </c>
      <c r="CO125" s="9">
        <v>9</v>
      </c>
      <c r="CQ125" s="113"/>
      <c r="CR125" s="113"/>
      <c r="CS125" s="9" t="s">
        <v>0</v>
      </c>
      <c r="CT125" s="9">
        <v>1</v>
      </c>
      <c r="CU125" s="9">
        <v>2</v>
      </c>
      <c r="CV125" s="9">
        <v>3</v>
      </c>
      <c r="CW125" s="9">
        <v>4</v>
      </c>
      <c r="CX125" s="9">
        <v>5</v>
      </c>
      <c r="CY125" s="9">
        <v>6</v>
      </c>
      <c r="CZ125" s="9">
        <v>7</v>
      </c>
      <c r="DA125" s="9">
        <v>8</v>
      </c>
      <c r="DB125" s="9">
        <v>9</v>
      </c>
      <c r="DC125" s="42"/>
      <c r="DD125" s="113"/>
      <c r="DE125" s="113"/>
      <c r="DF125" s="9" t="s">
        <v>0</v>
      </c>
      <c r="DG125" s="9">
        <v>1</v>
      </c>
      <c r="DH125" s="9">
        <v>2</v>
      </c>
      <c r="DI125" s="9">
        <v>3</v>
      </c>
      <c r="DJ125" s="9">
        <v>4</v>
      </c>
      <c r="DK125" s="9">
        <v>5</v>
      </c>
      <c r="DL125" s="9">
        <v>6</v>
      </c>
      <c r="DM125" s="9">
        <v>7</v>
      </c>
      <c r="DN125" s="9">
        <v>8</v>
      </c>
      <c r="DO125" s="9">
        <v>9</v>
      </c>
    </row>
    <row r="126" spans="2:119" ht="15.4" customHeight="1" x14ac:dyDescent="0.45">
      <c r="B126" s="99"/>
      <c r="C126" s="42"/>
      <c r="D126" s="109" t="s">
        <v>13</v>
      </c>
      <c r="E126" s="47" t="s">
        <v>1</v>
      </c>
      <c r="F126" s="103">
        <v>60</v>
      </c>
      <c r="G126" s="103">
        <v>0</v>
      </c>
      <c r="H126" s="103">
        <v>0</v>
      </c>
      <c r="I126" s="103">
        <v>0</v>
      </c>
      <c r="J126" s="103">
        <v>0</v>
      </c>
      <c r="K126" s="103">
        <v>20</v>
      </c>
      <c r="L126" s="103">
        <v>0</v>
      </c>
      <c r="M126" s="103">
        <v>0</v>
      </c>
      <c r="N126" s="103">
        <v>20</v>
      </c>
      <c r="O126" s="17">
        <v>0</v>
      </c>
      <c r="P126" s="42"/>
      <c r="Q126" s="109" t="s">
        <v>13</v>
      </c>
      <c r="R126" s="46" t="s">
        <v>1</v>
      </c>
      <c r="S126" s="103">
        <v>50</v>
      </c>
      <c r="T126" s="103">
        <v>0</v>
      </c>
      <c r="U126" s="103">
        <v>0</v>
      </c>
      <c r="V126" s="103">
        <v>0</v>
      </c>
      <c r="W126" s="103">
        <v>0</v>
      </c>
      <c r="X126" s="103">
        <v>50</v>
      </c>
      <c r="Y126" s="103">
        <v>0</v>
      </c>
      <c r="Z126" s="103">
        <v>0</v>
      </c>
      <c r="AA126" s="103">
        <v>0</v>
      </c>
      <c r="AB126" s="17">
        <v>0</v>
      </c>
      <c r="AC126" s="42"/>
      <c r="AD126" s="109" t="s">
        <v>13</v>
      </c>
      <c r="AE126" s="46" t="s">
        <v>1</v>
      </c>
      <c r="AF126" s="103">
        <v>66.666666666666657</v>
      </c>
      <c r="AG126" s="103">
        <v>0</v>
      </c>
      <c r="AH126" s="103">
        <v>0</v>
      </c>
      <c r="AI126" s="103">
        <v>0</v>
      </c>
      <c r="AJ126" s="103">
        <v>0</v>
      </c>
      <c r="AK126" s="103">
        <v>0</v>
      </c>
      <c r="AL126" s="103">
        <v>0</v>
      </c>
      <c r="AM126" s="103">
        <v>0</v>
      </c>
      <c r="AN126" s="103">
        <v>33.333333333333329</v>
      </c>
      <c r="AO126" s="17">
        <v>0</v>
      </c>
      <c r="AP126" s="6"/>
      <c r="AQ126" s="109" t="s">
        <v>13</v>
      </c>
      <c r="AR126" s="46" t="s">
        <v>1</v>
      </c>
      <c r="AS126" s="103">
        <v>75</v>
      </c>
      <c r="AT126" s="103">
        <v>0</v>
      </c>
      <c r="AU126" s="103">
        <v>0</v>
      </c>
      <c r="AV126" s="103">
        <v>0</v>
      </c>
      <c r="AW126" s="103">
        <v>0</v>
      </c>
      <c r="AX126" s="103">
        <v>25</v>
      </c>
      <c r="AY126" s="103">
        <v>0</v>
      </c>
      <c r="AZ126" s="103">
        <v>0</v>
      </c>
      <c r="BA126" s="103">
        <v>0</v>
      </c>
      <c r="BB126" s="17">
        <v>0</v>
      </c>
      <c r="BC126" s="42"/>
      <c r="BD126" s="109" t="s">
        <v>13</v>
      </c>
      <c r="BE126" s="46" t="s">
        <v>1</v>
      </c>
      <c r="BF126" s="103">
        <v>0</v>
      </c>
      <c r="BG126" s="103">
        <v>0</v>
      </c>
      <c r="BH126" s="103">
        <v>0</v>
      </c>
      <c r="BI126" s="103">
        <v>0</v>
      </c>
      <c r="BJ126" s="103">
        <v>0</v>
      </c>
      <c r="BK126" s="103">
        <v>0</v>
      </c>
      <c r="BL126" s="103">
        <v>0</v>
      </c>
      <c r="BM126" s="103">
        <v>0</v>
      </c>
      <c r="BN126" s="103">
        <v>100</v>
      </c>
      <c r="BO126" s="17">
        <v>0</v>
      </c>
      <c r="BQ126" s="109" t="s">
        <v>13</v>
      </c>
      <c r="BR126" s="46" t="s">
        <v>1</v>
      </c>
      <c r="BS126" s="103">
        <v>66.666666666666657</v>
      </c>
      <c r="BT126" s="103">
        <v>0</v>
      </c>
      <c r="BU126" s="103">
        <v>0</v>
      </c>
      <c r="BV126" s="103">
        <v>0</v>
      </c>
      <c r="BW126" s="103">
        <v>0</v>
      </c>
      <c r="BX126" s="103">
        <v>0</v>
      </c>
      <c r="BY126" s="103">
        <v>0</v>
      </c>
      <c r="BZ126" s="103">
        <v>0</v>
      </c>
      <c r="CA126" s="103">
        <v>33.333333333333329</v>
      </c>
      <c r="CB126" s="17">
        <v>0</v>
      </c>
      <c r="CC126" s="42"/>
      <c r="CD126" s="109" t="s">
        <v>13</v>
      </c>
      <c r="CE126" s="46" t="s">
        <v>1</v>
      </c>
      <c r="CF126" s="103">
        <v>50</v>
      </c>
      <c r="CG126" s="103">
        <v>0</v>
      </c>
      <c r="CH126" s="103">
        <v>0</v>
      </c>
      <c r="CI126" s="103">
        <v>0</v>
      </c>
      <c r="CJ126" s="103">
        <v>0</v>
      </c>
      <c r="CK126" s="103">
        <v>50</v>
      </c>
      <c r="CL126" s="103">
        <v>0</v>
      </c>
      <c r="CM126" s="103">
        <v>0</v>
      </c>
      <c r="CN126" s="103">
        <v>0</v>
      </c>
      <c r="CO126" s="17">
        <v>0</v>
      </c>
      <c r="CQ126" s="109" t="s">
        <v>13</v>
      </c>
      <c r="CR126" s="46" t="s">
        <v>1</v>
      </c>
      <c r="CS126" s="103">
        <v>60</v>
      </c>
      <c r="CT126" s="103">
        <v>0</v>
      </c>
      <c r="CU126" s="103">
        <v>0</v>
      </c>
      <c r="CV126" s="103">
        <v>0</v>
      </c>
      <c r="CW126" s="103">
        <v>0</v>
      </c>
      <c r="CX126" s="103">
        <v>20</v>
      </c>
      <c r="CY126" s="103">
        <v>0</v>
      </c>
      <c r="CZ126" s="103">
        <v>0</v>
      </c>
      <c r="DA126" s="103">
        <v>20</v>
      </c>
      <c r="DB126" s="17">
        <v>0</v>
      </c>
      <c r="DC126" s="42"/>
      <c r="DD126" s="109" t="s">
        <v>13</v>
      </c>
      <c r="DE126" s="46" t="s">
        <v>1</v>
      </c>
      <c r="DF126" s="103" t="s">
        <v>128</v>
      </c>
      <c r="DG126" s="103" t="s">
        <v>128</v>
      </c>
      <c r="DH126" s="103" t="s">
        <v>128</v>
      </c>
      <c r="DI126" s="103" t="s">
        <v>128</v>
      </c>
      <c r="DJ126" s="103" t="s">
        <v>128</v>
      </c>
      <c r="DK126" s="103" t="s">
        <v>128</v>
      </c>
      <c r="DL126" s="103" t="s">
        <v>128</v>
      </c>
      <c r="DM126" s="103" t="s">
        <v>128</v>
      </c>
      <c r="DN126" s="103" t="s">
        <v>128</v>
      </c>
      <c r="DO126" s="17" t="s">
        <v>128</v>
      </c>
    </row>
    <row r="127" spans="2:119" ht="15.4" customHeight="1" x14ac:dyDescent="0.45">
      <c r="B127" s="99"/>
      <c r="C127" s="42"/>
      <c r="D127" s="110"/>
      <c r="E127" s="47">
        <v>1</v>
      </c>
      <c r="F127" s="103">
        <v>8.3333333333333321</v>
      </c>
      <c r="G127" s="103">
        <v>16.666666666666664</v>
      </c>
      <c r="H127" s="103">
        <v>16.666666666666664</v>
      </c>
      <c r="I127" s="103">
        <v>25</v>
      </c>
      <c r="J127" s="103">
        <v>8.3333333333333321</v>
      </c>
      <c r="K127" s="103">
        <v>0</v>
      </c>
      <c r="L127" s="103">
        <v>0</v>
      </c>
      <c r="M127" s="103">
        <v>8.3333333333333321</v>
      </c>
      <c r="N127" s="103">
        <v>8.3333333333333321</v>
      </c>
      <c r="O127" s="103">
        <v>8.3333333333333321</v>
      </c>
      <c r="P127" s="42"/>
      <c r="Q127" s="110"/>
      <c r="R127" s="46">
        <v>1</v>
      </c>
      <c r="S127" s="103">
        <v>0</v>
      </c>
      <c r="T127" s="103">
        <v>16.666666666666664</v>
      </c>
      <c r="U127" s="103">
        <v>16.666666666666664</v>
      </c>
      <c r="V127" s="103">
        <v>33.333333333333329</v>
      </c>
      <c r="W127" s="103">
        <v>0</v>
      </c>
      <c r="X127" s="103">
        <v>0</v>
      </c>
      <c r="Y127" s="103">
        <v>0</v>
      </c>
      <c r="Z127" s="103">
        <v>16.666666666666664</v>
      </c>
      <c r="AA127" s="103">
        <v>16.666666666666664</v>
      </c>
      <c r="AB127" s="103">
        <v>0</v>
      </c>
      <c r="AC127" s="42"/>
      <c r="AD127" s="110"/>
      <c r="AE127" s="46">
        <v>1</v>
      </c>
      <c r="AF127" s="103">
        <v>16.666666666666664</v>
      </c>
      <c r="AG127" s="103">
        <v>16.666666666666664</v>
      </c>
      <c r="AH127" s="103">
        <v>16.666666666666664</v>
      </c>
      <c r="AI127" s="103">
        <v>16.666666666666664</v>
      </c>
      <c r="AJ127" s="103">
        <v>16.666666666666664</v>
      </c>
      <c r="AK127" s="103">
        <v>0</v>
      </c>
      <c r="AL127" s="103">
        <v>0</v>
      </c>
      <c r="AM127" s="103">
        <v>0</v>
      </c>
      <c r="AN127" s="103">
        <v>0</v>
      </c>
      <c r="AO127" s="103">
        <v>16.666666666666664</v>
      </c>
      <c r="AP127" s="6"/>
      <c r="AQ127" s="110"/>
      <c r="AR127" s="46">
        <v>1</v>
      </c>
      <c r="AS127" s="103">
        <v>16.666666666666664</v>
      </c>
      <c r="AT127" s="103">
        <v>33.333333333333329</v>
      </c>
      <c r="AU127" s="103">
        <v>16.666666666666664</v>
      </c>
      <c r="AV127" s="103">
        <v>16.666666666666664</v>
      </c>
      <c r="AW127" s="103">
        <v>16.666666666666664</v>
      </c>
      <c r="AX127" s="103">
        <v>0</v>
      </c>
      <c r="AY127" s="103">
        <v>0</v>
      </c>
      <c r="AZ127" s="103">
        <v>0</v>
      </c>
      <c r="BA127" s="103">
        <v>0</v>
      </c>
      <c r="BB127" s="103">
        <v>0</v>
      </c>
      <c r="BC127" s="42"/>
      <c r="BD127" s="110"/>
      <c r="BE127" s="46">
        <v>1</v>
      </c>
      <c r="BF127" s="103">
        <v>0</v>
      </c>
      <c r="BG127" s="103">
        <v>0</v>
      </c>
      <c r="BH127" s="103">
        <v>16.666666666666664</v>
      </c>
      <c r="BI127" s="103">
        <v>33.333333333333329</v>
      </c>
      <c r="BJ127" s="103">
        <v>0</v>
      </c>
      <c r="BK127" s="103">
        <v>0</v>
      </c>
      <c r="BL127" s="103">
        <v>0</v>
      </c>
      <c r="BM127" s="103">
        <v>16.666666666666664</v>
      </c>
      <c r="BN127" s="103">
        <v>16.666666666666664</v>
      </c>
      <c r="BO127" s="103">
        <v>16.666666666666664</v>
      </c>
      <c r="BQ127" s="110"/>
      <c r="BR127" s="46">
        <v>1</v>
      </c>
      <c r="BS127" s="103">
        <v>33.333333333333329</v>
      </c>
      <c r="BT127" s="103">
        <v>33.333333333333329</v>
      </c>
      <c r="BU127" s="103">
        <v>33.333333333333329</v>
      </c>
      <c r="BV127" s="103">
        <v>0</v>
      </c>
      <c r="BW127" s="103">
        <v>0</v>
      </c>
      <c r="BX127" s="103">
        <v>0</v>
      </c>
      <c r="BY127" s="103">
        <v>0</v>
      </c>
      <c r="BZ127" s="103">
        <v>0</v>
      </c>
      <c r="CA127" s="103">
        <v>0</v>
      </c>
      <c r="CB127" s="103">
        <v>0</v>
      </c>
      <c r="CC127" s="42"/>
      <c r="CD127" s="110"/>
      <c r="CE127" s="46">
        <v>1</v>
      </c>
      <c r="CF127" s="103">
        <v>0</v>
      </c>
      <c r="CG127" s="103">
        <v>11.111111111111111</v>
      </c>
      <c r="CH127" s="103">
        <v>11.111111111111111</v>
      </c>
      <c r="CI127" s="103">
        <v>33.333333333333329</v>
      </c>
      <c r="CJ127" s="103">
        <v>11.111111111111111</v>
      </c>
      <c r="CK127" s="103">
        <v>0</v>
      </c>
      <c r="CL127" s="103">
        <v>0</v>
      </c>
      <c r="CM127" s="103">
        <v>11.111111111111111</v>
      </c>
      <c r="CN127" s="103">
        <v>11.111111111111111</v>
      </c>
      <c r="CO127" s="103">
        <v>11.111111111111111</v>
      </c>
      <c r="CQ127" s="110"/>
      <c r="CR127" s="46">
        <v>1</v>
      </c>
      <c r="CS127" s="103">
        <v>9.0909090909090917</v>
      </c>
      <c r="CT127" s="103">
        <v>18.181818181818183</v>
      </c>
      <c r="CU127" s="103">
        <v>9.0909090909090917</v>
      </c>
      <c r="CV127" s="103">
        <v>27.27272727272727</v>
      </c>
      <c r="CW127" s="103">
        <v>9.0909090909090917</v>
      </c>
      <c r="CX127" s="103">
        <v>0</v>
      </c>
      <c r="CY127" s="103">
        <v>0</v>
      </c>
      <c r="CZ127" s="103">
        <v>9.0909090909090917</v>
      </c>
      <c r="DA127" s="103">
        <v>9.0909090909090917</v>
      </c>
      <c r="DB127" s="103">
        <v>9.0909090909090917</v>
      </c>
      <c r="DC127" s="42"/>
      <c r="DD127" s="110"/>
      <c r="DE127" s="46">
        <v>1</v>
      </c>
      <c r="DF127" s="103">
        <v>0</v>
      </c>
      <c r="DG127" s="103">
        <v>0</v>
      </c>
      <c r="DH127" s="103">
        <v>100</v>
      </c>
      <c r="DI127" s="103">
        <v>0</v>
      </c>
      <c r="DJ127" s="103">
        <v>0</v>
      </c>
      <c r="DK127" s="103">
        <v>0</v>
      </c>
      <c r="DL127" s="103">
        <v>0</v>
      </c>
      <c r="DM127" s="103">
        <v>0</v>
      </c>
      <c r="DN127" s="103">
        <v>0</v>
      </c>
      <c r="DO127" s="103">
        <v>0</v>
      </c>
    </row>
    <row r="128" spans="2:119" ht="15.4" customHeight="1" x14ac:dyDescent="0.45">
      <c r="B128" s="99"/>
      <c r="C128" s="42"/>
      <c r="D128" s="110"/>
      <c r="E128" s="47" t="s">
        <v>2</v>
      </c>
      <c r="F128" s="103">
        <v>12.195121951219512</v>
      </c>
      <c r="G128" s="103">
        <v>33.10104529616725</v>
      </c>
      <c r="H128" s="103">
        <v>28.222996515679444</v>
      </c>
      <c r="I128" s="103">
        <v>9.4076655052264808</v>
      </c>
      <c r="J128" s="103">
        <v>3.8327526132404177</v>
      </c>
      <c r="K128" s="103">
        <v>6.6202090592334493</v>
      </c>
      <c r="L128" s="103">
        <v>2.4390243902439024</v>
      </c>
      <c r="M128" s="103">
        <v>1.0452961672473868</v>
      </c>
      <c r="N128" s="103">
        <v>2.4390243902439024</v>
      </c>
      <c r="O128" s="103">
        <v>0.69686411149825789</v>
      </c>
      <c r="P128" s="42"/>
      <c r="Q128" s="110"/>
      <c r="R128" s="46" t="s">
        <v>2</v>
      </c>
      <c r="S128" s="103">
        <v>11.206896551724139</v>
      </c>
      <c r="T128" s="103">
        <v>33.620689655172413</v>
      </c>
      <c r="U128" s="103">
        <v>27.586206896551722</v>
      </c>
      <c r="V128" s="103">
        <v>9.4827586206896548</v>
      </c>
      <c r="W128" s="103">
        <v>3.4482758620689653</v>
      </c>
      <c r="X128" s="103">
        <v>7.7586206896551726</v>
      </c>
      <c r="Y128" s="103">
        <v>2.5862068965517242</v>
      </c>
      <c r="Z128" s="103">
        <v>1.7241379310344827</v>
      </c>
      <c r="AA128" s="103">
        <v>1.7241379310344827</v>
      </c>
      <c r="AB128" s="103">
        <v>0.86206896551724133</v>
      </c>
      <c r="AC128" s="42"/>
      <c r="AD128" s="110"/>
      <c r="AE128" s="46" t="s">
        <v>2</v>
      </c>
      <c r="AF128" s="103">
        <v>12.865497076023392</v>
      </c>
      <c r="AG128" s="103">
        <v>32.748538011695906</v>
      </c>
      <c r="AH128" s="103">
        <v>28.654970760233915</v>
      </c>
      <c r="AI128" s="103">
        <v>9.3567251461988299</v>
      </c>
      <c r="AJ128" s="103">
        <v>4.0935672514619883</v>
      </c>
      <c r="AK128" s="103">
        <v>5.8479532163742682</v>
      </c>
      <c r="AL128" s="103">
        <v>2.3391812865497075</v>
      </c>
      <c r="AM128" s="103">
        <v>0.58479532163742687</v>
      </c>
      <c r="AN128" s="103">
        <v>2.9239766081871341</v>
      </c>
      <c r="AO128" s="103">
        <v>0.58479532163742687</v>
      </c>
      <c r="AP128" s="6"/>
      <c r="AQ128" s="110"/>
      <c r="AR128" s="46" t="s">
        <v>2</v>
      </c>
      <c r="AS128" s="103">
        <v>19.480519480519483</v>
      </c>
      <c r="AT128" s="103">
        <v>37.012987012987011</v>
      </c>
      <c r="AU128" s="103">
        <v>26.623376623376622</v>
      </c>
      <c r="AV128" s="103">
        <v>7.1428571428571423</v>
      </c>
      <c r="AW128" s="103">
        <v>3.2467532467532463</v>
      </c>
      <c r="AX128" s="103">
        <v>3.2467532467532463</v>
      </c>
      <c r="AY128" s="103">
        <v>0.64935064935064934</v>
      </c>
      <c r="AZ128" s="103">
        <v>0.64935064935064934</v>
      </c>
      <c r="BA128" s="103">
        <v>1.2987012987012987</v>
      </c>
      <c r="BB128" s="103">
        <v>0.64935064935064934</v>
      </c>
      <c r="BC128" s="42"/>
      <c r="BD128" s="110"/>
      <c r="BE128" s="46" t="s">
        <v>2</v>
      </c>
      <c r="BF128" s="103">
        <v>3.7593984962406015</v>
      </c>
      <c r="BG128" s="103">
        <v>28.571428571428569</v>
      </c>
      <c r="BH128" s="103">
        <v>30.075187969924812</v>
      </c>
      <c r="BI128" s="103">
        <v>12.030075187969924</v>
      </c>
      <c r="BJ128" s="103">
        <v>4.5112781954887211</v>
      </c>
      <c r="BK128" s="103">
        <v>10.526315789473683</v>
      </c>
      <c r="BL128" s="103">
        <v>4.5112781954887211</v>
      </c>
      <c r="BM128" s="103">
        <v>1.5037593984962405</v>
      </c>
      <c r="BN128" s="103">
        <v>3.7593984962406015</v>
      </c>
      <c r="BO128" s="103">
        <v>0.75187969924812026</v>
      </c>
      <c r="BQ128" s="110"/>
      <c r="BR128" s="46" t="s">
        <v>2</v>
      </c>
      <c r="BS128" s="103">
        <v>12.299465240641712</v>
      </c>
      <c r="BT128" s="103">
        <v>41.17647058823529</v>
      </c>
      <c r="BU128" s="103">
        <v>30.481283422459892</v>
      </c>
      <c r="BV128" s="103">
        <v>9.6256684491978604</v>
      </c>
      <c r="BW128" s="103">
        <v>2.1390374331550799</v>
      </c>
      <c r="BX128" s="103">
        <v>1.0695187165775399</v>
      </c>
      <c r="BY128" s="103">
        <v>1.6042780748663104</v>
      </c>
      <c r="BZ128" s="103">
        <v>1.0695187165775399</v>
      </c>
      <c r="CA128" s="103">
        <v>0</v>
      </c>
      <c r="CB128" s="103">
        <v>0.53475935828876997</v>
      </c>
      <c r="CC128" s="42"/>
      <c r="CD128" s="110"/>
      <c r="CE128" s="46" t="s">
        <v>2</v>
      </c>
      <c r="CF128" s="103">
        <v>12</v>
      </c>
      <c r="CG128" s="103">
        <v>18</v>
      </c>
      <c r="CH128" s="103">
        <v>24</v>
      </c>
      <c r="CI128" s="103">
        <v>9</v>
      </c>
      <c r="CJ128" s="103">
        <v>7.0000000000000009</v>
      </c>
      <c r="CK128" s="103">
        <v>17</v>
      </c>
      <c r="CL128" s="103">
        <v>4</v>
      </c>
      <c r="CM128" s="103">
        <v>1</v>
      </c>
      <c r="CN128" s="103">
        <v>7.0000000000000009</v>
      </c>
      <c r="CO128" s="103">
        <v>1</v>
      </c>
      <c r="CQ128" s="110"/>
      <c r="CR128" s="46" t="s">
        <v>2</v>
      </c>
      <c r="CS128" s="103">
        <v>12.121212121212121</v>
      </c>
      <c r="CT128" s="103">
        <v>15.151515151515152</v>
      </c>
      <c r="CU128" s="103">
        <v>22.222222222222221</v>
      </c>
      <c r="CV128" s="103">
        <v>12.121212121212121</v>
      </c>
      <c r="CW128" s="103">
        <v>7.0707070707070701</v>
      </c>
      <c r="CX128" s="103">
        <v>16.161616161616163</v>
      </c>
      <c r="CY128" s="103">
        <v>5.0505050505050502</v>
      </c>
      <c r="CZ128" s="103">
        <v>3.0303030303030303</v>
      </c>
      <c r="DA128" s="103">
        <v>7.0707070707070701</v>
      </c>
      <c r="DB128" s="103">
        <v>0</v>
      </c>
      <c r="DC128" s="42"/>
      <c r="DD128" s="110"/>
      <c r="DE128" s="46" t="s">
        <v>2</v>
      </c>
      <c r="DF128" s="103">
        <v>12.23404255319149</v>
      </c>
      <c r="DG128" s="103">
        <v>42.553191489361701</v>
      </c>
      <c r="DH128" s="103">
        <v>31.382978723404253</v>
      </c>
      <c r="DI128" s="103">
        <v>7.9787234042553195</v>
      </c>
      <c r="DJ128" s="103">
        <v>2.1276595744680851</v>
      </c>
      <c r="DK128" s="103">
        <v>1.5957446808510638</v>
      </c>
      <c r="DL128" s="103">
        <v>1.0638297872340425</v>
      </c>
      <c r="DM128" s="103">
        <v>0</v>
      </c>
      <c r="DN128" s="103">
        <v>0</v>
      </c>
      <c r="DO128" s="103">
        <v>1.0638297872340425</v>
      </c>
    </row>
    <row r="129" spans="2:119" ht="15.4" customHeight="1" x14ac:dyDescent="0.45">
      <c r="B129" s="99"/>
      <c r="C129" s="42"/>
      <c r="D129" s="110"/>
      <c r="E129" s="47" t="s">
        <v>3</v>
      </c>
      <c r="F129" s="103">
        <v>6.7307692307692308</v>
      </c>
      <c r="G129" s="103">
        <v>26.923076923076923</v>
      </c>
      <c r="H129" s="103">
        <v>35.096153846153847</v>
      </c>
      <c r="I129" s="103">
        <v>15.384615384615385</v>
      </c>
      <c r="J129" s="103">
        <v>5.7692307692307692</v>
      </c>
      <c r="K129" s="103">
        <v>4.3269230769230766</v>
      </c>
      <c r="L129" s="103">
        <v>2.8846153846153846</v>
      </c>
      <c r="M129" s="103">
        <v>1.9230769230769231</v>
      </c>
      <c r="N129" s="103">
        <v>0.96153846153846156</v>
      </c>
      <c r="O129" s="103">
        <v>0</v>
      </c>
      <c r="P129" s="42"/>
      <c r="Q129" s="110"/>
      <c r="R129" s="46" t="s">
        <v>3</v>
      </c>
      <c r="S129" s="103">
        <v>1.9801980198019802</v>
      </c>
      <c r="T129" s="103">
        <v>28.71287128712871</v>
      </c>
      <c r="U129" s="103">
        <v>38.613861386138616</v>
      </c>
      <c r="V129" s="103">
        <v>16.831683168316832</v>
      </c>
      <c r="W129" s="103">
        <v>5.9405940594059405</v>
      </c>
      <c r="X129" s="103">
        <v>4.9504950495049505</v>
      </c>
      <c r="Y129" s="103">
        <v>1.9801980198019802</v>
      </c>
      <c r="Z129" s="103">
        <v>0.99009900990099009</v>
      </c>
      <c r="AA129" s="103">
        <v>0</v>
      </c>
      <c r="AB129" s="103">
        <v>0</v>
      </c>
      <c r="AC129" s="42"/>
      <c r="AD129" s="110"/>
      <c r="AE129" s="46" t="s">
        <v>3</v>
      </c>
      <c r="AF129" s="103">
        <v>11.214953271028037</v>
      </c>
      <c r="AG129" s="103">
        <v>25.233644859813083</v>
      </c>
      <c r="AH129" s="103">
        <v>31.775700934579437</v>
      </c>
      <c r="AI129" s="103">
        <v>14.018691588785046</v>
      </c>
      <c r="AJ129" s="103">
        <v>5.6074766355140184</v>
      </c>
      <c r="AK129" s="103">
        <v>3.7383177570093453</v>
      </c>
      <c r="AL129" s="103">
        <v>3.7383177570093453</v>
      </c>
      <c r="AM129" s="103">
        <v>2.8037383177570092</v>
      </c>
      <c r="AN129" s="103">
        <v>1.8691588785046727</v>
      </c>
      <c r="AO129" s="103">
        <v>0</v>
      </c>
      <c r="AP129" s="6"/>
      <c r="AQ129" s="110"/>
      <c r="AR129" s="46" t="s">
        <v>3</v>
      </c>
      <c r="AS129" s="103">
        <v>10.256410256410255</v>
      </c>
      <c r="AT129" s="103">
        <v>35.897435897435898</v>
      </c>
      <c r="AU129" s="103">
        <v>29.487179487179489</v>
      </c>
      <c r="AV129" s="103">
        <v>16.666666666666664</v>
      </c>
      <c r="AW129" s="103">
        <v>1.2820512820512819</v>
      </c>
      <c r="AX129" s="103">
        <v>3.8461538461538463</v>
      </c>
      <c r="AY129" s="103">
        <v>1.2820512820512819</v>
      </c>
      <c r="AZ129" s="103">
        <v>1.2820512820512819</v>
      </c>
      <c r="BA129" s="103">
        <v>0</v>
      </c>
      <c r="BB129" s="103">
        <v>0</v>
      </c>
      <c r="BC129" s="42"/>
      <c r="BD129" s="110"/>
      <c r="BE129" s="46" t="s">
        <v>3</v>
      </c>
      <c r="BF129" s="103">
        <v>4.6153846153846159</v>
      </c>
      <c r="BG129" s="103">
        <v>21.53846153846154</v>
      </c>
      <c r="BH129" s="103">
        <v>38.461538461538467</v>
      </c>
      <c r="BI129" s="103">
        <v>14.615384615384617</v>
      </c>
      <c r="BJ129" s="103">
        <v>8.4615384615384617</v>
      </c>
      <c r="BK129" s="103">
        <v>4.6153846153846159</v>
      </c>
      <c r="BL129" s="103">
        <v>3.8461538461538463</v>
      </c>
      <c r="BM129" s="103">
        <v>2.3076923076923079</v>
      </c>
      <c r="BN129" s="103">
        <v>1.5384615384615385</v>
      </c>
      <c r="BO129" s="103">
        <v>0</v>
      </c>
      <c r="BQ129" s="110"/>
      <c r="BR129" s="46" t="s">
        <v>3</v>
      </c>
      <c r="BS129" s="103">
        <v>4.9504950495049505</v>
      </c>
      <c r="BT129" s="103">
        <v>33.663366336633665</v>
      </c>
      <c r="BU129" s="103">
        <v>39.603960396039604</v>
      </c>
      <c r="BV129" s="103">
        <v>10.891089108910892</v>
      </c>
      <c r="BW129" s="103">
        <v>5.9405940594059405</v>
      </c>
      <c r="BX129" s="103">
        <v>2.9702970297029703</v>
      </c>
      <c r="BY129" s="103">
        <v>0.99009900990099009</v>
      </c>
      <c r="BZ129" s="103">
        <v>0.99009900990099009</v>
      </c>
      <c r="CA129" s="103">
        <v>0</v>
      </c>
      <c r="CB129" s="103">
        <v>0</v>
      </c>
      <c r="CC129" s="42"/>
      <c r="CD129" s="110"/>
      <c r="CE129" s="46" t="s">
        <v>3</v>
      </c>
      <c r="CF129" s="103">
        <v>8.4112149532710276</v>
      </c>
      <c r="CG129" s="103">
        <v>20.5607476635514</v>
      </c>
      <c r="CH129" s="103">
        <v>30.841121495327101</v>
      </c>
      <c r="CI129" s="103">
        <v>19.626168224299064</v>
      </c>
      <c r="CJ129" s="103">
        <v>5.6074766355140184</v>
      </c>
      <c r="CK129" s="103">
        <v>5.6074766355140184</v>
      </c>
      <c r="CL129" s="103">
        <v>4.6728971962616823</v>
      </c>
      <c r="CM129" s="103">
        <v>2.8037383177570092</v>
      </c>
      <c r="CN129" s="103">
        <v>1.8691588785046727</v>
      </c>
      <c r="CO129" s="103">
        <v>0</v>
      </c>
      <c r="CQ129" s="110"/>
      <c r="CR129" s="46" t="s">
        <v>3</v>
      </c>
      <c r="CS129" s="103">
        <v>3.278688524590164</v>
      </c>
      <c r="CT129" s="103">
        <v>9.8360655737704921</v>
      </c>
      <c r="CU129" s="103">
        <v>24.590163934426229</v>
      </c>
      <c r="CV129" s="103">
        <v>22.950819672131146</v>
      </c>
      <c r="CW129" s="103">
        <v>9.8360655737704921</v>
      </c>
      <c r="CX129" s="103">
        <v>11.475409836065573</v>
      </c>
      <c r="CY129" s="103">
        <v>8.1967213114754092</v>
      </c>
      <c r="CZ129" s="103">
        <v>6.557377049180328</v>
      </c>
      <c r="DA129" s="103">
        <v>3.278688524590164</v>
      </c>
      <c r="DB129" s="103">
        <v>0</v>
      </c>
      <c r="DC129" s="42"/>
      <c r="DD129" s="110"/>
      <c r="DE129" s="46" t="s">
        <v>3</v>
      </c>
      <c r="DF129" s="103">
        <v>8.1632653061224492</v>
      </c>
      <c r="DG129" s="103">
        <v>34.013605442176868</v>
      </c>
      <c r="DH129" s="103">
        <v>39.455782312925166</v>
      </c>
      <c r="DI129" s="103">
        <v>12.244897959183673</v>
      </c>
      <c r="DJ129" s="103">
        <v>4.0816326530612246</v>
      </c>
      <c r="DK129" s="103">
        <v>1.3605442176870748</v>
      </c>
      <c r="DL129" s="103">
        <v>0.68027210884353739</v>
      </c>
      <c r="DM129" s="103">
        <v>0</v>
      </c>
      <c r="DN129" s="103">
        <v>0</v>
      </c>
      <c r="DO129" s="103">
        <v>0</v>
      </c>
    </row>
    <row r="130" spans="2:119" ht="15.4" customHeight="1" x14ac:dyDescent="0.45">
      <c r="B130" s="99"/>
      <c r="C130" s="42"/>
      <c r="D130" s="110"/>
      <c r="E130" s="47" t="s">
        <v>4</v>
      </c>
      <c r="F130" s="103">
        <v>3.5000000000000004</v>
      </c>
      <c r="G130" s="103">
        <v>20.75</v>
      </c>
      <c r="H130" s="103">
        <v>30.5</v>
      </c>
      <c r="I130" s="103">
        <v>23.25</v>
      </c>
      <c r="J130" s="103">
        <v>8.25</v>
      </c>
      <c r="K130" s="103">
        <v>5</v>
      </c>
      <c r="L130" s="103">
        <v>3</v>
      </c>
      <c r="M130" s="103">
        <v>3.25</v>
      </c>
      <c r="N130" s="103">
        <v>2</v>
      </c>
      <c r="O130" s="103">
        <v>0.5</v>
      </c>
      <c r="P130" s="42"/>
      <c r="Q130" s="110"/>
      <c r="R130" s="46" t="s">
        <v>4</v>
      </c>
      <c r="S130" s="103">
        <v>1.89873417721519</v>
      </c>
      <c r="T130" s="103">
        <v>17.721518987341771</v>
      </c>
      <c r="U130" s="103">
        <v>36.075949367088604</v>
      </c>
      <c r="V130" s="103">
        <v>23.417721518987342</v>
      </c>
      <c r="W130" s="103">
        <v>6.962025316455696</v>
      </c>
      <c r="X130" s="103">
        <v>6.3291139240506329</v>
      </c>
      <c r="Y130" s="103">
        <v>3.1645569620253164</v>
      </c>
      <c r="Z130" s="103">
        <v>2.5316455696202533</v>
      </c>
      <c r="AA130" s="103">
        <v>1.2658227848101267</v>
      </c>
      <c r="AB130" s="103">
        <v>0.63291139240506333</v>
      </c>
      <c r="AC130" s="42"/>
      <c r="AD130" s="110"/>
      <c r="AE130" s="46" t="s">
        <v>4</v>
      </c>
      <c r="AF130" s="103">
        <v>4.5454545454545459</v>
      </c>
      <c r="AG130" s="103">
        <v>22.727272727272727</v>
      </c>
      <c r="AH130" s="103">
        <v>26.859504132231404</v>
      </c>
      <c r="AI130" s="103">
        <v>23.140495867768596</v>
      </c>
      <c r="AJ130" s="103">
        <v>9.0909090909090917</v>
      </c>
      <c r="AK130" s="103">
        <v>4.1322314049586781</v>
      </c>
      <c r="AL130" s="103">
        <v>2.8925619834710745</v>
      </c>
      <c r="AM130" s="103">
        <v>3.71900826446281</v>
      </c>
      <c r="AN130" s="103">
        <v>2.4793388429752068</v>
      </c>
      <c r="AO130" s="103">
        <v>0.41322314049586778</v>
      </c>
      <c r="AP130" s="6"/>
      <c r="AQ130" s="110"/>
      <c r="AR130" s="46" t="s">
        <v>4</v>
      </c>
      <c r="AS130" s="103">
        <v>3.1645569620253164</v>
      </c>
      <c r="AT130" s="103">
        <v>30.37974683544304</v>
      </c>
      <c r="AU130" s="103">
        <v>32.911392405063289</v>
      </c>
      <c r="AV130" s="103">
        <v>18.354430379746837</v>
      </c>
      <c r="AW130" s="103">
        <v>5.0632911392405067</v>
      </c>
      <c r="AX130" s="103">
        <v>3.1645569620253164</v>
      </c>
      <c r="AY130" s="103">
        <v>1.2658227848101267</v>
      </c>
      <c r="AZ130" s="103">
        <v>2.5316455696202533</v>
      </c>
      <c r="BA130" s="103">
        <v>2.5316455696202533</v>
      </c>
      <c r="BB130" s="103">
        <v>0.63291139240506333</v>
      </c>
      <c r="BC130" s="42"/>
      <c r="BD130" s="110"/>
      <c r="BE130" s="46" t="s">
        <v>4</v>
      </c>
      <c r="BF130" s="103">
        <v>3.71900826446281</v>
      </c>
      <c r="BG130" s="103">
        <v>14.46280991735537</v>
      </c>
      <c r="BH130" s="103">
        <v>28.925619834710741</v>
      </c>
      <c r="BI130" s="103">
        <v>26.446280991735538</v>
      </c>
      <c r="BJ130" s="103">
        <v>10.330578512396695</v>
      </c>
      <c r="BK130" s="103">
        <v>6.1983471074380168</v>
      </c>
      <c r="BL130" s="103">
        <v>4.1322314049586781</v>
      </c>
      <c r="BM130" s="103">
        <v>3.71900826446281</v>
      </c>
      <c r="BN130" s="103">
        <v>1.6528925619834711</v>
      </c>
      <c r="BO130" s="103">
        <v>0.41322314049586778</v>
      </c>
      <c r="BQ130" s="110"/>
      <c r="BR130" s="46" t="s">
        <v>4</v>
      </c>
      <c r="BS130" s="103">
        <v>2.7397260273972601</v>
      </c>
      <c r="BT130" s="103">
        <v>28.767123287671232</v>
      </c>
      <c r="BU130" s="103">
        <v>30.136986301369863</v>
      </c>
      <c r="BV130" s="103">
        <v>24.657534246575342</v>
      </c>
      <c r="BW130" s="103">
        <v>5.4794520547945202</v>
      </c>
      <c r="BX130" s="103">
        <v>3.4246575342465753</v>
      </c>
      <c r="BY130" s="103">
        <v>2.054794520547945</v>
      </c>
      <c r="BZ130" s="103">
        <v>2.7397260273972601</v>
      </c>
      <c r="CA130" s="103">
        <v>0</v>
      </c>
      <c r="CB130" s="103">
        <v>0</v>
      </c>
      <c r="CC130" s="42"/>
      <c r="CD130" s="110"/>
      <c r="CE130" s="46" t="s">
        <v>4</v>
      </c>
      <c r="CF130" s="103">
        <v>3.9370078740157481</v>
      </c>
      <c r="CG130" s="103">
        <v>16.141732283464567</v>
      </c>
      <c r="CH130" s="103">
        <v>30.708661417322837</v>
      </c>
      <c r="CI130" s="103">
        <v>22.440944881889763</v>
      </c>
      <c r="CJ130" s="103">
        <v>9.8425196850393704</v>
      </c>
      <c r="CK130" s="103">
        <v>5.9055118110236222</v>
      </c>
      <c r="CL130" s="103">
        <v>3.5433070866141732</v>
      </c>
      <c r="CM130" s="103">
        <v>3.5433070866141732</v>
      </c>
      <c r="CN130" s="103">
        <v>3.1496062992125982</v>
      </c>
      <c r="CO130" s="103">
        <v>0.78740157480314954</v>
      </c>
      <c r="CQ130" s="110"/>
      <c r="CR130" s="46" t="s">
        <v>4</v>
      </c>
      <c r="CS130" s="103">
        <v>0</v>
      </c>
      <c r="CT130" s="103">
        <v>7.2727272727272725</v>
      </c>
      <c r="CU130" s="103">
        <v>19.090909090909093</v>
      </c>
      <c r="CV130" s="103">
        <v>21.818181818181817</v>
      </c>
      <c r="CW130" s="103">
        <v>16.363636363636363</v>
      </c>
      <c r="CX130" s="103">
        <v>12.727272727272727</v>
      </c>
      <c r="CY130" s="103">
        <v>7.2727272727272725</v>
      </c>
      <c r="CZ130" s="103">
        <v>7.2727272727272725</v>
      </c>
      <c r="DA130" s="103">
        <v>6.3636363636363633</v>
      </c>
      <c r="DB130" s="103">
        <v>1.8181818181818181</v>
      </c>
      <c r="DC130" s="42"/>
      <c r="DD130" s="110"/>
      <c r="DE130" s="46" t="s">
        <v>4</v>
      </c>
      <c r="DF130" s="103">
        <v>4.8275862068965516</v>
      </c>
      <c r="DG130" s="103">
        <v>25.862068965517242</v>
      </c>
      <c r="DH130" s="103">
        <v>34.827586206896548</v>
      </c>
      <c r="DI130" s="103">
        <v>23.793103448275861</v>
      </c>
      <c r="DJ130" s="103">
        <v>5.1724137931034484</v>
      </c>
      <c r="DK130" s="103">
        <v>2.0689655172413794</v>
      </c>
      <c r="DL130" s="103">
        <v>1.3793103448275863</v>
      </c>
      <c r="DM130" s="103">
        <v>1.7241379310344827</v>
      </c>
      <c r="DN130" s="103">
        <v>0.34482758620689657</v>
      </c>
      <c r="DO130" s="103">
        <v>0</v>
      </c>
    </row>
    <row r="131" spans="2:119" ht="15.4" customHeight="1" x14ac:dyDescent="0.45">
      <c r="B131" s="99"/>
      <c r="C131" s="42"/>
      <c r="D131" s="110"/>
      <c r="E131" s="47" t="s">
        <v>5</v>
      </c>
      <c r="F131" s="103">
        <v>2.4836601307189543</v>
      </c>
      <c r="G131" s="103">
        <v>12.679738562091503</v>
      </c>
      <c r="H131" s="103">
        <v>30.065359477124183</v>
      </c>
      <c r="I131" s="103">
        <v>29.150326797385624</v>
      </c>
      <c r="J131" s="103">
        <v>13.202614379084968</v>
      </c>
      <c r="K131" s="103">
        <v>6.2745098039215685</v>
      </c>
      <c r="L131" s="103">
        <v>3.1372549019607843</v>
      </c>
      <c r="M131" s="103">
        <v>2.0915032679738559</v>
      </c>
      <c r="N131" s="103">
        <v>0.65359477124183007</v>
      </c>
      <c r="O131" s="103">
        <v>0.26143790849673199</v>
      </c>
      <c r="P131" s="42"/>
      <c r="Q131" s="110"/>
      <c r="R131" s="46" t="s">
        <v>5</v>
      </c>
      <c r="S131" s="103">
        <v>1.8666666666666669</v>
      </c>
      <c r="T131" s="103">
        <v>12</v>
      </c>
      <c r="U131" s="103">
        <v>32.266666666666666</v>
      </c>
      <c r="V131" s="103">
        <v>29.06666666666667</v>
      </c>
      <c r="W131" s="103">
        <v>14.933333333333335</v>
      </c>
      <c r="X131" s="103">
        <v>5.0666666666666664</v>
      </c>
      <c r="Y131" s="103">
        <v>2.9333333333333331</v>
      </c>
      <c r="Z131" s="103">
        <v>0.8</v>
      </c>
      <c r="AA131" s="103">
        <v>1.0666666666666667</v>
      </c>
      <c r="AB131" s="103">
        <v>0</v>
      </c>
      <c r="AC131" s="42"/>
      <c r="AD131" s="110"/>
      <c r="AE131" s="46" t="s">
        <v>5</v>
      </c>
      <c r="AF131" s="103">
        <v>3.0769230769230771</v>
      </c>
      <c r="AG131" s="103">
        <v>13.333333333333334</v>
      </c>
      <c r="AH131" s="103">
        <v>27.948717948717949</v>
      </c>
      <c r="AI131" s="103">
        <v>29.230769230769234</v>
      </c>
      <c r="AJ131" s="103">
        <v>11.538461538461538</v>
      </c>
      <c r="AK131" s="103">
        <v>7.4358974358974361</v>
      </c>
      <c r="AL131" s="103">
        <v>3.3333333333333335</v>
      </c>
      <c r="AM131" s="103">
        <v>3.3333333333333335</v>
      </c>
      <c r="AN131" s="103">
        <v>0.25641025641025639</v>
      </c>
      <c r="AO131" s="103">
        <v>0.51282051282051277</v>
      </c>
      <c r="AP131" s="6"/>
      <c r="AQ131" s="110"/>
      <c r="AR131" s="46" t="s">
        <v>5</v>
      </c>
      <c r="AS131" s="103">
        <v>3.2846715328467155</v>
      </c>
      <c r="AT131" s="103">
        <v>15.328467153284672</v>
      </c>
      <c r="AU131" s="103">
        <v>33.941605839416056</v>
      </c>
      <c r="AV131" s="103">
        <v>29.927007299270077</v>
      </c>
      <c r="AW131" s="103">
        <v>8.0291970802919703</v>
      </c>
      <c r="AX131" s="103">
        <v>4.3795620437956204</v>
      </c>
      <c r="AY131" s="103">
        <v>2.5547445255474455</v>
      </c>
      <c r="AZ131" s="103">
        <v>1.824817518248175</v>
      </c>
      <c r="BA131" s="103">
        <v>0.72992700729927007</v>
      </c>
      <c r="BB131" s="103">
        <v>0</v>
      </c>
      <c r="BC131" s="42"/>
      <c r="BD131" s="110"/>
      <c r="BE131" s="46" t="s">
        <v>5</v>
      </c>
      <c r="BF131" s="103">
        <v>2.0366598778004072</v>
      </c>
      <c r="BG131" s="103">
        <v>11.201629327902241</v>
      </c>
      <c r="BH131" s="103">
        <v>27.902240325865581</v>
      </c>
      <c r="BI131" s="103">
        <v>28.716904276985744</v>
      </c>
      <c r="BJ131" s="103">
        <v>16.08961303462322</v>
      </c>
      <c r="BK131" s="103">
        <v>7.3319755600814664</v>
      </c>
      <c r="BL131" s="103">
        <v>3.4623217922606928</v>
      </c>
      <c r="BM131" s="103">
        <v>2.2403258655804481</v>
      </c>
      <c r="BN131" s="103">
        <v>0.61099796334012213</v>
      </c>
      <c r="BO131" s="103">
        <v>0.40733197556008144</v>
      </c>
      <c r="BQ131" s="110"/>
      <c r="BR131" s="46" t="s">
        <v>5</v>
      </c>
      <c r="BS131" s="103">
        <v>2.7397260273972601</v>
      </c>
      <c r="BT131" s="103">
        <v>18.721461187214611</v>
      </c>
      <c r="BU131" s="103">
        <v>36.073059360730589</v>
      </c>
      <c r="BV131" s="103">
        <v>25.11415525114155</v>
      </c>
      <c r="BW131" s="103">
        <v>8.6757990867579906</v>
      </c>
      <c r="BX131" s="103">
        <v>5.4794520547945202</v>
      </c>
      <c r="BY131" s="103">
        <v>1.8264840182648401</v>
      </c>
      <c r="BZ131" s="103">
        <v>1.3698630136986301</v>
      </c>
      <c r="CA131" s="103">
        <v>0</v>
      </c>
      <c r="CB131" s="103">
        <v>0</v>
      </c>
      <c r="CC131" s="42"/>
      <c r="CD131" s="110"/>
      <c r="CE131" s="46" t="s">
        <v>5</v>
      </c>
      <c r="CF131" s="103">
        <v>2.3809523809523809</v>
      </c>
      <c r="CG131" s="103">
        <v>10.256410256410255</v>
      </c>
      <c r="CH131" s="103">
        <v>27.655677655677657</v>
      </c>
      <c r="CI131" s="103">
        <v>30.76923076923077</v>
      </c>
      <c r="CJ131" s="103">
        <v>15.018315018315018</v>
      </c>
      <c r="CK131" s="103">
        <v>6.593406593406594</v>
      </c>
      <c r="CL131" s="103">
        <v>3.6630036630036633</v>
      </c>
      <c r="CM131" s="103">
        <v>2.3809523809523809</v>
      </c>
      <c r="CN131" s="103">
        <v>0.91575091575091583</v>
      </c>
      <c r="CO131" s="103">
        <v>0.36630036630036628</v>
      </c>
      <c r="CQ131" s="110"/>
      <c r="CR131" s="46" t="s">
        <v>5</v>
      </c>
      <c r="CS131" s="103">
        <v>1.25</v>
      </c>
      <c r="CT131" s="103">
        <v>5</v>
      </c>
      <c r="CU131" s="103">
        <v>15.625</v>
      </c>
      <c r="CV131" s="103">
        <v>28.125</v>
      </c>
      <c r="CW131" s="103">
        <v>17.5</v>
      </c>
      <c r="CX131" s="103">
        <v>14.374999999999998</v>
      </c>
      <c r="CY131" s="103">
        <v>8.125</v>
      </c>
      <c r="CZ131" s="103">
        <v>5.625</v>
      </c>
      <c r="DA131" s="103">
        <v>3.125</v>
      </c>
      <c r="DB131" s="103">
        <v>1.25</v>
      </c>
      <c r="DC131" s="42"/>
      <c r="DD131" s="110"/>
      <c r="DE131" s="46" t="s">
        <v>5</v>
      </c>
      <c r="DF131" s="103">
        <v>2.8099173553719008</v>
      </c>
      <c r="DG131" s="103">
        <v>14.710743801652892</v>
      </c>
      <c r="DH131" s="103">
        <v>33.884297520661157</v>
      </c>
      <c r="DI131" s="103">
        <v>29.421487603305785</v>
      </c>
      <c r="DJ131" s="103">
        <v>12.066115702479339</v>
      </c>
      <c r="DK131" s="103">
        <v>4.1322314049586781</v>
      </c>
      <c r="DL131" s="103">
        <v>1.8181818181818181</v>
      </c>
      <c r="DM131" s="103">
        <v>1.1570247933884297</v>
      </c>
      <c r="DN131" s="103">
        <v>0</v>
      </c>
      <c r="DO131" s="103">
        <v>0</v>
      </c>
    </row>
    <row r="132" spans="2:119" ht="15.4" customHeight="1" x14ac:dyDescent="0.45">
      <c r="B132" s="99"/>
      <c r="C132" s="42"/>
      <c r="D132" s="110"/>
      <c r="E132" s="47" t="s">
        <v>6</v>
      </c>
      <c r="F132" s="103">
        <v>2.8546712802768166</v>
      </c>
      <c r="G132" s="103">
        <v>5.7093425605536332</v>
      </c>
      <c r="H132" s="103">
        <v>18.29584775086505</v>
      </c>
      <c r="I132" s="103">
        <v>32.136678200692046</v>
      </c>
      <c r="J132" s="103">
        <v>19.852941176470587</v>
      </c>
      <c r="K132" s="103">
        <v>11.894463667820069</v>
      </c>
      <c r="L132" s="103">
        <v>5.8823529411764701</v>
      </c>
      <c r="M132" s="103">
        <v>2.4653979238754324</v>
      </c>
      <c r="N132" s="103">
        <v>0.73529411764705876</v>
      </c>
      <c r="O132" s="103">
        <v>0.17301038062283738</v>
      </c>
      <c r="P132" s="42"/>
      <c r="Q132" s="110"/>
      <c r="R132" s="46" t="s">
        <v>6</v>
      </c>
      <c r="S132" s="103">
        <v>2.2667829119442024</v>
      </c>
      <c r="T132" s="103">
        <v>5.0566695727986044</v>
      </c>
      <c r="U132" s="103">
        <v>19.703574542284219</v>
      </c>
      <c r="V132" s="103">
        <v>33.827375762859631</v>
      </c>
      <c r="W132" s="103">
        <v>20.052310374891018</v>
      </c>
      <c r="X132" s="103">
        <v>11.595466434176112</v>
      </c>
      <c r="Y132" s="103">
        <v>5.4054054054054053</v>
      </c>
      <c r="Z132" s="103">
        <v>1.8308631211857016</v>
      </c>
      <c r="AA132" s="103">
        <v>0.26155187445510025</v>
      </c>
      <c r="AB132" s="103">
        <v>0</v>
      </c>
      <c r="AC132" s="42"/>
      <c r="AD132" s="110"/>
      <c r="AE132" s="46" t="s">
        <v>6</v>
      </c>
      <c r="AF132" s="103">
        <v>3.4334763948497855</v>
      </c>
      <c r="AG132" s="103">
        <v>6.3519313304721035</v>
      </c>
      <c r="AH132" s="103">
        <v>16.909871244635195</v>
      </c>
      <c r="AI132" s="103">
        <v>30.472103004291846</v>
      </c>
      <c r="AJ132" s="103">
        <v>19.656652360515022</v>
      </c>
      <c r="AK132" s="103">
        <v>12.188841201716738</v>
      </c>
      <c r="AL132" s="103">
        <v>6.3519313304721035</v>
      </c>
      <c r="AM132" s="103">
        <v>3.0901287553648067</v>
      </c>
      <c r="AN132" s="103">
        <v>1.201716738197425</v>
      </c>
      <c r="AO132" s="103">
        <v>0.34334763948497854</v>
      </c>
      <c r="AP132" s="6"/>
      <c r="AQ132" s="110"/>
      <c r="AR132" s="46" t="s">
        <v>6</v>
      </c>
      <c r="AS132" s="103">
        <v>3.225806451612903</v>
      </c>
      <c r="AT132" s="103">
        <v>10.098176718092567</v>
      </c>
      <c r="AU132" s="103">
        <v>20.61711079943899</v>
      </c>
      <c r="AV132" s="103">
        <v>34.642356241234225</v>
      </c>
      <c r="AW132" s="103">
        <v>15.427769985974754</v>
      </c>
      <c r="AX132" s="103">
        <v>8.8359046283309954</v>
      </c>
      <c r="AY132" s="103">
        <v>4.3478260869565215</v>
      </c>
      <c r="AZ132" s="103">
        <v>2.244039270687237</v>
      </c>
      <c r="BA132" s="103">
        <v>0.42075736325385693</v>
      </c>
      <c r="BB132" s="103">
        <v>0.14025245441795231</v>
      </c>
      <c r="BC132" s="42"/>
      <c r="BD132" s="110"/>
      <c r="BE132" s="46" t="s">
        <v>6</v>
      </c>
      <c r="BF132" s="103">
        <v>2.6891807379612258</v>
      </c>
      <c r="BG132" s="103">
        <v>3.75234521575985</v>
      </c>
      <c r="BH132" s="103">
        <v>17.26078799249531</v>
      </c>
      <c r="BI132" s="103">
        <v>31.019387116948096</v>
      </c>
      <c r="BJ132" s="103">
        <v>21.826141338336459</v>
      </c>
      <c r="BK132" s="103">
        <v>13.258286429018137</v>
      </c>
      <c r="BL132" s="103">
        <v>6.5666041275797378</v>
      </c>
      <c r="BM132" s="103">
        <v>2.5641025641025639</v>
      </c>
      <c r="BN132" s="103">
        <v>0.87554721701063165</v>
      </c>
      <c r="BO132" s="103">
        <v>0.18761726078799248</v>
      </c>
      <c r="BQ132" s="110"/>
      <c r="BR132" s="46" t="s">
        <v>6</v>
      </c>
      <c r="BS132" s="103">
        <v>3.9408866995073892</v>
      </c>
      <c r="BT132" s="103">
        <v>11.083743842364532</v>
      </c>
      <c r="BU132" s="103">
        <v>20.19704433497537</v>
      </c>
      <c r="BV132" s="103">
        <v>31.03448275862069</v>
      </c>
      <c r="BW132" s="103">
        <v>17.980295566502463</v>
      </c>
      <c r="BX132" s="103">
        <v>9.6059113300492598</v>
      </c>
      <c r="BY132" s="103">
        <v>2.9556650246305418</v>
      </c>
      <c r="BZ132" s="103">
        <v>2.2167487684729066</v>
      </c>
      <c r="CA132" s="103">
        <v>0.49261083743842365</v>
      </c>
      <c r="CB132" s="103">
        <v>0.49261083743842365</v>
      </c>
      <c r="CC132" s="42"/>
      <c r="CD132" s="110"/>
      <c r="CE132" s="46" t="s">
        <v>6</v>
      </c>
      <c r="CF132" s="103">
        <v>2.6232948583420774</v>
      </c>
      <c r="CG132" s="103">
        <v>4.5645330535152153</v>
      </c>
      <c r="CH132" s="103">
        <v>17.89087093389297</v>
      </c>
      <c r="CI132" s="103">
        <v>32.371458551941238</v>
      </c>
      <c r="CJ132" s="103">
        <v>20.25183630640084</v>
      </c>
      <c r="CK132" s="103">
        <v>12.381951731374606</v>
      </c>
      <c r="CL132" s="103">
        <v>6.5057712486883528</v>
      </c>
      <c r="CM132" s="103">
        <v>2.5183630640083945</v>
      </c>
      <c r="CN132" s="103">
        <v>0.78698845750262325</v>
      </c>
      <c r="CO132" s="103">
        <v>0.1049317943336831</v>
      </c>
      <c r="CQ132" s="110"/>
      <c r="CR132" s="46" t="s">
        <v>6</v>
      </c>
      <c r="CS132" s="103">
        <v>1.4056224899598393</v>
      </c>
      <c r="CT132" s="103">
        <v>2.6104417670682731</v>
      </c>
      <c r="CU132" s="103">
        <v>8.4337349397590362</v>
      </c>
      <c r="CV132" s="103">
        <v>25.301204819277107</v>
      </c>
      <c r="CW132" s="103">
        <v>21.285140562248998</v>
      </c>
      <c r="CX132" s="103">
        <v>17.269076305220885</v>
      </c>
      <c r="CY132" s="103">
        <v>14.056224899598394</v>
      </c>
      <c r="CZ132" s="103">
        <v>6.6265060240963862</v>
      </c>
      <c r="DA132" s="103">
        <v>2.6104417670682731</v>
      </c>
      <c r="DB132" s="103">
        <v>0.40160642570281119</v>
      </c>
      <c r="DC132" s="42"/>
      <c r="DD132" s="110"/>
      <c r="DE132" s="46" t="s">
        <v>6</v>
      </c>
      <c r="DF132" s="103">
        <v>3.2524807056229328</v>
      </c>
      <c r="DG132" s="103">
        <v>6.5600882028665932</v>
      </c>
      <c r="DH132" s="103">
        <v>21.003307607497241</v>
      </c>
      <c r="DI132" s="103">
        <v>34.013230429988973</v>
      </c>
      <c r="DJ132" s="103">
        <v>19.459757442116867</v>
      </c>
      <c r="DK132" s="103">
        <v>10.41896361631753</v>
      </c>
      <c r="DL132" s="103">
        <v>3.6383682469680267</v>
      </c>
      <c r="DM132" s="103">
        <v>1.3230429988974641</v>
      </c>
      <c r="DN132" s="103">
        <v>0.22050716648291069</v>
      </c>
      <c r="DO132" s="103">
        <v>0.11025358324145534</v>
      </c>
    </row>
    <row r="133" spans="2:119" ht="15.4" customHeight="1" x14ac:dyDescent="0.45">
      <c r="B133" s="99"/>
      <c r="C133" s="42"/>
      <c r="D133" s="110"/>
      <c r="E133" s="47" t="s">
        <v>7</v>
      </c>
      <c r="F133" s="103">
        <v>1.6056704759149429</v>
      </c>
      <c r="G133" s="103">
        <v>2.7773759583393605</v>
      </c>
      <c r="H133" s="103">
        <v>8.9107478663387827</v>
      </c>
      <c r="I133" s="103">
        <v>27.556777086648342</v>
      </c>
      <c r="J133" s="103">
        <v>24.070591638941124</v>
      </c>
      <c r="K133" s="103">
        <v>18.226529726602053</v>
      </c>
      <c r="L133" s="103">
        <v>9.822074352668885</v>
      </c>
      <c r="M133" s="103">
        <v>4.4119774338203381</v>
      </c>
      <c r="N133" s="103">
        <v>2.0974974685375378</v>
      </c>
      <c r="O133" s="103">
        <v>0.52075799218863017</v>
      </c>
      <c r="P133" s="42"/>
      <c r="Q133" s="110"/>
      <c r="R133" s="46" t="s">
        <v>7</v>
      </c>
      <c r="S133" s="103">
        <v>1.4305750350631137</v>
      </c>
      <c r="T133" s="103">
        <v>2.0757363253856944</v>
      </c>
      <c r="U133" s="103">
        <v>8.8639551192145873</v>
      </c>
      <c r="V133" s="103">
        <v>29.200561009817672</v>
      </c>
      <c r="W133" s="103">
        <v>25.077138849929874</v>
      </c>
      <c r="X133" s="103">
        <v>18.316970546984574</v>
      </c>
      <c r="Y133" s="103">
        <v>9.2286115007012626</v>
      </c>
      <c r="Z133" s="103">
        <v>3.9551192145862548</v>
      </c>
      <c r="AA133" s="103">
        <v>1.6269284712482468</v>
      </c>
      <c r="AB133" s="103">
        <v>0.22440392706872372</v>
      </c>
      <c r="AC133" s="42"/>
      <c r="AD133" s="110"/>
      <c r="AE133" s="46" t="s">
        <v>7</v>
      </c>
      <c r="AF133" s="103">
        <v>1.7921146953405016</v>
      </c>
      <c r="AG133" s="103">
        <v>3.5244922341696538</v>
      </c>
      <c r="AH133" s="103">
        <v>8.9605734767025087</v>
      </c>
      <c r="AI133" s="103">
        <v>25.806451612903224</v>
      </c>
      <c r="AJ133" s="103">
        <v>22.998805256869773</v>
      </c>
      <c r="AK133" s="103">
        <v>18.130227001194744</v>
      </c>
      <c r="AL133" s="103">
        <v>10.454002389486261</v>
      </c>
      <c r="AM133" s="103">
        <v>4.8984468339307048</v>
      </c>
      <c r="AN133" s="103">
        <v>2.5985663082437274</v>
      </c>
      <c r="AO133" s="103">
        <v>0.83632019115890077</v>
      </c>
      <c r="AP133" s="6"/>
      <c r="AQ133" s="110"/>
      <c r="AR133" s="46" t="s">
        <v>7</v>
      </c>
      <c r="AS133" s="103">
        <v>2.0877944325481801</v>
      </c>
      <c r="AT133" s="103">
        <v>5.5139186295503215</v>
      </c>
      <c r="AU133" s="103">
        <v>12.366167023554604</v>
      </c>
      <c r="AV133" s="103">
        <v>30.99571734475375</v>
      </c>
      <c r="AW133" s="103">
        <v>21.573875802997858</v>
      </c>
      <c r="AX133" s="103">
        <v>14.453961456102785</v>
      </c>
      <c r="AY133" s="103">
        <v>7.9764453961456105</v>
      </c>
      <c r="AZ133" s="103">
        <v>2.9978586723768736</v>
      </c>
      <c r="BA133" s="103">
        <v>1.6059957173447537</v>
      </c>
      <c r="BB133" s="103">
        <v>0.42826552462526768</v>
      </c>
      <c r="BC133" s="42"/>
      <c r="BD133" s="110"/>
      <c r="BE133" s="46" t="s">
        <v>7</v>
      </c>
      <c r="BF133" s="103">
        <v>1.4271555996035679</v>
      </c>
      <c r="BG133" s="103">
        <v>1.7641228939544105</v>
      </c>
      <c r="BH133" s="103">
        <v>7.631318136769079</v>
      </c>
      <c r="BI133" s="103">
        <v>26.283448959365707</v>
      </c>
      <c r="BJ133" s="103">
        <v>24.995044598612488</v>
      </c>
      <c r="BK133" s="103">
        <v>19.623389494549059</v>
      </c>
      <c r="BL133" s="103">
        <v>10.505450941526263</v>
      </c>
      <c r="BM133" s="103">
        <v>4.935579781962339</v>
      </c>
      <c r="BN133" s="103">
        <v>2.2794846382556986</v>
      </c>
      <c r="BO133" s="103">
        <v>0.5550049554013875</v>
      </c>
      <c r="BQ133" s="110"/>
      <c r="BR133" s="46" t="s">
        <v>7</v>
      </c>
      <c r="BS133" s="103">
        <v>1.5089163237311385</v>
      </c>
      <c r="BT133" s="103">
        <v>7.8189300411522638</v>
      </c>
      <c r="BU133" s="103">
        <v>17.00960219478738</v>
      </c>
      <c r="BV133" s="103">
        <v>25.651577503429358</v>
      </c>
      <c r="BW133" s="103">
        <v>18.792866941015088</v>
      </c>
      <c r="BX133" s="103">
        <v>15.363511659807957</v>
      </c>
      <c r="BY133" s="103">
        <v>7.6817558299039783</v>
      </c>
      <c r="BZ133" s="103">
        <v>3.5665294924554183</v>
      </c>
      <c r="CA133" s="103">
        <v>1.7832647462277091</v>
      </c>
      <c r="CB133" s="103">
        <v>0.82304526748971196</v>
      </c>
      <c r="CC133" s="42"/>
      <c r="CD133" s="110"/>
      <c r="CE133" s="46" t="s">
        <v>7</v>
      </c>
      <c r="CF133" s="103">
        <v>1.6170763260025873</v>
      </c>
      <c r="CG133" s="103">
        <v>2.1830530401034927</v>
      </c>
      <c r="CH133" s="103">
        <v>7.9560155239327299</v>
      </c>
      <c r="CI133" s="103">
        <v>27.78137128072445</v>
      </c>
      <c r="CJ133" s="103">
        <v>24.692755498059508</v>
      </c>
      <c r="CK133" s="103">
        <v>18.564036222509703</v>
      </c>
      <c r="CL133" s="103">
        <v>10.074385510996118</v>
      </c>
      <c r="CM133" s="103">
        <v>4.5116429495472188</v>
      </c>
      <c r="CN133" s="103">
        <v>2.1345407503234153</v>
      </c>
      <c r="CO133" s="103">
        <v>0.48512289780077616</v>
      </c>
      <c r="CQ133" s="110"/>
      <c r="CR133" s="46" t="s">
        <v>7</v>
      </c>
      <c r="CS133" s="103">
        <v>1.4452856159669649</v>
      </c>
      <c r="CT133" s="103">
        <v>0.82587749483826567</v>
      </c>
      <c r="CU133" s="103">
        <v>2.752924982794219</v>
      </c>
      <c r="CV133" s="103">
        <v>16.86166551961459</v>
      </c>
      <c r="CW133" s="103">
        <v>23.055746730901582</v>
      </c>
      <c r="CX133" s="103">
        <v>23.331039229181005</v>
      </c>
      <c r="CY133" s="103">
        <v>17.75636613902271</v>
      </c>
      <c r="CZ133" s="103">
        <v>8.602890571231935</v>
      </c>
      <c r="DA133" s="103">
        <v>4.3358568479008941</v>
      </c>
      <c r="DB133" s="103">
        <v>1.0323468685478321</v>
      </c>
      <c r="DC133" s="42"/>
      <c r="DD133" s="110"/>
      <c r="DE133" s="46" t="s">
        <v>7</v>
      </c>
      <c r="DF133" s="103">
        <v>1.6483516483516485</v>
      </c>
      <c r="DG133" s="103">
        <v>3.296703296703297</v>
      </c>
      <c r="DH133" s="103">
        <v>10.549450549450549</v>
      </c>
      <c r="DI133" s="103">
        <v>30.402930402930401</v>
      </c>
      <c r="DJ133" s="103">
        <v>24.340659340659339</v>
      </c>
      <c r="DK133" s="103">
        <v>16.868131868131869</v>
      </c>
      <c r="DL133" s="103">
        <v>7.7106227106227108</v>
      </c>
      <c r="DM133" s="103">
        <v>3.296703296703297</v>
      </c>
      <c r="DN133" s="103">
        <v>1.5018315018315018</v>
      </c>
      <c r="DO133" s="103">
        <v>0.38461538461538464</v>
      </c>
    </row>
    <row r="134" spans="2:119" ht="15.4" customHeight="1" x14ac:dyDescent="0.45">
      <c r="B134" s="99"/>
      <c r="C134" s="42"/>
      <c r="D134" s="110"/>
      <c r="E134" s="47" t="s">
        <v>8</v>
      </c>
      <c r="F134" s="103">
        <v>1.2467851951246784</v>
      </c>
      <c r="G134" s="103">
        <v>0.65973387006597339</v>
      </c>
      <c r="H134" s="103">
        <v>2.8737560102873756</v>
      </c>
      <c r="I134" s="103">
        <v>15.408699541540871</v>
      </c>
      <c r="J134" s="103">
        <v>24.521972492452196</v>
      </c>
      <c r="K134" s="103">
        <v>24.829475567482948</v>
      </c>
      <c r="L134" s="103">
        <v>16.543665436654369</v>
      </c>
      <c r="M134" s="103">
        <v>8.6827686458682773</v>
      </c>
      <c r="N134" s="103">
        <v>4.1484960304148499</v>
      </c>
      <c r="O134" s="103">
        <v>1.0846472101084648</v>
      </c>
      <c r="P134" s="42"/>
      <c r="Q134" s="110"/>
      <c r="R134" s="46" t="s">
        <v>8</v>
      </c>
      <c r="S134" s="103">
        <v>1.3207344572103512</v>
      </c>
      <c r="T134" s="103">
        <v>0.46172017609792765</v>
      </c>
      <c r="U134" s="103">
        <v>2.6629442714485125</v>
      </c>
      <c r="V134" s="103">
        <v>16.04209169977451</v>
      </c>
      <c r="W134" s="103">
        <v>25.190593793621819</v>
      </c>
      <c r="X134" s="103">
        <v>25.534199506066791</v>
      </c>
      <c r="Y134" s="103">
        <v>16.611188661011489</v>
      </c>
      <c r="Z134" s="103">
        <v>8.3324385267905079</v>
      </c>
      <c r="AA134" s="103">
        <v>3.2105658756576831</v>
      </c>
      <c r="AB134" s="103">
        <v>0.63352303232041229</v>
      </c>
      <c r="AC134" s="42"/>
      <c r="AD134" s="110"/>
      <c r="AE134" s="46" t="s">
        <v>8</v>
      </c>
      <c r="AF134" s="103">
        <v>1.1664528169835531</v>
      </c>
      <c r="AG134" s="103">
        <v>0.87483961273766475</v>
      </c>
      <c r="AH134" s="103">
        <v>3.102764493176251</v>
      </c>
      <c r="AI134" s="103">
        <v>14.72063455033244</v>
      </c>
      <c r="AJ134" s="103">
        <v>23.795637466464481</v>
      </c>
      <c r="AK134" s="103">
        <v>24.063921614370699</v>
      </c>
      <c r="AL134" s="103">
        <v>16.470313775807767</v>
      </c>
      <c r="AM134" s="103">
        <v>9.0633383879622063</v>
      </c>
      <c r="AN134" s="103">
        <v>5.1673859792371397</v>
      </c>
      <c r="AO134" s="103">
        <v>1.5747113029277966</v>
      </c>
      <c r="AP134" s="6"/>
      <c r="AQ134" s="110"/>
      <c r="AR134" s="46" t="s">
        <v>8</v>
      </c>
      <c r="AS134" s="103">
        <v>2.0446096654275094</v>
      </c>
      <c r="AT134" s="103">
        <v>1.5135422198619224</v>
      </c>
      <c r="AU134" s="103">
        <v>4.9920339883165159</v>
      </c>
      <c r="AV134" s="103">
        <v>20.339883165161975</v>
      </c>
      <c r="AW134" s="103">
        <v>25.066383430695698</v>
      </c>
      <c r="AX134" s="103">
        <v>20.92405735528412</v>
      </c>
      <c r="AY134" s="103">
        <v>13.967073818374933</v>
      </c>
      <c r="AZ134" s="103">
        <v>7.514604354753053</v>
      </c>
      <c r="BA134" s="103">
        <v>2.9208709506107278</v>
      </c>
      <c r="BB134" s="103">
        <v>0.71694105151354226</v>
      </c>
      <c r="BC134" s="42"/>
      <c r="BD134" s="110"/>
      <c r="BE134" s="46" t="s">
        <v>8</v>
      </c>
      <c r="BF134" s="103">
        <v>1.0339943342776203</v>
      </c>
      <c r="BG134" s="103">
        <v>0.43201133144475917</v>
      </c>
      <c r="BH134" s="103">
        <v>2.3087818696883851</v>
      </c>
      <c r="BI134" s="103">
        <v>14.093484419263454</v>
      </c>
      <c r="BJ134" s="103">
        <v>24.376770538243626</v>
      </c>
      <c r="BK134" s="103">
        <v>25.871104815864022</v>
      </c>
      <c r="BL134" s="103">
        <v>17.230878186968841</v>
      </c>
      <c r="BM134" s="103">
        <v>8.9943342776203963</v>
      </c>
      <c r="BN134" s="103">
        <v>4.475920679886686</v>
      </c>
      <c r="BO134" s="103">
        <v>1.1827195467422096</v>
      </c>
      <c r="BQ134" s="110"/>
      <c r="BR134" s="46" t="s">
        <v>8</v>
      </c>
      <c r="BS134" s="103">
        <v>1.4579759862778732</v>
      </c>
      <c r="BT134" s="103">
        <v>1.2006861063464835</v>
      </c>
      <c r="BU134" s="103">
        <v>5.4030874785591765</v>
      </c>
      <c r="BV134" s="103">
        <v>16.20926243567753</v>
      </c>
      <c r="BW134" s="103">
        <v>25.042881646655228</v>
      </c>
      <c r="BX134" s="103">
        <v>22.727272727272727</v>
      </c>
      <c r="BY134" s="103">
        <v>13.722126929674101</v>
      </c>
      <c r="BZ134" s="103">
        <v>8.9193825042881656</v>
      </c>
      <c r="CA134" s="103">
        <v>3.6020583190394513</v>
      </c>
      <c r="CB134" s="103">
        <v>1.7152658662092626</v>
      </c>
      <c r="CC134" s="42"/>
      <c r="CD134" s="110"/>
      <c r="CE134" s="46" t="s">
        <v>8</v>
      </c>
      <c r="CF134" s="103">
        <v>1.2320574162679425</v>
      </c>
      <c r="CG134" s="103">
        <v>0.62200956937799046</v>
      </c>
      <c r="CH134" s="103">
        <v>2.6973684210526319</v>
      </c>
      <c r="CI134" s="103">
        <v>15.352870813397129</v>
      </c>
      <c r="CJ134" s="103">
        <v>24.485645933014354</v>
      </c>
      <c r="CK134" s="103">
        <v>24.976076555023923</v>
      </c>
      <c r="CL134" s="103">
        <v>16.740430622009569</v>
      </c>
      <c r="CM134" s="103">
        <v>8.6662679425837315</v>
      </c>
      <c r="CN134" s="103">
        <v>4.1866028708133971</v>
      </c>
      <c r="CO134" s="103">
        <v>1.0406698564593302</v>
      </c>
      <c r="CQ134" s="110"/>
      <c r="CR134" s="46" t="s">
        <v>8</v>
      </c>
      <c r="CS134" s="103">
        <v>1.1271133375078271</v>
      </c>
      <c r="CT134" s="103">
        <v>6.2617407639323733E-2</v>
      </c>
      <c r="CU134" s="103">
        <v>1.5654351909830932</v>
      </c>
      <c r="CV134" s="103">
        <v>8.7351283656856609</v>
      </c>
      <c r="CW134" s="103">
        <v>17.97119599248591</v>
      </c>
      <c r="CX134" s="103">
        <v>24.326862867877271</v>
      </c>
      <c r="CY134" s="103">
        <v>22.417031934877897</v>
      </c>
      <c r="CZ134" s="103">
        <v>14.370695053224797</v>
      </c>
      <c r="DA134" s="103">
        <v>7.576706324358172</v>
      </c>
      <c r="DB134" s="103">
        <v>1.8472135253600501</v>
      </c>
      <c r="DC134" s="42"/>
      <c r="DD134" s="110"/>
      <c r="DE134" s="46" t="s">
        <v>8</v>
      </c>
      <c r="DF134" s="103">
        <v>1.2728015246392594</v>
      </c>
      <c r="DG134" s="103">
        <v>0.78954533079226785</v>
      </c>
      <c r="DH134" s="103">
        <v>3.1581813231690714</v>
      </c>
      <c r="DI134" s="103">
        <v>16.859515382521099</v>
      </c>
      <c r="DJ134" s="103">
        <v>25.946093111897632</v>
      </c>
      <c r="DK134" s="103">
        <v>24.938742172610944</v>
      </c>
      <c r="DL134" s="103">
        <v>15.266811870405665</v>
      </c>
      <c r="DM134" s="103">
        <v>7.4462292404029409</v>
      </c>
      <c r="DN134" s="103">
        <v>3.403212632725293</v>
      </c>
      <c r="DO134" s="103">
        <v>0.91886741083582901</v>
      </c>
    </row>
    <row r="135" spans="2:119" ht="15.4" customHeight="1" x14ac:dyDescent="0.45">
      <c r="B135" s="99"/>
      <c r="C135" s="42"/>
      <c r="D135" s="110"/>
      <c r="E135" s="47" t="s">
        <v>9</v>
      </c>
      <c r="F135" s="103">
        <v>0.54062820997999683</v>
      </c>
      <c r="G135" s="103">
        <v>0.11893820619559929</v>
      </c>
      <c r="H135" s="103">
        <v>0.67848840352489592</v>
      </c>
      <c r="I135" s="103">
        <v>6.4388819808617619</v>
      </c>
      <c r="J135" s="103">
        <v>16.664864572633402</v>
      </c>
      <c r="K135" s="103">
        <v>24.136346434556955</v>
      </c>
      <c r="L135" s="103">
        <v>22.795588473806564</v>
      </c>
      <c r="M135" s="103">
        <v>15.624155268421907</v>
      </c>
      <c r="N135" s="103">
        <v>9.6475104070930424</v>
      </c>
      <c r="O135" s="103">
        <v>3.3545980429258799</v>
      </c>
      <c r="P135" s="42"/>
      <c r="Q135" s="110"/>
      <c r="R135" s="46" t="s">
        <v>9</v>
      </c>
      <c r="S135" s="103">
        <v>0.54473868723369834</v>
      </c>
      <c r="T135" s="103">
        <v>7.0114880535030469E-2</v>
      </c>
      <c r="U135" s="103">
        <v>0.66339463890836525</v>
      </c>
      <c r="V135" s="103">
        <v>6.3103392481527427</v>
      </c>
      <c r="W135" s="103">
        <v>17.091850493500889</v>
      </c>
      <c r="X135" s="103">
        <v>25.478668895960304</v>
      </c>
      <c r="Y135" s="103">
        <v>23.369829027560542</v>
      </c>
      <c r="Z135" s="103">
        <v>15.500782050590583</v>
      </c>
      <c r="AA135" s="103">
        <v>8.4353594735990516</v>
      </c>
      <c r="AB135" s="103">
        <v>2.534922603958794</v>
      </c>
      <c r="AC135" s="42"/>
      <c r="AD135" s="110"/>
      <c r="AE135" s="46" t="s">
        <v>9</v>
      </c>
      <c r="AF135" s="103">
        <v>0.53649813038530314</v>
      </c>
      <c r="AG135" s="103">
        <v>0.16799436406004445</v>
      </c>
      <c r="AH135" s="103">
        <v>0.6936541483769576</v>
      </c>
      <c r="AI135" s="103">
        <v>6.5680377174443176</v>
      </c>
      <c r="AJ135" s="103">
        <v>16.235842410448164</v>
      </c>
      <c r="AK135" s="103">
        <v>22.787622608789899</v>
      </c>
      <c r="AL135" s="103">
        <v>22.218609440199426</v>
      </c>
      <c r="AM135" s="103">
        <v>15.748116837370619</v>
      </c>
      <c r="AN135" s="103">
        <v>10.865441933560939</v>
      </c>
      <c r="AO135" s="103">
        <v>4.1781824093643314</v>
      </c>
      <c r="AP135" s="6"/>
      <c r="AQ135" s="110"/>
      <c r="AR135" s="46" t="s">
        <v>9</v>
      </c>
      <c r="AS135" s="103">
        <v>0.83840210422488903</v>
      </c>
      <c r="AT135" s="103">
        <v>0.2465888541837909</v>
      </c>
      <c r="AU135" s="103">
        <v>1.4302153542659872</v>
      </c>
      <c r="AV135" s="103">
        <v>9.896432681242807</v>
      </c>
      <c r="AW135" s="103">
        <v>20.466874897254645</v>
      </c>
      <c r="AX135" s="103">
        <v>23.738287029426271</v>
      </c>
      <c r="AY135" s="103">
        <v>20.746342265329606</v>
      </c>
      <c r="AZ135" s="103">
        <v>13.26648035508795</v>
      </c>
      <c r="BA135" s="103">
        <v>7.3483478546769687</v>
      </c>
      <c r="BB135" s="103">
        <v>2.0220286043070854</v>
      </c>
      <c r="BC135" s="42"/>
      <c r="BD135" s="110"/>
      <c r="BE135" s="46" t="s">
        <v>9</v>
      </c>
      <c r="BF135" s="103">
        <v>0.48202905114684091</v>
      </c>
      <c r="BG135" s="103">
        <v>9.3817734786969045E-2</v>
      </c>
      <c r="BH135" s="103">
        <v>0.53055546569182499</v>
      </c>
      <c r="BI135" s="103">
        <v>5.7584678593380998</v>
      </c>
      <c r="BJ135" s="103">
        <v>15.916663970754746</v>
      </c>
      <c r="BK135" s="103">
        <v>24.214680857947009</v>
      </c>
      <c r="BL135" s="103">
        <v>23.198861246805343</v>
      </c>
      <c r="BM135" s="103">
        <v>16.08812396881369</v>
      </c>
      <c r="BN135" s="103">
        <v>10.099964413962667</v>
      </c>
      <c r="BO135" s="103">
        <v>3.6168354307528063</v>
      </c>
      <c r="BQ135" s="110"/>
      <c r="BR135" s="46" t="s">
        <v>9</v>
      </c>
      <c r="BS135" s="103">
        <v>0.91250670960815894</v>
      </c>
      <c r="BT135" s="103">
        <v>0.37573805689747719</v>
      </c>
      <c r="BU135" s="103">
        <v>1.4492753623188406</v>
      </c>
      <c r="BV135" s="103">
        <v>8.588298443370908</v>
      </c>
      <c r="BW135" s="103">
        <v>16.961889425657542</v>
      </c>
      <c r="BX135" s="103">
        <v>24.798711755233494</v>
      </c>
      <c r="BY135" s="103">
        <v>19.753086419753085</v>
      </c>
      <c r="BZ135" s="103">
        <v>13.79495437466452</v>
      </c>
      <c r="CA135" s="103">
        <v>8.9640365002683833</v>
      </c>
      <c r="CB135" s="103">
        <v>4.4015029522275899</v>
      </c>
      <c r="CC135" s="42"/>
      <c r="CD135" s="110"/>
      <c r="CE135" s="46" t="s">
        <v>9</v>
      </c>
      <c r="CF135" s="103">
        <v>0.52090746064729154</v>
      </c>
      <c r="CG135" s="103">
        <v>0.10532008767185676</v>
      </c>
      <c r="CH135" s="103">
        <v>0.63761350374313286</v>
      </c>
      <c r="CI135" s="103">
        <v>6.3248982380233976</v>
      </c>
      <c r="CJ135" s="103">
        <v>16.649113318721355</v>
      </c>
      <c r="CK135" s="103">
        <v>24.101221143719222</v>
      </c>
      <c r="CL135" s="103">
        <v>22.956932623608779</v>
      </c>
      <c r="CM135" s="103">
        <v>15.721157951666619</v>
      </c>
      <c r="CN135" s="103">
        <v>9.683755088098831</v>
      </c>
      <c r="CO135" s="103">
        <v>3.2990805840995132</v>
      </c>
      <c r="CQ135" s="110"/>
      <c r="CR135" s="46" t="s">
        <v>9</v>
      </c>
      <c r="CS135" s="103">
        <v>0.21242697822623471</v>
      </c>
      <c r="CT135" s="103">
        <v>0.12391573729863693</v>
      </c>
      <c r="CU135" s="103">
        <v>0.30093821915383251</v>
      </c>
      <c r="CV135" s="103">
        <v>3.2395114179500797</v>
      </c>
      <c r="CW135" s="103">
        <v>10.4974331740131</v>
      </c>
      <c r="CX135" s="103">
        <v>19.206939281288722</v>
      </c>
      <c r="CY135" s="103">
        <v>25.119490175252256</v>
      </c>
      <c r="CZ135" s="103">
        <v>21.295804567180031</v>
      </c>
      <c r="DA135" s="103">
        <v>15.046910957691626</v>
      </c>
      <c r="DB135" s="103">
        <v>4.9566294919454776</v>
      </c>
      <c r="DC135" s="42"/>
      <c r="DD135" s="110"/>
      <c r="DE135" s="46" t="s">
        <v>9</v>
      </c>
      <c r="DF135" s="103">
        <v>0.5997766788961556</v>
      </c>
      <c r="DG135" s="103">
        <v>0.11804115488913702</v>
      </c>
      <c r="DH135" s="103">
        <v>0.74653054713670441</v>
      </c>
      <c r="DI135" s="103">
        <v>7.0154729621949272</v>
      </c>
      <c r="DJ135" s="103">
        <v>17.776359866007336</v>
      </c>
      <c r="DK135" s="103">
        <v>25.024724836497047</v>
      </c>
      <c r="DL135" s="103">
        <v>22.376774605200193</v>
      </c>
      <c r="DM135" s="103">
        <v>14.6020098899346</v>
      </c>
      <c r="DN135" s="103">
        <v>8.6744297336098253</v>
      </c>
      <c r="DO135" s="103">
        <v>3.0658797256340726</v>
      </c>
    </row>
    <row r="136" spans="2:119" ht="15.4" customHeight="1" x14ac:dyDescent="0.45">
      <c r="B136" s="99"/>
      <c r="C136" s="42"/>
      <c r="D136" s="110"/>
      <c r="E136" s="47" t="s">
        <v>10</v>
      </c>
      <c r="F136" s="103">
        <v>0.16886064457557876</v>
      </c>
      <c r="G136" s="103">
        <v>1.997276441216523E-2</v>
      </c>
      <c r="H136" s="103">
        <v>0.10349523377212891</v>
      </c>
      <c r="I136" s="103">
        <v>1.5124829777576032</v>
      </c>
      <c r="J136" s="103">
        <v>6.5655923740354059</v>
      </c>
      <c r="K136" s="103">
        <v>14.723558783477076</v>
      </c>
      <c r="L136" s="103">
        <v>21.189287335451656</v>
      </c>
      <c r="M136" s="103">
        <v>21.227417158420337</v>
      </c>
      <c r="N136" s="103">
        <v>20.455742169768499</v>
      </c>
      <c r="O136" s="103">
        <v>14.03359055832955</v>
      </c>
      <c r="P136" s="42"/>
      <c r="Q136" s="110"/>
      <c r="R136" s="46" t="s">
        <v>10</v>
      </c>
      <c r="S136" s="103">
        <v>0.12964728312678742</v>
      </c>
      <c r="T136" s="103">
        <v>1.1439466158245948E-2</v>
      </c>
      <c r="U136" s="103">
        <v>7.6263107721639647E-2</v>
      </c>
      <c r="V136" s="103">
        <v>1.5252621544327931</v>
      </c>
      <c r="W136" s="103">
        <v>6.6539561487130596</v>
      </c>
      <c r="X136" s="103">
        <v>15.454718779790277</v>
      </c>
      <c r="Y136" s="103">
        <v>22.642516682554813</v>
      </c>
      <c r="Z136" s="103">
        <v>22.249761677788371</v>
      </c>
      <c r="AA136" s="103">
        <v>19.938989513822687</v>
      </c>
      <c r="AB136" s="103">
        <v>11.317445185891325</v>
      </c>
      <c r="AC136" s="42"/>
      <c r="AD136" s="110"/>
      <c r="AE136" s="46" t="s">
        <v>10</v>
      </c>
      <c r="AF136" s="103">
        <v>0.20450606585788561</v>
      </c>
      <c r="AG136" s="103">
        <v>2.7729636048526865E-2</v>
      </c>
      <c r="AH136" s="103">
        <v>0.12824956672443674</v>
      </c>
      <c r="AI136" s="103">
        <v>1.5008665511265165</v>
      </c>
      <c r="AJ136" s="103">
        <v>6.4852686308492196</v>
      </c>
      <c r="AK136" s="103">
        <v>14.05892547660312</v>
      </c>
      <c r="AL136" s="103">
        <v>19.868284228769497</v>
      </c>
      <c r="AM136" s="103">
        <v>20.298093587521667</v>
      </c>
      <c r="AN136" s="103">
        <v>20.925476603119584</v>
      </c>
      <c r="AO136" s="103">
        <v>16.502599653379548</v>
      </c>
      <c r="AP136" s="6"/>
      <c r="AQ136" s="110"/>
      <c r="AR136" s="46" t="s">
        <v>10</v>
      </c>
      <c r="AS136" s="103">
        <v>0.38831935383659522</v>
      </c>
      <c r="AT136" s="103">
        <v>7.7663870767319038E-2</v>
      </c>
      <c r="AU136" s="103">
        <v>0.31065548306927615</v>
      </c>
      <c r="AV136" s="103">
        <v>3.2463497980739358</v>
      </c>
      <c r="AW136" s="103">
        <v>10.406958682820752</v>
      </c>
      <c r="AX136" s="103">
        <v>18.437402920161542</v>
      </c>
      <c r="AY136" s="103">
        <v>22.677850264057163</v>
      </c>
      <c r="AZ136" s="103">
        <v>18.484001242621932</v>
      </c>
      <c r="BA136" s="103">
        <v>16.449207828518173</v>
      </c>
      <c r="BB136" s="103">
        <v>9.5215905560733152</v>
      </c>
      <c r="BC136" s="42"/>
      <c r="BD136" s="110"/>
      <c r="BE136" s="46" t="s">
        <v>10</v>
      </c>
      <c r="BF136" s="103">
        <v>0.13981125480601186</v>
      </c>
      <c r="BG136" s="103">
        <v>1.2336287188765754E-2</v>
      </c>
      <c r="BH136" s="103">
        <v>7.6073770997388823E-2</v>
      </c>
      <c r="BI136" s="103">
        <v>1.2829738676316385</v>
      </c>
      <c r="BJ136" s="103">
        <v>6.0571170096839859</v>
      </c>
      <c r="BK136" s="103">
        <v>14.231963320106091</v>
      </c>
      <c r="BL136" s="103">
        <v>20.992248699549727</v>
      </c>
      <c r="BM136" s="103">
        <v>21.590558628204864</v>
      </c>
      <c r="BN136" s="103">
        <v>20.98608055595534</v>
      </c>
      <c r="BO136" s="103">
        <v>14.630836605876185</v>
      </c>
      <c r="BQ136" s="110"/>
      <c r="BR136" s="46" t="s">
        <v>10</v>
      </c>
      <c r="BS136" s="103">
        <v>0.59820538384845467</v>
      </c>
      <c r="BT136" s="103">
        <v>9.970089730807577E-2</v>
      </c>
      <c r="BU136" s="103">
        <v>0.24925224327018944</v>
      </c>
      <c r="BV136" s="103">
        <v>2.1934197407776668</v>
      </c>
      <c r="BW136" s="103">
        <v>8.5742771684945165</v>
      </c>
      <c r="BX136" s="103">
        <v>15.952143569292124</v>
      </c>
      <c r="BY136" s="103">
        <v>19.391824526420738</v>
      </c>
      <c r="BZ136" s="103">
        <v>21.585244267198405</v>
      </c>
      <c r="CA136" s="103">
        <v>17.746759720837488</v>
      </c>
      <c r="CB136" s="103">
        <v>13.609172482552342</v>
      </c>
      <c r="CC136" s="42"/>
      <c r="CD136" s="110"/>
      <c r="CE136" s="46" t="s">
        <v>10</v>
      </c>
      <c r="CF136" s="103">
        <v>0.15263147977161809</v>
      </c>
      <c r="CG136" s="103">
        <v>1.6959053307957564E-2</v>
      </c>
      <c r="CH136" s="103">
        <v>9.7985641334865925E-2</v>
      </c>
      <c r="CI136" s="103">
        <v>1.4867436733309465</v>
      </c>
      <c r="CJ136" s="103">
        <v>6.4896643991784284</v>
      </c>
      <c r="CK136" s="103">
        <v>14.677118468409054</v>
      </c>
      <c r="CL136" s="103">
        <v>21.257231151896587</v>
      </c>
      <c r="CM136" s="103">
        <v>21.213891348998473</v>
      </c>
      <c r="CN136" s="103">
        <v>20.558141287757447</v>
      </c>
      <c r="CO136" s="103">
        <v>14.049633496014621</v>
      </c>
      <c r="CQ136" s="110"/>
      <c r="CR136" s="46" t="s">
        <v>10</v>
      </c>
      <c r="CS136" s="103">
        <v>9.1467398405853911E-2</v>
      </c>
      <c r="CT136" s="103">
        <v>0</v>
      </c>
      <c r="CU136" s="103">
        <v>3.9200313602508821E-2</v>
      </c>
      <c r="CV136" s="103">
        <v>0.88854044165686663</v>
      </c>
      <c r="CW136" s="103">
        <v>3.4888279106232849</v>
      </c>
      <c r="CX136" s="103">
        <v>9.6955442310205147</v>
      </c>
      <c r="CY136" s="103">
        <v>18.358813537174964</v>
      </c>
      <c r="CZ136" s="103">
        <v>22.344178753430029</v>
      </c>
      <c r="DA136" s="103">
        <v>25.571671240036586</v>
      </c>
      <c r="DB136" s="103">
        <v>19.521756174049393</v>
      </c>
      <c r="DC136" s="42"/>
      <c r="DD136" s="110"/>
      <c r="DE136" s="46" t="s">
        <v>10</v>
      </c>
      <c r="DF136" s="103">
        <v>0.18135042807135929</v>
      </c>
      <c r="DG136" s="103">
        <v>2.3195984985871537E-2</v>
      </c>
      <c r="DH136" s="103">
        <v>0.11387119902155117</v>
      </c>
      <c r="DI136" s="103">
        <v>1.6131753194719749</v>
      </c>
      <c r="DJ136" s="103">
        <v>7.0621230652439788</v>
      </c>
      <c r="DK136" s="103">
        <v>15.534983762810509</v>
      </c>
      <c r="DL136" s="103">
        <v>21.646071443633758</v>
      </c>
      <c r="DM136" s="103">
        <v>21.047193285816711</v>
      </c>
      <c r="DN136" s="103">
        <v>19.630129475770737</v>
      </c>
      <c r="DO136" s="103">
        <v>13.147906035173548</v>
      </c>
    </row>
    <row r="137" spans="2:119" ht="15.4" customHeight="1" x14ac:dyDescent="0.45">
      <c r="B137" s="99"/>
      <c r="C137" s="42"/>
      <c r="D137" s="111"/>
      <c r="E137" s="47" t="s">
        <v>11</v>
      </c>
      <c r="F137" s="103">
        <v>5.5561729081008995E-2</v>
      </c>
      <c r="G137" s="103">
        <v>0</v>
      </c>
      <c r="H137" s="103">
        <v>5.5561729081009007E-3</v>
      </c>
      <c r="I137" s="103">
        <v>0.166685187243027</v>
      </c>
      <c r="J137" s="103">
        <v>1.4279364373819314</v>
      </c>
      <c r="K137" s="103">
        <v>5.078342038004223</v>
      </c>
      <c r="L137" s="103">
        <v>10.823424824980552</v>
      </c>
      <c r="M137" s="103">
        <v>16.312923658184243</v>
      </c>
      <c r="N137" s="103">
        <v>25.897321924658296</v>
      </c>
      <c r="O137" s="103">
        <v>40.232248027558619</v>
      </c>
      <c r="P137" s="42"/>
      <c r="Q137" s="111"/>
      <c r="R137" s="46" t="s">
        <v>11</v>
      </c>
      <c r="S137" s="103">
        <v>7.9817559863169893E-2</v>
      </c>
      <c r="T137" s="103">
        <v>0</v>
      </c>
      <c r="U137" s="103">
        <v>1.1402508551881414E-2</v>
      </c>
      <c r="V137" s="103">
        <v>0.13683010262257697</v>
      </c>
      <c r="W137" s="103">
        <v>1.2656784492588371</v>
      </c>
      <c r="X137" s="103">
        <v>5.3363740022805013</v>
      </c>
      <c r="Y137" s="103">
        <v>11.277080957810719</v>
      </c>
      <c r="Z137" s="103">
        <v>17.48004561003421</v>
      </c>
      <c r="AA137" s="103">
        <v>27.468643101482325</v>
      </c>
      <c r="AB137" s="103">
        <v>36.944127708095778</v>
      </c>
      <c r="AC137" s="42"/>
      <c r="AD137" s="111"/>
      <c r="AE137" s="46" t="s">
        <v>11</v>
      </c>
      <c r="AF137" s="103">
        <v>3.2509752925877766E-2</v>
      </c>
      <c r="AG137" s="103">
        <v>0</v>
      </c>
      <c r="AH137" s="103">
        <v>0</v>
      </c>
      <c r="AI137" s="103">
        <v>0.1950585175552666</v>
      </c>
      <c r="AJ137" s="103">
        <v>1.5821413090593843</v>
      </c>
      <c r="AK137" s="103">
        <v>4.8331166016471609</v>
      </c>
      <c r="AL137" s="103">
        <v>10.392284351972258</v>
      </c>
      <c r="AM137" s="103">
        <v>15.203727785002167</v>
      </c>
      <c r="AN137" s="103">
        <v>24.403987863025574</v>
      </c>
      <c r="AO137" s="103">
        <v>43.357173818812313</v>
      </c>
      <c r="AP137" s="6"/>
      <c r="AQ137" s="111"/>
      <c r="AR137" s="46" t="s">
        <v>11</v>
      </c>
      <c r="AS137" s="103">
        <v>0.22727272727272727</v>
      </c>
      <c r="AT137" s="103">
        <v>0</v>
      </c>
      <c r="AU137" s="103">
        <v>0</v>
      </c>
      <c r="AV137" s="103">
        <v>0.45454545454545453</v>
      </c>
      <c r="AW137" s="103">
        <v>2.8030303030303032</v>
      </c>
      <c r="AX137" s="103">
        <v>9.5454545454545467</v>
      </c>
      <c r="AY137" s="103">
        <v>15.227272727272728</v>
      </c>
      <c r="AZ137" s="103">
        <v>19.090909090909093</v>
      </c>
      <c r="BA137" s="103">
        <v>26.060606060606062</v>
      </c>
      <c r="BB137" s="103">
        <v>26.590909090909093</v>
      </c>
      <c r="BC137" s="42"/>
      <c r="BD137" s="111"/>
      <c r="BE137" s="46" t="s">
        <v>11</v>
      </c>
      <c r="BF137" s="103">
        <v>4.1971459407602829E-2</v>
      </c>
      <c r="BG137" s="103">
        <v>0</v>
      </c>
      <c r="BH137" s="103">
        <v>5.9959227725146901E-3</v>
      </c>
      <c r="BI137" s="103">
        <v>0.14390214654035255</v>
      </c>
      <c r="BJ137" s="103">
        <v>1.3191030099532317</v>
      </c>
      <c r="BK137" s="103">
        <v>4.7247871447415752</v>
      </c>
      <c r="BL137" s="103">
        <v>10.474877083583163</v>
      </c>
      <c r="BM137" s="103">
        <v>16.093056721429427</v>
      </c>
      <c r="BN137" s="103">
        <v>25.884398608945919</v>
      </c>
      <c r="BO137" s="103">
        <v>41.311907902626217</v>
      </c>
      <c r="BQ137" s="111"/>
      <c r="BR137" s="46" t="s">
        <v>11</v>
      </c>
      <c r="BS137" s="103">
        <v>0.38022813688212925</v>
      </c>
      <c r="BT137" s="103">
        <v>0</v>
      </c>
      <c r="BU137" s="103">
        <v>0</v>
      </c>
      <c r="BV137" s="103">
        <v>0.57034220532319391</v>
      </c>
      <c r="BW137" s="103">
        <v>2.2813688212927756</v>
      </c>
      <c r="BX137" s="103">
        <v>6.6539923954372622</v>
      </c>
      <c r="BY137" s="103">
        <v>15.96958174904943</v>
      </c>
      <c r="BZ137" s="103">
        <v>15.589353612167301</v>
      </c>
      <c r="CA137" s="103">
        <v>25.85551330798479</v>
      </c>
      <c r="CB137" s="103">
        <v>32.699619771863119</v>
      </c>
      <c r="CC137" s="42"/>
      <c r="CD137" s="111"/>
      <c r="CE137" s="46" t="s">
        <v>11</v>
      </c>
      <c r="CF137" s="103">
        <v>4.5787545787545784E-2</v>
      </c>
      <c r="CG137" s="103">
        <v>0</v>
      </c>
      <c r="CH137" s="103">
        <v>5.7234432234432231E-3</v>
      </c>
      <c r="CI137" s="103">
        <v>0.15453296703296704</v>
      </c>
      <c r="CJ137" s="103">
        <v>1.4022435897435899</v>
      </c>
      <c r="CK137" s="103">
        <v>5.030906593406594</v>
      </c>
      <c r="CL137" s="103">
        <v>10.668498168498168</v>
      </c>
      <c r="CM137" s="103">
        <v>16.33470695970696</v>
      </c>
      <c r="CN137" s="103">
        <v>25.898580586080588</v>
      </c>
      <c r="CO137" s="103">
        <v>40.459020146520146</v>
      </c>
      <c r="CQ137" s="111"/>
      <c r="CR137" s="46" t="s">
        <v>11</v>
      </c>
      <c r="CS137" s="103">
        <v>4.6446818392940084E-2</v>
      </c>
      <c r="CT137" s="103">
        <v>0</v>
      </c>
      <c r="CU137" s="103">
        <v>0</v>
      </c>
      <c r="CV137" s="103">
        <v>0</v>
      </c>
      <c r="CW137" s="103">
        <v>0.69670227589410128</v>
      </c>
      <c r="CX137" s="103">
        <v>3.1119368323269856</v>
      </c>
      <c r="CY137" s="103">
        <v>7.106363214119833</v>
      </c>
      <c r="CZ137" s="103">
        <v>15.141662796098467</v>
      </c>
      <c r="DA137" s="103">
        <v>26.010218300046446</v>
      </c>
      <c r="DB137" s="103">
        <v>47.886669763121226</v>
      </c>
      <c r="DC137" s="42"/>
      <c r="DD137" s="111"/>
      <c r="DE137" s="46" t="s">
        <v>11</v>
      </c>
      <c r="DF137" s="103">
        <v>5.6800252445566426E-2</v>
      </c>
      <c r="DG137" s="103">
        <v>0</v>
      </c>
      <c r="DH137" s="103">
        <v>6.3111391606184911E-3</v>
      </c>
      <c r="DI137" s="103">
        <v>0.18933417481855475</v>
      </c>
      <c r="DJ137" s="103">
        <v>1.527295676869675</v>
      </c>
      <c r="DK137" s="103">
        <v>5.3455348690438624</v>
      </c>
      <c r="DL137" s="103">
        <v>11.328494793310192</v>
      </c>
      <c r="DM137" s="103">
        <v>16.472073209214262</v>
      </c>
      <c r="DN137" s="103">
        <v>25.881981697696432</v>
      </c>
      <c r="DO137" s="103">
        <v>39.192174187440834</v>
      </c>
    </row>
    <row r="138" spans="2:119" ht="15.4" customHeight="1" x14ac:dyDescent="0.45">
      <c r="B138" s="99"/>
      <c r="C138" s="42"/>
      <c r="D138" s="42"/>
      <c r="E138" s="42"/>
      <c r="F138" s="48"/>
      <c r="G138" s="48"/>
      <c r="H138" s="48"/>
      <c r="I138" s="48"/>
      <c r="J138" s="48"/>
      <c r="K138" s="48"/>
      <c r="L138" s="48"/>
      <c r="M138" s="48"/>
      <c r="N138" s="48"/>
      <c r="O138" s="42"/>
      <c r="P138" s="42"/>
      <c r="Q138" s="42"/>
      <c r="R138" s="48"/>
      <c r="S138" s="48"/>
      <c r="T138" s="48"/>
      <c r="U138" s="48"/>
      <c r="V138" s="48"/>
      <c r="W138" s="48"/>
      <c r="X138" s="48"/>
      <c r="Y138" s="48"/>
      <c r="Z138" s="48"/>
      <c r="AA138" s="42"/>
      <c r="AB138" s="42"/>
      <c r="AC138" s="42"/>
      <c r="AD138" s="42"/>
      <c r="AE138" s="42"/>
      <c r="AF138" s="42"/>
      <c r="AG138" s="42"/>
      <c r="AH138" s="42"/>
      <c r="AI138" s="42"/>
      <c r="AJ138" s="42"/>
      <c r="AK138" s="42"/>
      <c r="AL138" s="42"/>
      <c r="AM138" s="42"/>
      <c r="AN138" s="42"/>
      <c r="AO138" s="42"/>
      <c r="AQ138" s="42"/>
      <c r="AR138" s="42"/>
      <c r="AS138" s="48"/>
      <c r="AT138" s="48"/>
      <c r="AU138" s="48"/>
      <c r="AV138" s="48"/>
      <c r="AW138" s="48"/>
      <c r="AX138" s="48"/>
      <c r="AY138" s="48"/>
      <c r="AZ138" s="48"/>
      <c r="BA138" s="42"/>
      <c r="BB138" s="42"/>
      <c r="BC138" s="42"/>
      <c r="BD138" s="42"/>
      <c r="BE138" s="42"/>
      <c r="BF138" s="42"/>
      <c r="BG138" s="42"/>
      <c r="BH138" s="42"/>
      <c r="BI138" s="42"/>
      <c r="BJ138" s="42"/>
      <c r="BK138" s="42"/>
      <c r="BL138" s="42"/>
      <c r="BM138" s="42"/>
      <c r="BN138" s="42"/>
      <c r="BO138" s="42"/>
      <c r="BQ138" s="42"/>
      <c r="BR138" s="42"/>
      <c r="BS138" s="48"/>
      <c r="BT138" s="48"/>
      <c r="BU138" s="48"/>
      <c r="BV138" s="48"/>
      <c r="BW138" s="48"/>
      <c r="BX138" s="48"/>
      <c r="BY138" s="48"/>
      <c r="BZ138" s="48"/>
      <c r="CA138" s="42"/>
      <c r="CB138" s="42"/>
      <c r="CC138" s="42"/>
      <c r="CD138" s="42"/>
      <c r="CE138" s="42"/>
      <c r="CF138" s="42"/>
      <c r="CG138" s="42"/>
      <c r="CH138" s="42"/>
      <c r="CI138" s="42"/>
      <c r="CJ138" s="42"/>
      <c r="CK138" s="42"/>
      <c r="CL138" s="42"/>
      <c r="CM138" s="42"/>
      <c r="CN138" s="42"/>
      <c r="CO138" s="42"/>
      <c r="CQ138" s="42"/>
      <c r="CR138" s="42"/>
      <c r="CS138" s="48"/>
      <c r="CT138" s="48"/>
      <c r="CU138" s="48"/>
      <c r="CV138" s="48"/>
      <c r="CW138" s="48"/>
      <c r="CX138" s="48"/>
      <c r="CY138" s="48"/>
      <c r="CZ138" s="48"/>
      <c r="DA138" s="42"/>
      <c r="DB138" s="42"/>
      <c r="DC138" s="42"/>
      <c r="DD138" s="42"/>
      <c r="DE138" s="42"/>
      <c r="DF138" s="42"/>
      <c r="DG138" s="42"/>
      <c r="DH138" s="42"/>
      <c r="DI138" s="42"/>
      <c r="DJ138" s="42"/>
      <c r="DK138" s="42"/>
      <c r="DL138" s="42"/>
      <c r="DM138" s="42"/>
      <c r="DN138" s="42"/>
      <c r="DO138" s="42"/>
    </row>
    <row r="139" spans="2:119" ht="15.4" customHeight="1" x14ac:dyDescent="0.45">
      <c r="B139" s="99"/>
      <c r="C139" s="42"/>
      <c r="D139" s="42"/>
      <c r="E139" s="42"/>
      <c r="F139" s="48"/>
      <c r="G139" s="48"/>
      <c r="H139" s="48"/>
      <c r="I139" s="48"/>
      <c r="J139" s="48"/>
      <c r="K139" s="48"/>
      <c r="L139" s="48"/>
      <c r="M139" s="48"/>
      <c r="N139" s="48"/>
      <c r="O139" s="42"/>
      <c r="P139" s="42"/>
      <c r="Q139" s="42"/>
      <c r="R139" s="48"/>
      <c r="S139" s="48"/>
      <c r="T139" s="48"/>
      <c r="U139" s="48"/>
      <c r="V139" s="48"/>
      <c r="W139" s="48"/>
      <c r="X139" s="48"/>
      <c r="Y139" s="48"/>
      <c r="Z139" s="48"/>
      <c r="AA139" s="42"/>
      <c r="AB139" s="42"/>
      <c r="AC139" s="42"/>
      <c r="AD139" s="42"/>
      <c r="AE139" s="42"/>
      <c r="AF139" s="42"/>
      <c r="AG139" s="42"/>
      <c r="AH139" s="42"/>
      <c r="AI139" s="42"/>
      <c r="AJ139" s="42"/>
      <c r="AK139" s="42"/>
      <c r="AL139" s="42"/>
      <c r="AM139" s="42"/>
      <c r="AN139" s="42"/>
      <c r="AO139" s="42"/>
      <c r="AQ139" s="42"/>
      <c r="AR139" s="42"/>
      <c r="AS139" s="48"/>
      <c r="AT139" s="48"/>
      <c r="AU139" s="48"/>
      <c r="AV139" s="48"/>
      <c r="AW139" s="48"/>
      <c r="AX139" s="48"/>
      <c r="AY139" s="48"/>
      <c r="AZ139" s="48"/>
      <c r="BA139" s="42"/>
      <c r="BB139" s="42"/>
      <c r="BC139" s="42"/>
      <c r="BD139" s="42"/>
      <c r="BE139" s="42"/>
      <c r="BF139" s="42"/>
      <c r="BG139" s="42"/>
      <c r="BH139" s="42"/>
      <c r="BI139" s="42"/>
      <c r="BJ139" s="42"/>
      <c r="BK139" s="42"/>
      <c r="BL139" s="42"/>
      <c r="BM139" s="42"/>
      <c r="BN139" s="42"/>
      <c r="BO139" s="42"/>
      <c r="BQ139" s="42"/>
      <c r="BR139" s="42"/>
      <c r="BS139" s="48"/>
      <c r="BT139" s="48"/>
      <c r="BU139" s="48"/>
      <c r="BV139" s="48"/>
      <c r="BW139" s="48"/>
      <c r="BX139" s="48"/>
      <c r="BY139" s="48"/>
      <c r="BZ139" s="48"/>
      <c r="CA139" s="42"/>
      <c r="CB139" s="42"/>
      <c r="CC139" s="42"/>
      <c r="CD139" s="42"/>
      <c r="CE139" s="42"/>
      <c r="CF139" s="42"/>
      <c r="CG139" s="42"/>
      <c r="CH139" s="42"/>
      <c r="CI139" s="42"/>
      <c r="CJ139" s="42"/>
      <c r="CK139" s="42"/>
      <c r="CL139" s="42"/>
      <c r="CM139" s="42"/>
      <c r="CN139" s="42"/>
      <c r="CO139" s="42"/>
      <c r="CQ139" s="42"/>
      <c r="CR139" s="42"/>
      <c r="CS139" s="48"/>
      <c r="CT139" s="48"/>
      <c r="CU139" s="48"/>
      <c r="CV139" s="48"/>
      <c r="CW139" s="48"/>
      <c r="CX139" s="48"/>
      <c r="CY139" s="48"/>
      <c r="CZ139" s="48"/>
      <c r="DA139" s="42"/>
      <c r="DB139" s="42"/>
      <c r="DC139" s="42"/>
      <c r="DD139" s="42"/>
      <c r="DE139" s="42"/>
      <c r="DF139" s="42"/>
      <c r="DG139" s="42"/>
      <c r="DH139" s="42"/>
      <c r="DI139" s="42"/>
      <c r="DJ139" s="42"/>
      <c r="DK139" s="42"/>
      <c r="DL139" s="42"/>
      <c r="DM139" s="42"/>
      <c r="DN139" s="42"/>
      <c r="DO139" s="42"/>
    </row>
    <row r="140" spans="2:119" ht="15.4" customHeight="1" x14ac:dyDescent="0.55000000000000004">
      <c r="B140" s="99"/>
      <c r="C140" s="42"/>
      <c r="D140" s="112" t="s">
        <v>24</v>
      </c>
      <c r="E140" s="112"/>
      <c r="F140" s="45"/>
      <c r="G140" s="45"/>
      <c r="H140" s="45"/>
      <c r="I140" s="45"/>
      <c r="J140" s="45"/>
      <c r="K140" s="45"/>
      <c r="L140" s="45"/>
      <c r="M140" s="45"/>
      <c r="N140" s="45"/>
      <c r="O140" s="45"/>
      <c r="P140" s="42"/>
      <c r="Q140" s="112" t="s">
        <v>24</v>
      </c>
      <c r="R140" s="112"/>
      <c r="S140" s="45"/>
      <c r="T140" s="45"/>
      <c r="U140" s="45"/>
      <c r="V140" s="45"/>
      <c r="W140" s="45"/>
      <c r="X140" s="45"/>
      <c r="Y140" s="45"/>
      <c r="Z140" s="45"/>
      <c r="AA140" s="45"/>
      <c r="AB140" s="45"/>
      <c r="AC140" s="42"/>
      <c r="AD140" s="112" t="s">
        <v>24</v>
      </c>
      <c r="AE140" s="112"/>
      <c r="AF140" s="45"/>
      <c r="AG140" s="45"/>
      <c r="AH140" s="45"/>
      <c r="AI140" s="45"/>
      <c r="AJ140" s="45"/>
      <c r="AK140" s="45"/>
      <c r="AL140" s="45"/>
      <c r="AM140" s="45"/>
      <c r="AN140" s="45"/>
      <c r="AO140" s="45"/>
      <c r="AP140" s="6"/>
      <c r="AQ140" s="112" t="s">
        <v>24</v>
      </c>
      <c r="AR140" s="112"/>
      <c r="AS140" s="45"/>
      <c r="AT140" s="45"/>
      <c r="AU140" s="45"/>
      <c r="AV140" s="45"/>
      <c r="AW140" s="45"/>
      <c r="AX140" s="45"/>
      <c r="AY140" s="45"/>
      <c r="AZ140" s="45"/>
      <c r="BA140" s="45"/>
      <c r="BB140" s="45"/>
      <c r="BC140" s="42"/>
      <c r="BD140" s="112" t="s">
        <v>24</v>
      </c>
      <c r="BE140" s="112"/>
      <c r="BF140" s="45"/>
      <c r="BG140" s="45"/>
      <c r="BH140" s="45"/>
      <c r="BI140" s="45"/>
      <c r="BJ140" s="45"/>
      <c r="BK140" s="45"/>
      <c r="BL140" s="45"/>
      <c r="BM140" s="45"/>
      <c r="BN140" s="45"/>
      <c r="BO140" s="45"/>
      <c r="BQ140" s="112" t="s">
        <v>24</v>
      </c>
      <c r="BR140" s="112"/>
      <c r="BS140" s="45"/>
      <c r="BT140" s="45"/>
      <c r="BU140" s="45"/>
      <c r="BV140" s="45"/>
      <c r="BW140" s="45"/>
      <c r="BX140" s="45"/>
      <c r="BY140" s="45"/>
      <c r="BZ140" s="45"/>
      <c r="CA140" s="45"/>
      <c r="CB140" s="45"/>
      <c r="CC140" s="42"/>
      <c r="CD140" s="112" t="s">
        <v>24</v>
      </c>
      <c r="CE140" s="112"/>
      <c r="CF140" s="45"/>
      <c r="CG140" s="45"/>
      <c r="CH140" s="45"/>
      <c r="CI140" s="45"/>
      <c r="CJ140" s="45"/>
      <c r="CK140" s="45"/>
      <c r="CL140" s="45"/>
      <c r="CM140" s="45"/>
      <c r="CN140" s="45"/>
      <c r="CO140" s="45"/>
      <c r="CQ140" s="112" t="s">
        <v>24</v>
      </c>
      <c r="CR140" s="112"/>
      <c r="CS140" s="45"/>
      <c r="CT140" s="45"/>
      <c r="CU140" s="45"/>
      <c r="CV140" s="45"/>
      <c r="CW140" s="45"/>
      <c r="CX140" s="45"/>
      <c r="CY140" s="45"/>
      <c r="CZ140" s="45"/>
      <c r="DA140" s="45"/>
      <c r="DB140" s="45"/>
      <c r="DC140" s="42"/>
      <c r="DD140" s="112" t="s">
        <v>24</v>
      </c>
      <c r="DE140" s="112"/>
      <c r="DF140" s="45"/>
      <c r="DG140" s="45"/>
      <c r="DH140" s="45"/>
      <c r="DI140" s="45"/>
      <c r="DJ140" s="45"/>
      <c r="DK140" s="45"/>
      <c r="DL140" s="45"/>
      <c r="DM140" s="45"/>
      <c r="DN140" s="45"/>
      <c r="DO140" s="45"/>
    </row>
    <row r="141" spans="2:119" ht="28.9" customHeight="1" x14ac:dyDescent="0.45">
      <c r="B141" s="99"/>
      <c r="C141" s="42"/>
      <c r="D141" s="112"/>
      <c r="E141" s="112"/>
      <c r="F141" s="108" t="s">
        <v>12</v>
      </c>
      <c r="G141" s="108"/>
      <c r="H141" s="108"/>
      <c r="I141" s="108"/>
      <c r="J141" s="108"/>
      <c r="K141" s="108"/>
      <c r="L141" s="108"/>
      <c r="M141" s="108"/>
      <c r="N141" s="108"/>
      <c r="O141" s="108"/>
      <c r="P141" s="42"/>
      <c r="Q141" s="112"/>
      <c r="R141" s="112"/>
      <c r="S141" s="108" t="s">
        <v>12</v>
      </c>
      <c r="T141" s="108"/>
      <c r="U141" s="108"/>
      <c r="V141" s="108"/>
      <c r="W141" s="108"/>
      <c r="X141" s="108"/>
      <c r="Y141" s="108"/>
      <c r="Z141" s="108"/>
      <c r="AA141" s="108"/>
      <c r="AB141" s="108"/>
      <c r="AC141" s="42"/>
      <c r="AD141" s="112"/>
      <c r="AE141" s="112"/>
      <c r="AF141" s="108" t="s">
        <v>12</v>
      </c>
      <c r="AG141" s="108"/>
      <c r="AH141" s="108"/>
      <c r="AI141" s="108"/>
      <c r="AJ141" s="108"/>
      <c r="AK141" s="108"/>
      <c r="AL141" s="108"/>
      <c r="AM141" s="108"/>
      <c r="AN141" s="108"/>
      <c r="AO141" s="108"/>
      <c r="AP141" s="6"/>
      <c r="AQ141" s="112"/>
      <c r="AR141" s="112"/>
      <c r="AS141" s="108" t="s">
        <v>12</v>
      </c>
      <c r="AT141" s="108"/>
      <c r="AU141" s="108"/>
      <c r="AV141" s="108"/>
      <c r="AW141" s="108"/>
      <c r="AX141" s="108"/>
      <c r="AY141" s="108"/>
      <c r="AZ141" s="108"/>
      <c r="BA141" s="108"/>
      <c r="BB141" s="108"/>
      <c r="BC141" s="42"/>
      <c r="BD141" s="112"/>
      <c r="BE141" s="112"/>
      <c r="BF141" s="108" t="s">
        <v>12</v>
      </c>
      <c r="BG141" s="108"/>
      <c r="BH141" s="108"/>
      <c r="BI141" s="108"/>
      <c r="BJ141" s="108"/>
      <c r="BK141" s="108"/>
      <c r="BL141" s="108"/>
      <c r="BM141" s="108"/>
      <c r="BN141" s="108"/>
      <c r="BO141" s="108"/>
      <c r="BQ141" s="112"/>
      <c r="BR141" s="112"/>
      <c r="BS141" s="108" t="s">
        <v>12</v>
      </c>
      <c r="BT141" s="108"/>
      <c r="BU141" s="108"/>
      <c r="BV141" s="108"/>
      <c r="BW141" s="108"/>
      <c r="BX141" s="108"/>
      <c r="BY141" s="108"/>
      <c r="BZ141" s="108"/>
      <c r="CA141" s="108"/>
      <c r="CB141" s="108"/>
      <c r="CC141" s="42"/>
      <c r="CD141" s="112"/>
      <c r="CE141" s="112"/>
      <c r="CF141" s="108" t="s">
        <v>12</v>
      </c>
      <c r="CG141" s="108"/>
      <c r="CH141" s="108"/>
      <c r="CI141" s="108"/>
      <c r="CJ141" s="108"/>
      <c r="CK141" s="108"/>
      <c r="CL141" s="108"/>
      <c r="CM141" s="108"/>
      <c r="CN141" s="108"/>
      <c r="CO141" s="108"/>
      <c r="CQ141" s="112"/>
      <c r="CR141" s="112"/>
      <c r="CS141" s="108" t="s">
        <v>12</v>
      </c>
      <c r="CT141" s="108"/>
      <c r="CU141" s="108"/>
      <c r="CV141" s="108"/>
      <c r="CW141" s="108"/>
      <c r="CX141" s="108"/>
      <c r="CY141" s="108"/>
      <c r="CZ141" s="108"/>
      <c r="DA141" s="108"/>
      <c r="DB141" s="108"/>
      <c r="DC141" s="42"/>
      <c r="DD141" s="112"/>
      <c r="DE141" s="112"/>
      <c r="DF141" s="108" t="s">
        <v>12</v>
      </c>
      <c r="DG141" s="108"/>
      <c r="DH141" s="108"/>
      <c r="DI141" s="108"/>
      <c r="DJ141" s="108"/>
      <c r="DK141" s="108"/>
      <c r="DL141" s="108"/>
      <c r="DM141" s="108"/>
      <c r="DN141" s="108"/>
      <c r="DO141" s="108"/>
    </row>
    <row r="142" spans="2:119" ht="15.4" customHeight="1" x14ac:dyDescent="0.45">
      <c r="B142" s="99"/>
      <c r="C142" s="42"/>
      <c r="D142" s="113"/>
      <c r="E142" s="113"/>
      <c r="F142" s="9" t="s">
        <v>0</v>
      </c>
      <c r="G142" s="9">
        <v>1</v>
      </c>
      <c r="H142" s="9">
        <v>2</v>
      </c>
      <c r="I142" s="9">
        <v>3</v>
      </c>
      <c r="J142" s="9">
        <v>4</v>
      </c>
      <c r="K142" s="9">
        <v>5</v>
      </c>
      <c r="L142" s="9">
        <v>6</v>
      </c>
      <c r="M142" s="9">
        <v>7</v>
      </c>
      <c r="N142" s="9">
        <v>8</v>
      </c>
      <c r="O142" s="9">
        <v>9</v>
      </c>
      <c r="P142" s="42"/>
      <c r="Q142" s="113"/>
      <c r="R142" s="113"/>
      <c r="S142" s="9" t="s">
        <v>0</v>
      </c>
      <c r="T142" s="9">
        <v>1</v>
      </c>
      <c r="U142" s="9">
        <v>2</v>
      </c>
      <c r="V142" s="9">
        <v>3</v>
      </c>
      <c r="W142" s="9">
        <v>4</v>
      </c>
      <c r="X142" s="9">
        <v>5</v>
      </c>
      <c r="Y142" s="9">
        <v>6</v>
      </c>
      <c r="Z142" s="9">
        <v>7</v>
      </c>
      <c r="AA142" s="9">
        <v>8</v>
      </c>
      <c r="AB142" s="9">
        <v>9</v>
      </c>
      <c r="AC142" s="42"/>
      <c r="AD142" s="113"/>
      <c r="AE142" s="113"/>
      <c r="AF142" s="9" t="s">
        <v>0</v>
      </c>
      <c r="AG142" s="9">
        <v>1</v>
      </c>
      <c r="AH142" s="9">
        <v>2</v>
      </c>
      <c r="AI142" s="9">
        <v>3</v>
      </c>
      <c r="AJ142" s="9">
        <v>4</v>
      </c>
      <c r="AK142" s="9">
        <v>5</v>
      </c>
      <c r="AL142" s="9">
        <v>6</v>
      </c>
      <c r="AM142" s="9">
        <v>7</v>
      </c>
      <c r="AN142" s="9">
        <v>8</v>
      </c>
      <c r="AO142" s="9">
        <v>9</v>
      </c>
      <c r="AP142" s="6"/>
      <c r="AQ142" s="113"/>
      <c r="AR142" s="113"/>
      <c r="AS142" s="9" t="s">
        <v>0</v>
      </c>
      <c r="AT142" s="9">
        <v>1</v>
      </c>
      <c r="AU142" s="9">
        <v>2</v>
      </c>
      <c r="AV142" s="9">
        <v>3</v>
      </c>
      <c r="AW142" s="9">
        <v>4</v>
      </c>
      <c r="AX142" s="9">
        <v>5</v>
      </c>
      <c r="AY142" s="9">
        <v>6</v>
      </c>
      <c r="AZ142" s="9">
        <v>7</v>
      </c>
      <c r="BA142" s="9">
        <v>8</v>
      </c>
      <c r="BB142" s="9">
        <v>9</v>
      </c>
      <c r="BC142" s="42"/>
      <c r="BD142" s="113"/>
      <c r="BE142" s="113"/>
      <c r="BF142" s="9" t="s">
        <v>0</v>
      </c>
      <c r="BG142" s="9">
        <v>1</v>
      </c>
      <c r="BH142" s="9">
        <v>2</v>
      </c>
      <c r="BI142" s="9">
        <v>3</v>
      </c>
      <c r="BJ142" s="9">
        <v>4</v>
      </c>
      <c r="BK142" s="9">
        <v>5</v>
      </c>
      <c r="BL142" s="9">
        <v>6</v>
      </c>
      <c r="BM142" s="9">
        <v>7</v>
      </c>
      <c r="BN142" s="9">
        <v>8</v>
      </c>
      <c r="BO142" s="9">
        <v>9</v>
      </c>
      <c r="BQ142" s="113"/>
      <c r="BR142" s="113"/>
      <c r="BS142" s="9" t="s">
        <v>0</v>
      </c>
      <c r="BT142" s="9">
        <v>1</v>
      </c>
      <c r="BU142" s="9">
        <v>2</v>
      </c>
      <c r="BV142" s="9">
        <v>3</v>
      </c>
      <c r="BW142" s="9">
        <v>4</v>
      </c>
      <c r="BX142" s="9">
        <v>5</v>
      </c>
      <c r="BY142" s="9">
        <v>6</v>
      </c>
      <c r="BZ142" s="9">
        <v>7</v>
      </c>
      <c r="CA142" s="9">
        <v>8</v>
      </c>
      <c r="CB142" s="9">
        <v>9</v>
      </c>
      <c r="CC142" s="42"/>
      <c r="CD142" s="113"/>
      <c r="CE142" s="113"/>
      <c r="CF142" s="9" t="s">
        <v>0</v>
      </c>
      <c r="CG142" s="9">
        <v>1</v>
      </c>
      <c r="CH142" s="9">
        <v>2</v>
      </c>
      <c r="CI142" s="9">
        <v>3</v>
      </c>
      <c r="CJ142" s="9">
        <v>4</v>
      </c>
      <c r="CK142" s="9">
        <v>5</v>
      </c>
      <c r="CL142" s="9">
        <v>6</v>
      </c>
      <c r="CM142" s="9">
        <v>7</v>
      </c>
      <c r="CN142" s="9">
        <v>8</v>
      </c>
      <c r="CO142" s="9">
        <v>9</v>
      </c>
      <c r="CQ142" s="113"/>
      <c r="CR142" s="113"/>
      <c r="CS142" s="9" t="s">
        <v>0</v>
      </c>
      <c r="CT142" s="9">
        <v>1</v>
      </c>
      <c r="CU142" s="9">
        <v>2</v>
      </c>
      <c r="CV142" s="9">
        <v>3</v>
      </c>
      <c r="CW142" s="9">
        <v>4</v>
      </c>
      <c r="CX142" s="9">
        <v>5</v>
      </c>
      <c r="CY142" s="9">
        <v>6</v>
      </c>
      <c r="CZ142" s="9">
        <v>7</v>
      </c>
      <c r="DA142" s="9">
        <v>8</v>
      </c>
      <c r="DB142" s="9">
        <v>9</v>
      </c>
      <c r="DC142" s="42"/>
      <c r="DD142" s="113"/>
      <c r="DE142" s="113"/>
      <c r="DF142" s="9" t="s">
        <v>0</v>
      </c>
      <c r="DG142" s="9">
        <v>1</v>
      </c>
      <c r="DH142" s="9">
        <v>2</v>
      </c>
      <c r="DI142" s="9">
        <v>3</v>
      </c>
      <c r="DJ142" s="9">
        <v>4</v>
      </c>
      <c r="DK142" s="9">
        <v>5</v>
      </c>
      <c r="DL142" s="9">
        <v>6</v>
      </c>
      <c r="DM142" s="9">
        <v>7</v>
      </c>
      <c r="DN142" s="9">
        <v>8</v>
      </c>
      <c r="DO142" s="9">
        <v>9</v>
      </c>
    </row>
    <row r="143" spans="2:119" ht="15.4" customHeight="1" x14ac:dyDescent="0.45">
      <c r="B143" s="134" t="s">
        <v>29</v>
      </c>
      <c r="C143" s="42"/>
      <c r="D143" s="109" t="s">
        <v>13</v>
      </c>
      <c r="E143" s="46" t="s">
        <v>1</v>
      </c>
      <c r="F143" s="103">
        <v>0</v>
      </c>
      <c r="G143" s="103">
        <v>0</v>
      </c>
      <c r="H143" s="103">
        <v>1</v>
      </c>
      <c r="I143" s="103">
        <v>1</v>
      </c>
      <c r="J143" s="103">
        <v>0</v>
      </c>
      <c r="K143" s="103">
        <v>1</v>
      </c>
      <c r="L143" s="103">
        <v>0</v>
      </c>
      <c r="M143" s="103">
        <v>0</v>
      </c>
      <c r="N143" s="103">
        <v>1</v>
      </c>
      <c r="O143" s="17">
        <v>0</v>
      </c>
      <c r="P143" s="42"/>
      <c r="Q143" s="109" t="s">
        <v>13</v>
      </c>
      <c r="R143" s="46" t="s">
        <v>1</v>
      </c>
      <c r="S143" s="103">
        <v>0</v>
      </c>
      <c r="T143" s="103">
        <v>0</v>
      </c>
      <c r="U143" s="103">
        <v>0</v>
      </c>
      <c r="V143" s="103">
        <v>0</v>
      </c>
      <c r="W143" s="103">
        <v>0</v>
      </c>
      <c r="X143" s="103">
        <v>1</v>
      </c>
      <c r="Y143" s="103">
        <v>0</v>
      </c>
      <c r="Z143" s="103">
        <v>0</v>
      </c>
      <c r="AA143" s="103">
        <v>0</v>
      </c>
      <c r="AB143" s="17">
        <v>0</v>
      </c>
      <c r="AC143" s="42"/>
      <c r="AD143" s="109" t="s">
        <v>13</v>
      </c>
      <c r="AE143" s="46" t="s">
        <v>1</v>
      </c>
      <c r="AF143" s="103">
        <v>0</v>
      </c>
      <c r="AG143" s="103">
        <v>0</v>
      </c>
      <c r="AH143" s="103">
        <v>1</v>
      </c>
      <c r="AI143" s="103">
        <v>1</v>
      </c>
      <c r="AJ143" s="103">
        <v>0</v>
      </c>
      <c r="AK143" s="103">
        <v>0</v>
      </c>
      <c r="AL143" s="103">
        <v>0</v>
      </c>
      <c r="AM143" s="103">
        <v>0</v>
      </c>
      <c r="AN143" s="103">
        <v>1</v>
      </c>
      <c r="AO143" s="17">
        <v>0</v>
      </c>
      <c r="AP143" s="6"/>
      <c r="AQ143" s="109" t="s">
        <v>13</v>
      </c>
      <c r="AR143" s="46" t="s">
        <v>1</v>
      </c>
      <c r="AS143" s="103">
        <v>0</v>
      </c>
      <c r="AT143" s="103">
        <v>0</v>
      </c>
      <c r="AU143" s="103">
        <v>1</v>
      </c>
      <c r="AV143" s="103">
        <v>0</v>
      </c>
      <c r="AW143" s="103">
        <v>0</v>
      </c>
      <c r="AX143" s="103">
        <v>1</v>
      </c>
      <c r="AY143" s="103">
        <v>0</v>
      </c>
      <c r="AZ143" s="103">
        <v>0</v>
      </c>
      <c r="BA143" s="103">
        <v>0</v>
      </c>
      <c r="BB143" s="17">
        <v>0</v>
      </c>
      <c r="BC143" s="42"/>
      <c r="BD143" s="109" t="s">
        <v>13</v>
      </c>
      <c r="BE143" s="46" t="s">
        <v>1</v>
      </c>
      <c r="BF143" s="103">
        <v>0</v>
      </c>
      <c r="BG143" s="103">
        <v>0</v>
      </c>
      <c r="BH143" s="103">
        <v>0</v>
      </c>
      <c r="BI143" s="103">
        <v>1</v>
      </c>
      <c r="BJ143" s="103">
        <v>0</v>
      </c>
      <c r="BK143" s="103">
        <v>0</v>
      </c>
      <c r="BL143" s="103">
        <v>0</v>
      </c>
      <c r="BM143" s="103">
        <v>0</v>
      </c>
      <c r="BN143" s="103">
        <v>1</v>
      </c>
      <c r="BO143" s="17">
        <v>0</v>
      </c>
      <c r="BQ143" s="109" t="s">
        <v>13</v>
      </c>
      <c r="BR143" s="46" t="s">
        <v>1</v>
      </c>
      <c r="BS143" s="103">
        <v>0</v>
      </c>
      <c r="BT143" s="103">
        <v>0</v>
      </c>
      <c r="BU143" s="103">
        <v>1</v>
      </c>
      <c r="BV143" s="103">
        <v>1</v>
      </c>
      <c r="BW143" s="103">
        <v>0</v>
      </c>
      <c r="BX143" s="103">
        <v>0</v>
      </c>
      <c r="BY143" s="103">
        <v>0</v>
      </c>
      <c r="BZ143" s="103">
        <v>0</v>
      </c>
      <c r="CA143" s="103">
        <v>1</v>
      </c>
      <c r="CB143" s="17">
        <v>0</v>
      </c>
      <c r="CC143" s="42"/>
      <c r="CD143" s="109" t="s">
        <v>13</v>
      </c>
      <c r="CE143" s="46" t="s">
        <v>1</v>
      </c>
      <c r="CF143" s="103">
        <v>0</v>
      </c>
      <c r="CG143" s="103">
        <v>0</v>
      </c>
      <c r="CH143" s="103">
        <v>0</v>
      </c>
      <c r="CI143" s="103">
        <v>0</v>
      </c>
      <c r="CJ143" s="103">
        <v>0</v>
      </c>
      <c r="CK143" s="103">
        <v>1</v>
      </c>
      <c r="CL143" s="103">
        <v>0</v>
      </c>
      <c r="CM143" s="103">
        <v>0</v>
      </c>
      <c r="CN143" s="103">
        <v>0</v>
      </c>
      <c r="CO143" s="17">
        <v>0</v>
      </c>
      <c r="CQ143" s="109" t="s">
        <v>13</v>
      </c>
      <c r="CR143" s="46" t="s">
        <v>1</v>
      </c>
      <c r="CS143" s="103">
        <v>0</v>
      </c>
      <c r="CT143" s="103">
        <v>0</v>
      </c>
      <c r="CU143" s="103">
        <v>0</v>
      </c>
      <c r="CV143" s="103">
        <v>0</v>
      </c>
      <c r="CW143" s="103">
        <v>0</v>
      </c>
      <c r="CX143" s="103">
        <v>1</v>
      </c>
      <c r="CY143" s="103">
        <v>0</v>
      </c>
      <c r="CZ143" s="103">
        <v>0</v>
      </c>
      <c r="DA143" s="103">
        <v>1</v>
      </c>
      <c r="DB143" s="17">
        <v>0</v>
      </c>
      <c r="DC143" s="42"/>
      <c r="DD143" s="109" t="s">
        <v>13</v>
      </c>
      <c r="DE143" s="46" t="s">
        <v>1</v>
      </c>
      <c r="DF143" s="103">
        <v>0</v>
      </c>
      <c r="DG143" s="103">
        <v>0</v>
      </c>
      <c r="DH143" s="103">
        <v>1</v>
      </c>
      <c r="DI143" s="103">
        <v>1</v>
      </c>
      <c r="DJ143" s="103">
        <v>0</v>
      </c>
      <c r="DK143" s="103">
        <v>0</v>
      </c>
      <c r="DL143" s="103">
        <v>0</v>
      </c>
      <c r="DM143" s="103">
        <v>0</v>
      </c>
      <c r="DN143" s="103">
        <v>0</v>
      </c>
      <c r="DO143" s="17">
        <v>0</v>
      </c>
    </row>
    <row r="144" spans="2:119" ht="15.4" customHeight="1" x14ac:dyDescent="0.45">
      <c r="B144" s="134"/>
      <c r="C144" s="42"/>
      <c r="D144" s="110"/>
      <c r="E144" s="46">
        <v>1</v>
      </c>
      <c r="F144" s="103">
        <v>2</v>
      </c>
      <c r="G144" s="103">
        <v>3</v>
      </c>
      <c r="H144" s="103">
        <v>1</v>
      </c>
      <c r="I144" s="103">
        <v>5</v>
      </c>
      <c r="J144" s="103">
        <v>1</v>
      </c>
      <c r="K144" s="103">
        <v>0</v>
      </c>
      <c r="L144" s="103">
        <v>0</v>
      </c>
      <c r="M144" s="103">
        <v>0</v>
      </c>
      <c r="N144" s="103">
        <v>3</v>
      </c>
      <c r="O144" s="103">
        <v>0</v>
      </c>
      <c r="P144" s="42"/>
      <c r="Q144" s="110"/>
      <c r="R144" s="46">
        <v>1</v>
      </c>
      <c r="S144" s="103">
        <v>1</v>
      </c>
      <c r="T144" s="103">
        <v>0</v>
      </c>
      <c r="U144" s="103">
        <v>1</v>
      </c>
      <c r="V144" s="103">
        <v>2</v>
      </c>
      <c r="W144" s="103">
        <v>0</v>
      </c>
      <c r="X144" s="103">
        <v>0</v>
      </c>
      <c r="Y144" s="103">
        <v>0</v>
      </c>
      <c r="Z144" s="103">
        <v>0</v>
      </c>
      <c r="AA144" s="103">
        <v>2</v>
      </c>
      <c r="AB144" s="103">
        <v>0</v>
      </c>
      <c r="AC144" s="42"/>
      <c r="AD144" s="110"/>
      <c r="AE144" s="46">
        <v>1</v>
      </c>
      <c r="AF144" s="103">
        <v>1</v>
      </c>
      <c r="AG144" s="103">
        <v>3</v>
      </c>
      <c r="AH144" s="103">
        <v>0</v>
      </c>
      <c r="AI144" s="103">
        <v>3</v>
      </c>
      <c r="AJ144" s="103">
        <v>1</v>
      </c>
      <c r="AK144" s="103">
        <v>0</v>
      </c>
      <c r="AL144" s="103">
        <v>0</v>
      </c>
      <c r="AM144" s="103">
        <v>0</v>
      </c>
      <c r="AN144" s="103">
        <v>1</v>
      </c>
      <c r="AO144" s="103">
        <v>0</v>
      </c>
      <c r="AP144" s="6"/>
      <c r="AQ144" s="110"/>
      <c r="AR144" s="46">
        <v>1</v>
      </c>
      <c r="AS144" s="103">
        <v>1</v>
      </c>
      <c r="AT144" s="103">
        <v>2</v>
      </c>
      <c r="AU144" s="103">
        <v>0</v>
      </c>
      <c r="AV144" s="103">
        <v>2</v>
      </c>
      <c r="AW144" s="103">
        <v>1</v>
      </c>
      <c r="AX144" s="103">
        <v>0</v>
      </c>
      <c r="AY144" s="103">
        <v>0</v>
      </c>
      <c r="AZ144" s="103">
        <v>0</v>
      </c>
      <c r="BA144" s="103">
        <v>0</v>
      </c>
      <c r="BB144" s="103">
        <v>0</v>
      </c>
      <c r="BC144" s="42"/>
      <c r="BD144" s="110"/>
      <c r="BE144" s="46">
        <v>1</v>
      </c>
      <c r="BF144" s="103">
        <v>1</v>
      </c>
      <c r="BG144" s="103">
        <v>1</v>
      </c>
      <c r="BH144" s="103">
        <v>1</v>
      </c>
      <c r="BI144" s="103">
        <v>3</v>
      </c>
      <c r="BJ144" s="103">
        <v>0</v>
      </c>
      <c r="BK144" s="103">
        <v>0</v>
      </c>
      <c r="BL144" s="103">
        <v>0</v>
      </c>
      <c r="BM144" s="103">
        <v>0</v>
      </c>
      <c r="BN144" s="103">
        <v>3</v>
      </c>
      <c r="BO144" s="103">
        <v>0</v>
      </c>
      <c r="BQ144" s="110"/>
      <c r="BR144" s="46">
        <v>1</v>
      </c>
      <c r="BS144" s="103">
        <v>2</v>
      </c>
      <c r="BT144" s="103">
        <v>2</v>
      </c>
      <c r="BU144" s="103">
        <v>0</v>
      </c>
      <c r="BV144" s="103">
        <v>2</v>
      </c>
      <c r="BW144" s="103">
        <v>0</v>
      </c>
      <c r="BX144" s="103">
        <v>0</v>
      </c>
      <c r="BY144" s="103">
        <v>0</v>
      </c>
      <c r="BZ144" s="103">
        <v>0</v>
      </c>
      <c r="CA144" s="103">
        <v>0</v>
      </c>
      <c r="CB144" s="103">
        <v>0</v>
      </c>
      <c r="CC144" s="42"/>
      <c r="CD144" s="110"/>
      <c r="CE144" s="46">
        <v>1</v>
      </c>
      <c r="CF144" s="103">
        <v>0</v>
      </c>
      <c r="CG144" s="103">
        <v>1</v>
      </c>
      <c r="CH144" s="103">
        <v>1</v>
      </c>
      <c r="CI144" s="103">
        <v>3</v>
      </c>
      <c r="CJ144" s="103">
        <v>1</v>
      </c>
      <c r="CK144" s="103">
        <v>0</v>
      </c>
      <c r="CL144" s="103">
        <v>0</v>
      </c>
      <c r="CM144" s="103">
        <v>0</v>
      </c>
      <c r="CN144" s="103">
        <v>3</v>
      </c>
      <c r="CO144" s="103">
        <v>0</v>
      </c>
      <c r="CQ144" s="110"/>
      <c r="CR144" s="46">
        <v>1</v>
      </c>
      <c r="CS144" s="103">
        <v>1</v>
      </c>
      <c r="CT144" s="103">
        <v>1</v>
      </c>
      <c r="CU144" s="103">
        <v>1</v>
      </c>
      <c r="CV144" s="103">
        <v>4</v>
      </c>
      <c r="CW144" s="103">
        <v>1</v>
      </c>
      <c r="CX144" s="103">
        <v>0</v>
      </c>
      <c r="CY144" s="103">
        <v>0</v>
      </c>
      <c r="CZ144" s="103">
        <v>0</v>
      </c>
      <c r="DA144" s="103">
        <v>3</v>
      </c>
      <c r="DB144" s="103">
        <v>0</v>
      </c>
      <c r="DC144" s="42"/>
      <c r="DD144" s="110"/>
      <c r="DE144" s="46">
        <v>1</v>
      </c>
      <c r="DF144" s="103">
        <v>1</v>
      </c>
      <c r="DG144" s="103">
        <v>2</v>
      </c>
      <c r="DH144" s="103">
        <v>0</v>
      </c>
      <c r="DI144" s="103">
        <v>1</v>
      </c>
      <c r="DJ144" s="103">
        <v>0</v>
      </c>
      <c r="DK144" s="103">
        <v>0</v>
      </c>
      <c r="DL144" s="103">
        <v>0</v>
      </c>
      <c r="DM144" s="103">
        <v>0</v>
      </c>
      <c r="DN144" s="103">
        <v>0</v>
      </c>
      <c r="DO144" s="103">
        <v>0</v>
      </c>
    </row>
    <row r="145" spans="2:119" ht="15.4" customHeight="1" x14ac:dyDescent="0.45">
      <c r="B145" s="134"/>
      <c r="C145" s="42"/>
      <c r="D145" s="110"/>
      <c r="E145" s="46" t="s">
        <v>2</v>
      </c>
      <c r="F145" s="103">
        <v>23</v>
      </c>
      <c r="G145" s="103">
        <v>140</v>
      </c>
      <c r="H145" s="103">
        <v>77</v>
      </c>
      <c r="I145" s="103">
        <v>31</v>
      </c>
      <c r="J145" s="103">
        <v>9</v>
      </c>
      <c r="K145" s="103">
        <v>14</v>
      </c>
      <c r="L145" s="103">
        <v>13</v>
      </c>
      <c r="M145" s="103">
        <v>5</v>
      </c>
      <c r="N145" s="103">
        <v>4</v>
      </c>
      <c r="O145" s="103">
        <v>3</v>
      </c>
      <c r="P145" s="42"/>
      <c r="Q145" s="110"/>
      <c r="R145" s="46" t="s">
        <v>2</v>
      </c>
      <c r="S145" s="103">
        <v>11</v>
      </c>
      <c r="T145" s="103">
        <v>53</v>
      </c>
      <c r="U145" s="103">
        <v>30</v>
      </c>
      <c r="V145" s="103">
        <v>12</v>
      </c>
      <c r="W145" s="103">
        <v>4</v>
      </c>
      <c r="X145" s="103">
        <v>7</v>
      </c>
      <c r="Y145" s="103">
        <v>6</v>
      </c>
      <c r="Z145" s="103">
        <v>3</v>
      </c>
      <c r="AA145" s="103">
        <v>2</v>
      </c>
      <c r="AB145" s="103">
        <v>1</v>
      </c>
      <c r="AC145" s="42"/>
      <c r="AD145" s="110"/>
      <c r="AE145" s="46" t="s">
        <v>2</v>
      </c>
      <c r="AF145" s="103">
        <v>12</v>
      </c>
      <c r="AG145" s="103">
        <v>87</v>
      </c>
      <c r="AH145" s="103">
        <v>47</v>
      </c>
      <c r="AI145" s="103">
        <v>19</v>
      </c>
      <c r="AJ145" s="103">
        <v>5</v>
      </c>
      <c r="AK145" s="103">
        <v>7</v>
      </c>
      <c r="AL145" s="103">
        <v>7</v>
      </c>
      <c r="AM145" s="103">
        <v>2</v>
      </c>
      <c r="AN145" s="103">
        <v>2</v>
      </c>
      <c r="AO145" s="103">
        <v>2</v>
      </c>
      <c r="AP145" s="6"/>
      <c r="AQ145" s="110"/>
      <c r="AR145" s="46" t="s">
        <v>2</v>
      </c>
      <c r="AS145" s="103">
        <v>21</v>
      </c>
      <c r="AT145" s="103">
        <v>81</v>
      </c>
      <c r="AU145" s="103">
        <v>38</v>
      </c>
      <c r="AV145" s="103">
        <v>12</v>
      </c>
      <c r="AW145" s="103">
        <v>5</v>
      </c>
      <c r="AX145" s="103">
        <v>1</v>
      </c>
      <c r="AY145" s="103">
        <v>3</v>
      </c>
      <c r="AZ145" s="103">
        <v>2</v>
      </c>
      <c r="BA145" s="103">
        <v>2</v>
      </c>
      <c r="BB145" s="103">
        <v>1</v>
      </c>
      <c r="BC145" s="42"/>
      <c r="BD145" s="110"/>
      <c r="BE145" s="46" t="s">
        <v>2</v>
      </c>
      <c r="BF145" s="103">
        <v>2</v>
      </c>
      <c r="BG145" s="103">
        <v>59</v>
      </c>
      <c r="BH145" s="103">
        <v>39</v>
      </c>
      <c r="BI145" s="103">
        <v>19</v>
      </c>
      <c r="BJ145" s="103">
        <v>4</v>
      </c>
      <c r="BK145" s="103">
        <v>13</v>
      </c>
      <c r="BL145" s="103">
        <v>10</v>
      </c>
      <c r="BM145" s="103">
        <v>3</v>
      </c>
      <c r="BN145" s="103">
        <v>2</v>
      </c>
      <c r="BO145" s="103">
        <v>2</v>
      </c>
      <c r="BQ145" s="110"/>
      <c r="BR145" s="46" t="s">
        <v>2</v>
      </c>
      <c r="BS145" s="103">
        <v>18</v>
      </c>
      <c r="BT145" s="103">
        <v>117</v>
      </c>
      <c r="BU145" s="103">
        <v>54</v>
      </c>
      <c r="BV145" s="103">
        <v>22</v>
      </c>
      <c r="BW145" s="103">
        <v>0</v>
      </c>
      <c r="BX145" s="103">
        <v>2</v>
      </c>
      <c r="BY145" s="103">
        <v>6</v>
      </c>
      <c r="BZ145" s="103">
        <v>0</v>
      </c>
      <c r="CA145" s="103">
        <v>0</v>
      </c>
      <c r="CB145" s="103">
        <v>1</v>
      </c>
      <c r="CC145" s="42"/>
      <c r="CD145" s="110"/>
      <c r="CE145" s="46" t="s">
        <v>2</v>
      </c>
      <c r="CF145" s="103">
        <v>5</v>
      </c>
      <c r="CG145" s="103">
        <v>23</v>
      </c>
      <c r="CH145" s="103">
        <v>23</v>
      </c>
      <c r="CI145" s="103">
        <v>9</v>
      </c>
      <c r="CJ145" s="103">
        <v>9</v>
      </c>
      <c r="CK145" s="103">
        <v>12</v>
      </c>
      <c r="CL145" s="103">
        <v>7</v>
      </c>
      <c r="CM145" s="103">
        <v>5</v>
      </c>
      <c r="CN145" s="103">
        <v>4</v>
      </c>
      <c r="CO145" s="103">
        <v>2</v>
      </c>
      <c r="CQ145" s="110"/>
      <c r="CR145" s="46" t="s">
        <v>2</v>
      </c>
      <c r="CS145" s="103">
        <v>6</v>
      </c>
      <c r="CT145" s="103">
        <v>36</v>
      </c>
      <c r="CU145" s="103">
        <v>23</v>
      </c>
      <c r="CV145" s="103">
        <v>11</v>
      </c>
      <c r="CW145" s="103">
        <v>8</v>
      </c>
      <c r="CX145" s="103">
        <v>12</v>
      </c>
      <c r="CY145" s="103">
        <v>10</v>
      </c>
      <c r="CZ145" s="103">
        <v>5</v>
      </c>
      <c r="DA145" s="103">
        <v>4</v>
      </c>
      <c r="DB145" s="103">
        <v>1</v>
      </c>
      <c r="DC145" s="42"/>
      <c r="DD145" s="110"/>
      <c r="DE145" s="46" t="s">
        <v>2</v>
      </c>
      <c r="DF145" s="103">
        <v>17</v>
      </c>
      <c r="DG145" s="103">
        <v>104</v>
      </c>
      <c r="DH145" s="103">
        <v>54</v>
      </c>
      <c r="DI145" s="103">
        <v>20</v>
      </c>
      <c r="DJ145" s="103">
        <v>1</v>
      </c>
      <c r="DK145" s="103">
        <v>2</v>
      </c>
      <c r="DL145" s="103">
        <v>3</v>
      </c>
      <c r="DM145" s="103">
        <v>0</v>
      </c>
      <c r="DN145" s="103">
        <v>0</v>
      </c>
      <c r="DO145" s="103">
        <v>2</v>
      </c>
    </row>
    <row r="146" spans="2:119" ht="15.4" customHeight="1" x14ac:dyDescent="0.45">
      <c r="B146" s="134"/>
      <c r="C146" s="42"/>
      <c r="D146" s="110"/>
      <c r="E146" s="46" t="s">
        <v>3</v>
      </c>
      <c r="F146" s="103">
        <v>9</v>
      </c>
      <c r="G146" s="103">
        <v>66</v>
      </c>
      <c r="H146" s="103">
        <v>77</v>
      </c>
      <c r="I146" s="103">
        <v>27</v>
      </c>
      <c r="J146" s="103">
        <v>16</v>
      </c>
      <c r="K146" s="103">
        <v>6</v>
      </c>
      <c r="L146" s="103">
        <v>8</v>
      </c>
      <c r="M146" s="103">
        <v>1</v>
      </c>
      <c r="N146" s="103">
        <v>5</v>
      </c>
      <c r="O146" s="103">
        <v>0</v>
      </c>
      <c r="P146" s="42"/>
      <c r="Q146" s="110"/>
      <c r="R146" s="46" t="s">
        <v>3</v>
      </c>
      <c r="S146" s="103">
        <v>3</v>
      </c>
      <c r="T146" s="103">
        <v>38</v>
      </c>
      <c r="U146" s="103">
        <v>38</v>
      </c>
      <c r="V146" s="103">
        <v>13</v>
      </c>
      <c r="W146" s="103">
        <v>8</v>
      </c>
      <c r="X146" s="103">
        <v>4</v>
      </c>
      <c r="Y146" s="103">
        <v>5</v>
      </c>
      <c r="Z146" s="103">
        <v>0</v>
      </c>
      <c r="AA146" s="103">
        <v>1</v>
      </c>
      <c r="AB146" s="103">
        <v>0</v>
      </c>
      <c r="AC146" s="42"/>
      <c r="AD146" s="110"/>
      <c r="AE146" s="46" t="s">
        <v>3</v>
      </c>
      <c r="AF146" s="103">
        <v>6</v>
      </c>
      <c r="AG146" s="103">
        <v>28</v>
      </c>
      <c r="AH146" s="103">
        <v>39</v>
      </c>
      <c r="AI146" s="103">
        <v>14</v>
      </c>
      <c r="AJ146" s="103">
        <v>8</v>
      </c>
      <c r="AK146" s="103">
        <v>2</v>
      </c>
      <c r="AL146" s="103">
        <v>3</v>
      </c>
      <c r="AM146" s="103">
        <v>1</v>
      </c>
      <c r="AN146" s="103">
        <v>4</v>
      </c>
      <c r="AO146" s="103">
        <v>0</v>
      </c>
      <c r="AP146" s="6"/>
      <c r="AQ146" s="110"/>
      <c r="AR146" s="46" t="s">
        <v>3</v>
      </c>
      <c r="AS146" s="103">
        <v>6</v>
      </c>
      <c r="AT146" s="103">
        <v>31</v>
      </c>
      <c r="AU146" s="103">
        <v>32</v>
      </c>
      <c r="AV146" s="103">
        <v>10</v>
      </c>
      <c r="AW146" s="103">
        <v>3</v>
      </c>
      <c r="AX146" s="103">
        <v>1</v>
      </c>
      <c r="AY146" s="103">
        <v>2</v>
      </c>
      <c r="AZ146" s="103">
        <v>1</v>
      </c>
      <c r="BA146" s="103">
        <v>0</v>
      </c>
      <c r="BB146" s="103">
        <v>0</v>
      </c>
      <c r="BC146" s="42"/>
      <c r="BD146" s="110"/>
      <c r="BE146" s="46" t="s">
        <v>3</v>
      </c>
      <c r="BF146" s="103">
        <v>3</v>
      </c>
      <c r="BG146" s="103">
        <v>35</v>
      </c>
      <c r="BH146" s="103">
        <v>45</v>
      </c>
      <c r="BI146" s="103">
        <v>17</v>
      </c>
      <c r="BJ146" s="103">
        <v>13</v>
      </c>
      <c r="BK146" s="103">
        <v>5</v>
      </c>
      <c r="BL146" s="103">
        <v>6</v>
      </c>
      <c r="BM146" s="103">
        <v>0</v>
      </c>
      <c r="BN146" s="103">
        <v>5</v>
      </c>
      <c r="BO146" s="103">
        <v>0</v>
      </c>
      <c r="BQ146" s="110"/>
      <c r="BR146" s="46" t="s">
        <v>3</v>
      </c>
      <c r="BS146" s="103">
        <v>4</v>
      </c>
      <c r="BT146" s="103">
        <v>37</v>
      </c>
      <c r="BU146" s="103">
        <v>49</v>
      </c>
      <c r="BV146" s="103">
        <v>12</v>
      </c>
      <c r="BW146" s="103">
        <v>6</v>
      </c>
      <c r="BX146" s="103">
        <v>1</v>
      </c>
      <c r="BY146" s="103">
        <v>2</v>
      </c>
      <c r="BZ146" s="103">
        <v>0</v>
      </c>
      <c r="CA146" s="103">
        <v>1</v>
      </c>
      <c r="CB146" s="103">
        <v>0</v>
      </c>
      <c r="CC146" s="42"/>
      <c r="CD146" s="110"/>
      <c r="CE146" s="46" t="s">
        <v>3</v>
      </c>
      <c r="CF146" s="103">
        <v>5</v>
      </c>
      <c r="CG146" s="103">
        <v>29</v>
      </c>
      <c r="CH146" s="103">
        <v>28</v>
      </c>
      <c r="CI146" s="103">
        <v>15</v>
      </c>
      <c r="CJ146" s="103">
        <v>10</v>
      </c>
      <c r="CK146" s="103">
        <v>5</v>
      </c>
      <c r="CL146" s="103">
        <v>6</v>
      </c>
      <c r="CM146" s="103">
        <v>1</v>
      </c>
      <c r="CN146" s="103">
        <v>4</v>
      </c>
      <c r="CO146" s="103">
        <v>0</v>
      </c>
      <c r="CQ146" s="110"/>
      <c r="CR146" s="46" t="s">
        <v>3</v>
      </c>
      <c r="CS146" s="103">
        <v>3</v>
      </c>
      <c r="CT146" s="103">
        <v>8</v>
      </c>
      <c r="CU146" s="103">
        <v>20</v>
      </c>
      <c r="CV146" s="103">
        <v>10</v>
      </c>
      <c r="CW146" s="103">
        <v>8</v>
      </c>
      <c r="CX146" s="103">
        <v>5</v>
      </c>
      <c r="CY146" s="103">
        <v>7</v>
      </c>
      <c r="CZ146" s="103">
        <v>1</v>
      </c>
      <c r="DA146" s="103">
        <v>5</v>
      </c>
      <c r="DB146" s="103">
        <v>0</v>
      </c>
      <c r="DC146" s="42"/>
      <c r="DD146" s="110"/>
      <c r="DE146" s="46" t="s">
        <v>3</v>
      </c>
      <c r="DF146" s="103">
        <v>6</v>
      </c>
      <c r="DG146" s="103">
        <v>58</v>
      </c>
      <c r="DH146" s="103">
        <v>57</v>
      </c>
      <c r="DI146" s="103">
        <v>17</v>
      </c>
      <c r="DJ146" s="103">
        <v>8</v>
      </c>
      <c r="DK146" s="103">
        <v>1</v>
      </c>
      <c r="DL146" s="103">
        <v>1</v>
      </c>
      <c r="DM146" s="103">
        <v>0</v>
      </c>
      <c r="DN146" s="103">
        <v>0</v>
      </c>
      <c r="DO146" s="103">
        <v>0</v>
      </c>
    </row>
    <row r="147" spans="2:119" ht="15.4" customHeight="1" x14ac:dyDescent="0.45">
      <c r="B147" s="134"/>
      <c r="C147" s="42"/>
      <c r="D147" s="110"/>
      <c r="E147" s="46" t="s">
        <v>4</v>
      </c>
      <c r="F147" s="103">
        <v>13</v>
      </c>
      <c r="G147" s="103">
        <v>88</v>
      </c>
      <c r="H147" s="103">
        <v>154</v>
      </c>
      <c r="I147" s="103">
        <v>83</v>
      </c>
      <c r="J147" s="103">
        <v>28</v>
      </c>
      <c r="K147" s="103">
        <v>20</v>
      </c>
      <c r="L147" s="103">
        <v>16</v>
      </c>
      <c r="M147" s="103">
        <v>9</v>
      </c>
      <c r="N147" s="103">
        <v>6</v>
      </c>
      <c r="O147" s="103">
        <v>5</v>
      </c>
      <c r="P147" s="42"/>
      <c r="Q147" s="110"/>
      <c r="R147" s="46" t="s">
        <v>4</v>
      </c>
      <c r="S147" s="103">
        <v>5</v>
      </c>
      <c r="T147" s="103">
        <v>32</v>
      </c>
      <c r="U147" s="103">
        <v>73</v>
      </c>
      <c r="V147" s="103">
        <v>33</v>
      </c>
      <c r="W147" s="103">
        <v>11</v>
      </c>
      <c r="X147" s="103">
        <v>9</v>
      </c>
      <c r="Y147" s="103">
        <v>8</v>
      </c>
      <c r="Z147" s="103">
        <v>3</v>
      </c>
      <c r="AA147" s="103">
        <v>1</v>
      </c>
      <c r="AB147" s="103">
        <v>2</v>
      </c>
      <c r="AC147" s="42"/>
      <c r="AD147" s="110"/>
      <c r="AE147" s="46" t="s">
        <v>4</v>
      </c>
      <c r="AF147" s="103">
        <v>8</v>
      </c>
      <c r="AG147" s="103">
        <v>56</v>
      </c>
      <c r="AH147" s="103">
        <v>81</v>
      </c>
      <c r="AI147" s="103">
        <v>50</v>
      </c>
      <c r="AJ147" s="103">
        <v>17</v>
      </c>
      <c r="AK147" s="103">
        <v>11</v>
      </c>
      <c r="AL147" s="103">
        <v>8</v>
      </c>
      <c r="AM147" s="103">
        <v>6</v>
      </c>
      <c r="AN147" s="103">
        <v>5</v>
      </c>
      <c r="AO147" s="103">
        <v>3</v>
      </c>
      <c r="AP147" s="6"/>
      <c r="AQ147" s="110"/>
      <c r="AR147" s="46" t="s">
        <v>4</v>
      </c>
      <c r="AS147" s="103">
        <v>7</v>
      </c>
      <c r="AT147" s="103">
        <v>43</v>
      </c>
      <c r="AU147" s="103">
        <v>74</v>
      </c>
      <c r="AV147" s="103">
        <v>25</v>
      </c>
      <c r="AW147" s="103">
        <v>11</v>
      </c>
      <c r="AX147" s="103">
        <v>3</v>
      </c>
      <c r="AY147" s="103">
        <v>4</v>
      </c>
      <c r="AZ147" s="103">
        <v>2</v>
      </c>
      <c r="BA147" s="103">
        <v>3</v>
      </c>
      <c r="BB147" s="103">
        <v>3</v>
      </c>
      <c r="BC147" s="42"/>
      <c r="BD147" s="110"/>
      <c r="BE147" s="46" t="s">
        <v>4</v>
      </c>
      <c r="BF147" s="103">
        <v>6</v>
      </c>
      <c r="BG147" s="103">
        <v>45</v>
      </c>
      <c r="BH147" s="103">
        <v>80</v>
      </c>
      <c r="BI147" s="103">
        <v>58</v>
      </c>
      <c r="BJ147" s="103">
        <v>17</v>
      </c>
      <c r="BK147" s="103">
        <v>17</v>
      </c>
      <c r="BL147" s="103">
        <v>12</v>
      </c>
      <c r="BM147" s="103">
        <v>7</v>
      </c>
      <c r="BN147" s="103">
        <v>3</v>
      </c>
      <c r="BO147" s="103">
        <v>2</v>
      </c>
      <c r="BQ147" s="110"/>
      <c r="BR147" s="46" t="s">
        <v>4</v>
      </c>
      <c r="BS147" s="103">
        <v>6</v>
      </c>
      <c r="BT147" s="103">
        <v>35</v>
      </c>
      <c r="BU147" s="103">
        <v>70</v>
      </c>
      <c r="BV147" s="103">
        <v>32</v>
      </c>
      <c r="BW147" s="103">
        <v>9</v>
      </c>
      <c r="BX147" s="103">
        <v>7</v>
      </c>
      <c r="BY147" s="103">
        <v>2</v>
      </c>
      <c r="BZ147" s="103">
        <v>2</v>
      </c>
      <c r="CA147" s="103">
        <v>0</v>
      </c>
      <c r="CB147" s="103">
        <v>0</v>
      </c>
      <c r="CC147" s="42"/>
      <c r="CD147" s="110"/>
      <c r="CE147" s="46" t="s">
        <v>4</v>
      </c>
      <c r="CF147" s="103">
        <v>7</v>
      </c>
      <c r="CG147" s="103">
        <v>53</v>
      </c>
      <c r="CH147" s="103">
        <v>84</v>
      </c>
      <c r="CI147" s="103">
        <v>51</v>
      </c>
      <c r="CJ147" s="103">
        <v>19</v>
      </c>
      <c r="CK147" s="103">
        <v>13</v>
      </c>
      <c r="CL147" s="103">
        <v>14</v>
      </c>
      <c r="CM147" s="103">
        <v>7</v>
      </c>
      <c r="CN147" s="103">
        <v>6</v>
      </c>
      <c r="CO147" s="103">
        <v>5</v>
      </c>
      <c r="CQ147" s="110"/>
      <c r="CR147" s="46" t="s">
        <v>4</v>
      </c>
      <c r="CS147" s="103">
        <v>1</v>
      </c>
      <c r="CT147" s="103">
        <v>8</v>
      </c>
      <c r="CU147" s="103">
        <v>27</v>
      </c>
      <c r="CV147" s="103">
        <v>26</v>
      </c>
      <c r="CW147" s="103">
        <v>15</v>
      </c>
      <c r="CX147" s="103">
        <v>10</v>
      </c>
      <c r="CY147" s="103">
        <v>12</v>
      </c>
      <c r="CZ147" s="103">
        <v>7</v>
      </c>
      <c r="DA147" s="103">
        <v>6</v>
      </c>
      <c r="DB147" s="103">
        <v>5</v>
      </c>
      <c r="DC147" s="42"/>
      <c r="DD147" s="110"/>
      <c r="DE147" s="46" t="s">
        <v>4</v>
      </c>
      <c r="DF147" s="103">
        <v>12</v>
      </c>
      <c r="DG147" s="103">
        <v>80</v>
      </c>
      <c r="DH147" s="103">
        <v>127</v>
      </c>
      <c r="DI147" s="103">
        <v>57</v>
      </c>
      <c r="DJ147" s="103">
        <v>13</v>
      </c>
      <c r="DK147" s="103">
        <v>10</v>
      </c>
      <c r="DL147" s="103">
        <v>4</v>
      </c>
      <c r="DM147" s="103">
        <v>2</v>
      </c>
      <c r="DN147" s="103">
        <v>0</v>
      </c>
      <c r="DO147" s="103">
        <v>0</v>
      </c>
    </row>
    <row r="148" spans="2:119" ht="15.4" customHeight="1" x14ac:dyDescent="0.45">
      <c r="B148" s="134"/>
      <c r="C148" s="42"/>
      <c r="D148" s="110"/>
      <c r="E148" s="46" t="s">
        <v>5</v>
      </c>
      <c r="F148" s="103">
        <v>16</v>
      </c>
      <c r="G148" s="103">
        <v>125</v>
      </c>
      <c r="H148" s="103">
        <v>255</v>
      </c>
      <c r="I148" s="103">
        <v>201</v>
      </c>
      <c r="J148" s="103">
        <v>87</v>
      </c>
      <c r="K148" s="103">
        <v>53</v>
      </c>
      <c r="L148" s="103">
        <v>32</v>
      </c>
      <c r="M148" s="103">
        <v>8</v>
      </c>
      <c r="N148" s="103">
        <v>12</v>
      </c>
      <c r="O148" s="103">
        <v>3</v>
      </c>
      <c r="P148" s="42"/>
      <c r="Q148" s="110"/>
      <c r="R148" s="46" t="s">
        <v>5</v>
      </c>
      <c r="S148" s="103">
        <v>6</v>
      </c>
      <c r="T148" s="103">
        <v>60</v>
      </c>
      <c r="U148" s="103">
        <v>122</v>
      </c>
      <c r="V148" s="103">
        <v>99</v>
      </c>
      <c r="W148" s="103">
        <v>51</v>
      </c>
      <c r="X148" s="103">
        <v>20</v>
      </c>
      <c r="Y148" s="103">
        <v>17</v>
      </c>
      <c r="Z148" s="103">
        <v>3</v>
      </c>
      <c r="AA148" s="103">
        <v>4</v>
      </c>
      <c r="AB148" s="103">
        <v>2</v>
      </c>
      <c r="AC148" s="42"/>
      <c r="AD148" s="110"/>
      <c r="AE148" s="46" t="s">
        <v>5</v>
      </c>
      <c r="AF148" s="103">
        <v>10</v>
      </c>
      <c r="AG148" s="103">
        <v>65</v>
      </c>
      <c r="AH148" s="103">
        <v>133</v>
      </c>
      <c r="AI148" s="103">
        <v>102</v>
      </c>
      <c r="AJ148" s="103">
        <v>36</v>
      </c>
      <c r="AK148" s="103">
        <v>33</v>
      </c>
      <c r="AL148" s="103">
        <v>15</v>
      </c>
      <c r="AM148" s="103">
        <v>5</v>
      </c>
      <c r="AN148" s="103">
        <v>8</v>
      </c>
      <c r="AO148" s="103">
        <v>1</v>
      </c>
      <c r="AP148" s="6"/>
      <c r="AQ148" s="110"/>
      <c r="AR148" s="46" t="s">
        <v>5</v>
      </c>
      <c r="AS148" s="103">
        <v>6</v>
      </c>
      <c r="AT148" s="103">
        <v>58</v>
      </c>
      <c r="AU148" s="103">
        <v>107</v>
      </c>
      <c r="AV148" s="103">
        <v>67</v>
      </c>
      <c r="AW148" s="103">
        <v>27</v>
      </c>
      <c r="AX148" s="103">
        <v>9</v>
      </c>
      <c r="AY148" s="103">
        <v>8</v>
      </c>
      <c r="AZ148" s="103">
        <v>1</v>
      </c>
      <c r="BA148" s="103">
        <v>5</v>
      </c>
      <c r="BB148" s="103">
        <v>0</v>
      </c>
      <c r="BC148" s="42"/>
      <c r="BD148" s="110"/>
      <c r="BE148" s="46" t="s">
        <v>5</v>
      </c>
      <c r="BF148" s="103">
        <v>10</v>
      </c>
      <c r="BG148" s="103">
        <v>67</v>
      </c>
      <c r="BH148" s="103">
        <v>148</v>
      </c>
      <c r="BI148" s="103">
        <v>134</v>
      </c>
      <c r="BJ148" s="103">
        <v>60</v>
      </c>
      <c r="BK148" s="103">
        <v>44</v>
      </c>
      <c r="BL148" s="103">
        <v>24</v>
      </c>
      <c r="BM148" s="103">
        <v>7</v>
      </c>
      <c r="BN148" s="103">
        <v>7</v>
      </c>
      <c r="BO148" s="103">
        <v>3</v>
      </c>
      <c r="BQ148" s="110"/>
      <c r="BR148" s="46" t="s">
        <v>5</v>
      </c>
      <c r="BS148" s="103">
        <v>8</v>
      </c>
      <c r="BT148" s="103">
        <v>46</v>
      </c>
      <c r="BU148" s="103">
        <v>89</v>
      </c>
      <c r="BV148" s="103">
        <v>57</v>
      </c>
      <c r="BW148" s="103">
        <v>20</v>
      </c>
      <c r="BX148" s="103">
        <v>15</v>
      </c>
      <c r="BY148" s="103">
        <v>3</v>
      </c>
      <c r="BZ148" s="103">
        <v>1</v>
      </c>
      <c r="CA148" s="103">
        <v>3</v>
      </c>
      <c r="CB148" s="103">
        <v>0</v>
      </c>
      <c r="CC148" s="42"/>
      <c r="CD148" s="110"/>
      <c r="CE148" s="46" t="s">
        <v>5</v>
      </c>
      <c r="CF148" s="103">
        <v>8</v>
      </c>
      <c r="CG148" s="103">
        <v>79</v>
      </c>
      <c r="CH148" s="103">
        <v>166</v>
      </c>
      <c r="CI148" s="103">
        <v>144</v>
      </c>
      <c r="CJ148" s="103">
        <v>67</v>
      </c>
      <c r="CK148" s="103">
        <v>38</v>
      </c>
      <c r="CL148" s="103">
        <v>29</v>
      </c>
      <c r="CM148" s="103">
        <v>7</v>
      </c>
      <c r="CN148" s="103">
        <v>9</v>
      </c>
      <c r="CO148" s="103">
        <v>3</v>
      </c>
      <c r="CQ148" s="110"/>
      <c r="CR148" s="46" t="s">
        <v>5</v>
      </c>
      <c r="CS148" s="103">
        <v>2</v>
      </c>
      <c r="CT148" s="103">
        <v>12</v>
      </c>
      <c r="CU148" s="103">
        <v>29</v>
      </c>
      <c r="CV148" s="103">
        <v>41</v>
      </c>
      <c r="CW148" s="103">
        <v>25</v>
      </c>
      <c r="CX148" s="103">
        <v>14</v>
      </c>
      <c r="CY148" s="103">
        <v>21</v>
      </c>
      <c r="CZ148" s="103">
        <v>7</v>
      </c>
      <c r="DA148" s="103">
        <v>5</v>
      </c>
      <c r="DB148" s="103">
        <v>3</v>
      </c>
      <c r="DC148" s="42"/>
      <c r="DD148" s="110"/>
      <c r="DE148" s="46" t="s">
        <v>5</v>
      </c>
      <c r="DF148" s="103">
        <v>14</v>
      </c>
      <c r="DG148" s="103">
        <v>113</v>
      </c>
      <c r="DH148" s="103">
        <v>226</v>
      </c>
      <c r="DI148" s="103">
        <v>160</v>
      </c>
      <c r="DJ148" s="103">
        <v>62</v>
      </c>
      <c r="DK148" s="103">
        <v>39</v>
      </c>
      <c r="DL148" s="103">
        <v>11</v>
      </c>
      <c r="DM148" s="103">
        <v>1</v>
      </c>
      <c r="DN148" s="103">
        <v>7</v>
      </c>
      <c r="DO148" s="103">
        <v>0</v>
      </c>
    </row>
    <row r="149" spans="2:119" ht="15.4" customHeight="1" x14ac:dyDescent="0.45">
      <c r="B149" s="134"/>
      <c r="C149" s="42"/>
      <c r="D149" s="110"/>
      <c r="E149" s="46" t="s">
        <v>6</v>
      </c>
      <c r="F149" s="103">
        <v>48</v>
      </c>
      <c r="G149" s="103">
        <v>183</v>
      </c>
      <c r="H149" s="103">
        <v>460</v>
      </c>
      <c r="I149" s="103">
        <v>745</v>
      </c>
      <c r="J149" s="103">
        <v>401</v>
      </c>
      <c r="K149" s="103">
        <v>257</v>
      </c>
      <c r="L149" s="103">
        <v>129</v>
      </c>
      <c r="M149" s="103">
        <v>77</v>
      </c>
      <c r="N149" s="103">
        <v>26</v>
      </c>
      <c r="O149" s="103">
        <v>7</v>
      </c>
      <c r="P149" s="42"/>
      <c r="Q149" s="110"/>
      <c r="R149" s="46" t="s">
        <v>6</v>
      </c>
      <c r="S149" s="103">
        <v>19</v>
      </c>
      <c r="T149" s="103">
        <v>75</v>
      </c>
      <c r="U149" s="103">
        <v>224</v>
      </c>
      <c r="V149" s="103">
        <v>391</v>
      </c>
      <c r="W149" s="103">
        <v>218</v>
      </c>
      <c r="X149" s="103">
        <v>120</v>
      </c>
      <c r="Y149" s="103">
        <v>55</v>
      </c>
      <c r="Z149" s="103">
        <v>34</v>
      </c>
      <c r="AA149" s="103">
        <v>13</v>
      </c>
      <c r="AB149" s="103">
        <v>3</v>
      </c>
      <c r="AC149" s="42"/>
      <c r="AD149" s="110"/>
      <c r="AE149" s="46" t="s">
        <v>6</v>
      </c>
      <c r="AF149" s="103">
        <v>29</v>
      </c>
      <c r="AG149" s="103">
        <v>108</v>
      </c>
      <c r="AH149" s="103">
        <v>236</v>
      </c>
      <c r="AI149" s="103">
        <v>354</v>
      </c>
      <c r="AJ149" s="103">
        <v>183</v>
      </c>
      <c r="AK149" s="103">
        <v>137</v>
      </c>
      <c r="AL149" s="103">
        <v>74</v>
      </c>
      <c r="AM149" s="103">
        <v>43</v>
      </c>
      <c r="AN149" s="103">
        <v>13</v>
      </c>
      <c r="AO149" s="103">
        <v>4</v>
      </c>
      <c r="AP149" s="6"/>
      <c r="AQ149" s="110"/>
      <c r="AR149" s="46" t="s">
        <v>6</v>
      </c>
      <c r="AS149" s="103">
        <v>16</v>
      </c>
      <c r="AT149" s="103">
        <v>86</v>
      </c>
      <c r="AU149" s="103">
        <v>181</v>
      </c>
      <c r="AV149" s="103">
        <v>216</v>
      </c>
      <c r="AW149" s="103">
        <v>97</v>
      </c>
      <c r="AX149" s="103">
        <v>75</v>
      </c>
      <c r="AY149" s="103">
        <v>25</v>
      </c>
      <c r="AZ149" s="103">
        <v>17</v>
      </c>
      <c r="BA149" s="103">
        <v>9</v>
      </c>
      <c r="BB149" s="103">
        <v>2</v>
      </c>
      <c r="BC149" s="42"/>
      <c r="BD149" s="110"/>
      <c r="BE149" s="46" t="s">
        <v>6</v>
      </c>
      <c r="BF149" s="103">
        <v>32</v>
      </c>
      <c r="BG149" s="103">
        <v>97</v>
      </c>
      <c r="BH149" s="103">
        <v>279</v>
      </c>
      <c r="BI149" s="103">
        <v>529</v>
      </c>
      <c r="BJ149" s="103">
        <v>304</v>
      </c>
      <c r="BK149" s="103">
        <v>182</v>
      </c>
      <c r="BL149" s="103">
        <v>104</v>
      </c>
      <c r="BM149" s="103">
        <v>60</v>
      </c>
      <c r="BN149" s="103">
        <v>17</v>
      </c>
      <c r="BO149" s="103">
        <v>5</v>
      </c>
      <c r="BQ149" s="110"/>
      <c r="BR149" s="46" t="s">
        <v>6</v>
      </c>
      <c r="BS149" s="103">
        <v>13</v>
      </c>
      <c r="BT149" s="103">
        <v>51</v>
      </c>
      <c r="BU149" s="103">
        <v>79</v>
      </c>
      <c r="BV149" s="103">
        <v>128</v>
      </c>
      <c r="BW149" s="103">
        <v>69</v>
      </c>
      <c r="BX149" s="103">
        <v>36</v>
      </c>
      <c r="BY149" s="103">
        <v>14</v>
      </c>
      <c r="BZ149" s="103">
        <v>9</v>
      </c>
      <c r="CA149" s="103">
        <v>2</v>
      </c>
      <c r="CB149" s="103">
        <v>2</v>
      </c>
      <c r="CC149" s="42"/>
      <c r="CD149" s="110"/>
      <c r="CE149" s="46" t="s">
        <v>6</v>
      </c>
      <c r="CF149" s="103">
        <v>35</v>
      </c>
      <c r="CG149" s="103">
        <v>132</v>
      </c>
      <c r="CH149" s="103">
        <v>381</v>
      </c>
      <c r="CI149" s="103">
        <v>617</v>
      </c>
      <c r="CJ149" s="103">
        <v>332</v>
      </c>
      <c r="CK149" s="103">
        <v>221</v>
      </c>
      <c r="CL149" s="103">
        <v>115</v>
      </c>
      <c r="CM149" s="103">
        <v>68</v>
      </c>
      <c r="CN149" s="103">
        <v>24</v>
      </c>
      <c r="CO149" s="103">
        <v>5</v>
      </c>
      <c r="CQ149" s="110"/>
      <c r="CR149" s="46" t="s">
        <v>6</v>
      </c>
      <c r="CS149" s="103">
        <v>10</v>
      </c>
      <c r="CT149" s="103">
        <v>16</v>
      </c>
      <c r="CU149" s="103">
        <v>50</v>
      </c>
      <c r="CV149" s="103">
        <v>128</v>
      </c>
      <c r="CW149" s="103">
        <v>92</v>
      </c>
      <c r="CX149" s="103">
        <v>87</v>
      </c>
      <c r="CY149" s="103">
        <v>58</v>
      </c>
      <c r="CZ149" s="103">
        <v>46</v>
      </c>
      <c r="DA149" s="103">
        <v>16</v>
      </c>
      <c r="DB149" s="103">
        <v>5</v>
      </c>
      <c r="DC149" s="42"/>
      <c r="DD149" s="110"/>
      <c r="DE149" s="46" t="s">
        <v>6</v>
      </c>
      <c r="DF149" s="103">
        <v>38</v>
      </c>
      <c r="DG149" s="103">
        <v>167</v>
      </c>
      <c r="DH149" s="103">
        <v>410</v>
      </c>
      <c r="DI149" s="103">
        <v>617</v>
      </c>
      <c r="DJ149" s="103">
        <v>309</v>
      </c>
      <c r="DK149" s="103">
        <v>170</v>
      </c>
      <c r="DL149" s="103">
        <v>71</v>
      </c>
      <c r="DM149" s="103">
        <v>31</v>
      </c>
      <c r="DN149" s="103">
        <v>10</v>
      </c>
      <c r="DO149" s="103">
        <v>2</v>
      </c>
    </row>
    <row r="150" spans="2:119" ht="15.4" customHeight="1" x14ac:dyDescent="0.45">
      <c r="B150" s="134"/>
      <c r="C150" s="42"/>
      <c r="D150" s="110"/>
      <c r="E150" s="46" t="s">
        <v>7</v>
      </c>
      <c r="F150" s="103">
        <v>120</v>
      </c>
      <c r="G150" s="103">
        <v>254</v>
      </c>
      <c r="H150" s="103">
        <v>782</v>
      </c>
      <c r="I150" s="103">
        <v>1721</v>
      </c>
      <c r="J150" s="103">
        <v>1604</v>
      </c>
      <c r="K150" s="103">
        <v>1244</v>
      </c>
      <c r="L150" s="103">
        <v>696</v>
      </c>
      <c r="M150" s="103">
        <v>331</v>
      </c>
      <c r="N150" s="103">
        <v>167</v>
      </c>
      <c r="O150" s="103">
        <v>57</v>
      </c>
      <c r="P150" s="42"/>
      <c r="Q150" s="110"/>
      <c r="R150" s="46" t="s">
        <v>7</v>
      </c>
      <c r="S150" s="103">
        <v>60</v>
      </c>
      <c r="T150" s="103">
        <v>98</v>
      </c>
      <c r="U150" s="103">
        <v>381</v>
      </c>
      <c r="V150" s="103">
        <v>899</v>
      </c>
      <c r="W150" s="103">
        <v>857</v>
      </c>
      <c r="X150" s="103">
        <v>670</v>
      </c>
      <c r="Y150" s="103">
        <v>361</v>
      </c>
      <c r="Z150" s="103">
        <v>170</v>
      </c>
      <c r="AA150" s="103">
        <v>88</v>
      </c>
      <c r="AB150" s="103">
        <v>20</v>
      </c>
      <c r="AC150" s="42"/>
      <c r="AD150" s="110"/>
      <c r="AE150" s="46" t="s">
        <v>7</v>
      </c>
      <c r="AF150" s="103">
        <v>60</v>
      </c>
      <c r="AG150" s="103">
        <v>156</v>
      </c>
      <c r="AH150" s="103">
        <v>401</v>
      </c>
      <c r="AI150" s="103">
        <v>822</v>
      </c>
      <c r="AJ150" s="103">
        <v>747</v>
      </c>
      <c r="AK150" s="103">
        <v>574</v>
      </c>
      <c r="AL150" s="103">
        <v>335</v>
      </c>
      <c r="AM150" s="103">
        <v>161</v>
      </c>
      <c r="AN150" s="103">
        <v>79</v>
      </c>
      <c r="AO150" s="103">
        <v>37</v>
      </c>
      <c r="AP150" s="6"/>
      <c r="AQ150" s="110"/>
      <c r="AR150" s="46" t="s">
        <v>7</v>
      </c>
      <c r="AS150" s="103">
        <v>37</v>
      </c>
      <c r="AT150" s="103">
        <v>125</v>
      </c>
      <c r="AU150" s="103">
        <v>279</v>
      </c>
      <c r="AV150" s="103">
        <v>509</v>
      </c>
      <c r="AW150" s="103">
        <v>397</v>
      </c>
      <c r="AX150" s="103">
        <v>260</v>
      </c>
      <c r="AY150" s="103">
        <v>163</v>
      </c>
      <c r="AZ150" s="103">
        <v>63</v>
      </c>
      <c r="BA150" s="103">
        <v>35</v>
      </c>
      <c r="BB150" s="103">
        <v>15</v>
      </c>
      <c r="BC150" s="42"/>
      <c r="BD150" s="110"/>
      <c r="BE150" s="46" t="s">
        <v>7</v>
      </c>
      <c r="BF150" s="103">
        <v>83</v>
      </c>
      <c r="BG150" s="103">
        <v>129</v>
      </c>
      <c r="BH150" s="103">
        <v>503</v>
      </c>
      <c r="BI150" s="103">
        <v>1212</v>
      </c>
      <c r="BJ150" s="103">
        <v>1207</v>
      </c>
      <c r="BK150" s="103">
        <v>984</v>
      </c>
      <c r="BL150" s="103">
        <v>533</v>
      </c>
      <c r="BM150" s="103">
        <v>268</v>
      </c>
      <c r="BN150" s="103">
        <v>132</v>
      </c>
      <c r="BO150" s="103">
        <v>42</v>
      </c>
      <c r="BQ150" s="110"/>
      <c r="BR150" s="46" t="s">
        <v>7</v>
      </c>
      <c r="BS150" s="103">
        <v>16</v>
      </c>
      <c r="BT150" s="103">
        <v>64</v>
      </c>
      <c r="BU150" s="103">
        <v>139</v>
      </c>
      <c r="BV150" s="103">
        <v>166</v>
      </c>
      <c r="BW150" s="103">
        <v>141</v>
      </c>
      <c r="BX150" s="103">
        <v>107</v>
      </c>
      <c r="BY150" s="103">
        <v>60</v>
      </c>
      <c r="BZ150" s="103">
        <v>30</v>
      </c>
      <c r="CA150" s="103">
        <v>11</v>
      </c>
      <c r="CB150" s="103">
        <v>6</v>
      </c>
      <c r="CC150" s="42"/>
      <c r="CD150" s="110"/>
      <c r="CE150" s="46" t="s">
        <v>7</v>
      </c>
      <c r="CF150" s="103">
        <v>104</v>
      </c>
      <c r="CG150" s="103">
        <v>190</v>
      </c>
      <c r="CH150" s="103">
        <v>643</v>
      </c>
      <c r="CI150" s="103">
        <v>1555</v>
      </c>
      <c r="CJ150" s="103">
        <v>1463</v>
      </c>
      <c r="CK150" s="103">
        <v>1137</v>
      </c>
      <c r="CL150" s="103">
        <v>636</v>
      </c>
      <c r="CM150" s="103">
        <v>301</v>
      </c>
      <c r="CN150" s="103">
        <v>156</v>
      </c>
      <c r="CO150" s="103">
        <v>51</v>
      </c>
      <c r="CQ150" s="110"/>
      <c r="CR150" s="46" t="s">
        <v>7</v>
      </c>
      <c r="CS150" s="103">
        <v>21</v>
      </c>
      <c r="CT150" s="103">
        <v>19</v>
      </c>
      <c r="CU150" s="103">
        <v>73</v>
      </c>
      <c r="CV150" s="103">
        <v>223</v>
      </c>
      <c r="CW150" s="103">
        <v>321</v>
      </c>
      <c r="CX150" s="103">
        <v>303</v>
      </c>
      <c r="CY150" s="103">
        <v>262</v>
      </c>
      <c r="CZ150" s="103">
        <v>145</v>
      </c>
      <c r="DA150" s="103">
        <v>81</v>
      </c>
      <c r="DB150" s="103">
        <v>25</v>
      </c>
      <c r="DC150" s="42"/>
      <c r="DD150" s="110"/>
      <c r="DE150" s="46" t="s">
        <v>7</v>
      </c>
      <c r="DF150" s="103">
        <v>99</v>
      </c>
      <c r="DG150" s="103">
        <v>235</v>
      </c>
      <c r="DH150" s="103">
        <v>709</v>
      </c>
      <c r="DI150" s="103">
        <v>1498</v>
      </c>
      <c r="DJ150" s="103">
        <v>1283</v>
      </c>
      <c r="DK150" s="103">
        <v>941</v>
      </c>
      <c r="DL150" s="103">
        <v>434</v>
      </c>
      <c r="DM150" s="103">
        <v>186</v>
      </c>
      <c r="DN150" s="103">
        <v>86</v>
      </c>
      <c r="DO150" s="103">
        <v>32</v>
      </c>
    </row>
    <row r="151" spans="2:119" ht="15.4" customHeight="1" x14ac:dyDescent="0.45">
      <c r="B151" s="134"/>
      <c r="C151" s="42"/>
      <c r="D151" s="110"/>
      <c r="E151" s="46" t="s">
        <v>8</v>
      </c>
      <c r="F151" s="103">
        <v>217</v>
      </c>
      <c r="G151" s="103">
        <v>175</v>
      </c>
      <c r="H151" s="103">
        <v>648</v>
      </c>
      <c r="I151" s="103">
        <v>2782</v>
      </c>
      <c r="J151" s="103">
        <v>4068</v>
      </c>
      <c r="K151" s="103">
        <v>4398</v>
      </c>
      <c r="L151" s="103">
        <v>2928</v>
      </c>
      <c r="M151" s="103">
        <v>1599</v>
      </c>
      <c r="N151" s="103">
        <v>875</v>
      </c>
      <c r="O151" s="103">
        <v>251</v>
      </c>
      <c r="P151" s="42"/>
      <c r="Q151" s="110"/>
      <c r="R151" s="46" t="s">
        <v>8</v>
      </c>
      <c r="S151" s="103">
        <v>110</v>
      </c>
      <c r="T151" s="103">
        <v>65</v>
      </c>
      <c r="U151" s="103">
        <v>298</v>
      </c>
      <c r="V151" s="103">
        <v>1409</v>
      </c>
      <c r="W151" s="103">
        <v>2123</v>
      </c>
      <c r="X151" s="103">
        <v>2315</v>
      </c>
      <c r="Y151" s="103">
        <v>1591</v>
      </c>
      <c r="Z151" s="103">
        <v>868</v>
      </c>
      <c r="AA151" s="103">
        <v>472</v>
      </c>
      <c r="AB151" s="103">
        <v>112</v>
      </c>
      <c r="AC151" s="42"/>
      <c r="AD151" s="110"/>
      <c r="AE151" s="46" t="s">
        <v>8</v>
      </c>
      <c r="AF151" s="103">
        <v>107</v>
      </c>
      <c r="AG151" s="103">
        <v>110</v>
      </c>
      <c r="AH151" s="103">
        <v>350</v>
      </c>
      <c r="AI151" s="103">
        <v>1373</v>
      </c>
      <c r="AJ151" s="103">
        <v>1945</v>
      </c>
      <c r="AK151" s="103">
        <v>2083</v>
      </c>
      <c r="AL151" s="103">
        <v>1337</v>
      </c>
      <c r="AM151" s="103">
        <v>731</v>
      </c>
      <c r="AN151" s="103">
        <v>403</v>
      </c>
      <c r="AO151" s="103">
        <v>139</v>
      </c>
      <c r="AP151" s="6"/>
      <c r="AQ151" s="110"/>
      <c r="AR151" s="46" t="s">
        <v>8</v>
      </c>
      <c r="AS151" s="103">
        <v>69</v>
      </c>
      <c r="AT151" s="103">
        <v>90</v>
      </c>
      <c r="AU151" s="103">
        <v>225</v>
      </c>
      <c r="AV151" s="103">
        <v>727</v>
      </c>
      <c r="AW151" s="103">
        <v>837</v>
      </c>
      <c r="AX151" s="103">
        <v>806</v>
      </c>
      <c r="AY151" s="103">
        <v>542</v>
      </c>
      <c r="AZ151" s="103">
        <v>288</v>
      </c>
      <c r="BA151" s="103">
        <v>142</v>
      </c>
      <c r="BB151" s="103">
        <v>50</v>
      </c>
      <c r="BC151" s="42"/>
      <c r="BD151" s="110"/>
      <c r="BE151" s="46" t="s">
        <v>8</v>
      </c>
      <c r="BF151" s="103">
        <v>148</v>
      </c>
      <c r="BG151" s="103">
        <v>85</v>
      </c>
      <c r="BH151" s="103">
        <v>423</v>
      </c>
      <c r="BI151" s="103">
        <v>2055</v>
      </c>
      <c r="BJ151" s="103">
        <v>3231</v>
      </c>
      <c r="BK151" s="103">
        <v>3592</v>
      </c>
      <c r="BL151" s="103">
        <v>2386</v>
      </c>
      <c r="BM151" s="103">
        <v>1311</v>
      </c>
      <c r="BN151" s="103">
        <v>733</v>
      </c>
      <c r="BO151" s="103">
        <v>201</v>
      </c>
      <c r="BQ151" s="110"/>
      <c r="BR151" s="46" t="s">
        <v>8</v>
      </c>
      <c r="BS151" s="103">
        <v>16</v>
      </c>
      <c r="BT151" s="103">
        <v>25</v>
      </c>
      <c r="BU151" s="103">
        <v>65</v>
      </c>
      <c r="BV151" s="103">
        <v>201</v>
      </c>
      <c r="BW151" s="103">
        <v>265</v>
      </c>
      <c r="BX151" s="103">
        <v>268</v>
      </c>
      <c r="BY151" s="103">
        <v>174</v>
      </c>
      <c r="BZ151" s="103">
        <v>98</v>
      </c>
      <c r="CA151" s="103">
        <v>46</v>
      </c>
      <c r="CB151" s="103">
        <v>17</v>
      </c>
      <c r="CC151" s="42"/>
      <c r="CD151" s="110"/>
      <c r="CE151" s="46" t="s">
        <v>8</v>
      </c>
      <c r="CF151" s="103">
        <v>201</v>
      </c>
      <c r="CG151" s="103">
        <v>150</v>
      </c>
      <c r="CH151" s="103">
        <v>583</v>
      </c>
      <c r="CI151" s="103">
        <v>2581</v>
      </c>
      <c r="CJ151" s="103">
        <v>3803</v>
      </c>
      <c r="CK151" s="103">
        <v>4130</v>
      </c>
      <c r="CL151" s="103">
        <v>2754</v>
      </c>
      <c r="CM151" s="103">
        <v>1501</v>
      </c>
      <c r="CN151" s="103">
        <v>829</v>
      </c>
      <c r="CO151" s="103">
        <v>234</v>
      </c>
      <c r="CQ151" s="110"/>
      <c r="CR151" s="46" t="s">
        <v>8</v>
      </c>
      <c r="CS151" s="103">
        <v>37</v>
      </c>
      <c r="CT151" s="103">
        <v>8</v>
      </c>
      <c r="CU151" s="103">
        <v>55</v>
      </c>
      <c r="CV151" s="103">
        <v>291</v>
      </c>
      <c r="CW151" s="103">
        <v>507</v>
      </c>
      <c r="CX151" s="103">
        <v>706</v>
      </c>
      <c r="CY151" s="103">
        <v>702</v>
      </c>
      <c r="CZ151" s="103">
        <v>504</v>
      </c>
      <c r="DA151" s="103">
        <v>280</v>
      </c>
      <c r="DB151" s="103">
        <v>105</v>
      </c>
      <c r="DC151" s="42"/>
      <c r="DD151" s="110"/>
      <c r="DE151" s="46" t="s">
        <v>8</v>
      </c>
      <c r="DF151" s="103">
        <v>180</v>
      </c>
      <c r="DG151" s="103">
        <v>167</v>
      </c>
      <c r="DH151" s="103">
        <v>593</v>
      </c>
      <c r="DI151" s="103">
        <v>2491</v>
      </c>
      <c r="DJ151" s="103">
        <v>3561</v>
      </c>
      <c r="DK151" s="103">
        <v>3692</v>
      </c>
      <c r="DL151" s="103">
        <v>2226</v>
      </c>
      <c r="DM151" s="103">
        <v>1095</v>
      </c>
      <c r="DN151" s="103">
        <v>595</v>
      </c>
      <c r="DO151" s="103">
        <v>146</v>
      </c>
    </row>
    <row r="152" spans="2:119" ht="15.4" customHeight="1" x14ac:dyDescent="0.45">
      <c r="B152" s="134"/>
      <c r="C152" s="42"/>
      <c r="D152" s="110"/>
      <c r="E152" s="46" t="s">
        <v>9</v>
      </c>
      <c r="F152" s="103">
        <v>220</v>
      </c>
      <c r="G152" s="103">
        <v>60</v>
      </c>
      <c r="H152" s="103">
        <v>345</v>
      </c>
      <c r="I152" s="103">
        <v>2525</v>
      </c>
      <c r="J152" s="103">
        <v>5919</v>
      </c>
      <c r="K152" s="103">
        <v>9010</v>
      </c>
      <c r="L152" s="103">
        <v>7955</v>
      </c>
      <c r="M152" s="103">
        <v>5837</v>
      </c>
      <c r="N152" s="103">
        <v>3643</v>
      </c>
      <c r="O152" s="103">
        <v>1498</v>
      </c>
      <c r="P152" s="42"/>
      <c r="Q152" s="110"/>
      <c r="R152" s="46" t="s">
        <v>9</v>
      </c>
      <c r="S152" s="103">
        <v>89</v>
      </c>
      <c r="T152" s="103">
        <v>15</v>
      </c>
      <c r="U152" s="103">
        <v>140</v>
      </c>
      <c r="V152" s="103">
        <v>1096</v>
      </c>
      <c r="W152" s="103">
        <v>2867</v>
      </c>
      <c r="X152" s="103">
        <v>4528</v>
      </c>
      <c r="Y152" s="103">
        <v>4046</v>
      </c>
      <c r="Z152" s="103">
        <v>3070</v>
      </c>
      <c r="AA152" s="103">
        <v>1961</v>
      </c>
      <c r="AB152" s="103">
        <v>751</v>
      </c>
      <c r="AC152" s="42"/>
      <c r="AD152" s="110"/>
      <c r="AE152" s="46" t="s">
        <v>9</v>
      </c>
      <c r="AF152" s="103">
        <v>131</v>
      </c>
      <c r="AG152" s="103">
        <v>45</v>
      </c>
      <c r="AH152" s="103">
        <v>205</v>
      </c>
      <c r="AI152" s="103">
        <v>1429</v>
      </c>
      <c r="AJ152" s="103">
        <v>3052</v>
      </c>
      <c r="AK152" s="103">
        <v>4482</v>
      </c>
      <c r="AL152" s="103">
        <v>3909</v>
      </c>
      <c r="AM152" s="103">
        <v>2767</v>
      </c>
      <c r="AN152" s="103">
        <v>1682</v>
      </c>
      <c r="AO152" s="103">
        <v>747</v>
      </c>
      <c r="AP152" s="6"/>
      <c r="AQ152" s="110"/>
      <c r="AR152" s="46" t="s">
        <v>9</v>
      </c>
      <c r="AS152" s="103">
        <v>63</v>
      </c>
      <c r="AT152" s="103">
        <v>20</v>
      </c>
      <c r="AU152" s="103">
        <v>111</v>
      </c>
      <c r="AV152" s="103">
        <v>597</v>
      </c>
      <c r="AW152" s="103">
        <v>1130</v>
      </c>
      <c r="AX152" s="103">
        <v>1467</v>
      </c>
      <c r="AY152" s="103">
        <v>1181</v>
      </c>
      <c r="AZ152" s="103">
        <v>801</v>
      </c>
      <c r="BA152" s="103">
        <v>541</v>
      </c>
      <c r="BB152" s="103">
        <v>178</v>
      </c>
      <c r="BC152" s="42"/>
      <c r="BD152" s="110"/>
      <c r="BE152" s="46" t="s">
        <v>9</v>
      </c>
      <c r="BF152" s="103">
        <v>157</v>
      </c>
      <c r="BG152" s="103">
        <v>40</v>
      </c>
      <c r="BH152" s="103">
        <v>234</v>
      </c>
      <c r="BI152" s="103">
        <v>1928</v>
      </c>
      <c r="BJ152" s="103">
        <v>4789</v>
      </c>
      <c r="BK152" s="103">
        <v>7543</v>
      </c>
      <c r="BL152" s="103">
        <v>6774</v>
      </c>
      <c r="BM152" s="103">
        <v>5036</v>
      </c>
      <c r="BN152" s="103">
        <v>3102</v>
      </c>
      <c r="BO152" s="103">
        <v>1320</v>
      </c>
      <c r="BQ152" s="110"/>
      <c r="BR152" s="46" t="s">
        <v>9</v>
      </c>
      <c r="BS152" s="103">
        <v>10</v>
      </c>
      <c r="BT152" s="103">
        <v>14</v>
      </c>
      <c r="BU152" s="103">
        <v>30</v>
      </c>
      <c r="BV152" s="103">
        <v>154</v>
      </c>
      <c r="BW152" s="103">
        <v>320</v>
      </c>
      <c r="BX152" s="103">
        <v>443</v>
      </c>
      <c r="BY152" s="103">
        <v>383</v>
      </c>
      <c r="BZ152" s="103">
        <v>259</v>
      </c>
      <c r="CA152" s="103">
        <v>164</v>
      </c>
      <c r="CB152" s="103">
        <v>85</v>
      </c>
      <c r="CC152" s="42"/>
      <c r="CD152" s="110"/>
      <c r="CE152" s="46" t="s">
        <v>9</v>
      </c>
      <c r="CF152" s="103">
        <v>210</v>
      </c>
      <c r="CG152" s="103">
        <v>46</v>
      </c>
      <c r="CH152" s="103">
        <v>315</v>
      </c>
      <c r="CI152" s="103">
        <v>2371</v>
      </c>
      <c r="CJ152" s="103">
        <v>5599</v>
      </c>
      <c r="CK152" s="103">
        <v>8567</v>
      </c>
      <c r="CL152" s="103">
        <v>7572</v>
      </c>
      <c r="CM152" s="103">
        <v>5578</v>
      </c>
      <c r="CN152" s="103">
        <v>3479</v>
      </c>
      <c r="CO152" s="103">
        <v>1413</v>
      </c>
      <c r="CQ152" s="110"/>
      <c r="CR152" s="46" t="s">
        <v>9</v>
      </c>
      <c r="CS152" s="103">
        <v>18</v>
      </c>
      <c r="CT152" s="103">
        <v>6</v>
      </c>
      <c r="CU152" s="103">
        <v>29</v>
      </c>
      <c r="CV152" s="103">
        <v>197</v>
      </c>
      <c r="CW152" s="103">
        <v>568</v>
      </c>
      <c r="CX152" s="103">
        <v>1046</v>
      </c>
      <c r="CY152" s="103">
        <v>1260</v>
      </c>
      <c r="CZ152" s="103">
        <v>1206</v>
      </c>
      <c r="DA152" s="103">
        <v>907</v>
      </c>
      <c r="DB152" s="103">
        <v>419</v>
      </c>
      <c r="DC152" s="42"/>
      <c r="DD152" s="110"/>
      <c r="DE152" s="46" t="s">
        <v>9</v>
      </c>
      <c r="DF152" s="103">
        <v>202</v>
      </c>
      <c r="DG152" s="103">
        <v>54</v>
      </c>
      <c r="DH152" s="103">
        <v>316</v>
      </c>
      <c r="DI152" s="103">
        <v>2328</v>
      </c>
      <c r="DJ152" s="103">
        <v>5351</v>
      </c>
      <c r="DK152" s="103">
        <v>7964</v>
      </c>
      <c r="DL152" s="103">
        <v>6695</v>
      </c>
      <c r="DM152" s="103">
        <v>4631</v>
      </c>
      <c r="DN152" s="103">
        <v>2736</v>
      </c>
      <c r="DO152" s="103">
        <v>1079</v>
      </c>
    </row>
    <row r="153" spans="2:119" ht="15.4" customHeight="1" x14ac:dyDescent="0.45">
      <c r="B153" s="134"/>
      <c r="C153" s="42"/>
      <c r="D153" s="110"/>
      <c r="E153" s="46" t="s">
        <v>10</v>
      </c>
      <c r="F153" s="103">
        <v>109</v>
      </c>
      <c r="G153" s="103">
        <v>7</v>
      </c>
      <c r="H153" s="103">
        <v>95</v>
      </c>
      <c r="I153" s="103">
        <v>1002</v>
      </c>
      <c r="J153" s="103">
        <v>3789</v>
      </c>
      <c r="K153" s="103">
        <v>8343</v>
      </c>
      <c r="L153" s="103">
        <v>11437</v>
      </c>
      <c r="M153" s="103">
        <v>11728</v>
      </c>
      <c r="N153" s="103">
        <v>10625</v>
      </c>
      <c r="O153" s="103">
        <v>7974</v>
      </c>
      <c r="P153" s="42"/>
      <c r="Q153" s="110"/>
      <c r="R153" s="46" t="s">
        <v>10</v>
      </c>
      <c r="S153" s="103">
        <v>44</v>
      </c>
      <c r="T153" s="103">
        <v>2</v>
      </c>
      <c r="U153" s="103">
        <v>25</v>
      </c>
      <c r="V153" s="103">
        <v>397</v>
      </c>
      <c r="W153" s="103">
        <v>1603</v>
      </c>
      <c r="X153" s="103">
        <v>3726</v>
      </c>
      <c r="Y153" s="103">
        <v>5441</v>
      </c>
      <c r="Z153" s="103">
        <v>5826</v>
      </c>
      <c r="AA153" s="103">
        <v>5360</v>
      </c>
      <c r="AB153" s="103">
        <v>3829</v>
      </c>
      <c r="AC153" s="42"/>
      <c r="AD153" s="110"/>
      <c r="AE153" s="46" t="s">
        <v>10</v>
      </c>
      <c r="AF153" s="103">
        <v>65</v>
      </c>
      <c r="AG153" s="103">
        <v>5</v>
      </c>
      <c r="AH153" s="103">
        <v>70</v>
      </c>
      <c r="AI153" s="103">
        <v>605</v>
      </c>
      <c r="AJ153" s="103">
        <v>2186</v>
      </c>
      <c r="AK153" s="103">
        <v>4617</v>
      </c>
      <c r="AL153" s="103">
        <v>5996</v>
      </c>
      <c r="AM153" s="103">
        <v>5902</v>
      </c>
      <c r="AN153" s="103">
        <v>5265</v>
      </c>
      <c r="AO153" s="103">
        <v>4145</v>
      </c>
      <c r="AP153" s="6"/>
      <c r="AQ153" s="110"/>
      <c r="AR153" s="46" t="s">
        <v>10</v>
      </c>
      <c r="AS153" s="103">
        <v>25</v>
      </c>
      <c r="AT153" s="103">
        <v>4</v>
      </c>
      <c r="AU153" s="103">
        <v>41</v>
      </c>
      <c r="AV153" s="103">
        <v>225</v>
      </c>
      <c r="AW153" s="103">
        <v>658</v>
      </c>
      <c r="AX153" s="103">
        <v>1163</v>
      </c>
      <c r="AY153" s="103">
        <v>1375</v>
      </c>
      <c r="AZ153" s="103">
        <v>1264</v>
      </c>
      <c r="BA153" s="103">
        <v>1056</v>
      </c>
      <c r="BB153" s="103">
        <v>638</v>
      </c>
      <c r="BC153" s="42"/>
      <c r="BD153" s="110"/>
      <c r="BE153" s="46" t="s">
        <v>10</v>
      </c>
      <c r="BF153" s="103">
        <v>84</v>
      </c>
      <c r="BG153" s="103">
        <v>3</v>
      </c>
      <c r="BH153" s="103">
        <v>54</v>
      </c>
      <c r="BI153" s="103">
        <v>777</v>
      </c>
      <c r="BJ153" s="103">
        <v>3131</v>
      </c>
      <c r="BK153" s="103">
        <v>7180</v>
      </c>
      <c r="BL153" s="103">
        <v>10062</v>
      </c>
      <c r="BM153" s="103">
        <v>10464</v>
      </c>
      <c r="BN153" s="103">
        <v>9569</v>
      </c>
      <c r="BO153" s="103">
        <v>7336</v>
      </c>
      <c r="BQ153" s="110"/>
      <c r="BR153" s="46" t="s">
        <v>10</v>
      </c>
      <c r="BS153" s="103">
        <v>7</v>
      </c>
      <c r="BT153" s="103">
        <v>1</v>
      </c>
      <c r="BU153" s="103">
        <v>9</v>
      </c>
      <c r="BV153" s="103">
        <v>61</v>
      </c>
      <c r="BW153" s="103">
        <v>166</v>
      </c>
      <c r="BX153" s="103">
        <v>328</v>
      </c>
      <c r="BY153" s="103">
        <v>417</v>
      </c>
      <c r="BZ153" s="103">
        <v>445</v>
      </c>
      <c r="CA153" s="103">
        <v>334</v>
      </c>
      <c r="CB153" s="103">
        <v>237</v>
      </c>
      <c r="CC153" s="42"/>
      <c r="CD153" s="110"/>
      <c r="CE153" s="46" t="s">
        <v>10</v>
      </c>
      <c r="CF153" s="103">
        <v>102</v>
      </c>
      <c r="CG153" s="103">
        <v>6</v>
      </c>
      <c r="CH153" s="103">
        <v>86</v>
      </c>
      <c r="CI153" s="103">
        <v>941</v>
      </c>
      <c r="CJ153" s="103">
        <v>3623</v>
      </c>
      <c r="CK153" s="103">
        <v>8015</v>
      </c>
      <c r="CL153" s="103">
        <v>11020</v>
      </c>
      <c r="CM153" s="103">
        <v>11283</v>
      </c>
      <c r="CN153" s="103">
        <v>10291</v>
      </c>
      <c r="CO153" s="103">
        <v>7737</v>
      </c>
      <c r="CQ153" s="110"/>
      <c r="CR153" s="46" t="s">
        <v>10</v>
      </c>
      <c r="CS153" s="103">
        <v>10</v>
      </c>
      <c r="CT153" s="103">
        <v>0</v>
      </c>
      <c r="CU153" s="103">
        <v>9</v>
      </c>
      <c r="CV153" s="103">
        <v>66</v>
      </c>
      <c r="CW153" s="103">
        <v>265</v>
      </c>
      <c r="CX153" s="103">
        <v>725</v>
      </c>
      <c r="CY153" s="103">
        <v>1291</v>
      </c>
      <c r="CZ153" s="103">
        <v>1711</v>
      </c>
      <c r="DA153" s="103">
        <v>1906</v>
      </c>
      <c r="DB153" s="103">
        <v>1675</v>
      </c>
      <c r="DC153" s="42"/>
      <c r="DD153" s="110"/>
      <c r="DE153" s="46" t="s">
        <v>10</v>
      </c>
      <c r="DF153" s="103">
        <v>99</v>
      </c>
      <c r="DG153" s="103">
        <v>7</v>
      </c>
      <c r="DH153" s="103">
        <v>86</v>
      </c>
      <c r="DI153" s="103">
        <v>936</v>
      </c>
      <c r="DJ153" s="103">
        <v>3524</v>
      </c>
      <c r="DK153" s="103">
        <v>7618</v>
      </c>
      <c r="DL153" s="103">
        <v>10146</v>
      </c>
      <c r="DM153" s="103">
        <v>10017</v>
      </c>
      <c r="DN153" s="103">
        <v>8719</v>
      </c>
      <c r="DO153" s="103">
        <v>6299</v>
      </c>
    </row>
    <row r="154" spans="2:119" ht="15.4" customHeight="1" x14ac:dyDescent="0.45">
      <c r="B154" s="134"/>
      <c r="C154" s="42"/>
      <c r="D154" s="111"/>
      <c r="E154" s="46" t="s">
        <v>11</v>
      </c>
      <c r="F154" s="103">
        <v>9</v>
      </c>
      <c r="G154" s="103">
        <v>0</v>
      </c>
      <c r="H154" s="103">
        <v>2</v>
      </c>
      <c r="I154" s="103">
        <v>50</v>
      </c>
      <c r="J154" s="103">
        <v>325</v>
      </c>
      <c r="K154" s="103">
        <v>1016</v>
      </c>
      <c r="L154" s="103">
        <v>2077</v>
      </c>
      <c r="M154" s="103">
        <v>3043</v>
      </c>
      <c r="N154" s="103">
        <v>4379</v>
      </c>
      <c r="O154" s="103">
        <v>7110</v>
      </c>
      <c r="P154" s="42"/>
      <c r="Q154" s="111"/>
      <c r="R154" s="46" t="s">
        <v>11</v>
      </c>
      <c r="S154" s="103">
        <v>5</v>
      </c>
      <c r="T154" s="103">
        <v>0</v>
      </c>
      <c r="U154" s="103">
        <v>1</v>
      </c>
      <c r="V154" s="103">
        <v>18</v>
      </c>
      <c r="W154" s="103">
        <v>112</v>
      </c>
      <c r="X154" s="103">
        <v>459</v>
      </c>
      <c r="Y154" s="103">
        <v>940</v>
      </c>
      <c r="Z154" s="103">
        <v>1459</v>
      </c>
      <c r="AA154" s="103">
        <v>2180</v>
      </c>
      <c r="AB154" s="103">
        <v>3605</v>
      </c>
      <c r="AC154" s="42"/>
      <c r="AD154" s="111"/>
      <c r="AE154" s="46" t="s">
        <v>11</v>
      </c>
      <c r="AF154" s="103">
        <v>4</v>
      </c>
      <c r="AG154" s="103">
        <v>0</v>
      </c>
      <c r="AH154" s="103">
        <v>1</v>
      </c>
      <c r="AI154" s="103">
        <v>32</v>
      </c>
      <c r="AJ154" s="103">
        <v>213</v>
      </c>
      <c r="AK154" s="103">
        <v>557</v>
      </c>
      <c r="AL154" s="103">
        <v>1137</v>
      </c>
      <c r="AM154" s="103">
        <v>1584</v>
      </c>
      <c r="AN154" s="103">
        <v>2199</v>
      </c>
      <c r="AO154" s="103">
        <v>3505</v>
      </c>
      <c r="AP154" s="6"/>
      <c r="AQ154" s="111"/>
      <c r="AR154" s="46" t="s">
        <v>11</v>
      </c>
      <c r="AS154" s="103">
        <v>6</v>
      </c>
      <c r="AT154" s="103">
        <v>0</v>
      </c>
      <c r="AU154" s="103">
        <v>0</v>
      </c>
      <c r="AV154" s="103">
        <v>12</v>
      </c>
      <c r="AW154" s="103">
        <v>37</v>
      </c>
      <c r="AX154" s="103">
        <v>125</v>
      </c>
      <c r="AY154" s="103">
        <v>207</v>
      </c>
      <c r="AZ154" s="103">
        <v>243</v>
      </c>
      <c r="BA154" s="103">
        <v>319</v>
      </c>
      <c r="BB154" s="103">
        <v>373</v>
      </c>
      <c r="BC154" s="42"/>
      <c r="BD154" s="111"/>
      <c r="BE154" s="46" t="s">
        <v>11</v>
      </c>
      <c r="BF154" s="103">
        <v>3</v>
      </c>
      <c r="BG154" s="103">
        <v>0</v>
      </c>
      <c r="BH154" s="103">
        <v>2</v>
      </c>
      <c r="BI154" s="103">
        <v>38</v>
      </c>
      <c r="BJ154" s="103">
        <v>288</v>
      </c>
      <c r="BK154" s="103">
        <v>891</v>
      </c>
      <c r="BL154" s="103">
        <v>1870</v>
      </c>
      <c r="BM154" s="103">
        <v>2800</v>
      </c>
      <c r="BN154" s="103">
        <v>4060</v>
      </c>
      <c r="BO154" s="103">
        <v>6737</v>
      </c>
      <c r="BQ154" s="111"/>
      <c r="BR154" s="46" t="s">
        <v>11</v>
      </c>
      <c r="BS154" s="103">
        <v>1</v>
      </c>
      <c r="BT154" s="103">
        <v>0</v>
      </c>
      <c r="BU154" s="103">
        <v>0</v>
      </c>
      <c r="BV154" s="103">
        <v>5</v>
      </c>
      <c r="BW154" s="103">
        <v>19</v>
      </c>
      <c r="BX154" s="103">
        <v>35</v>
      </c>
      <c r="BY154" s="103">
        <v>82</v>
      </c>
      <c r="BZ154" s="103">
        <v>96</v>
      </c>
      <c r="CA154" s="103">
        <v>115</v>
      </c>
      <c r="CB154" s="103">
        <v>177</v>
      </c>
      <c r="CC154" s="42"/>
      <c r="CD154" s="111"/>
      <c r="CE154" s="46" t="s">
        <v>11</v>
      </c>
      <c r="CF154" s="103">
        <v>8</v>
      </c>
      <c r="CG154" s="103">
        <v>0</v>
      </c>
      <c r="CH154" s="103">
        <v>2</v>
      </c>
      <c r="CI154" s="103">
        <v>45</v>
      </c>
      <c r="CJ154" s="103">
        <v>306</v>
      </c>
      <c r="CK154" s="103">
        <v>981</v>
      </c>
      <c r="CL154" s="103">
        <v>1995</v>
      </c>
      <c r="CM154" s="103">
        <v>2947</v>
      </c>
      <c r="CN154" s="103">
        <v>4264</v>
      </c>
      <c r="CO154" s="103">
        <v>6933</v>
      </c>
      <c r="CQ154" s="111"/>
      <c r="CR154" s="46" t="s">
        <v>11</v>
      </c>
      <c r="CS154" s="103">
        <v>2</v>
      </c>
      <c r="CT154" s="103">
        <v>0</v>
      </c>
      <c r="CU154" s="103">
        <v>0</v>
      </c>
      <c r="CV154" s="103">
        <v>3</v>
      </c>
      <c r="CW154" s="103">
        <v>17</v>
      </c>
      <c r="CX154" s="103">
        <v>55</v>
      </c>
      <c r="CY154" s="103">
        <v>165</v>
      </c>
      <c r="CZ154" s="103">
        <v>304</v>
      </c>
      <c r="DA154" s="103">
        <v>540</v>
      </c>
      <c r="DB154" s="103">
        <v>1068</v>
      </c>
      <c r="DC154" s="42"/>
      <c r="DD154" s="111"/>
      <c r="DE154" s="46" t="s">
        <v>11</v>
      </c>
      <c r="DF154" s="103">
        <v>7</v>
      </c>
      <c r="DG154" s="103">
        <v>0</v>
      </c>
      <c r="DH154" s="103">
        <v>2</v>
      </c>
      <c r="DI154" s="103">
        <v>47</v>
      </c>
      <c r="DJ154" s="103">
        <v>308</v>
      </c>
      <c r="DK154" s="103">
        <v>961</v>
      </c>
      <c r="DL154" s="103">
        <v>1912</v>
      </c>
      <c r="DM154" s="103">
        <v>2739</v>
      </c>
      <c r="DN154" s="103">
        <v>3839</v>
      </c>
      <c r="DO154" s="103">
        <v>6042</v>
      </c>
    </row>
    <row r="155" spans="2:119" ht="15.4" customHeight="1" x14ac:dyDescent="0.45">
      <c r="B155" s="99"/>
      <c r="C155" s="42"/>
      <c r="D155" s="42"/>
      <c r="E155" s="42"/>
      <c r="F155" s="42"/>
      <c r="G155" s="42"/>
      <c r="H155" s="42"/>
      <c r="I155" s="42"/>
      <c r="J155" s="42"/>
      <c r="K155" s="42"/>
      <c r="L155" s="42"/>
      <c r="M155" s="42"/>
      <c r="N155" s="42"/>
      <c r="O155" s="42"/>
      <c r="P155" s="42"/>
      <c r="Q155" s="42"/>
      <c r="R155" s="42"/>
      <c r="S155" s="42"/>
      <c r="T155" s="42"/>
      <c r="U155" s="42"/>
      <c r="V155" s="42"/>
      <c r="W155" s="42"/>
      <c r="X155" s="42"/>
      <c r="Y155" s="42"/>
      <c r="Z155" s="42"/>
      <c r="AA155" s="42"/>
      <c r="AB155" s="42"/>
      <c r="AC155" s="42"/>
      <c r="AD155" s="42"/>
      <c r="AE155" s="42"/>
      <c r="AF155" s="42"/>
      <c r="AG155" s="42"/>
      <c r="AH155" s="42"/>
      <c r="AI155" s="42"/>
      <c r="AJ155" s="42"/>
      <c r="AK155" s="42"/>
      <c r="AL155" s="42"/>
      <c r="AM155" s="42"/>
      <c r="AN155" s="42"/>
      <c r="AO155" s="42"/>
      <c r="AP155" s="6"/>
      <c r="AQ155" s="42"/>
      <c r="AR155" s="42"/>
      <c r="AS155" s="42"/>
      <c r="AT155" s="42"/>
      <c r="AU155" s="42"/>
      <c r="AV155" s="42"/>
      <c r="AW155" s="42"/>
      <c r="AX155" s="42"/>
      <c r="AY155" s="42"/>
      <c r="AZ155" s="42"/>
      <c r="BA155" s="42"/>
      <c r="BB155" s="42"/>
      <c r="BC155" s="42"/>
      <c r="BD155" s="42"/>
      <c r="BE155" s="42"/>
      <c r="BF155" s="42"/>
      <c r="BG155" s="42"/>
      <c r="BH155" s="42"/>
      <c r="BI155" s="42"/>
      <c r="BJ155" s="42"/>
      <c r="BK155" s="42"/>
      <c r="BL155" s="42"/>
      <c r="BM155" s="42"/>
      <c r="BN155" s="42"/>
      <c r="BO155" s="42"/>
      <c r="BQ155" s="42"/>
      <c r="BR155" s="42"/>
      <c r="BS155" s="42"/>
      <c r="BT155" s="42"/>
      <c r="BU155" s="42"/>
      <c r="BV155" s="42"/>
      <c r="BW155" s="42"/>
      <c r="BX155" s="42"/>
      <c r="BY155" s="42"/>
      <c r="BZ155" s="42"/>
      <c r="CA155" s="42"/>
      <c r="CB155" s="42"/>
      <c r="CC155" s="42"/>
      <c r="CD155" s="42"/>
      <c r="CE155" s="42"/>
      <c r="CF155" s="42"/>
      <c r="CG155" s="42"/>
      <c r="CH155" s="42"/>
      <c r="CI155" s="42"/>
      <c r="CJ155" s="42"/>
      <c r="CK155" s="42"/>
      <c r="CL155" s="42"/>
      <c r="CM155" s="42"/>
      <c r="CN155" s="42"/>
      <c r="CO155" s="42"/>
      <c r="CQ155" s="42"/>
      <c r="CR155" s="42"/>
      <c r="CS155" s="42"/>
      <c r="CT155" s="42"/>
      <c r="CU155" s="42"/>
      <c r="CV155" s="42"/>
      <c r="CW155" s="42"/>
      <c r="CX155" s="42"/>
      <c r="CY155" s="42"/>
      <c r="CZ155" s="42"/>
      <c r="DA155" s="42"/>
      <c r="DB155" s="42"/>
      <c r="DC155" s="42"/>
      <c r="DD155" s="42"/>
      <c r="DE155" s="42"/>
      <c r="DF155" s="42"/>
      <c r="DG155" s="42"/>
      <c r="DH155" s="42"/>
      <c r="DI155" s="42"/>
      <c r="DJ155" s="42"/>
      <c r="DK155" s="42"/>
      <c r="DL155" s="42"/>
      <c r="DM155" s="42"/>
      <c r="DN155" s="42"/>
      <c r="DO155" s="42"/>
    </row>
    <row r="156" spans="2:119" ht="15.4" customHeight="1" x14ac:dyDescent="0.55000000000000004">
      <c r="B156" s="99"/>
      <c r="C156" s="42"/>
      <c r="D156" s="112" t="s">
        <v>16</v>
      </c>
      <c r="E156" s="112"/>
      <c r="F156" s="45"/>
      <c r="G156" s="45"/>
      <c r="H156" s="45"/>
      <c r="I156" s="45"/>
      <c r="J156" s="45"/>
      <c r="K156" s="45"/>
      <c r="L156" s="45"/>
      <c r="M156" s="45"/>
      <c r="N156" s="45"/>
      <c r="O156" s="45"/>
      <c r="P156" s="42"/>
      <c r="Q156" s="112" t="s">
        <v>16</v>
      </c>
      <c r="R156" s="112"/>
      <c r="S156" s="45"/>
      <c r="T156" s="45"/>
      <c r="U156" s="45"/>
      <c r="V156" s="45"/>
      <c r="W156" s="45"/>
      <c r="X156" s="45"/>
      <c r="Y156" s="45"/>
      <c r="Z156" s="45"/>
      <c r="AA156" s="45"/>
      <c r="AB156" s="45"/>
      <c r="AC156" s="42"/>
      <c r="AD156" s="112" t="s">
        <v>16</v>
      </c>
      <c r="AE156" s="112"/>
      <c r="AF156" s="45"/>
      <c r="AG156" s="45"/>
      <c r="AH156" s="45"/>
      <c r="AI156" s="45"/>
      <c r="AJ156" s="45"/>
      <c r="AK156" s="45"/>
      <c r="AL156" s="45"/>
      <c r="AM156" s="45"/>
      <c r="AN156" s="45"/>
      <c r="AO156" s="45"/>
      <c r="AP156" s="6"/>
      <c r="AQ156" s="112" t="s">
        <v>16</v>
      </c>
      <c r="AR156" s="112"/>
      <c r="AS156" s="45"/>
      <c r="AT156" s="45"/>
      <c r="AU156" s="45"/>
      <c r="AV156" s="45"/>
      <c r="AW156" s="45"/>
      <c r="AX156" s="45"/>
      <c r="AY156" s="45"/>
      <c r="AZ156" s="45"/>
      <c r="BA156" s="45"/>
      <c r="BB156" s="45"/>
      <c r="BC156" s="42"/>
      <c r="BD156" s="112" t="s">
        <v>16</v>
      </c>
      <c r="BE156" s="112"/>
      <c r="BF156" s="45"/>
      <c r="BG156" s="45"/>
      <c r="BH156" s="45"/>
      <c r="BI156" s="45"/>
      <c r="BJ156" s="45"/>
      <c r="BK156" s="45"/>
      <c r="BL156" s="45"/>
      <c r="BM156" s="45"/>
      <c r="BN156" s="45"/>
      <c r="BO156" s="45"/>
      <c r="BQ156" s="112" t="s">
        <v>16</v>
      </c>
      <c r="BR156" s="112"/>
      <c r="BS156" s="45"/>
      <c r="BT156" s="45"/>
      <c r="BU156" s="45"/>
      <c r="BV156" s="45"/>
      <c r="BW156" s="45"/>
      <c r="BX156" s="45"/>
      <c r="BY156" s="45"/>
      <c r="BZ156" s="45"/>
      <c r="CA156" s="45"/>
      <c r="CB156" s="45"/>
      <c r="CC156" s="42"/>
      <c r="CD156" s="112" t="s">
        <v>16</v>
      </c>
      <c r="CE156" s="112"/>
      <c r="CF156" s="45"/>
      <c r="CG156" s="45"/>
      <c r="CH156" s="45"/>
      <c r="CI156" s="45"/>
      <c r="CJ156" s="45"/>
      <c r="CK156" s="45"/>
      <c r="CL156" s="45"/>
      <c r="CM156" s="45"/>
      <c r="CN156" s="45"/>
      <c r="CO156" s="45"/>
      <c r="CQ156" s="112" t="s">
        <v>16</v>
      </c>
      <c r="CR156" s="112"/>
      <c r="CS156" s="45"/>
      <c r="CT156" s="45"/>
      <c r="CU156" s="45"/>
      <c r="CV156" s="45"/>
      <c r="CW156" s="45"/>
      <c r="CX156" s="45"/>
      <c r="CY156" s="45"/>
      <c r="CZ156" s="45"/>
      <c r="DA156" s="45"/>
      <c r="DB156" s="45"/>
      <c r="DC156" s="42"/>
      <c r="DD156" s="112" t="s">
        <v>16</v>
      </c>
      <c r="DE156" s="112"/>
      <c r="DF156" s="45"/>
      <c r="DG156" s="45"/>
      <c r="DH156" s="45"/>
      <c r="DI156" s="45"/>
      <c r="DJ156" s="45"/>
      <c r="DK156" s="45"/>
      <c r="DL156" s="45"/>
      <c r="DM156" s="45"/>
      <c r="DN156" s="45"/>
      <c r="DO156" s="45"/>
    </row>
    <row r="157" spans="2:119" ht="28.9" customHeight="1" x14ac:dyDescent="0.45">
      <c r="B157" s="99"/>
      <c r="C157" s="42"/>
      <c r="D157" s="112"/>
      <c r="E157" s="112"/>
      <c r="F157" s="108" t="s">
        <v>12</v>
      </c>
      <c r="G157" s="108"/>
      <c r="H157" s="108"/>
      <c r="I157" s="108"/>
      <c r="J157" s="108"/>
      <c r="K157" s="108"/>
      <c r="L157" s="108"/>
      <c r="M157" s="108"/>
      <c r="N157" s="108"/>
      <c r="O157" s="108"/>
      <c r="P157" s="42"/>
      <c r="Q157" s="112"/>
      <c r="R157" s="112"/>
      <c r="S157" s="108" t="s">
        <v>12</v>
      </c>
      <c r="T157" s="108"/>
      <c r="U157" s="108"/>
      <c r="V157" s="108"/>
      <c r="W157" s="108"/>
      <c r="X157" s="108"/>
      <c r="Y157" s="108"/>
      <c r="Z157" s="108"/>
      <c r="AA157" s="108"/>
      <c r="AB157" s="108"/>
      <c r="AC157" s="42"/>
      <c r="AD157" s="112"/>
      <c r="AE157" s="112"/>
      <c r="AF157" s="131" t="s">
        <v>12</v>
      </c>
      <c r="AG157" s="132"/>
      <c r="AH157" s="132"/>
      <c r="AI157" s="132"/>
      <c r="AJ157" s="132"/>
      <c r="AK157" s="132"/>
      <c r="AL157" s="132"/>
      <c r="AM157" s="132"/>
      <c r="AN157" s="132"/>
      <c r="AO157" s="133"/>
      <c r="AP157" s="6"/>
      <c r="AQ157" s="112"/>
      <c r="AR157" s="112"/>
      <c r="AS157" s="108" t="s">
        <v>12</v>
      </c>
      <c r="AT157" s="108"/>
      <c r="AU157" s="108"/>
      <c r="AV157" s="108"/>
      <c r="AW157" s="108"/>
      <c r="AX157" s="108"/>
      <c r="AY157" s="108"/>
      <c r="AZ157" s="108"/>
      <c r="BA157" s="108"/>
      <c r="BB157" s="108"/>
      <c r="BC157" s="42"/>
      <c r="BD157" s="112"/>
      <c r="BE157" s="112"/>
      <c r="BF157" s="108" t="s">
        <v>12</v>
      </c>
      <c r="BG157" s="108"/>
      <c r="BH157" s="108"/>
      <c r="BI157" s="108"/>
      <c r="BJ157" s="108"/>
      <c r="BK157" s="108"/>
      <c r="BL157" s="108"/>
      <c r="BM157" s="108"/>
      <c r="BN157" s="108"/>
      <c r="BO157" s="108"/>
      <c r="BQ157" s="112"/>
      <c r="BR157" s="112"/>
      <c r="BS157" s="108" t="s">
        <v>12</v>
      </c>
      <c r="BT157" s="108"/>
      <c r="BU157" s="108"/>
      <c r="BV157" s="108"/>
      <c r="BW157" s="108"/>
      <c r="BX157" s="108"/>
      <c r="BY157" s="108"/>
      <c r="BZ157" s="108"/>
      <c r="CA157" s="108"/>
      <c r="CB157" s="108"/>
      <c r="CC157" s="42"/>
      <c r="CD157" s="112"/>
      <c r="CE157" s="112"/>
      <c r="CF157" s="108" t="s">
        <v>12</v>
      </c>
      <c r="CG157" s="108"/>
      <c r="CH157" s="108"/>
      <c r="CI157" s="108"/>
      <c r="CJ157" s="108"/>
      <c r="CK157" s="108"/>
      <c r="CL157" s="108"/>
      <c r="CM157" s="108"/>
      <c r="CN157" s="108"/>
      <c r="CO157" s="108"/>
      <c r="CQ157" s="112"/>
      <c r="CR157" s="112"/>
      <c r="CS157" s="108" t="s">
        <v>12</v>
      </c>
      <c r="CT157" s="108"/>
      <c r="CU157" s="108"/>
      <c r="CV157" s="108"/>
      <c r="CW157" s="108"/>
      <c r="CX157" s="108"/>
      <c r="CY157" s="108"/>
      <c r="CZ157" s="108"/>
      <c r="DA157" s="108"/>
      <c r="DB157" s="108"/>
      <c r="DC157" s="42"/>
      <c r="DD157" s="112"/>
      <c r="DE157" s="112"/>
      <c r="DF157" s="108" t="s">
        <v>12</v>
      </c>
      <c r="DG157" s="108"/>
      <c r="DH157" s="108"/>
      <c r="DI157" s="108"/>
      <c r="DJ157" s="108"/>
      <c r="DK157" s="108"/>
      <c r="DL157" s="108"/>
      <c r="DM157" s="108"/>
      <c r="DN157" s="108"/>
      <c r="DO157" s="108"/>
    </row>
    <row r="158" spans="2:119" ht="15.4" customHeight="1" x14ac:dyDescent="0.45">
      <c r="B158" s="99"/>
      <c r="C158" s="42"/>
      <c r="D158" s="113"/>
      <c r="E158" s="113"/>
      <c r="F158" s="9" t="s">
        <v>0</v>
      </c>
      <c r="G158" s="9">
        <v>1</v>
      </c>
      <c r="H158" s="9">
        <v>2</v>
      </c>
      <c r="I158" s="9">
        <v>3</v>
      </c>
      <c r="J158" s="9">
        <v>4</v>
      </c>
      <c r="K158" s="9">
        <v>5</v>
      </c>
      <c r="L158" s="9">
        <v>6</v>
      </c>
      <c r="M158" s="9">
        <v>7</v>
      </c>
      <c r="N158" s="9">
        <v>8</v>
      </c>
      <c r="O158" s="9">
        <v>9</v>
      </c>
      <c r="P158" s="42"/>
      <c r="Q158" s="113"/>
      <c r="R158" s="113"/>
      <c r="S158" s="9" t="s">
        <v>0</v>
      </c>
      <c r="T158" s="9">
        <v>1</v>
      </c>
      <c r="U158" s="9">
        <v>2</v>
      </c>
      <c r="V158" s="9">
        <v>3</v>
      </c>
      <c r="W158" s="9">
        <v>4</v>
      </c>
      <c r="X158" s="9">
        <v>5</v>
      </c>
      <c r="Y158" s="9">
        <v>6</v>
      </c>
      <c r="Z158" s="9">
        <v>7</v>
      </c>
      <c r="AA158" s="9">
        <v>8</v>
      </c>
      <c r="AB158" s="9">
        <v>9</v>
      </c>
      <c r="AC158" s="42"/>
      <c r="AD158" s="113"/>
      <c r="AE158" s="113"/>
      <c r="AF158" s="9" t="s">
        <v>0</v>
      </c>
      <c r="AG158" s="9">
        <v>1</v>
      </c>
      <c r="AH158" s="9">
        <v>2</v>
      </c>
      <c r="AI158" s="9">
        <v>3</v>
      </c>
      <c r="AJ158" s="9">
        <v>4</v>
      </c>
      <c r="AK158" s="9">
        <v>5</v>
      </c>
      <c r="AL158" s="9">
        <v>6</v>
      </c>
      <c r="AM158" s="9">
        <v>7</v>
      </c>
      <c r="AN158" s="9">
        <v>8</v>
      </c>
      <c r="AO158" s="9">
        <v>9</v>
      </c>
      <c r="AP158" s="6"/>
      <c r="AQ158" s="113"/>
      <c r="AR158" s="113"/>
      <c r="AS158" s="9" t="s">
        <v>0</v>
      </c>
      <c r="AT158" s="9">
        <v>1</v>
      </c>
      <c r="AU158" s="9">
        <v>2</v>
      </c>
      <c r="AV158" s="9">
        <v>3</v>
      </c>
      <c r="AW158" s="9">
        <v>4</v>
      </c>
      <c r="AX158" s="9">
        <v>5</v>
      </c>
      <c r="AY158" s="9">
        <v>6</v>
      </c>
      <c r="AZ158" s="9">
        <v>7</v>
      </c>
      <c r="BA158" s="9">
        <v>8</v>
      </c>
      <c r="BB158" s="9">
        <v>9</v>
      </c>
      <c r="BC158" s="42"/>
      <c r="BD158" s="113"/>
      <c r="BE158" s="113"/>
      <c r="BF158" s="9" t="s">
        <v>0</v>
      </c>
      <c r="BG158" s="9">
        <v>1</v>
      </c>
      <c r="BH158" s="9">
        <v>2</v>
      </c>
      <c r="BI158" s="9">
        <v>3</v>
      </c>
      <c r="BJ158" s="9">
        <v>4</v>
      </c>
      <c r="BK158" s="9">
        <v>5</v>
      </c>
      <c r="BL158" s="9">
        <v>6</v>
      </c>
      <c r="BM158" s="9">
        <v>7</v>
      </c>
      <c r="BN158" s="9">
        <v>8</v>
      </c>
      <c r="BO158" s="9">
        <v>9</v>
      </c>
      <c r="BQ158" s="113"/>
      <c r="BR158" s="113"/>
      <c r="BS158" s="9" t="s">
        <v>0</v>
      </c>
      <c r="BT158" s="9">
        <v>1</v>
      </c>
      <c r="BU158" s="9">
        <v>2</v>
      </c>
      <c r="BV158" s="9">
        <v>3</v>
      </c>
      <c r="BW158" s="9">
        <v>4</v>
      </c>
      <c r="BX158" s="9">
        <v>5</v>
      </c>
      <c r="BY158" s="9">
        <v>6</v>
      </c>
      <c r="BZ158" s="9">
        <v>7</v>
      </c>
      <c r="CA158" s="9">
        <v>8</v>
      </c>
      <c r="CB158" s="9">
        <v>9</v>
      </c>
      <c r="CC158" s="42"/>
      <c r="CD158" s="113"/>
      <c r="CE158" s="113"/>
      <c r="CF158" s="9" t="s">
        <v>0</v>
      </c>
      <c r="CG158" s="9">
        <v>1</v>
      </c>
      <c r="CH158" s="9">
        <v>2</v>
      </c>
      <c r="CI158" s="9">
        <v>3</v>
      </c>
      <c r="CJ158" s="9">
        <v>4</v>
      </c>
      <c r="CK158" s="9">
        <v>5</v>
      </c>
      <c r="CL158" s="9">
        <v>6</v>
      </c>
      <c r="CM158" s="9">
        <v>7</v>
      </c>
      <c r="CN158" s="9">
        <v>8</v>
      </c>
      <c r="CO158" s="9">
        <v>9</v>
      </c>
      <c r="CQ158" s="113"/>
      <c r="CR158" s="113"/>
      <c r="CS158" s="9" t="s">
        <v>0</v>
      </c>
      <c r="CT158" s="9">
        <v>1</v>
      </c>
      <c r="CU158" s="9">
        <v>2</v>
      </c>
      <c r="CV158" s="9">
        <v>3</v>
      </c>
      <c r="CW158" s="9">
        <v>4</v>
      </c>
      <c r="CX158" s="9">
        <v>5</v>
      </c>
      <c r="CY158" s="9">
        <v>6</v>
      </c>
      <c r="CZ158" s="9">
        <v>7</v>
      </c>
      <c r="DA158" s="9">
        <v>8</v>
      </c>
      <c r="DB158" s="9">
        <v>9</v>
      </c>
      <c r="DC158" s="42"/>
      <c r="DD158" s="113"/>
      <c r="DE158" s="113"/>
      <c r="DF158" s="9" t="s">
        <v>0</v>
      </c>
      <c r="DG158" s="9">
        <v>1</v>
      </c>
      <c r="DH158" s="9">
        <v>2</v>
      </c>
      <c r="DI158" s="9">
        <v>3</v>
      </c>
      <c r="DJ158" s="9">
        <v>4</v>
      </c>
      <c r="DK158" s="9">
        <v>5</v>
      </c>
      <c r="DL158" s="9">
        <v>6</v>
      </c>
      <c r="DM158" s="9">
        <v>7</v>
      </c>
      <c r="DN158" s="9">
        <v>8</v>
      </c>
      <c r="DO158" s="9">
        <v>9</v>
      </c>
    </row>
    <row r="159" spans="2:119" ht="15.4" customHeight="1" x14ac:dyDescent="0.45">
      <c r="B159" s="99"/>
      <c r="C159" s="42"/>
      <c r="D159" s="109" t="s">
        <v>13</v>
      </c>
      <c r="E159" s="47" t="s">
        <v>1</v>
      </c>
      <c r="F159" s="103">
        <v>0</v>
      </c>
      <c r="G159" s="103">
        <v>0</v>
      </c>
      <c r="H159" s="103">
        <v>25</v>
      </c>
      <c r="I159" s="103">
        <v>25</v>
      </c>
      <c r="J159" s="103">
        <v>0</v>
      </c>
      <c r="K159" s="103">
        <v>25</v>
      </c>
      <c r="L159" s="103">
        <v>0</v>
      </c>
      <c r="M159" s="103">
        <v>0</v>
      </c>
      <c r="N159" s="103">
        <v>25</v>
      </c>
      <c r="O159" s="17">
        <v>0</v>
      </c>
      <c r="P159" s="42"/>
      <c r="Q159" s="109" t="s">
        <v>13</v>
      </c>
      <c r="R159" s="46" t="s">
        <v>1</v>
      </c>
      <c r="S159" s="103">
        <v>0</v>
      </c>
      <c r="T159" s="103">
        <v>0</v>
      </c>
      <c r="U159" s="103">
        <v>0</v>
      </c>
      <c r="V159" s="103">
        <v>0</v>
      </c>
      <c r="W159" s="103">
        <v>0</v>
      </c>
      <c r="X159" s="103">
        <v>100</v>
      </c>
      <c r="Y159" s="103">
        <v>0</v>
      </c>
      <c r="Z159" s="103">
        <v>0</v>
      </c>
      <c r="AA159" s="103">
        <v>0</v>
      </c>
      <c r="AB159" s="17">
        <v>0</v>
      </c>
      <c r="AC159" s="42"/>
      <c r="AD159" s="109" t="s">
        <v>13</v>
      </c>
      <c r="AE159" s="46" t="s">
        <v>1</v>
      </c>
      <c r="AF159" s="103">
        <v>0</v>
      </c>
      <c r="AG159" s="103">
        <v>0</v>
      </c>
      <c r="AH159" s="103">
        <v>33.333333333333329</v>
      </c>
      <c r="AI159" s="103">
        <v>33.333333333333329</v>
      </c>
      <c r="AJ159" s="103">
        <v>0</v>
      </c>
      <c r="AK159" s="103">
        <v>0</v>
      </c>
      <c r="AL159" s="103">
        <v>0</v>
      </c>
      <c r="AM159" s="103">
        <v>0</v>
      </c>
      <c r="AN159" s="103">
        <v>33.333333333333329</v>
      </c>
      <c r="AO159" s="17">
        <v>0</v>
      </c>
      <c r="AP159" s="6"/>
      <c r="AQ159" s="109" t="s">
        <v>13</v>
      </c>
      <c r="AR159" s="46" t="s">
        <v>1</v>
      </c>
      <c r="AS159" s="103">
        <v>0</v>
      </c>
      <c r="AT159" s="103">
        <v>0</v>
      </c>
      <c r="AU159" s="103">
        <v>50</v>
      </c>
      <c r="AV159" s="103">
        <v>0</v>
      </c>
      <c r="AW159" s="103">
        <v>0</v>
      </c>
      <c r="AX159" s="103">
        <v>50</v>
      </c>
      <c r="AY159" s="103">
        <v>0</v>
      </c>
      <c r="AZ159" s="103">
        <v>0</v>
      </c>
      <c r="BA159" s="103">
        <v>0</v>
      </c>
      <c r="BB159" s="17">
        <v>0</v>
      </c>
      <c r="BC159" s="42"/>
      <c r="BD159" s="109" t="s">
        <v>13</v>
      </c>
      <c r="BE159" s="46" t="s">
        <v>1</v>
      </c>
      <c r="BF159" s="103">
        <v>0</v>
      </c>
      <c r="BG159" s="103">
        <v>0</v>
      </c>
      <c r="BH159" s="103">
        <v>0</v>
      </c>
      <c r="BI159" s="103">
        <v>50</v>
      </c>
      <c r="BJ159" s="103">
        <v>0</v>
      </c>
      <c r="BK159" s="103">
        <v>0</v>
      </c>
      <c r="BL159" s="103">
        <v>0</v>
      </c>
      <c r="BM159" s="103">
        <v>0</v>
      </c>
      <c r="BN159" s="103">
        <v>50</v>
      </c>
      <c r="BO159" s="17">
        <v>0</v>
      </c>
      <c r="BQ159" s="109" t="s">
        <v>13</v>
      </c>
      <c r="BR159" s="46" t="s">
        <v>1</v>
      </c>
      <c r="BS159" s="103">
        <v>0</v>
      </c>
      <c r="BT159" s="103">
        <v>0</v>
      </c>
      <c r="BU159" s="103">
        <v>33.333333333333329</v>
      </c>
      <c r="BV159" s="103">
        <v>33.333333333333329</v>
      </c>
      <c r="BW159" s="103">
        <v>0</v>
      </c>
      <c r="BX159" s="103">
        <v>0</v>
      </c>
      <c r="BY159" s="103">
        <v>0</v>
      </c>
      <c r="BZ159" s="103">
        <v>0</v>
      </c>
      <c r="CA159" s="103">
        <v>33.333333333333329</v>
      </c>
      <c r="CB159" s="17">
        <v>0</v>
      </c>
      <c r="CC159" s="42"/>
      <c r="CD159" s="109" t="s">
        <v>13</v>
      </c>
      <c r="CE159" s="46" t="s">
        <v>1</v>
      </c>
      <c r="CF159" s="103">
        <v>0</v>
      </c>
      <c r="CG159" s="103">
        <v>0</v>
      </c>
      <c r="CH159" s="103">
        <v>0</v>
      </c>
      <c r="CI159" s="103">
        <v>0</v>
      </c>
      <c r="CJ159" s="103">
        <v>0</v>
      </c>
      <c r="CK159" s="103">
        <v>100</v>
      </c>
      <c r="CL159" s="103">
        <v>0</v>
      </c>
      <c r="CM159" s="103">
        <v>0</v>
      </c>
      <c r="CN159" s="103">
        <v>0</v>
      </c>
      <c r="CO159" s="17">
        <v>0</v>
      </c>
      <c r="CQ159" s="109" t="s">
        <v>13</v>
      </c>
      <c r="CR159" s="46" t="s">
        <v>1</v>
      </c>
      <c r="CS159" s="103">
        <v>0</v>
      </c>
      <c r="CT159" s="103">
        <v>0</v>
      </c>
      <c r="CU159" s="103">
        <v>0</v>
      </c>
      <c r="CV159" s="103">
        <v>0</v>
      </c>
      <c r="CW159" s="103">
        <v>0</v>
      </c>
      <c r="CX159" s="103">
        <v>50</v>
      </c>
      <c r="CY159" s="103">
        <v>0</v>
      </c>
      <c r="CZ159" s="103">
        <v>0</v>
      </c>
      <c r="DA159" s="103">
        <v>50</v>
      </c>
      <c r="DB159" s="17">
        <v>0</v>
      </c>
      <c r="DC159" s="42"/>
      <c r="DD159" s="109" t="s">
        <v>13</v>
      </c>
      <c r="DE159" s="46" t="s">
        <v>1</v>
      </c>
      <c r="DF159" s="103">
        <v>0</v>
      </c>
      <c r="DG159" s="103">
        <v>0</v>
      </c>
      <c r="DH159" s="103">
        <v>50</v>
      </c>
      <c r="DI159" s="103">
        <v>50</v>
      </c>
      <c r="DJ159" s="103">
        <v>0</v>
      </c>
      <c r="DK159" s="103">
        <v>0</v>
      </c>
      <c r="DL159" s="103">
        <v>0</v>
      </c>
      <c r="DM159" s="103">
        <v>0</v>
      </c>
      <c r="DN159" s="103">
        <v>0</v>
      </c>
      <c r="DO159" s="17">
        <v>0</v>
      </c>
    </row>
    <row r="160" spans="2:119" ht="15.4" customHeight="1" x14ac:dyDescent="0.45">
      <c r="B160" s="99"/>
      <c r="C160" s="42"/>
      <c r="D160" s="110"/>
      <c r="E160" s="47">
        <v>1</v>
      </c>
      <c r="F160" s="103">
        <v>13.333333333333334</v>
      </c>
      <c r="G160" s="103">
        <v>20</v>
      </c>
      <c r="H160" s="103">
        <v>6.666666666666667</v>
      </c>
      <c r="I160" s="103">
        <v>33.333333333333329</v>
      </c>
      <c r="J160" s="103">
        <v>6.666666666666667</v>
      </c>
      <c r="K160" s="103">
        <v>0</v>
      </c>
      <c r="L160" s="103">
        <v>0</v>
      </c>
      <c r="M160" s="103">
        <v>0</v>
      </c>
      <c r="N160" s="103">
        <v>20</v>
      </c>
      <c r="O160" s="103">
        <v>0</v>
      </c>
      <c r="P160" s="42"/>
      <c r="Q160" s="110"/>
      <c r="R160" s="46">
        <v>1</v>
      </c>
      <c r="S160" s="103">
        <v>16.666666666666664</v>
      </c>
      <c r="T160" s="103">
        <v>0</v>
      </c>
      <c r="U160" s="103">
        <v>16.666666666666664</v>
      </c>
      <c r="V160" s="103">
        <v>33.333333333333329</v>
      </c>
      <c r="W160" s="103">
        <v>0</v>
      </c>
      <c r="X160" s="103">
        <v>0</v>
      </c>
      <c r="Y160" s="103">
        <v>0</v>
      </c>
      <c r="Z160" s="103">
        <v>0</v>
      </c>
      <c r="AA160" s="103">
        <v>33.333333333333329</v>
      </c>
      <c r="AB160" s="103">
        <v>0</v>
      </c>
      <c r="AC160" s="42"/>
      <c r="AD160" s="110"/>
      <c r="AE160" s="46">
        <v>1</v>
      </c>
      <c r="AF160" s="103">
        <v>11.111111111111111</v>
      </c>
      <c r="AG160" s="103">
        <v>33.333333333333329</v>
      </c>
      <c r="AH160" s="103">
        <v>0</v>
      </c>
      <c r="AI160" s="103">
        <v>33.333333333333329</v>
      </c>
      <c r="AJ160" s="103">
        <v>11.111111111111111</v>
      </c>
      <c r="AK160" s="103">
        <v>0</v>
      </c>
      <c r="AL160" s="103">
        <v>0</v>
      </c>
      <c r="AM160" s="103">
        <v>0</v>
      </c>
      <c r="AN160" s="103">
        <v>11.111111111111111</v>
      </c>
      <c r="AO160" s="103">
        <v>0</v>
      </c>
      <c r="AP160" s="6"/>
      <c r="AQ160" s="110"/>
      <c r="AR160" s="46">
        <v>1</v>
      </c>
      <c r="AS160" s="103">
        <v>16.666666666666664</v>
      </c>
      <c r="AT160" s="103">
        <v>33.333333333333329</v>
      </c>
      <c r="AU160" s="103">
        <v>0</v>
      </c>
      <c r="AV160" s="103">
        <v>33.333333333333329</v>
      </c>
      <c r="AW160" s="103">
        <v>16.666666666666664</v>
      </c>
      <c r="AX160" s="103">
        <v>0</v>
      </c>
      <c r="AY160" s="103">
        <v>0</v>
      </c>
      <c r="AZ160" s="103">
        <v>0</v>
      </c>
      <c r="BA160" s="103">
        <v>0</v>
      </c>
      <c r="BB160" s="103">
        <v>0</v>
      </c>
      <c r="BC160" s="42"/>
      <c r="BD160" s="110"/>
      <c r="BE160" s="46">
        <v>1</v>
      </c>
      <c r="BF160" s="103">
        <v>11.111111111111111</v>
      </c>
      <c r="BG160" s="103">
        <v>11.111111111111111</v>
      </c>
      <c r="BH160" s="103">
        <v>11.111111111111111</v>
      </c>
      <c r="BI160" s="103">
        <v>33.333333333333329</v>
      </c>
      <c r="BJ160" s="103">
        <v>0</v>
      </c>
      <c r="BK160" s="103">
        <v>0</v>
      </c>
      <c r="BL160" s="103">
        <v>0</v>
      </c>
      <c r="BM160" s="103">
        <v>0</v>
      </c>
      <c r="BN160" s="103">
        <v>33.333333333333329</v>
      </c>
      <c r="BO160" s="103">
        <v>0</v>
      </c>
      <c r="BQ160" s="110"/>
      <c r="BR160" s="46">
        <v>1</v>
      </c>
      <c r="BS160" s="103">
        <v>33.333333333333329</v>
      </c>
      <c r="BT160" s="103">
        <v>33.333333333333329</v>
      </c>
      <c r="BU160" s="103">
        <v>0</v>
      </c>
      <c r="BV160" s="103">
        <v>33.333333333333329</v>
      </c>
      <c r="BW160" s="103">
        <v>0</v>
      </c>
      <c r="BX160" s="103">
        <v>0</v>
      </c>
      <c r="BY160" s="103">
        <v>0</v>
      </c>
      <c r="BZ160" s="103">
        <v>0</v>
      </c>
      <c r="CA160" s="103">
        <v>0</v>
      </c>
      <c r="CB160" s="103">
        <v>0</v>
      </c>
      <c r="CC160" s="42"/>
      <c r="CD160" s="110"/>
      <c r="CE160" s="46">
        <v>1</v>
      </c>
      <c r="CF160" s="103">
        <v>0</v>
      </c>
      <c r="CG160" s="103">
        <v>11.111111111111111</v>
      </c>
      <c r="CH160" s="103">
        <v>11.111111111111111</v>
      </c>
      <c r="CI160" s="103">
        <v>33.333333333333329</v>
      </c>
      <c r="CJ160" s="103">
        <v>11.111111111111111</v>
      </c>
      <c r="CK160" s="103">
        <v>0</v>
      </c>
      <c r="CL160" s="103">
        <v>0</v>
      </c>
      <c r="CM160" s="103">
        <v>0</v>
      </c>
      <c r="CN160" s="103">
        <v>33.333333333333329</v>
      </c>
      <c r="CO160" s="103">
        <v>0</v>
      </c>
      <c r="CQ160" s="110"/>
      <c r="CR160" s="46">
        <v>1</v>
      </c>
      <c r="CS160" s="103">
        <v>9.0909090909090917</v>
      </c>
      <c r="CT160" s="103">
        <v>9.0909090909090917</v>
      </c>
      <c r="CU160" s="103">
        <v>9.0909090909090917</v>
      </c>
      <c r="CV160" s="103">
        <v>36.363636363636367</v>
      </c>
      <c r="CW160" s="103">
        <v>9.0909090909090917</v>
      </c>
      <c r="CX160" s="103">
        <v>0</v>
      </c>
      <c r="CY160" s="103">
        <v>0</v>
      </c>
      <c r="CZ160" s="103">
        <v>0</v>
      </c>
      <c r="DA160" s="103">
        <v>27.27272727272727</v>
      </c>
      <c r="DB160" s="103">
        <v>0</v>
      </c>
      <c r="DC160" s="42"/>
      <c r="DD160" s="110"/>
      <c r="DE160" s="46">
        <v>1</v>
      </c>
      <c r="DF160" s="103">
        <v>25</v>
      </c>
      <c r="DG160" s="103">
        <v>50</v>
      </c>
      <c r="DH160" s="103">
        <v>0</v>
      </c>
      <c r="DI160" s="103">
        <v>25</v>
      </c>
      <c r="DJ160" s="103">
        <v>0</v>
      </c>
      <c r="DK160" s="103">
        <v>0</v>
      </c>
      <c r="DL160" s="103">
        <v>0</v>
      </c>
      <c r="DM160" s="103">
        <v>0</v>
      </c>
      <c r="DN160" s="103">
        <v>0</v>
      </c>
      <c r="DO160" s="103">
        <v>0</v>
      </c>
    </row>
    <row r="161" spans="2:119" ht="15.4" customHeight="1" x14ac:dyDescent="0.45">
      <c r="B161" s="99"/>
      <c r="C161" s="42"/>
      <c r="D161" s="110"/>
      <c r="E161" s="47" t="s">
        <v>2</v>
      </c>
      <c r="F161" s="103">
        <v>7.2100313479623823</v>
      </c>
      <c r="G161" s="103">
        <v>43.887147335423201</v>
      </c>
      <c r="H161" s="103">
        <v>24.137931034482758</v>
      </c>
      <c r="I161" s="103">
        <v>9.7178683385579934</v>
      </c>
      <c r="J161" s="103">
        <v>2.8213166144200628</v>
      </c>
      <c r="K161" s="103">
        <v>4.3887147335423196</v>
      </c>
      <c r="L161" s="103">
        <v>4.0752351097178678</v>
      </c>
      <c r="M161" s="103">
        <v>1.5673981191222568</v>
      </c>
      <c r="N161" s="103">
        <v>1.2539184952978055</v>
      </c>
      <c r="O161" s="103">
        <v>0.94043887147335425</v>
      </c>
      <c r="P161" s="42"/>
      <c r="Q161" s="110"/>
      <c r="R161" s="46" t="s">
        <v>2</v>
      </c>
      <c r="S161" s="103">
        <v>8.5271317829457356</v>
      </c>
      <c r="T161" s="103">
        <v>41.085271317829459</v>
      </c>
      <c r="U161" s="103">
        <v>23.255813953488371</v>
      </c>
      <c r="V161" s="103">
        <v>9.3023255813953494</v>
      </c>
      <c r="W161" s="103">
        <v>3.1007751937984498</v>
      </c>
      <c r="X161" s="103">
        <v>5.4263565891472867</v>
      </c>
      <c r="Y161" s="103">
        <v>4.6511627906976747</v>
      </c>
      <c r="Z161" s="103">
        <v>2.3255813953488373</v>
      </c>
      <c r="AA161" s="103">
        <v>1.5503875968992249</v>
      </c>
      <c r="AB161" s="103">
        <v>0.77519379844961245</v>
      </c>
      <c r="AC161" s="42"/>
      <c r="AD161" s="110"/>
      <c r="AE161" s="46" t="s">
        <v>2</v>
      </c>
      <c r="AF161" s="103">
        <v>6.3157894736842106</v>
      </c>
      <c r="AG161" s="103">
        <v>45.789473684210527</v>
      </c>
      <c r="AH161" s="103">
        <v>24.736842105263158</v>
      </c>
      <c r="AI161" s="103">
        <v>10</v>
      </c>
      <c r="AJ161" s="103">
        <v>2.6315789473684208</v>
      </c>
      <c r="AK161" s="103">
        <v>3.6842105263157889</v>
      </c>
      <c r="AL161" s="103">
        <v>3.6842105263157889</v>
      </c>
      <c r="AM161" s="103">
        <v>1.0526315789473684</v>
      </c>
      <c r="AN161" s="103">
        <v>1.0526315789473684</v>
      </c>
      <c r="AO161" s="103">
        <v>1.0526315789473684</v>
      </c>
      <c r="AP161" s="6"/>
      <c r="AQ161" s="110"/>
      <c r="AR161" s="46" t="s">
        <v>2</v>
      </c>
      <c r="AS161" s="103">
        <v>12.650602409638553</v>
      </c>
      <c r="AT161" s="103">
        <v>48.795180722891565</v>
      </c>
      <c r="AU161" s="103">
        <v>22.891566265060241</v>
      </c>
      <c r="AV161" s="103">
        <v>7.2289156626506017</v>
      </c>
      <c r="AW161" s="103">
        <v>3.0120481927710845</v>
      </c>
      <c r="AX161" s="103">
        <v>0.60240963855421692</v>
      </c>
      <c r="AY161" s="103">
        <v>1.8072289156626504</v>
      </c>
      <c r="AZ161" s="103">
        <v>1.2048192771084338</v>
      </c>
      <c r="BA161" s="103">
        <v>1.2048192771084338</v>
      </c>
      <c r="BB161" s="103">
        <v>0.60240963855421692</v>
      </c>
      <c r="BC161" s="42"/>
      <c r="BD161" s="110"/>
      <c r="BE161" s="46" t="s">
        <v>2</v>
      </c>
      <c r="BF161" s="103">
        <v>1.3071895424836601</v>
      </c>
      <c r="BG161" s="103">
        <v>38.562091503267979</v>
      </c>
      <c r="BH161" s="103">
        <v>25.490196078431371</v>
      </c>
      <c r="BI161" s="103">
        <v>12.418300653594772</v>
      </c>
      <c r="BJ161" s="103">
        <v>2.6143790849673203</v>
      </c>
      <c r="BK161" s="103">
        <v>8.4967320261437909</v>
      </c>
      <c r="BL161" s="103">
        <v>6.5359477124183014</v>
      </c>
      <c r="BM161" s="103">
        <v>1.9607843137254901</v>
      </c>
      <c r="BN161" s="103">
        <v>1.3071895424836601</v>
      </c>
      <c r="BO161" s="103">
        <v>1.3071895424836601</v>
      </c>
      <c r="BQ161" s="110"/>
      <c r="BR161" s="46" t="s">
        <v>2</v>
      </c>
      <c r="BS161" s="103">
        <v>8.1818181818181817</v>
      </c>
      <c r="BT161" s="103">
        <v>53.181818181818187</v>
      </c>
      <c r="BU161" s="103">
        <v>24.545454545454547</v>
      </c>
      <c r="BV161" s="103">
        <v>10</v>
      </c>
      <c r="BW161" s="103">
        <v>0</v>
      </c>
      <c r="BX161" s="103">
        <v>0.90909090909090906</v>
      </c>
      <c r="BY161" s="103">
        <v>2.7272727272727271</v>
      </c>
      <c r="BZ161" s="103">
        <v>0</v>
      </c>
      <c r="CA161" s="103">
        <v>0</v>
      </c>
      <c r="CB161" s="103">
        <v>0.45454545454545453</v>
      </c>
      <c r="CC161" s="42"/>
      <c r="CD161" s="110"/>
      <c r="CE161" s="46" t="s">
        <v>2</v>
      </c>
      <c r="CF161" s="103">
        <v>5.0505050505050502</v>
      </c>
      <c r="CG161" s="103">
        <v>23.232323232323232</v>
      </c>
      <c r="CH161" s="103">
        <v>23.232323232323232</v>
      </c>
      <c r="CI161" s="103">
        <v>9.0909090909090917</v>
      </c>
      <c r="CJ161" s="103">
        <v>9.0909090909090917</v>
      </c>
      <c r="CK161" s="103">
        <v>12.121212121212121</v>
      </c>
      <c r="CL161" s="103">
        <v>7.0707070707070701</v>
      </c>
      <c r="CM161" s="103">
        <v>5.0505050505050502</v>
      </c>
      <c r="CN161" s="103">
        <v>4.0404040404040407</v>
      </c>
      <c r="CO161" s="103">
        <v>2.0202020202020203</v>
      </c>
      <c r="CQ161" s="110"/>
      <c r="CR161" s="46" t="s">
        <v>2</v>
      </c>
      <c r="CS161" s="103">
        <v>5.1724137931034484</v>
      </c>
      <c r="CT161" s="103">
        <v>31.03448275862069</v>
      </c>
      <c r="CU161" s="103">
        <v>19.827586206896552</v>
      </c>
      <c r="CV161" s="103">
        <v>9.4827586206896548</v>
      </c>
      <c r="CW161" s="103">
        <v>6.8965517241379306</v>
      </c>
      <c r="CX161" s="103">
        <v>10.344827586206897</v>
      </c>
      <c r="CY161" s="103">
        <v>8.6206896551724146</v>
      </c>
      <c r="CZ161" s="103">
        <v>4.3103448275862073</v>
      </c>
      <c r="DA161" s="103">
        <v>3.4482758620689653</v>
      </c>
      <c r="DB161" s="103">
        <v>0.86206896551724133</v>
      </c>
      <c r="DC161" s="42"/>
      <c r="DD161" s="110"/>
      <c r="DE161" s="46" t="s">
        <v>2</v>
      </c>
      <c r="DF161" s="103">
        <v>8.3743842364532011</v>
      </c>
      <c r="DG161" s="103">
        <v>51.231527093596064</v>
      </c>
      <c r="DH161" s="103">
        <v>26.600985221674879</v>
      </c>
      <c r="DI161" s="103">
        <v>9.8522167487684733</v>
      </c>
      <c r="DJ161" s="103">
        <v>0.49261083743842365</v>
      </c>
      <c r="DK161" s="103">
        <v>0.98522167487684731</v>
      </c>
      <c r="DL161" s="103">
        <v>1.4778325123152709</v>
      </c>
      <c r="DM161" s="103">
        <v>0</v>
      </c>
      <c r="DN161" s="103">
        <v>0</v>
      </c>
      <c r="DO161" s="103">
        <v>0.98522167487684731</v>
      </c>
    </row>
    <row r="162" spans="2:119" ht="15.4" customHeight="1" x14ac:dyDescent="0.45">
      <c r="B162" s="99"/>
      <c r="C162" s="42"/>
      <c r="D162" s="110"/>
      <c r="E162" s="47" t="s">
        <v>3</v>
      </c>
      <c r="F162" s="103">
        <v>4.1860465116279073</v>
      </c>
      <c r="G162" s="103">
        <v>30.697674418604652</v>
      </c>
      <c r="H162" s="103">
        <v>35.813953488372093</v>
      </c>
      <c r="I162" s="103">
        <v>12.558139534883722</v>
      </c>
      <c r="J162" s="103">
        <v>7.441860465116279</v>
      </c>
      <c r="K162" s="103">
        <v>2.7906976744186047</v>
      </c>
      <c r="L162" s="103">
        <v>3.7209302325581395</v>
      </c>
      <c r="M162" s="103">
        <v>0.46511627906976744</v>
      </c>
      <c r="N162" s="103">
        <v>2.3255813953488373</v>
      </c>
      <c r="O162" s="103">
        <v>0</v>
      </c>
      <c r="P162" s="42"/>
      <c r="Q162" s="110"/>
      <c r="R162" s="46" t="s">
        <v>3</v>
      </c>
      <c r="S162" s="103">
        <v>2.7272727272727271</v>
      </c>
      <c r="T162" s="103">
        <v>34.545454545454547</v>
      </c>
      <c r="U162" s="103">
        <v>34.545454545454547</v>
      </c>
      <c r="V162" s="103">
        <v>11.818181818181818</v>
      </c>
      <c r="W162" s="103">
        <v>7.2727272727272725</v>
      </c>
      <c r="X162" s="103">
        <v>3.6363636363636362</v>
      </c>
      <c r="Y162" s="103">
        <v>4.5454545454545459</v>
      </c>
      <c r="Z162" s="103">
        <v>0</v>
      </c>
      <c r="AA162" s="103">
        <v>0.90909090909090906</v>
      </c>
      <c r="AB162" s="103">
        <v>0</v>
      </c>
      <c r="AC162" s="42"/>
      <c r="AD162" s="110"/>
      <c r="AE162" s="46" t="s">
        <v>3</v>
      </c>
      <c r="AF162" s="103">
        <v>5.7142857142857144</v>
      </c>
      <c r="AG162" s="103">
        <v>26.666666666666668</v>
      </c>
      <c r="AH162" s="103">
        <v>37.142857142857146</v>
      </c>
      <c r="AI162" s="103">
        <v>13.333333333333334</v>
      </c>
      <c r="AJ162" s="103">
        <v>7.6190476190476195</v>
      </c>
      <c r="AK162" s="103">
        <v>1.9047619047619049</v>
      </c>
      <c r="AL162" s="103">
        <v>2.8571428571428572</v>
      </c>
      <c r="AM162" s="103">
        <v>0.95238095238095244</v>
      </c>
      <c r="AN162" s="103">
        <v>3.8095238095238098</v>
      </c>
      <c r="AO162" s="103">
        <v>0</v>
      </c>
      <c r="AP162" s="6"/>
      <c r="AQ162" s="110"/>
      <c r="AR162" s="46" t="s">
        <v>3</v>
      </c>
      <c r="AS162" s="103">
        <v>6.9767441860465116</v>
      </c>
      <c r="AT162" s="103">
        <v>36.046511627906973</v>
      </c>
      <c r="AU162" s="103">
        <v>37.209302325581397</v>
      </c>
      <c r="AV162" s="103">
        <v>11.627906976744185</v>
      </c>
      <c r="AW162" s="103">
        <v>3.4883720930232558</v>
      </c>
      <c r="AX162" s="103">
        <v>1.1627906976744187</v>
      </c>
      <c r="AY162" s="103">
        <v>2.3255813953488373</v>
      </c>
      <c r="AZ162" s="103">
        <v>1.1627906976744187</v>
      </c>
      <c r="BA162" s="103">
        <v>0</v>
      </c>
      <c r="BB162" s="103">
        <v>0</v>
      </c>
      <c r="BC162" s="42"/>
      <c r="BD162" s="110"/>
      <c r="BE162" s="46" t="s">
        <v>3</v>
      </c>
      <c r="BF162" s="103">
        <v>2.3255813953488373</v>
      </c>
      <c r="BG162" s="103">
        <v>27.131782945736433</v>
      </c>
      <c r="BH162" s="103">
        <v>34.883720930232556</v>
      </c>
      <c r="BI162" s="103">
        <v>13.178294573643413</v>
      </c>
      <c r="BJ162" s="103">
        <v>10.077519379844961</v>
      </c>
      <c r="BK162" s="103">
        <v>3.8759689922480618</v>
      </c>
      <c r="BL162" s="103">
        <v>4.6511627906976747</v>
      </c>
      <c r="BM162" s="103">
        <v>0</v>
      </c>
      <c r="BN162" s="103">
        <v>3.8759689922480618</v>
      </c>
      <c r="BO162" s="103">
        <v>0</v>
      </c>
      <c r="BQ162" s="110"/>
      <c r="BR162" s="46" t="s">
        <v>3</v>
      </c>
      <c r="BS162" s="103">
        <v>3.5714285714285712</v>
      </c>
      <c r="BT162" s="103">
        <v>33.035714285714285</v>
      </c>
      <c r="BU162" s="103">
        <v>43.75</v>
      </c>
      <c r="BV162" s="103">
        <v>10.714285714285714</v>
      </c>
      <c r="BW162" s="103">
        <v>5.3571428571428568</v>
      </c>
      <c r="BX162" s="103">
        <v>0.89285714285714279</v>
      </c>
      <c r="BY162" s="103">
        <v>1.7857142857142856</v>
      </c>
      <c r="BZ162" s="103">
        <v>0</v>
      </c>
      <c r="CA162" s="103">
        <v>0.89285714285714279</v>
      </c>
      <c r="CB162" s="103">
        <v>0</v>
      </c>
      <c r="CC162" s="42"/>
      <c r="CD162" s="110"/>
      <c r="CE162" s="46" t="s">
        <v>3</v>
      </c>
      <c r="CF162" s="103">
        <v>4.8543689320388346</v>
      </c>
      <c r="CG162" s="103">
        <v>28.155339805825243</v>
      </c>
      <c r="CH162" s="103">
        <v>27.184466019417474</v>
      </c>
      <c r="CI162" s="103">
        <v>14.563106796116504</v>
      </c>
      <c r="CJ162" s="103">
        <v>9.7087378640776691</v>
      </c>
      <c r="CK162" s="103">
        <v>4.8543689320388346</v>
      </c>
      <c r="CL162" s="103">
        <v>5.825242718446602</v>
      </c>
      <c r="CM162" s="103">
        <v>0.97087378640776689</v>
      </c>
      <c r="CN162" s="103">
        <v>3.8834951456310676</v>
      </c>
      <c r="CO162" s="103">
        <v>0</v>
      </c>
      <c r="CQ162" s="110"/>
      <c r="CR162" s="46" t="s">
        <v>3</v>
      </c>
      <c r="CS162" s="103">
        <v>4.4776119402985071</v>
      </c>
      <c r="CT162" s="103">
        <v>11.940298507462686</v>
      </c>
      <c r="CU162" s="103">
        <v>29.850746268656714</v>
      </c>
      <c r="CV162" s="103">
        <v>14.925373134328357</v>
      </c>
      <c r="CW162" s="103">
        <v>11.940298507462686</v>
      </c>
      <c r="CX162" s="103">
        <v>7.4626865671641784</v>
      </c>
      <c r="CY162" s="103">
        <v>10.44776119402985</v>
      </c>
      <c r="CZ162" s="103">
        <v>1.4925373134328357</v>
      </c>
      <c r="DA162" s="103">
        <v>7.4626865671641784</v>
      </c>
      <c r="DB162" s="103">
        <v>0</v>
      </c>
      <c r="DC162" s="42"/>
      <c r="DD162" s="110"/>
      <c r="DE162" s="46" t="s">
        <v>3</v>
      </c>
      <c r="DF162" s="103">
        <v>4.0540540540540544</v>
      </c>
      <c r="DG162" s="103">
        <v>39.189189189189186</v>
      </c>
      <c r="DH162" s="103">
        <v>38.513513513513516</v>
      </c>
      <c r="DI162" s="103">
        <v>11.486486486486488</v>
      </c>
      <c r="DJ162" s="103">
        <v>5.4054054054054053</v>
      </c>
      <c r="DK162" s="103">
        <v>0.67567567567567566</v>
      </c>
      <c r="DL162" s="103">
        <v>0.67567567567567566</v>
      </c>
      <c r="DM162" s="103">
        <v>0</v>
      </c>
      <c r="DN162" s="103">
        <v>0</v>
      </c>
      <c r="DO162" s="103">
        <v>0</v>
      </c>
    </row>
    <row r="163" spans="2:119" ht="15.4" customHeight="1" x14ac:dyDescent="0.45">
      <c r="B163" s="99"/>
      <c r="C163" s="42"/>
      <c r="D163" s="110"/>
      <c r="E163" s="47" t="s">
        <v>4</v>
      </c>
      <c r="F163" s="103">
        <v>3.080568720379147</v>
      </c>
      <c r="G163" s="103">
        <v>20.85308056872038</v>
      </c>
      <c r="H163" s="103">
        <v>36.492890995260666</v>
      </c>
      <c r="I163" s="103">
        <v>19.66824644549763</v>
      </c>
      <c r="J163" s="103">
        <v>6.6350710900473935</v>
      </c>
      <c r="K163" s="103">
        <v>4.7393364928909953</v>
      </c>
      <c r="L163" s="103">
        <v>3.7914691943127963</v>
      </c>
      <c r="M163" s="103">
        <v>2.1327014218009479</v>
      </c>
      <c r="N163" s="103">
        <v>1.4218009478672986</v>
      </c>
      <c r="O163" s="103">
        <v>1.1848341232227488</v>
      </c>
      <c r="P163" s="42"/>
      <c r="Q163" s="110"/>
      <c r="R163" s="46" t="s">
        <v>4</v>
      </c>
      <c r="S163" s="103">
        <v>2.8248587570621471</v>
      </c>
      <c r="T163" s="103">
        <v>18.07909604519774</v>
      </c>
      <c r="U163" s="103">
        <v>41.242937853107343</v>
      </c>
      <c r="V163" s="103">
        <v>18.64406779661017</v>
      </c>
      <c r="W163" s="103">
        <v>6.2146892655367232</v>
      </c>
      <c r="X163" s="103">
        <v>5.0847457627118651</v>
      </c>
      <c r="Y163" s="103">
        <v>4.5197740112994351</v>
      </c>
      <c r="Z163" s="103">
        <v>1.6949152542372881</v>
      </c>
      <c r="AA163" s="103">
        <v>0.56497175141242939</v>
      </c>
      <c r="AB163" s="103">
        <v>1.1299435028248588</v>
      </c>
      <c r="AC163" s="42"/>
      <c r="AD163" s="110"/>
      <c r="AE163" s="46" t="s">
        <v>4</v>
      </c>
      <c r="AF163" s="103">
        <v>3.2653061224489797</v>
      </c>
      <c r="AG163" s="103">
        <v>22.857142857142858</v>
      </c>
      <c r="AH163" s="103">
        <v>33.061224489795919</v>
      </c>
      <c r="AI163" s="103">
        <v>20.408163265306122</v>
      </c>
      <c r="AJ163" s="103">
        <v>6.9387755102040813</v>
      </c>
      <c r="AK163" s="103">
        <v>4.4897959183673466</v>
      </c>
      <c r="AL163" s="103">
        <v>3.2653061224489797</v>
      </c>
      <c r="AM163" s="103">
        <v>2.4489795918367347</v>
      </c>
      <c r="AN163" s="103">
        <v>2.0408163265306123</v>
      </c>
      <c r="AO163" s="103">
        <v>1.2244897959183674</v>
      </c>
      <c r="AP163" s="6"/>
      <c r="AQ163" s="110"/>
      <c r="AR163" s="46" t="s">
        <v>4</v>
      </c>
      <c r="AS163" s="103">
        <v>4</v>
      </c>
      <c r="AT163" s="103">
        <v>24.571428571428573</v>
      </c>
      <c r="AU163" s="103">
        <v>42.285714285714285</v>
      </c>
      <c r="AV163" s="103">
        <v>14.285714285714285</v>
      </c>
      <c r="AW163" s="103">
        <v>6.2857142857142865</v>
      </c>
      <c r="AX163" s="103">
        <v>1.7142857142857144</v>
      </c>
      <c r="AY163" s="103">
        <v>2.2857142857142856</v>
      </c>
      <c r="AZ163" s="103">
        <v>1.1428571428571428</v>
      </c>
      <c r="BA163" s="103">
        <v>1.7142857142857144</v>
      </c>
      <c r="BB163" s="103">
        <v>1.7142857142857144</v>
      </c>
      <c r="BC163" s="42"/>
      <c r="BD163" s="110"/>
      <c r="BE163" s="46" t="s">
        <v>4</v>
      </c>
      <c r="BF163" s="103">
        <v>2.42914979757085</v>
      </c>
      <c r="BG163" s="103">
        <v>18.218623481781375</v>
      </c>
      <c r="BH163" s="103">
        <v>32.388663967611336</v>
      </c>
      <c r="BI163" s="103">
        <v>23.481781376518217</v>
      </c>
      <c r="BJ163" s="103">
        <v>6.8825910931174086</v>
      </c>
      <c r="BK163" s="103">
        <v>6.8825910931174086</v>
      </c>
      <c r="BL163" s="103">
        <v>4.8582995951417001</v>
      </c>
      <c r="BM163" s="103">
        <v>2.834008097165992</v>
      </c>
      <c r="BN163" s="103">
        <v>1.214574898785425</v>
      </c>
      <c r="BO163" s="103">
        <v>0.80971659919028338</v>
      </c>
      <c r="BQ163" s="110"/>
      <c r="BR163" s="46" t="s">
        <v>4</v>
      </c>
      <c r="BS163" s="103">
        <v>3.6809815950920246</v>
      </c>
      <c r="BT163" s="103">
        <v>21.472392638036812</v>
      </c>
      <c r="BU163" s="103">
        <v>42.944785276073624</v>
      </c>
      <c r="BV163" s="103">
        <v>19.631901840490798</v>
      </c>
      <c r="BW163" s="103">
        <v>5.5214723926380369</v>
      </c>
      <c r="BX163" s="103">
        <v>4.294478527607362</v>
      </c>
      <c r="BY163" s="103">
        <v>1.2269938650306749</v>
      </c>
      <c r="BZ163" s="103">
        <v>1.2269938650306749</v>
      </c>
      <c r="CA163" s="103">
        <v>0</v>
      </c>
      <c r="CB163" s="103">
        <v>0</v>
      </c>
      <c r="CC163" s="42"/>
      <c r="CD163" s="110"/>
      <c r="CE163" s="46" t="s">
        <v>4</v>
      </c>
      <c r="CF163" s="103">
        <v>2.7027027027027026</v>
      </c>
      <c r="CG163" s="103">
        <v>20.463320463320464</v>
      </c>
      <c r="CH163" s="103">
        <v>32.432432432432435</v>
      </c>
      <c r="CI163" s="103">
        <v>19.691119691119692</v>
      </c>
      <c r="CJ163" s="103">
        <v>7.3359073359073363</v>
      </c>
      <c r="CK163" s="103">
        <v>5.019305019305019</v>
      </c>
      <c r="CL163" s="103">
        <v>5.4054054054054053</v>
      </c>
      <c r="CM163" s="103">
        <v>2.7027027027027026</v>
      </c>
      <c r="CN163" s="103">
        <v>2.3166023166023164</v>
      </c>
      <c r="CO163" s="103">
        <v>1.9305019305019304</v>
      </c>
      <c r="CQ163" s="110"/>
      <c r="CR163" s="46" t="s">
        <v>4</v>
      </c>
      <c r="CS163" s="103">
        <v>0.85470085470085477</v>
      </c>
      <c r="CT163" s="103">
        <v>6.8376068376068382</v>
      </c>
      <c r="CU163" s="103">
        <v>23.076923076923077</v>
      </c>
      <c r="CV163" s="103">
        <v>22.222222222222221</v>
      </c>
      <c r="CW163" s="103">
        <v>12.820512820512819</v>
      </c>
      <c r="CX163" s="103">
        <v>8.5470085470085468</v>
      </c>
      <c r="CY163" s="103">
        <v>10.256410256410255</v>
      </c>
      <c r="CZ163" s="103">
        <v>5.982905982905983</v>
      </c>
      <c r="DA163" s="103">
        <v>5.1282051282051277</v>
      </c>
      <c r="DB163" s="103">
        <v>4.2735042735042734</v>
      </c>
      <c r="DC163" s="42"/>
      <c r="DD163" s="110"/>
      <c r="DE163" s="46" t="s">
        <v>4</v>
      </c>
      <c r="DF163" s="103">
        <v>3.9344262295081971</v>
      </c>
      <c r="DG163" s="103">
        <v>26.229508196721312</v>
      </c>
      <c r="DH163" s="103">
        <v>41.639344262295083</v>
      </c>
      <c r="DI163" s="103">
        <v>18.688524590163937</v>
      </c>
      <c r="DJ163" s="103">
        <v>4.2622950819672125</v>
      </c>
      <c r="DK163" s="103">
        <v>3.278688524590164</v>
      </c>
      <c r="DL163" s="103">
        <v>1.3114754098360655</v>
      </c>
      <c r="DM163" s="103">
        <v>0.65573770491803274</v>
      </c>
      <c r="DN163" s="103">
        <v>0</v>
      </c>
      <c r="DO163" s="103">
        <v>0</v>
      </c>
    </row>
    <row r="164" spans="2:119" ht="15.4" customHeight="1" x14ac:dyDescent="0.45">
      <c r="B164" s="99"/>
      <c r="C164" s="42"/>
      <c r="D164" s="110"/>
      <c r="E164" s="47" t="s">
        <v>5</v>
      </c>
      <c r="F164" s="103">
        <v>2.0202020202020203</v>
      </c>
      <c r="G164" s="103">
        <v>15.782828282828282</v>
      </c>
      <c r="H164" s="103">
        <v>32.196969696969695</v>
      </c>
      <c r="I164" s="103">
        <v>25.378787878787879</v>
      </c>
      <c r="J164" s="103">
        <v>10.984848484848484</v>
      </c>
      <c r="K164" s="103">
        <v>6.691919191919192</v>
      </c>
      <c r="L164" s="103">
        <v>4.0404040404040407</v>
      </c>
      <c r="M164" s="103">
        <v>1.0101010101010102</v>
      </c>
      <c r="N164" s="103">
        <v>1.5151515151515151</v>
      </c>
      <c r="O164" s="103">
        <v>0.37878787878787878</v>
      </c>
      <c r="P164" s="42"/>
      <c r="Q164" s="110"/>
      <c r="R164" s="46" t="s">
        <v>5</v>
      </c>
      <c r="S164" s="103">
        <v>1.5625</v>
      </c>
      <c r="T164" s="103">
        <v>15.625</v>
      </c>
      <c r="U164" s="103">
        <v>31.770833333333332</v>
      </c>
      <c r="V164" s="103">
        <v>25.78125</v>
      </c>
      <c r="W164" s="103">
        <v>13.28125</v>
      </c>
      <c r="X164" s="103">
        <v>5.2083333333333339</v>
      </c>
      <c r="Y164" s="103">
        <v>4.4270833333333339</v>
      </c>
      <c r="Z164" s="103">
        <v>0.78125</v>
      </c>
      <c r="AA164" s="103">
        <v>1.0416666666666665</v>
      </c>
      <c r="AB164" s="103">
        <v>0.52083333333333326</v>
      </c>
      <c r="AC164" s="42"/>
      <c r="AD164" s="110"/>
      <c r="AE164" s="46" t="s">
        <v>5</v>
      </c>
      <c r="AF164" s="103">
        <v>2.4509803921568629</v>
      </c>
      <c r="AG164" s="103">
        <v>15.931372549019606</v>
      </c>
      <c r="AH164" s="103">
        <v>32.598039215686278</v>
      </c>
      <c r="AI164" s="103">
        <v>25</v>
      </c>
      <c r="AJ164" s="103">
        <v>8.8235294117647065</v>
      </c>
      <c r="AK164" s="103">
        <v>8.0882352941176467</v>
      </c>
      <c r="AL164" s="103">
        <v>3.6764705882352944</v>
      </c>
      <c r="AM164" s="103">
        <v>1.2254901960784315</v>
      </c>
      <c r="AN164" s="103">
        <v>1.9607843137254901</v>
      </c>
      <c r="AO164" s="103">
        <v>0.24509803921568626</v>
      </c>
      <c r="AP164" s="6"/>
      <c r="AQ164" s="110"/>
      <c r="AR164" s="46" t="s">
        <v>5</v>
      </c>
      <c r="AS164" s="103">
        <v>2.083333333333333</v>
      </c>
      <c r="AT164" s="103">
        <v>20.138888888888889</v>
      </c>
      <c r="AU164" s="103">
        <v>37.152777777777779</v>
      </c>
      <c r="AV164" s="103">
        <v>23.263888888888889</v>
      </c>
      <c r="AW164" s="103">
        <v>9.375</v>
      </c>
      <c r="AX164" s="103">
        <v>3.125</v>
      </c>
      <c r="AY164" s="103">
        <v>2.7777777777777777</v>
      </c>
      <c r="AZ164" s="103">
        <v>0.34722222222222221</v>
      </c>
      <c r="BA164" s="103">
        <v>1.7361111111111112</v>
      </c>
      <c r="BB164" s="103">
        <v>0</v>
      </c>
      <c r="BC164" s="42"/>
      <c r="BD164" s="110"/>
      <c r="BE164" s="46" t="s">
        <v>5</v>
      </c>
      <c r="BF164" s="103">
        <v>1.984126984126984</v>
      </c>
      <c r="BG164" s="103">
        <v>13.293650793650794</v>
      </c>
      <c r="BH164" s="103">
        <v>29.365079365079367</v>
      </c>
      <c r="BI164" s="103">
        <v>26.587301587301589</v>
      </c>
      <c r="BJ164" s="103">
        <v>11.904761904761903</v>
      </c>
      <c r="BK164" s="103">
        <v>8.7301587301587293</v>
      </c>
      <c r="BL164" s="103">
        <v>4.7619047619047619</v>
      </c>
      <c r="BM164" s="103">
        <v>1.3888888888888888</v>
      </c>
      <c r="BN164" s="103">
        <v>1.3888888888888888</v>
      </c>
      <c r="BO164" s="103">
        <v>0.59523809523809523</v>
      </c>
      <c r="BQ164" s="110"/>
      <c r="BR164" s="46" t="s">
        <v>5</v>
      </c>
      <c r="BS164" s="103">
        <v>3.3057851239669422</v>
      </c>
      <c r="BT164" s="103">
        <v>19.008264462809919</v>
      </c>
      <c r="BU164" s="103">
        <v>36.776859504132233</v>
      </c>
      <c r="BV164" s="103">
        <v>23.553719008264462</v>
      </c>
      <c r="BW164" s="103">
        <v>8.2644628099173563</v>
      </c>
      <c r="BX164" s="103">
        <v>6.1983471074380168</v>
      </c>
      <c r="BY164" s="103">
        <v>1.2396694214876034</v>
      </c>
      <c r="BZ164" s="103">
        <v>0.41322314049586778</v>
      </c>
      <c r="CA164" s="103">
        <v>1.2396694214876034</v>
      </c>
      <c r="CB164" s="103">
        <v>0</v>
      </c>
      <c r="CC164" s="42"/>
      <c r="CD164" s="110"/>
      <c r="CE164" s="46" t="s">
        <v>5</v>
      </c>
      <c r="CF164" s="103">
        <v>1.4545454545454546</v>
      </c>
      <c r="CG164" s="103">
        <v>14.363636363636365</v>
      </c>
      <c r="CH164" s="103">
        <v>30.181818181818183</v>
      </c>
      <c r="CI164" s="103">
        <v>26.181818181818183</v>
      </c>
      <c r="CJ164" s="103">
        <v>12.181818181818182</v>
      </c>
      <c r="CK164" s="103">
        <v>6.9090909090909092</v>
      </c>
      <c r="CL164" s="103">
        <v>5.2727272727272725</v>
      </c>
      <c r="CM164" s="103">
        <v>1.2727272727272727</v>
      </c>
      <c r="CN164" s="103">
        <v>1.6363636363636365</v>
      </c>
      <c r="CO164" s="103">
        <v>0.54545454545454553</v>
      </c>
      <c r="CQ164" s="110"/>
      <c r="CR164" s="46" t="s">
        <v>5</v>
      </c>
      <c r="CS164" s="103">
        <v>1.257861635220126</v>
      </c>
      <c r="CT164" s="103">
        <v>7.5471698113207548</v>
      </c>
      <c r="CU164" s="103">
        <v>18.238993710691823</v>
      </c>
      <c r="CV164" s="103">
        <v>25.786163522012579</v>
      </c>
      <c r="CW164" s="103">
        <v>15.723270440251572</v>
      </c>
      <c r="CX164" s="103">
        <v>8.8050314465408803</v>
      </c>
      <c r="CY164" s="103">
        <v>13.20754716981132</v>
      </c>
      <c r="CZ164" s="103">
        <v>4.4025157232704402</v>
      </c>
      <c r="DA164" s="103">
        <v>3.1446540880503147</v>
      </c>
      <c r="DB164" s="103">
        <v>1.8867924528301887</v>
      </c>
      <c r="DC164" s="42"/>
      <c r="DD164" s="110"/>
      <c r="DE164" s="46" t="s">
        <v>5</v>
      </c>
      <c r="DF164" s="103">
        <v>2.2116903633491312</v>
      </c>
      <c r="DG164" s="103">
        <v>17.851500789889414</v>
      </c>
      <c r="DH164" s="103">
        <v>35.703001579778828</v>
      </c>
      <c r="DI164" s="103">
        <v>25.276461295418638</v>
      </c>
      <c r="DJ164" s="103">
        <v>9.7946287519747237</v>
      </c>
      <c r="DK164" s="103">
        <v>6.1611374407582939</v>
      </c>
      <c r="DL164" s="103">
        <v>1.7377567140600316</v>
      </c>
      <c r="DM164" s="103">
        <v>0.15797788309636651</v>
      </c>
      <c r="DN164" s="103">
        <v>1.1058451816745656</v>
      </c>
      <c r="DO164" s="103">
        <v>0</v>
      </c>
    </row>
    <row r="165" spans="2:119" ht="15.4" customHeight="1" x14ac:dyDescent="0.45">
      <c r="B165" s="99"/>
      <c r="C165" s="42"/>
      <c r="D165" s="110"/>
      <c r="E165" s="47" t="s">
        <v>6</v>
      </c>
      <c r="F165" s="103">
        <v>2.0574367766823833</v>
      </c>
      <c r="G165" s="103">
        <v>7.8439777111015863</v>
      </c>
      <c r="H165" s="103">
        <v>19.717102443206173</v>
      </c>
      <c r="I165" s="103">
        <v>31.933133304757821</v>
      </c>
      <c r="J165" s="103">
        <v>17.188169738534075</v>
      </c>
      <c r="K165" s="103">
        <v>11.015859408486927</v>
      </c>
      <c r="L165" s="103">
        <v>5.5293613373339046</v>
      </c>
      <c r="M165" s="103">
        <v>3.3004714959279897</v>
      </c>
      <c r="N165" s="103">
        <v>1.1144449207029576</v>
      </c>
      <c r="O165" s="103">
        <v>0.30004286326618085</v>
      </c>
      <c r="P165" s="42"/>
      <c r="Q165" s="110"/>
      <c r="R165" s="46" t="s">
        <v>6</v>
      </c>
      <c r="S165" s="103">
        <v>1.6493055555555556</v>
      </c>
      <c r="T165" s="103">
        <v>6.510416666666667</v>
      </c>
      <c r="U165" s="103">
        <v>19.444444444444446</v>
      </c>
      <c r="V165" s="103">
        <v>33.940972222222221</v>
      </c>
      <c r="W165" s="103">
        <v>18.923611111111111</v>
      </c>
      <c r="X165" s="103">
        <v>10.416666666666668</v>
      </c>
      <c r="Y165" s="103">
        <v>4.7743055555555554</v>
      </c>
      <c r="Z165" s="103">
        <v>2.9513888888888888</v>
      </c>
      <c r="AA165" s="103">
        <v>1.1284722222222221</v>
      </c>
      <c r="AB165" s="103">
        <v>0.26041666666666663</v>
      </c>
      <c r="AC165" s="42"/>
      <c r="AD165" s="110"/>
      <c r="AE165" s="46" t="s">
        <v>6</v>
      </c>
      <c r="AF165" s="103">
        <v>2.4555461473327687</v>
      </c>
      <c r="AG165" s="103">
        <v>9.144792548687553</v>
      </c>
      <c r="AH165" s="103">
        <v>19.983065198983912</v>
      </c>
      <c r="AI165" s="103">
        <v>29.974597798475866</v>
      </c>
      <c r="AJ165" s="103">
        <v>15.495342929720577</v>
      </c>
      <c r="AK165" s="103">
        <v>11.600338696020323</v>
      </c>
      <c r="AL165" s="103">
        <v>6.2658763759525824</v>
      </c>
      <c r="AM165" s="103">
        <v>3.6409822184589333</v>
      </c>
      <c r="AN165" s="103">
        <v>1.100762066045724</v>
      </c>
      <c r="AO165" s="103">
        <v>0.33869602032176122</v>
      </c>
      <c r="AP165" s="6"/>
      <c r="AQ165" s="110"/>
      <c r="AR165" s="46" t="s">
        <v>6</v>
      </c>
      <c r="AS165" s="103">
        <v>2.2099447513812152</v>
      </c>
      <c r="AT165" s="103">
        <v>11.878453038674033</v>
      </c>
      <c r="AU165" s="103">
        <v>25</v>
      </c>
      <c r="AV165" s="103">
        <v>29.834254143646412</v>
      </c>
      <c r="AW165" s="103">
        <v>13.397790055248619</v>
      </c>
      <c r="AX165" s="103">
        <v>10.359116022099448</v>
      </c>
      <c r="AY165" s="103">
        <v>3.4530386740331496</v>
      </c>
      <c r="AZ165" s="103">
        <v>2.3480662983425415</v>
      </c>
      <c r="BA165" s="103">
        <v>1.2430939226519337</v>
      </c>
      <c r="BB165" s="103">
        <v>0.27624309392265189</v>
      </c>
      <c r="BC165" s="42"/>
      <c r="BD165" s="110"/>
      <c r="BE165" s="46" t="s">
        <v>6</v>
      </c>
      <c r="BF165" s="103">
        <v>1.9888129272840271</v>
      </c>
      <c r="BG165" s="103">
        <v>6.0285891858297083</v>
      </c>
      <c r="BH165" s="103">
        <v>17.339962709757614</v>
      </c>
      <c r="BI165" s="103">
        <v>32.877563704164075</v>
      </c>
      <c r="BJ165" s="103">
        <v>18.893722809198259</v>
      </c>
      <c r="BK165" s="103">
        <v>11.311373523927907</v>
      </c>
      <c r="BL165" s="103">
        <v>6.4636420136730894</v>
      </c>
      <c r="BM165" s="103">
        <v>3.7290242386575514</v>
      </c>
      <c r="BN165" s="103">
        <v>1.0565568676196395</v>
      </c>
      <c r="BO165" s="103">
        <v>0.31075201988812928</v>
      </c>
      <c r="BQ165" s="110"/>
      <c r="BR165" s="46" t="s">
        <v>6</v>
      </c>
      <c r="BS165" s="103">
        <v>3.225806451612903</v>
      </c>
      <c r="BT165" s="103">
        <v>12.655086848635236</v>
      </c>
      <c r="BU165" s="103">
        <v>19.602977667493796</v>
      </c>
      <c r="BV165" s="103">
        <v>31.761786600496279</v>
      </c>
      <c r="BW165" s="103">
        <v>17.121588089330025</v>
      </c>
      <c r="BX165" s="103">
        <v>8.9330024813895772</v>
      </c>
      <c r="BY165" s="103">
        <v>3.4739454094292808</v>
      </c>
      <c r="BZ165" s="103">
        <v>2.2332506203473943</v>
      </c>
      <c r="CA165" s="103">
        <v>0.49627791563275436</v>
      </c>
      <c r="CB165" s="103">
        <v>0.49627791563275436</v>
      </c>
      <c r="CC165" s="42"/>
      <c r="CD165" s="110"/>
      <c r="CE165" s="46" t="s">
        <v>6</v>
      </c>
      <c r="CF165" s="103">
        <v>1.8134715025906734</v>
      </c>
      <c r="CG165" s="103">
        <v>6.8393782383419683</v>
      </c>
      <c r="CH165" s="103">
        <v>19.740932642487046</v>
      </c>
      <c r="CI165" s="103">
        <v>31.968911917098445</v>
      </c>
      <c r="CJ165" s="103">
        <v>17.202072538860101</v>
      </c>
      <c r="CK165" s="103">
        <v>11.450777202072539</v>
      </c>
      <c r="CL165" s="103">
        <v>5.9585492227979273</v>
      </c>
      <c r="CM165" s="103">
        <v>3.5233160621761654</v>
      </c>
      <c r="CN165" s="103">
        <v>1.2435233160621761</v>
      </c>
      <c r="CO165" s="103">
        <v>0.2590673575129534</v>
      </c>
      <c r="CQ165" s="110"/>
      <c r="CR165" s="46" t="s">
        <v>6</v>
      </c>
      <c r="CS165" s="103">
        <v>1.9685039370078741</v>
      </c>
      <c r="CT165" s="103">
        <v>3.1496062992125982</v>
      </c>
      <c r="CU165" s="103">
        <v>9.8425196850393704</v>
      </c>
      <c r="CV165" s="103">
        <v>25.196850393700785</v>
      </c>
      <c r="CW165" s="103">
        <v>18.110236220472441</v>
      </c>
      <c r="CX165" s="103">
        <v>17.125984251968504</v>
      </c>
      <c r="CY165" s="103">
        <v>11.41732283464567</v>
      </c>
      <c r="CZ165" s="103">
        <v>9.0551181102362204</v>
      </c>
      <c r="DA165" s="103">
        <v>3.1496062992125982</v>
      </c>
      <c r="DB165" s="103">
        <v>0.98425196850393704</v>
      </c>
      <c r="DC165" s="42"/>
      <c r="DD165" s="110"/>
      <c r="DE165" s="46" t="s">
        <v>6</v>
      </c>
      <c r="DF165" s="103">
        <v>2.0821917808219177</v>
      </c>
      <c r="DG165" s="103">
        <v>9.1506849315068486</v>
      </c>
      <c r="DH165" s="103">
        <v>22.465753424657535</v>
      </c>
      <c r="DI165" s="103">
        <v>33.808219178082197</v>
      </c>
      <c r="DJ165" s="103">
        <v>16.931506849315067</v>
      </c>
      <c r="DK165" s="103">
        <v>9.3150684931506849</v>
      </c>
      <c r="DL165" s="103">
        <v>3.8904109589041092</v>
      </c>
      <c r="DM165" s="103">
        <v>1.6986301369863015</v>
      </c>
      <c r="DN165" s="103">
        <v>0.54794520547945202</v>
      </c>
      <c r="DO165" s="103">
        <v>0.1095890410958904</v>
      </c>
    </row>
    <row r="166" spans="2:119" ht="15.4" customHeight="1" x14ac:dyDescent="0.45">
      <c r="B166" s="99"/>
      <c r="C166" s="42"/>
      <c r="D166" s="110"/>
      <c r="E166" s="47" t="s">
        <v>7</v>
      </c>
      <c r="F166" s="103">
        <v>1.7201834862385321</v>
      </c>
      <c r="G166" s="103">
        <v>3.6410550458715591</v>
      </c>
      <c r="H166" s="103">
        <v>11.209862385321101</v>
      </c>
      <c r="I166" s="103">
        <v>24.670298165137613</v>
      </c>
      <c r="J166" s="103">
        <v>22.993119266055047</v>
      </c>
      <c r="K166" s="103">
        <v>17.832568807339449</v>
      </c>
      <c r="L166" s="103">
        <v>9.977064220183486</v>
      </c>
      <c r="M166" s="103">
        <v>4.744839449541284</v>
      </c>
      <c r="N166" s="103">
        <v>2.3939220183486238</v>
      </c>
      <c r="O166" s="103">
        <v>0.81708715596330272</v>
      </c>
      <c r="P166" s="42"/>
      <c r="Q166" s="110"/>
      <c r="R166" s="46" t="s">
        <v>7</v>
      </c>
      <c r="S166" s="103">
        <v>1.6648168701442843</v>
      </c>
      <c r="T166" s="103">
        <v>2.7192008879023311</v>
      </c>
      <c r="U166" s="103">
        <v>10.571587125416205</v>
      </c>
      <c r="V166" s="103">
        <v>24.944506104328525</v>
      </c>
      <c r="W166" s="103">
        <v>23.779134295227525</v>
      </c>
      <c r="X166" s="103">
        <v>18.590455049944506</v>
      </c>
      <c r="Y166" s="103">
        <v>10.016648168701444</v>
      </c>
      <c r="Z166" s="103">
        <v>4.716981132075472</v>
      </c>
      <c r="AA166" s="103">
        <v>2.4417314095449503</v>
      </c>
      <c r="AB166" s="103">
        <v>0.55493895671476134</v>
      </c>
      <c r="AC166" s="42"/>
      <c r="AD166" s="110"/>
      <c r="AE166" s="46" t="s">
        <v>7</v>
      </c>
      <c r="AF166" s="103">
        <v>1.7793594306049825</v>
      </c>
      <c r="AG166" s="103">
        <v>4.6263345195729535</v>
      </c>
      <c r="AH166" s="103">
        <v>11.892052194543298</v>
      </c>
      <c r="AI166" s="103">
        <v>24.377224199288257</v>
      </c>
      <c r="AJ166" s="103">
        <v>22.153024911032031</v>
      </c>
      <c r="AK166" s="103">
        <v>17.022538552787665</v>
      </c>
      <c r="AL166" s="103">
        <v>9.9347568208778174</v>
      </c>
      <c r="AM166" s="103">
        <v>4.7746144721233685</v>
      </c>
      <c r="AN166" s="103">
        <v>2.34282325029656</v>
      </c>
      <c r="AO166" s="103">
        <v>1.0972716488730723</v>
      </c>
      <c r="AP166" s="6"/>
      <c r="AQ166" s="110"/>
      <c r="AR166" s="46" t="s">
        <v>7</v>
      </c>
      <c r="AS166" s="103">
        <v>1.9649495485926711</v>
      </c>
      <c r="AT166" s="103">
        <v>6.6383430695698351</v>
      </c>
      <c r="AU166" s="103">
        <v>14.816781731279875</v>
      </c>
      <c r="AV166" s="103">
        <v>27.031332979288369</v>
      </c>
      <c r="AW166" s="103">
        <v>21.083377588953798</v>
      </c>
      <c r="AX166" s="103">
        <v>13.807753584705257</v>
      </c>
      <c r="AY166" s="103">
        <v>8.6563993627190658</v>
      </c>
      <c r="AZ166" s="103">
        <v>3.3457249070631967</v>
      </c>
      <c r="BA166" s="103">
        <v>1.8587360594795539</v>
      </c>
      <c r="BB166" s="103">
        <v>0.79660116834838024</v>
      </c>
      <c r="BC166" s="42"/>
      <c r="BD166" s="110"/>
      <c r="BE166" s="46" t="s">
        <v>7</v>
      </c>
      <c r="BF166" s="103">
        <v>1.6296878067936382</v>
      </c>
      <c r="BG166" s="103">
        <v>2.532888278028667</v>
      </c>
      <c r="BH166" s="103">
        <v>9.8763008050265064</v>
      </c>
      <c r="BI166" s="103">
        <v>23.797368937757707</v>
      </c>
      <c r="BJ166" s="103">
        <v>23.699194973493029</v>
      </c>
      <c r="BK166" s="103">
        <v>19.320636167288434</v>
      </c>
      <c r="BL166" s="103">
        <v>10.465344590614569</v>
      </c>
      <c r="BM166" s="103">
        <v>5.2621244845866872</v>
      </c>
      <c r="BN166" s="103">
        <v>2.5917926565874732</v>
      </c>
      <c r="BO166" s="103">
        <v>0.82466129982328684</v>
      </c>
      <c r="BQ166" s="110"/>
      <c r="BR166" s="46" t="s">
        <v>7</v>
      </c>
      <c r="BS166" s="103">
        <v>2.1621621621621623</v>
      </c>
      <c r="BT166" s="103">
        <v>8.6486486486486491</v>
      </c>
      <c r="BU166" s="103">
        <v>18.783783783783782</v>
      </c>
      <c r="BV166" s="103">
        <v>22.432432432432435</v>
      </c>
      <c r="BW166" s="103">
        <v>19.054054054054053</v>
      </c>
      <c r="BX166" s="103">
        <v>14.45945945945946</v>
      </c>
      <c r="BY166" s="103">
        <v>8.1081081081081088</v>
      </c>
      <c r="BZ166" s="103">
        <v>4.0540540540540544</v>
      </c>
      <c r="CA166" s="103">
        <v>1.4864864864864866</v>
      </c>
      <c r="CB166" s="103">
        <v>0.81081081081081086</v>
      </c>
      <c r="CC166" s="42"/>
      <c r="CD166" s="110"/>
      <c r="CE166" s="46" t="s">
        <v>7</v>
      </c>
      <c r="CF166" s="103">
        <v>1.6677357280307887</v>
      </c>
      <c r="CG166" s="103">
        <v>3.0468248877485569</v>
      </c>
      <c r="CH166" s="103">
        <v>10.31109685695959</v>
      </c>
      <c r="CI166" s="103">
        <v>24.935856318152663</v>
      </c>
      <c r="CJ166" s="103">
        <v>23.460551635663887</v>
      </c>
      <c r="CK166" s="103">
        <v>18.232841565105836</v>
      </c>
      <c r="CL166" s="103">
        <v>10.198845413726747</v>
      </c>
      <c r="CM166" s="103">
        <v>4.8268120590121875</v>
      </c>
      <c r="CN166" s="103">
        <v>2.5016035920461834</v>
      </c>
      <c r="CO166" s="103">
        <v>0.81783194355356004</v>
      </c>
      <c r="CQ166" s="110"/>
      <c r="CR166" s="46" t="s">
        <v>7</v>
      </c>
      <c r="CS166" s="103">
        <v>1.4256619144602851</v>
      </c>
      <c r="CT166" s="103">
        <v>1.2898845892735913</v>
      </c>
      <c r="CU166" s="103">
        <v>4.9558723693143243</v>
      </c>
      <c r="CV166" s="103">
        <v>15.139171758316362</v>
      </c>
      <c r="CW166" s="103">
        <v>21.792260692464357</v>
      </c>
      <c r="CX166" s="103">
        <v>20.570264765784113</v>
      </c>
      <c r="CY166" s="103">
        <v>17.78682959945689</v>
      </c>
      <c r="CZ166" s="103">
        <v>9.8438560760353031</v>
      </c>
      <c r="DA166" s="103">
        <v>5.4989816700610996</v>
      </c>
      <c r="DB166" s="103">
        <v>1.6972165648336728</v>
      </c>
      <c r="DC166" s="42"/>
      <c r="DD166" s="110"/>
      <c r="DE166" s="46" t="s">
        <v>7</v>
      </c>
      <c r="DF166" s="103">
        <v>1.79901871706342</v>
      </c>
      <c r="DG166" s="103">
        <v>4.2703979647465022</v>
      </c>
      <c r="DH166" s="103">
        <v>12.883881519171361</v>
      </c>
      <c r="DI166" s="103">
        <v>27.22151553697983</v>
      </c>
      <c r="DJ166" s="103">
        <v>23.314555696892604</v>
      </c>
      <c r="DK166" s="103">
        <v>17.099763765218974</v>
      </c>
      <c r="DL166" s="103">
        <v>7.8866073051063053</v>
      </c>
      <c r="DM166" s="103">
        <v>3.379974559331274</v>
      </c>
      <c r="DN166" s="103">
        <v>1.5627839360348901</v>
      </c>
      <c r="DO166" s="103">
        <v>0.58150099945484279</v>
      </c>
    </row>
    <row r="167" spans="2:119" ht="15.4" customHeight="1" x14ac:dyDescent="0.45">
      <c r="B167" s="99"/>
      <c r="C167" s="42"/>
      <c r="D167" s="110"/>
      <c r="E167" s="47" t="s">
        <v>8</v>
      </c>
      <c r="F167" s="103">
        <v>1.2095200936402655</v>
      </c>
      <c r="G167" s="103">
        <v>0.97541943035505274</v>
      </c>
      <c r="H167" s="103">
        <v>3.6118388049718524</v>
      </c>
      <c r="I167" s="103">
        <v>15.506382029987181</v>
      </c>
      <c r="J167" s="103">
        <v>22.674321386767737</v>
      </c>
      <c r="K167" s="103">
        <v>24.513683741151553</v>
      </c>
      <c r="L167" s="103">
        <v>16.320160526169108</v>
      </c>
      <c r="M167" s="103">
        <v>8.9125466807870239</v>
      </c>
      <c r="N167" s="103">
        <v>4.8770971517752635</v>
      </c>
      <c r="O167" s="103">
        <v>1.3990301543949613</v>
      </c>
      <c r="P167" s="42"/>
      <c r="Q167" s="110"/>
      <c r="R167" s="46" t="s">
        <v>8</v>
      </c>
      <c r="S167" s="103">
        <v>1.1748371248531453</v>
      </c>
      <c r="T167" s="103">
        <v>0.69422193741322225</v>
      </c>
      <c r="U167" s="103">
        <v>3.1827405746021573</v>
      </c>
      <c r="V167" s="103">
        <v>15.048595535618926</v>
      </c>
      <c r="W167" s="103">
        <v>22.674356509665706</v>
      </c>
      <c r="X167" s="103">
        <v>24.724981309409376</v>
      </c>
      <c r="Y167" s="103">
        <v>16.992416960375948</v>
      </c>
      <c r="Z167" s="103">
        <v>9.2705329488411827</v>
      </c>
      <c r="AA167" s="103">
        <v>5.0411192993698606</v>
      </c>
      <c r="AB167" s="103">
        <v>1.1961977998504754</v>
      </c>
      <c r="AC167" s="42"/>
      <c r="AD167" s="110"/>
      <c r="AE167" s="46" t="s">
        <v>8</v>
      </c>
      <c r="AF167" s="103">
        <v>1.2473770109582654</v>
      </c>
      <c r="AG167" s="103">
        <v>1.2823501981813943</v>
      </c>
      <c r="AH167" s="103">
        <v>4.0802051760317095</v>
      </c>
      <c r="AI167" s="103">
        <v>16.006062019118676</v>
      </c>
      <c r="AJ167" s="103">
        <v>22.674283049661923</v>
      </c>
      <c r="AK167" s="103">
        <v>24.283049661925858</v>
      </c>
      <c r="AL167" s="103">
        <v>15.586383772441129</v>
      </c>
      <c r="AM167" s="103">
        <v>8.5217999533690829</v>
      </c>
      <c r="AN167" s="103">
        <v>4.6980648169736536</v>
      </c>
      <c r="AO167" s="103">
        <v>1.6204243413383075</v>
      </c>
      <c r="AP167" s="6"/>
      <c r="AQ167" s="110"/>
      <c r="AR167" s="46" t="s">
        <v>8</v>
      </c>
      <c r="AS167" s="103">
        <v>1.8273305084745763</v>
      </c>
      <c r="AT167" s="103">
        <v>2.3834745762711864</v>
      </c>
      <c r="AU167" s="103">
        <v>5.9586864406779663</v>
      </c>
      <c r="AV167" s="103">
        <v>19.253177966101696</v>
      </c>
      <c r="AW167" s="103">
        <v>22.166313559322035</v>
      </c>
      <c r="AX167" s="103">
        <v>21.345338983050848</v>
      </c>
      <c r="AY167" s="103">
        <v>14.353813559322035</v>
      </c>
      <c r="AZ167" s="103">
        <v>7.6271186440677967</v>
      </c>
      <c r="BA167" s="103">
        <v>3.7605932203389827</v>
      </c>
      <c r="BB167" s="103">
        <v>1.3241525423728813</v>
      </c>
      <c r="BC167" s="42"/>
      <c r="BD167" s="110"/>
      <c r="BE167" s="46" t="s">
        <v>8</v>
      </c>
      <c r="BF167" s="103">
        <v>1.0448288033886339</v>
      </c>
      <c r="BG167" s="103">
        <v>0.60007059654076955</v>
      </c>
      <c r="BH167" s="103">
        <v>2.9862336745499469</v>
      </c>
      <c r="BI167" s="103">
        <v>14.507589128132722</v>
      </c>
      <c r="BJ167" s="103">
        <v>22.809742322626192</v>
      </c>
      <c r="BK167" s="103">
        <v>25.358277444405225</v>
      </c>
      <c r="BL167" s="103">
        <v>16.844334627603246</v>
      </c>
      <c r="BM167" s="103">
        <v>9.255206494881751</v>
      </c>
      <c r="BN167" s="103">
        <v>5.1747264384045177</v>
      </c>
      <c r="BO167" s="103">
        <v>1.4189904694669961</v>
      </c>
      <c r="BQ167" s="110"/>
      <c r="BR167" s="46" t="s">
        <v>8</v>
      </c>
      <c r="BS167" s="103">
        <v>1.3617021276595744</v>
      </c>
      <c r="BT167" s="103">
        <v>2.1276595744680851</v>
      </c>
      <c r="BU167" s="103">
        <v>5.5319148936170208</v>
      </c>
      <c r="BV167" s="103">
        <v>17.106382978723406</v>
      </c>
      <c r="BW167" s="103">
        <v>22.553191489361701</v>
      </c>
      <c r="BX167" s="103">
        <v>22.808510638297872</v>
      </c>
      <c r="BY167" s="103">
        <v>14.808510638297873</v>
      </c>
      <c r="BZ167" s="103">
        <v>8.3404255319148941</v>
      </c>
      <c r="CA167" s="103">
        <v>3.9148936170212765</v>
      </c>
      <c r="CB167" s="103">
        <v>1.446808510638298</v>
      </c>
      <c r="CC167" s="42"/>
      <c r="CD167" s="110"/>
      <c r="CE167" s="46" t="s">
        <v>8</v>
      </c>
      <c r="CF167" s="103">
        <v>1.1988548252415603</v>
      </c>
      <c r="CG167" s="103">
        <v>0.89466778003101521</v>
      </c>
      <c r="CH167" s="103">
        <v>3.4772754383872124</v>
      </c>
      <c r="CI167" s="103">
        <v>15.394250268400334</v>
      </c>
      <c r="CJ167" s="103">
        <v>22.682810449719671</v>
      </c>
      <c r="CK167" s="103">
        <v>24.633186210187283</v>
      </c>
      <c r="CL167" s="103">
        <v>16.426100441369439</v>
      </c>
      <c r="CM167" s="103">
        <v>8.952642252177025</v>
      </c>
      <c r="CN167" s="103">
        <v>4.9445305976380771</v>
      </c>
      <c r="CO167" s="103">
        <v>1.3956817368483838</v>
      </c>
      <c r="CQ167" s="110"/>
      <c r="CR167" s="46" t="s">
        <v>8</v>
      </c>
      <c r="CS167" s="103">
        <v>1.1580594679186227</v>
      </c>
      <c r="CT167" s="103">
        <v>0.25039123630672927</v>
      </c>
      <c r="CU167" s="103">
        <v>1.7214397496087637</v>
      </c>
      <c r="CV167" s="103">
        <v>9.1079812206572761</v>
      </c>
      <c r="CW167" s="103">
        <v>15.868544600938966</v>
      </c>
      <c r="CX167" s="103">
        <v>22.097026604068855</v>
      </c>
      <c r="CY167" s="103">
        <v>21.971830985915496</v>
      </c>
      <c r="CZ167" s="103">
        <v>15.774647887323944</v>
      </c>
      <c r="DA167" s="103">
        <v>8.7636932707355246</v>
      </c>
      <c r="DB167" s="103">
        <v>3.286384976525822</v>
      </c>
      <c r="DC167" s="42"/>
      <c r="DD167" s="110"/>
      <c r="DE167" s="46" t="s">
        <v>8</v>
      </c>
      <c r="DF167" s="103">
        <v>1.2206700122067002</v>
      </c>
      <c r="DG167" s="103">
        <v>1.1325105113251051</v>
      </c>
      <c r="DH167" s="103">
        <v>4.0214295402142959</v>
      </c>
      <c r="DI167" s="103">
        <v>16.892716668927164</v>
      </c>
      <c r="DJ167" s="103">
        <v>24.148921741489218</v>
      </c>
      <c r="DK167" s="103">
        <v>25.037298250372981</v>
      </c>
      <c r="DL167" s="103">
        <v>15.095619150956191</v>
      </c>
      <c r="DM167" s="103">
        <v>7.4257425742574252</v>
      </c>
      <c r="DN167" s="103">
        <v>4.0349925403499256</v>
      </c>
      <c r="DO167" s="103">
        <v>0.99009900990099009</v>
      </c>
    </row>
    <row r="168" spans="2:119" ht="15.4" customHeight="1" x14ac:dyDescent="0.45">
      <c r="B168" s="99"/>
      <c r="C168" s="42"/>
      <c r="D168" s="110"/>
      <c r="E168" s="47" t="s">
        <v>9</v>
      </c>
      <c r="F168" s="103">
        <v>0.59440181562736416</v>
      </c>
      <c r="G168" s="103">
        <v>0.16210958608019022</v>
      </c>
      <c r="H168" s="103">
        <v>0.93213011996109374</v>
      </c>
      <c r="I168" s="103">
        <v>6.8221117475413369</v>
      </c>
      <c r="J168" s="103">
        <v>15.992110666810763</v>
      </c>
      <c r="K168" s="103">
        <v>24.343456176375231</v>
      </c>
      <c r="L168" s="103">
        <v>21.493029287798553</v>
      </c>
      <c r="M168" s="103">
        <v>15.770560899167837</v>
      </c>
      <c r="N168" s="103">
        <v>9.8427537015022164</v>
      </c>
      <c r="O168" s="103">
        <v>4.0473359991354148</v>
      </c>
      <c r="P168" s="42"/>
      <c r="Q168" s="110"/>
      <c r="R168" s="46" t="s">
        <v>9</v>
      </c>
      <c r="S168" s="103">
        <v>0.47944836502720467</v>
      </c>
      <c r="T168" s="103">
        <v>8.08059042180682E-2</v>
      </c>
      <c r="U168" s="103">
        <v>0.75418843936863655</v>
      </c>
      <c r="V168" s="103">
        <v>5.9042180682001826</v>
      </c>
      <c r="W168" s="103">
        <v>15.444701826213436</v>
      </c>
      <c r="X168" s="103">
        <v>24.392608953294186</v>
      </c>
      <c r="Y168" s="103">
        <v>21.796045897753597</v>
      </c>
      <c r="Z168" s="103">
        <v>16.538275063297959</v>
      </c>
      <c r="AA168" s="103">
        <v>10.564025211442116</v>
      </c>
      <c r="AB168" s="103">
        <v>4.0456822711846145</v>
      </c>
      <c r="AC168" s="42"/>
      <c r="AD168" s="110"/>
      <c r="AE168" s="46" t="s">
        <v>9</v>
      </c>
      <c r="AF168" s="103">
        <v>0.71006558621063476</v>
      </c>
      <c r="AG168" s="103">
        <v>0.24391565938533255</v>
      </c>
      <c r="AH168" s="103">
        <v>1.1111713371998482</v>
      </c>
      <c r="AI168" s="103">
        <v>7.7456772724808927</v>
      </c>
      <c r="AJ168" s="103">
        <v>16.542902054311888</v>
      </c>
      <c r="AK168" s="103">
        <v>24.293999674779123</v>
      </c>
      <c r="AL168" s="103">
        <v>21.188140278605886</v>
      </c>
      <c r="AM168" s="103">
        <v>14.998102878204781</v>
      </c>
      <c r="AN168" s="103">
        <v>9.1170253130250956</v>
      </c>
      <c r="AO168" s="103">
        <v>4.0489999457965196</v>
      </c>
      <c r="AP168" s="6"/>
      <c r="AQ168" s="110"/>
      <c r="AR168" s="46" t="s">
        <v>9</v>
      </c>
      <c r="AS168" s="103">
        <v>1.0346526523238628</v>
      </c>
      <c r="AT168" s="103">
        <v>0.32846115946789289</v>
      </c>
      <c r="AU168" s="103">
        <v>1.8229594350468055</v>
      </c>
      <c r="AV168" s="103">
        <v>9.8045656101166045</v>
      </c>
      <c r="AW168" s="103">
        <v>18.558055509935951</v>
      </c>
      <c r="AX168" s="103">
        <v>24.092626046969944</v>
      </c>
      <c r="AY168" s="103">
        <v>19.395631466579076</v>
      </c>
      <c r="AZ168" s="103">
        <v>13.154869436689113</v>
      </c>
      <c r="BA168" s="103">
        <v>8.8848743636065048</v>
      </c>
      <c r="BB168" s="103">
        <v>2.9233043192642469</v>
      </c>
      <c r="BC168" s="42"/>
      <c r="BD168" s="110"/>
      <c r="BE168" s="46" t="s">
        <v>9</v>
      </c>
      <c r="BF168" s="103">
        <v>0.50771270575299932</v>
      </c>
      <c r="BG168" s="103">
        <v>0.1293535556058597</v>
      </c>
      <c r="BH168" s="103">
        <v>0.75671830029427933</v>
      </c>
      <c r="BI168" s="103">
        <v>6.2348413802024378</v>
      </c>
      <c r="BJ168" s="103">
        <v>15.486854444911554</v>
      </c>
      <c r="BK168" s="103">
        <v>24.392846748374996</v>
      </c>
      <c r="BL168" s="103">
        <v>21.906024641852344</v>
      </c>
      <c r="BM168" s="103">
        <v>16.28561265077774</v>
      </c>
      <c r="BN168" s="103">
        <v>10.031368237234421</v>
      </c>
      <c r="BO168" s="103">
        <v>4.2686673349933706</v>
      </c>
      <c r="BQ168" s="110"/>
      <c r="BR168" s="46" t="s">
        <v>9</v>
      </c>
      <c r="BS168" s="103">
        <v>0.53705692803437166</v>
      </c>
      <c r="BT168" s="103">
        <v>0.75187969924812026</v>
      </c>
      <c r="BU168" s="103">
        <v>1.6111707841031151</v>
      </c>
      <c r="BV168" s="103">
        <v>8.2706766917293226</v>
      </c>
      <c r="BW168" s="103">
        <v>17.185821697099893</v>
      </c>
      <c r="BX168" s="103">
        <v>23.791621911922665</v>
      </c>
      <c r="BY168" s="103">
        <v>20.569280343716436</v>
      </c>
      <c r="BZ168" s="103">
        <v>13.909774436090224</v>
      </c>
      <c r="CA168" s="103">
        <v>8.8077336197636953</v>
      </c>
      <c r="CB168" s="103">
        <v>4.5649838882921587</v>
      </c>
      <c r="CC168" s="42"/>
      <c r="CD168" s="110"/>
      <c r="CE168" s="46" t="s">
        <v>9</v>
      </c>
      <c r="CF168" s="103">
        <v>0.59743954480796591</v>
      </c>
      <c r="CG168" s="103">
        <v>0.13086770981507823</v>
      </c>
      <c r="CH168" s="103">
        <v>0.89615931721194875</v>
      </c>
      <c r="CI168" s="103">
        <v>6.7453769559032724</v>
      </c>
      <c r="CJ168" s="103">
        <v>15.928876244665718</v>
      </c>
      <c r="CK168" s="103">
        <v>24.372688477951634</v>
      </c>
      <c r="CL168" s="103">
        <v>21.541963015647227</v>
      </c>
      <c r="CM168" s="103">
        <v>15.869132290184924</v>
      </c>
      <c r="CN168" s="103">
        <v>9.8975817923186344</v>
      </c>
      <c r="CO168" s="103">
        <v>4.0199146514935986</v>
      </c>
      <c r="CQ168" s="110"/>
      <c r="CR168" s="46" t="s">
        <v>9</v>
      </c>
      <c r="CS168" s="103">
        <v>0.31824611032531824</v>
      </c>
      <c r="CT168" s="103">
        <v>0.10608203677510608</v>
      </c>
      <c r="CU168" s="103">
        <v>0.51272984441301273</v>
      </c>
      <c r="CV168" s="103">
        <v>3.4830268741159833</v>
      </c>
      <c r="CW168" s="103">
        <v>10.042432814710041</v>
      </c>
      <c r="CX168" s="103">
        <v>18.493635077793495</v>
      </c>
      <c r="CY168" s="103">
        <v>22.277227722772277</v>
      </c>
      <c r="CZ168" s="103">
        <v>21.322489391796324</v>
      </c>
      <c r="DA168" s="103">
        <v>16.036067892503535</v>
      </c>
      <c r="DB168" s="103">
        <v>7.4080622347949081</v>
      </c>
      <c r="DC168" s="42"/>
      <c r="DD168" s="110"/>
      <c r="DE168" s="46" t="s">
        <v>9</v>
      </c>
      <c r="DF168" s="103">
        <v>0.64421482331930091</v>
      </c>
      <c r="DG168" s="103">
        <v>0.17221584385763489</v>
      </c>
      <c r="DH168" s="103">
        <v>1.0077816047965302</v>
      </c>
      <c r="DI168" s="103">
        <v>7.4244163796402596</v>
      </c>
      <c r="DJ168" s="103">
        <v>17.065314453374157</v>
      </c>
      <c r="DK168" s="103">
        <v>25.398647786707489</v>
      </c>
      <c r="DL168" s="103">
        <v>21.35157545605307</v>
      </c>
      <c r="DM168" s="103">
        <v>14.769103201939023</v>
      </c>
      <c r="DN168" s="103">
        <v>8.7256027554535009</v>
      </c>
      <c r="DO168" s="103">
        <v>3.4411276948590386</v>
      </c>
    </row>
    <row r="169" spans="2:119" ht="15.4" customHeight="1" x14ac:dyDescent="0.45">
      <c r="B169" s="99"/>
      <c r="C169" s="42"/>
      <c r="D169" s="110"/>
      <c r="E169" s="47" t="s">
        <v>10</v>
      </c>
      <c r="F169" s="103">
        <v>0.19778983469124828</v>
      </c>
      <c r="G169" s="103">
        <v>1.270209947558475E-2</v>
      </c>
      <c r="H169" s="103">
        <v>0.17238563574007876</v>
      </c>
      <c r="I169" s="103">
        <v>1.8182148106479885</v>
      </c>
      <c r="J169" s="103">
        <v>6.8754649875700888</v>
      </c>
      <c r="K169" s="103">
        <v>15.139087989257652</v>
      </c>
      <c r="L169" s="103">
        <v>20.75341595746611</v>
      </c>
      <c r="M169" s="103">
        <v>21.281460378522567</v>
      </c>
      <c r="N169" s="103">
        <v>19.279972418298282</v>
      </c>
      <c r="O169" s="103">
        <v>14.469505888330399</v>
      </c>
      <c r="P169" s="42"/>
      <c r="Q169" s="110"/>
      <c r="R169" s="46" t="s">
        <v>10</v>
      </c>
      <c r="S169" s="103">
        <v>0.16759989334552242</v>
      </c>
      <c r="T169" s="103">
        <v>7.6181769702510192E-3</v>
      </c>
      <c r="U169" s="103">
        <v>9.5227212128137742E-2</v>
      </c>
      <c r="V169" s="103">
        <v>1.5122081285948272</v>
      </c>
      <c r="W169" s="103">
        <v>6.1059688416561917</v>
      </c>
      <c r="X169" s="103">
        <v>14.192663695577648</v>
      </c>
      <c r="Y169" s="103">
        <v>20.725250447567898</v>
      </c>
      <c r="Z169" s="103">
        <v>22.191749514341218</v>
      </c>
      <c r="AA169" s="103">
        <v>20.416714280272728</v>
      </c>
      <c r="AB169" s="103">
        <v>14.584999809545577</v>
      </c>
      <c r="AC169" s="42"/>
      <c r="AD169" s="110"/>
      <c r="AE169" s="46" t="s">
        <v>10</v>
      </c>
      <c r="AF169" s="103">
        <v>0.22525644579983367</v>
      </c>
      <c r="AG169" s="103">
        <v>1.7327418907679512E-2</v>
      </c>
      <c r="AH169" s="103">
        <v>0.24258386470751317</v>
      </c>
      <c r="AI169" s="103">
        <v>2.0966176878292209</v>
      </c>
      <c r="AJ169" s="103">
        <v>7.5755475464374831</v>
      </c>
      <c r="AK169" s="103">
        <v>16.000138619351262</v>
      </c>
      <c r="AL169" s="103">
        <v>20.779040754089269</v>
      </c>
      <c r="AM169" s="103">
        <v>20.453285278624897</v>
      </c>
      <c r="AN169" s="103">
        <v>18.245772109786525</v>
      </c>
      <c r="AO169" s="103">
        <v>14.364430274466317</v>
      </c>
      <c r="AP169" s="6"/>
      <c r="AQ169" s="110"/>
      <c r="AR169" s="46" t="s">
        <v>10</v>
      </c>
      <c r="AS169" s="103">
        <v>0.3876570010854396</v>
      </c>
      <c r="AT169" s="103">
        <v>6.2025120173670331E-2</v>
      </c>
      <c r="AU169" s="103">
        <v>0.63575748178012093</v>
      </c>
      <c r="AV169" s="103">
        <v>3.488913009768956</v>
      </c>
      <c r="AW169" s="103">
        <v>10.203132268568771</v>
      </c>
      <c r="AX169" s="103">
        <v>18.033803690494651</v>
      </c>
      <c r="AY169" s="103">
        <v>21.321135059699177</v>
      </c>
      <c r="AZ169" s="103">
        <v>19.599937974879829</v>
      </c>
      <c r="BA169" s="103">
        <v>16.374631725848968</v>
      </c>
      <c r="BB169" s="103">
        <v>9.8930066677004191</v>
      </c>
      <c r="BC169" s="42"/>
      <c r="BD169" s="110"/>
      <c r="BE169" s="46" t="s">
        <v>10</v>
      </c>
      <c r="BF169" s="103">
        <v>0.1726263871763255</v>
      </c>
      <c r="BG169" s="103">
        <v>6.1652281134401974E-3</v>
      </c>
      <c r="BH169" s="103">
        <v>0.11097410604192356</v>
      </c>
      <c r="BI169" s="103">
        <v>1.5967940813810109</v>
      </c>
      <c r="BJ169" s="103">
        <v>6.4344430743937533</v>
      </c>
      <c r="BK169" s="103">
        <v>14.755445951500207</v>
      </c>
      <c r="BL169" s="103">
        <v>20.678175092478419</v>
      </c>
      <c r="BM169" s="103">
        <v>21.504315659679406</v>
      </c>
      <c r="BN169" s="103">
        <v>19.665022605836416</v>
      </c>
      <c r="BO169" s="103">
        <v>15.076037813399095</v>
      </c>
      <c r="BQ169" s="110"/>
      <c r="BR169" s="46" t="s">
        <v>10</v>
      </c>
      <c r="BS169" s="103">
        <v>0.3491271820448878</v>
      </c>
      <c r="BT169" s="103">
        <v>4.987531172069825E-2</v>
      </c>
      <c r="BU169" s="103">
        <v>0.44887780548628431</v>
      </c>
      <c r="BV169" s="103">
        <v>3.0423940149625937</v>
      </c>
      <c r="BW169" s="103">
        <v>8.2793017456359106</v>
      </c>
      <c r="BX169" s="103">
        <v>16.359102244389025</v>
      </c>
      <c r="BY169" s="103">
        <v>20.798004987531172</v>
      </c>
      <c r="BZ169" s="103">
        <v>22.194513715710723</v>
      </c>
      <c r="CA169" s="103">
        <v>16.658354114713216</v>
      </c>
      <c r="CB169" s="103">
        <v>11.820448877805486</v>
      </c>
      <c r="CC169" s="42"/>
      <c r="CD169" s="110"/>
      <c r="CE169" s="46" t="s">
        <v>10</v>
      </c>
      <c r="CF169" s="103">
        <v>0.19207592648388069</v>
      </c>
      <c r="CG169" s="103">
        <v>1.1298583910816512E-2</v>
      </c>
      <c r="CH169" s="103">
        <v>0.16194636938836998</v>
      </c>
      <c r="CI169" s="103">
        <v>1.7719945766797227</v>
      </c>
      <c r="CJ169" s="103">
        <v>6.822461584814703</v>
      </c>
      <c r="CK169" s="103">
        <v>15.09302500753239</v>
      </c>
      <c r="CL169" s="103">
        <v>20.751732449532991</v>
      </c>
      <c r="CM169" s="103">
        <v>21.246987044290449</v>
      </c>
      <c r="CN169" s="103">
        <v>19.378954504368785</v>
      </c>
      <c r="CO169" s="103">
        <v>14.569523952997891</v>
      </c>
      <c r="CQ169" s="110"/>
      <c r="CR169" s="46" t="s">
        <v>10</v>
      </c>
      <c r="CS169" s="103">
        <v>0.13058239749281797</v>
      </c>
      <c r="CT169" s="103">
        <v>0</v>
      </c>
      <c r="CU169" s="103">
        <v>0.11752415774353617</v>
      </c>
      <c r="CV169" s="103">
        <v>0.86184382345259858</v>
      </c>
      <c r="CW169" s="103">
        <v>3.4604335335596756</v>
      </c>
      <c r="CX169" s="103">
        <v>9.4672238182293036</v>
      </c>
      <c r="CY169" s="103">
        <v>16.858187516322801</v>
      </c>
      <c r="CZ169" s="103">
        <v>22.342648211021153</v>
      </c>
      <c r="DA169" s="103">
        <v>24.889004962131107</v>
      </c>
      <c r="DB169" s="103">
        <v>21.872551580047009</v>
      </c>
      <c r="DC169" s="42"/>
      <c r="DD169" s="110"/>
      <c r="DE169" s="46" t="s">
        <v>10</v>
      </c>
      <c r="DF169" s="103">
        <v>0.20863627742302585</v>
      </c>
      <c r="DG169" s="103">
        <v>1.475206001980991E-2</v>
      </c>
      <c r="DH169" s="103">
        <v>0.18123959452909316</v>
      </c>
      <c r="DI169" s="103">
        <v>1.9725611683631536</v>
      </c>
      <c r="DJ169" s="103">
        <v>7.4266085014014456</v>
      </c>
      <c r="DK169" s="103">
        <v>16.054456175844557</v>
      </c>
      <c r="DL169" s="103">
        <v>21.38205728014162</v>
      </c>
      <c r="DM169" s="103">
        <v>21.110197888347983</v>
      </c>
      <c r="DN169" s="103">
        <v>18.374744473246086</v>
      </c>
      <c r="DO169" s="103">
        <v>13.27474658068323</v>
      </c>
    </row>
    <row r="170" spans="2:119" ht="15.4" customHeight="1" x14ac:dyDescent="0.45">
      <c r="B170" s="99"/>
      <c r="C170" s="42"/>
      <c r="D170" s="111"/>
      <c r="E170" s="47" t="s">
        <v>11</v>
      </c>
      <c r="F170" s="103">
        <v>4.9969463105879741E-2</v>
      </c>
      <c r="G170" s="103">
        <v>0</v>
      </c>
      <c r="H170" s="103">
        <v>1.1104325134639942E-2</v>
      </c>
      <c r="I170" s="103">
        <v>0.27760812836599852</v>
      </c>
      <c r="J170" s="103">
        <v>1.8044528343789907</v>
      </c>
      <c r="K170" s="103">
        <v>5.6409971683970905</v>
      </c>
      <c r="L170" s="103">
        <v>11.53184165232358</v>
      </c>
      <c r="M170" s="103">
        <v>16.895230692354669</v>
      </c>
      <c r="N170" s="103">
        <v>24.312919882294153</v>
      </c>
      <c r="O170" s="103">
        <v>39.475875853644993</v>
      </c>
      <c r="P170" s="42"/>
      <c r="Q170" s="111"/>
      <c r="R170" s="46" t="s">
        <v>11</v>
      </c>
      <c r="S170" s="103">
        <v>5.6954094999430459E-2</v>
      </c>
      <c r="T170" s="103">
        <v>0</v>
      </c>
      <c r="U170" s="103">
        <v>1.1390818999886091E-2</v>
      </c>
      <c r="V170" s="103">
        <v>0.20503474199794966</v>
      </c>
      <c r="W170" s="103">
        <v>1.2757717279872423</v>
      </c>
      <c r="X170" s="103">
        <v>5.2283859209477157</v>
      </c>
      <c r="Y170" s="103">
        <v>10.707369859892927</v>
      </c>
      <c r="Z170" s="103">
        <v>16.619204920833809</v>
      </c>
      <c r="AA170" s="103">
        <v>24.831985419751682</v>
      </c>
      <c r="AB170" s="103">
        <v>41.063902494589364</v>
      </c>
      <c r="AC170" s="42"/>
      <c r="AD170" s="111"/>
      <c r="AE170" s="46" t="s">
        <v>11</v>
      </c>
      <c r="AF170" s="103">
        <v>4.3327556325823219E-2</v>
      </c>
      <c r="AG170" s="103">
        <v>0</v>
      </c>
      <c r="AH170" s="103">
        <v>1.0831889081455805E-2</v>
      </c>
      <c r="AI170" s="103">
        <v>0.34662045060658575</v>
      </c>
      <c r="AJ170" s="103">
        <v>2.3071923743500866</v>
      </c>
      <c r="AK170" s="103">
        <v>6.0333622183708835</v>
      </c>
      <c r="AL170" s="103">
        <v>12.315857885615252</v>
      </c>
      <c r="AM170" s="103">
        <v>17.157712305025996</v>
      </c>
      <c r="AN170" s="103">
        <v>23.819324090121317</v>
      </c>
      <c r="AO170" s="103">
        <v>37.965771230502597</v>
      </c>
      <c r="AP170" s="6"/>
      <c r="AQ170" s="111"/>
      <c r="AR170" s="46" t="s">
        <v>11</v>
      </c>
      <c r="AS170" s="103">
        <v>0.45385779122541603</v>
      </c>
      <c r="AT170" s="103">
        <v>0</v>
      </c>
      <c r="AU170" s="103">
        <v>0</v>
      </c>
      <c r="AV170" s="103">
        <v>0.90771558245083206</v>
      </c>
      <c r="AW170" s="103">
        <v>2.798789712556732</v>
      </c>
      <c r="AX170" s="103">
        <v>9.4553706505295008</v>
      </c>
      <c r="AY170" s="103">
        <v>15.658093797276853</v>
      </c>
      <c r="AZ170" s="103">
        <v>18.38124054462935</v>
      </c>
      <c r="BA170" s="103">
        <v>24.130105900151285</v>
      </c>
      <c r="BB170" s="103">
        <v>28.214826021180027</v>
      </c>
      <c r="BC170" s="42"/>
      <c r="BD170" s="111"/>
      <c r="BE170" s="46" t="s">
        <v>11</v>
      </c>
      <c r="BF170" s="103">
        <v>1.7975912277548085E-2</v>
      </c>
      <c r="BG170" s="103">
        <v>0</v>
      </c>
      <c r="BH170" s="103">
        <v>1.198394151836539E-2</v>
      </c>
      <c r="BI170" s="103">
        <v>0.22769488884894243</v>
      </c>
      <c r="BJ170" s="103">
        <v>1.7256875786446164</v>
      </c>
      <c r="BK170" s="103">
        <v>5.338845946431781</v>
      </c>
      <c r="BL170" s="103">
        <v>11.204985319671639</v>
      </c>
      <c r="BM170" s="103">
        <v>16.777518125711545</v>
      </c>
      <c r="BN170" s="103">
        <v>24.327401282281745</v>
      </c>
      <c r="BO170" s="103">
        <v>40.367907004613819</v>
      </c>
      <c r="BQ170" s="111"/>
      <c r="BR170" s="46" t="s">
        <v>11</v>
      </c>
      <c r="BS170" s="103">
        <v>0.18867924528301888</v>
      </c>
      <c r="BT170" s="103">
        <v>0</v>
      </c>
      <c r="BU170" s="103">
        <v>0</v>
      </c>
      <c r="BV170" s="103">
        <v>0.94339622641509435</v>
      </c>
      <c r="BW170" s="103">
        <v>3.5849056603773586</v>
      </c>
      <c r="BX170" s="103">
        <v>6.6037735849056602</v>
      </c>
      <c r="BY170" s="103">
        <v>15.471698113207546</v>
      </c>
      <c r="BZ170" s="103">
        <v>18.113207547169811</v>
      </c>
      <c r="CA170" s="103">
        <v>21.69811320754717</v>
      </c>
      <c r="CB170" s="103">
        <v>33.39622641509434</v>
      </c>
      <c r="CC170" s="42"/>
      <c r="CD170" s="111"/>
      <c r="CE170" s="46" t="s">
        <v>11</v>
      </c>
      <c r="CF170" s="103">
        <v>4.5763972312796754E-2</v>
      </c>
      <c r="CG170" s="103">
        <v>0</v>
      </c>
      <c r="CH170" s="103">
        <v>1.1440993078199188E-2</v>
      </c>
      <c r="CI170" s="103">
        <v>0.25742234425948174</v>
      </c>
      <c r="CJ170" s="103">
        <v>1.7504719409644758</v>
      </c>
      <c r="CK170" s="103">
        <v>5.6118071048567018</v>
      </c>
      <c r="CL170" s="103">
        <v>11.412390595503689</v>
      </c>
      <c r="CM170" s="103">
        <v>16.858303300726504</v>
      </c>
      <c r="CN170" s="103">
        <v>24.392197242720666</v>
      </c>
      <c r="CO170" s="103">
        <v>39.660202505577487</v>
      </c>
      <c r="CQ170" s="111"/>
      <c r="CR170" s="46" t="s">
        <v>11</v>
      </c>
      <c r="CS170" s="103">
        <v>9.2850510677808723E-2</v>
      </c>
      <c r="CT170" s="103">
        <v>0</v>
      </c>
      <c r="CU170" s="103">
        <v>0</v>
      </c>
      <c r="CV170" s="103">
        <v>0.1392757660167131</v>
      </c>
      <c r="CW170" s="103">
        <v>0.78922934076137408</v>
      </c>
      <c r="CX170" s="103">
        <v>2.55338904363974</v>
      </c>
      <c r="CY170" s="103">
        <v>7.6601671309192199</v>
      </c>
      <c r="CZ170" s="103">
        <v>14.113277623026926</v>
      </c>
      <c r="DA170" s="103">
        <v>25.069637883008355</v>
      </c>
      <c r="DB170" s="103">
        <v>49.582172701949858</v>
      </c>
      <c r="DC170" s="42"/>
      <c r="DD170" s="111"/>
      <c r="DE170" s="46" t="s">
        <v>11</v>
      </c>
      <c r="DF170" s="103">
        <v>4.41445418427193E-2</v>
      </c>
      <c r="DG170" s="103">
        <v>0</v>
      </c>
      <c r="DH170" s="103">
        <v>1.2612726240776945E-2</v>
      </c>
      <c r="DI170" s="103">
        <v>0.29639906665825816</v>
      </c>
      <c r="DJ170" s="103">
        <v>1.9423598410796494</v>
      </c>
      <c r="DK170" s="103">
        <v>6.0604149586933209</v>
      </c>
      <c r="DL170" s="103">
        <v>12.057766286182758</v>
      </c>
      <c r="DM170" s="103">
        <v>17.273128586744026</v>
      </c>
      <c r="DN170" s="103">
        <v>24.210128019171346</v>
      </c>
      <c r="DO170" s="103">
        <v>38.103045973387147</v>
      </c>
    </row>
    <row r="171" spans="2:119" ht="15.4" customHeight="1" x14ac:dyDescent="0.45">
      <c r="B171" s="99"/>
      <c r="C171" s="42"/>
      <c r="D171" s="42"/>
      <c r="E171" s="42"/>
      <c r="F171" s="48"/>
      <c r="G171" s="48"/>
      <c r="H171" s="48"/>
      <c r="I171" s="48"/>
      <c r="J171" s="48"/>
      <c r="K171" s="48"/>
      <c r="L171" s="48"/>
      <c r="M171" s="48"/>
      <c r="N171" s="48"/>
      <c r="O171" s="42"/>
      <c r="P171" s="42"/>
      <c r="Q171" s="42"/>
      <c r="R171" s="48"/>
      <c r="S171" s="48"/>
      <c r="T171" s="48"/>
      <c r="U171" s="48"/>
      <c r="V171" s="48"/>
      <c r="W171" s="48"/>
      <c r="X171" s="48"/>
      <c r="Y171" s="48"/>
      <c r="Z171" s="48"/>
      <c r="AA171" s="42"/>
      <c r="AB171" s="42"/>
      <c r="AC171" s="42"/>
      <c r="AD171" s="42"/>
      <c r="AE171" s="42"/>
      <c r="AF171" s="42"/>
      <c r="AG171" s="42"/>
      <c r="AH171" s="42"/>
      <c r="AI171" s="42"/>
      <c r="AJ171" s="42"/>
      <c r="AK171" s="42"/>
      <c r="AL171" s="42"/>
      <c r="AM171" s="42"/>
      <c r="AN171" s="42"/>
      <c r="AO171" s="42"/>
      <c r="AQ171" s="42"/>
      <c r="AR171" s="42"/>
      <c r="AS171" s="48"/>
      <c r="AT171" s="48"/>
      <c r="AU171" s="48"/>
      <c r="AV171" s="48"/>
      <c r="AW171" s="48"/>
      <c r="AX171" s="48"/>
      <c r="AY171" s="48"/>
      <c r="AZ171" s="48"/>
      <c r="BA171" s="42"/>
      <c r="BB171" s="42"/>
      <c r="BC171" s="42"/>
      <c r="BD171" s="42"/>
      <c r="BE171" s="42"/>
      <c r="BF171" s="42"/>
      <c r="BG171" s="42"/>
      <c r="BH171" s="42"/>
      <c r="BI171" s="42"/>
      <c r="BJ171" s="42"/>
      <c r="BK171" s="42"/>
      <c r="BL171" s="42"/>
      <c r="BM171" s="42"/>
      <c r="BN171" s="42"/>
      <c r="BO171" s="42"/>
      <c r="BQ171" s="42"/>
      <c r="BR171" s="42"/>
      <c r="BS171" s="48"/>
      <c r="BT171" s="48"/>
      <c r="BU171" s="48"/>
      <c r="BV171" s="48"/>
      <c r="BW171" s="48"/>
      <c r="BX171" s="48"/>
      <c r="BY171" s="48"/>
      <c r="BZ171" s="48"/>
      <c r="CA171" s="42"/>
      <c r="CB171" s="42"/>
      <c r="CC171" s="42"/>
      <c r="CD171" s="42"/>
      <c r="CE171" s="42"/>
      <c r="CF171" s="42"/>
      <c r="CG171" s="42"/>
      <c r="CH171" s="42"/>
      <c r="CI171" s="42"/>
      <c r="CJ171" s="42"/>
      <c r="CK171" s="42"/>
      <c r="CL171" s="42"/>
      <c r="CM171" s="42"/>
      <c r="CN171" s="42"/>
      <c r="CO171" s="42"/>
      <c r="CQ171" s="42"/>
      <c r="CR171" s="42"/>
      <c r="CS171" s="48"/>
      <c r="CT171" s="48"/>
      <c r="CU171" s="48"/>
      <c r="CV171" s="48"/>
      <c r="CW171" s="48"/>
      <c r="CX171" s="48"/>
      <c r="CY171" s="48"/>
      <c r="CZ171" s="48"/>
      <c r="DA171" s="42"/>
      <c r="DB171" s="42"/>
      <c r="DC171" s="42"/>
      <c r="DD171" s="42"/>
      <c r="DE171" s="42"/>
      <c r="DF171" s="42"/>
      <c r="DG171" s="42"/>
      <c r="DH171" s="42"/>
      <c r="DI171" s="42"/>
      <c r="DJ171" s="42"/>
      <c r="DK171" s="42"/>
      <c r="DL171" s="42"/>
      <c r="DM171" s="42"/>
      <c r="DN171" s="42"/>
      <c r="DO171" s="42"/>
    </row>
    <row r="172" spans="2:119" ht="15.4" customHeight="1" x14ac:dyDescent="0.45">
      <c r="B172" s="99"/>
      <c r="C172" s="42"/>
      <c r="D172" s="42"/>
      <c r="E172" s="42"/>
      <c r="F172" s="48"/>
      <c r="G172" s="48"/>
      <c r="H172" s="48"/>
      <c r="I172" s="48"/>
      <c r="J172" s="48"/>
      <c r="K172" s="48"/>
      <c r="L172" s="48"/>
      <c r="M172" s="48"/>
      <c r="N172" s="48"/>
      <c r="O172" s="42"/>
      <c r="P172" s="42"/>
      <c r="Q172" s="42"/>
      <c r="R172" s="48"/>
      <c r="S172" s="48"/>
      <c r="T172" s="48"/>
      <c r="U172" s="48"/>
      <c r="V172" s="48"/>
      <c r="W172" s="48"/>
      <c r="X172" s="48"/>
      <c r="Y172" s="48"/>
      <c r="Z172" s="48"/>
      <c r="AA172" s="42"/>
      <c r="AB172" s="42"/>
      <c r="AC172" s="42"/>
      <c r="AD172" s="42"/>
      <c r="AE172" s="42"/>
      <c r="AF172" s="42"/>
      <c r="AG172" s="42"/>
      <c r="AH172" s="42"/>
      <c r="AI172" s="42"/>
      <c r="AJ172" s="42"/>
      <c r="AK172" s="42"/>
      <c r="AL172" s="42"/>
      <c r="AM172" s="42"/>
      <c r="AN172" s="42"/>
      <c r="AO172" s="42"/>
      <c r="AQ172" s="42"/>
      <c r="AR172" s="42"/>
      <c r="AS172" s="48"/>
      <c r="AT172" s="48"/>
      <c r="AU172" s="48"/>
      <c r="AV172" s="48"/>
      <c r="AW172" s="48"/>
      <c r="AX172" s="48"/>
      <c r="AY172" s="48"/>
      <c r="AZ172" s="48"/>
      <c r="BA172" s="42"/>
      <c r="BB172" s="42"/>
      <c r="BC172" s="42"/>
      <c r="BD172" s="42"/>
      <c r="BE172" s="42"/>
      <c r="BF172" s="42"/>
      <c r="BG172" s="42"/>
      <c r="BH172" s="42"/>
      <c r="BI172" s="42"/>
      <c r="BJ172" s="42"/>
      <c r="BK172" s="42"/>
      <c r="BL172" s="42"/>
      <c r="BM172" s="42"/>
      <c r="BN172" s="42"/>
      <c r="BO172" s="42"/>
      <c r="BQ172" s="42"/>
      <c r="BR172" s="42"/>
      <c r="BS172" s="48"/>
      <c r="BT172" s="48"/>
      <c r="BU172" s="48"/>
      <c r="BV172" s="48"/>
      <c r="BW172" s="48"/>
      <c r="BX172" s="48"/>
      <c r="BY172" s="48"/>
      <c r="BZ172" s="48"/>
      <c r="CA172" s="42"/>
      <c r="CB172" s="42"/>
      <c r="CC172" s="42"/>
      <c r="CD172" s="42"/>
      <c r="CE172" s="42"/>
      <c r="CF172" s="42"/>
      <c r="CG172" s="42"/>
      <c r="CH172" s="42"/>
      <c r="CI172" s="42"/>
      <c r="CJ172" s="42"/>
      <c r="CK172" s="42"/>
      <c r="CL172" s="42"/>
      <c r="CM172" s="42"/>
      <c r="CN172" s="42"/>
      <c r="CO172" s="42"/>
      <c r="CQ172" s="42"/>
      <c r="CR172" s="42"/>
      <c r="CS172" s="48"/>
      <c r="CT172" s="48"/>
      <c r="CU172" s="48"/>
      <c r="CV172" s="48"/>
      <c r="CW172" s="48"/>
      <c r="CX172" s="48"/>
      <c r="CY172" s="48"/>
      <c r="CZ172" s="48"/>
      <c r="DA172" s="42"/>
      <c r="DB172" s="42"/>
      <c r="DC172" s="42"/>
      <c r="DD172" s="42"/>
      <c r="DE172" s="42"/>
      <c r="DF172" s="42"/>
      <c r="DG172" s="42"/>
      <c r="DH172" s="42"/>
      <c r="DI172" s="42"/>
      <c r="DJ172" s="42"/>
      <c r="DK172" s="42"/>
      <c r="DL172" s="42"/>
      <c r="DM172" s="42"/>
      <c r="DN172" s="42"/>
      <c r="DO172" s="42"/>
    </row>
    <row r="173" spans="2:119" ht="15.4" customHeight="1" x14ac:dyDescent="0.55000000000000004">
      <c r="B173" s="99"/>
      <c r="C173" s="42"/>
      <c r="D173" s="112" t="s">
        <v>24</v>
      </c>
      <c r="E173" s="112"/>
      <c r="F173" s="45"/>
      <c r="G173" s="45"/>
      <c r="H173" s="45"/>
      <c r="I173" s="45"/>
      <c r="J173" s="45"/>
      <c r="K173" s="45"/>
      <c r="L173" s="45"/>
      <c r="M173" s="45"/>
      <c r="N173" s="45"/>
      <c r="O173" s="45"/>
      <c r="P173" s="42"/>
      <c r="Q173" s="112" t="s">
        <v>24</v>
      </c>
      <c r="R173" s="112"/>
      <c r="S173" s="45"/>
      <c r="T173" s="45"/>
      <c r="U173" s="45"/>
      <c r="V173" s="45"/>
      <c r="W173" s="45"/>
      <c r="X173" s="45"/>
      <c r="Y173" s="45"/>
      <c r="Z173" s="45"/>
      <c r="AA173" s="45"/>
      <c r="AB173" s="45"/>
      <c r="AC173" s="42"/>
      <c r="AD173" s="112" t="s">
        <v>24</v>
      </c>
      <c r="AE173" s="112"/>
      <c r="AF173" s="45"/>
      <c r="AG173" s="45"/>
      <c r="AH173" s="45"/>
      <c r="AI173" s="45"/>
      <c r="AJ173" s="45"/>
      <c r="AK173" s="45"/>
      <c r="AL173" s="45"/>
      <c r="AM173" s="45"/>
      <c r="AN173" s="45"/>
      <c r="AO173" s="45"/>
      <c r="AP173" s="6"/>
      <c r="AQ173" s="112" t="s">
        <v>24</v>
      </c>
      <c r="AR173" s="112"/>
      <c r="AS173" s="45"/>
      <c r="AT173" s="45"/>
      <c r="AU173" s="45"/>
      <c r="AV173" s="45"/>
      <c r="AW173" s="45"/>
      <c r="AX173" s="45"/>
      <c r="AY173" s="45"/>
      <c r="AZ173" s="45"/>
      <c r="BA173" s="45"/>
      <c r="BB173" s="45"/>
      <c r="BC173" s="42"/>
      <c r="BD173" s="112" t="s">
        <v>24</v>
      </c>
      <c r="BE173" s="112"/>
      <c r="BF173" s="45"/>
      <c r="BG173" s="45"/>
      <c r="BH173" s="45"/>
      <c r="BI173" s="45"/>
      <c r="BJ173" s="45"/>
      <c r="BK173" s="45"/>
      <c r="BL173" s="45"/>
      <c r="BM173" s="45"/>
      <c r="BN173" s="45"/>
      <c r="BO173" s="45"/>
      <c r="BQ173" s="112" t="s">
        <v>24</v>
      </c>
      <c r="BR173" s="112"/>
      <c r="BS173" s="45"/>
      <c r="BT173" s="45"/>
      <c r="BU173" s="45"/>
      <c r="BV173" s="45"/>
      <c r="BW173" s="45"/>
      <c r="BX173" s="45"/>
      <c r="BY173" s="45"/>
      <c r="BZ173" s="45"/>
      <c r="CA173" s="45"/>
      <c r="CB173" s="45"/>
      <c r="CC173" s="42"/>
      <c r="CD173" s="112" t="s">
        <v>24</v>
      </c>
      <c r="CE173" s="112"/>
      <c r="CF173" s="45"/>
      <c r="CG173" s="45"/>
      <c r="CH173" s="45"/>
      <c r="CI173" s="45"/>
      <c r="CJ173" s="45"/>
      <c r="CK173" s="45"/>
      <c r="CL173" s="45"/>
      <c r="CM173" s="45"/>
      <c r="CN173" s="45"/>
      <c r="CO173" s="45"/>
      <c r="CQ173" s="112" t="s">
        <v>24</v>
      </c>
      <c r="CR173" s="112"/>
      <c r="CS173" s="45"/>
      <c r="CT173" s="45"/>
      <c r="CU173" s="45"/>
      <c r="CV173" s="45"/>
      <c r="CW173" s="45"/>
      <c r="CX173" s="45"/>
      <c r="CY173" s="45"/>
      <c r="CZ173" s="45"/>
      <c r="DA173" s="45"/>
      <c r="DB173" s="45"/>
      <c r="DC173" s="42"/>
      <c r="DD173" s="112" t="s">
        <v>24</v>
      </c>
      <c r="DE173" s="112"/>
      <c r="DF173" s="45"/>
      <c r="DG173" s="45"/>
      <c r="DH173" s="45"/>
      <c r="DI173" s="45"/>
      <c r="DJ173" s="45"/>
      <c r="DK173" s="45"/>
      <c r="DL173" s="45"/>
      <c r="DM173" s="45"/>
      <c r="DN173" s="45"/>
      <c r="DO173" s="45"/>
    </row>
    <row r="174" spans="2:119" ht="28.9" customHeight="1" x14ac:dyDescent="0.45">
      <c r="B174" s="99"/>
      <c r="C174" s="42"/>
      <c r="D174" s="112"/>
      <c r="E174" s="112"/>
      <c r="F174" s="108" t="s">
        <v>12</v>
      </c>
      <c r="G174" s="108"/>
      <c r="H174" s="108"/>
      <c r="I174" s="108"/>
      <c r="J174" s="108"/>
      <c r="K174" s="108"/>
      <c r="L174" s="108"/>
      <c r="M174" s="108"/>
      <c r="N174" s="108"/>
      <c r="O174" s="108"/>
      <c r="P174" s="42"/>
      <c r="Q174" s="112"/>
      <c r="R174" s="112"/>
      <c r="S174" s="108" t="s">
        <v>12</v>
      </c>
      <c r="T174" s="108"/>
      <c r="U174" s="108"/>
      <c r="V174" s="108"/>
      <c r="W174" s="108"/>
      <c r="X174" s="108"/>
      <c r="Y174" s="108"/>
      <c r="Z174" s="108"/>
      <c r="AA174" s="108"/>
      <c r="AB174" s="108"/>
      <c r="AC174" s="42"/>
      <c r="AD174" s="112"/>
      <c r="AE174" s="112"/>
      <c r="AF174" s="108" t="s">
        <v>12</v>
      </c>
      <c r="AG174" s="108"/>
      <c r="AH174" s="108"/>
      <c r="AI174" s="108"/>
      <c r="AJ174" s="108"/>
      <c r="AK174" s="108"/>
      <c r="AL174" s="108"/>
      <c r="AM174" s="108"/>
      <c r="AN174" s="108"/>
      <c r="AO174" s="108"/>
      <c r="AP174" s="6"/>
      <c r="AQ174" s="112"/>
      <c r="AR174" s="112"/>
      <c r="AS174" s="108" t="s">
        <v>12</v>
      </c>
      <c r="AT174" s="108"/>
      <c r="AU174" s="108"/>
      <c r="AV174" s="108"/>
      <c r="AW174" s="108"/>
      <c r="AX174" s="108"/>
      <c r="AY174" s="108"/>
      <c r="AZ174" s="108"/>
      <c r="BA174" s="108"/>
      <c r="BB174" s="108"/>
      <c r="BC174" s="42"/>
      <c r="BD174" s="112"/>
      <c r="BE174" s="112"/>
      <c r="BF174" s="108" t="s">
        <v>12</v>
      </c>
      <c r="BG174" s="108"/>
      <c r="BH174" s="108"/>
      <c r="BI174" s="108"/>
      <c r="BJ174" s="108"/>
      <c r="BK174" s="108"/>
      <c r="BL174" s="108"/>
      <c r="BM174" s="108"/>
      <c r="BN174" s="108"/>
      <c r="BO174" s="108"/>
      <c r="BQ174" s="112"/>
      <c r="BR174" s="112"/>
      <c r="BS174" s="108" t="s">
        <v>12</v>
      </c>
      <c r="BT174" s="108"/>
      <c r="BU174" s="108"/>
      <c r="BV174" s="108"/>
      <c r="BW174" s="108"/>
      <c r="BX174" s="108"/>
      <c r="BY174" s="108"/>
      <c r="BZ174" s="108"/>
      <c r="CA174" s="108"/>
      <c r="CB174" s="108"/>
      <c r="CC174" s="42"/>
      <c r="CD174" s="112"/>
      <c r="CE174" s="112"/>
      <c r="CF174" s="108" t="s">
        <v>12</v>
      </c>
      <c r="CG174" s="108"/>
      <c r="CH174" s="108"/>
      <c r="CI174" s="108"/>
      <c r="CJ174" s="108"/>
      <c r="CK174" s="108"/>
      <c r="CL174" s="108"/>
      <c r="CM174" s="108"/>
      <c r="CN174" s="108"/>
      <c r="CO174" s="108"/>
      <c r="CQ174" s="112"/>
      <c r="CR174" s="112"/>
      <c r="CS174" s="108" t="s">
        <v>12</v>
      </c>
      <c r="CT174" s="108"/>
      <c r="CU174" s="108"/>
      <c r="CV174" s="108"/>
      <c r="CW174" s="108"/>
      <c r="CX174" s="108"/>
      <c r="CY174" s="108"/>
      <c r="CZ174" s="108"/>
      <c r="DA174" s="108"/>
      <c r="DB174" s="108"/>
      <c r="DC174" s="42"/>
      <c r="DD174" s="112"/>
      <c r="DE174" s="112"/>
      <c r="DF174" s="108" t="s">
        <v>12</v>
      </c>
      <c r="DG174" s="108"/>
      <c r="DH174" s="108"/>
      <c r="DI174" s="108"/>
      <c r="DJ174" s="108"/>
      <c r="DK174" s="108"/>
      <c r="DL174" s="108"/>
      <c r="DM174" s="108"/>
      <c r="DN174" s="108"/>
      <c r="DO174" s="108"/>
    </row>
    <row r="175" spans="2:119" ht="14.45" customHeight="1" x14ac:dyDescent="0.45">
      <c r="B175" s="99"/>
      <c r="C175" s="42"/>
      <c r="D175" s="113"/>
      <c r="E175" s="113"/>
      <c r="F175" s="9" t="s">
        <v>0</v>
      </c>
      <c r="G175" s="9">
        <v>1</v>
      </c>
      <c r="H175" s="9">
        <v>2</v>
      </c>
      <c r="I175" s="9">
        <v>3</v>
      </c>
      <c r="J175" s="9">
        <v>4</v>
      </c>
      <c r="K175" s="9">
        <v>5</v>
      </c>
      <c r="L175" s="9">
        <v>6</v>
      </c>
      <c r="M175" s="9">
        <v>7</v>
      </c>
      <c r="N175" s="9">
        <v>8</v>
      </c>
      <c r="O175" s="9">
        <v>9</v>
      </c>
      <c r="P175" s="42"/>
      <c r="Q175" s="113"/>
      <c r="R175" s="113"/>
      <c r="S175" s="9" t="s">
        <v>0</v>
      </c>
      <c r="T175" s="9">
        <v>1</v>
      </c>
      <c r="U175" s="9">
        <v>2</v>
      </c>
      <c r="V175" s="9">
        <v>3</v>
      </c>
      <c r="W175" s="9">
        <v>4</v>
      </c>
      <c r="X175" s="9">
        <v>5</v>
      </c>
      <c r="Y175" s="9">
        <v>6</v>
      </c>
      <c r="Z175" s="9">
        <v>7</v>
      </c>
      <c r="AA175" s="9">
        <v>8</v>
      </c>
      <c r="AB175" s="9">
        <v>9</v>
      </c>
      <c r="AC175" s="42"/>
      <c r="AD175" s="113"/>
      <c r="AE175" s="113"/>
      <c r="AF175" s="9" t="s">
        <v>0</v>
      </c>
      <c r="AG175" s="9">
        <v>1</v>
      </c>
      <c r="AH175" s="9">
        <v>2</v>
      </c>
      <c r="AI175" s="9">
        <v>3</v>
      </c>
      <c r="AJ175" s="9">
        <v>4</v>
      </c>
      <c r="AK175" s="9">
        <v>5</v>
      </c>
      <c r="AL175" s="9">
        <v>6</v>
      </c>
      <c r="AM175" s="9">
        <v>7</v>
      </c>
      <c r="AN175" s="9">
        <v>8</v>
      </c>
      <c r="AO175" s="9">
        <v>9</v>
      </c>
      <c r="AP175" s="6"/>
      <c r="AQ175" s="113"/>
      <c r="AR175" s="113"/>
      <c r="AS175" s="9" t="s">
        <v>0</v>
      </c>
      <c r="AT175" s="9">
        <v>1</v>
      </c>
      <c r="AU175" s="9">
        <v>2</v>
      </c>
      <c r="AV175" s="9">
        <v>3</v>
      </c>
      <c r="AW175" s="9">
        <v>4</v>
      </c>
      <c r="AX175" s="9">
        <v>5</v>
      </c>
      <c r="AY175" s="9">
        <v>6</v>
      </c>
      <c r="AZ175" s="9">
        <v>7</v>
      </c>
      <c r="BA175" s="9">
        <v>8</v>
      </c>
      <c r="BB175" s="9">
        <v>9</v>
      </c>
      <c r="BC175" s="42"/>
      <c r="BD175" s="113"/>
      <c r="BE175" s="113"/>
      <c r="BF175" s="9" t="s">
        <v>0</v>
      </c>
      <c r="BG175" s="9">
        <v>1</v>
      </c>
      <c r="BH175" s="9">
        <v>2</v>
      </c>
      <c r="BI175" s="9">
        <v>3</v>
      </c>
      <c r="BJ175" s="9">
        <v>4</v>
      </c>
      <c r="BK175" s="9">
        <v>5</v>
      </c>
      <c r="BL175" s="9">
        <v>6</v>
      </c>
      <c r="BM175" s="9">
        <v>7</v>
      </c>
      <c r="BN175" s="9">
        <v>8</v>
      </c>
      <c r="BO175" s="9">
        <v>9</v>
      </c>
      <c r="BQ175" s="113"/>
      <c r="BR175" s="113"/>
      <c r="BS175" s="9" t="s">
        <v>0</v>
      </c>
      <c r="BT175" s="9">
        <v>1</v>
      </c>
      <c r="BU175" s="9">
        <v>2</v>
      </c>
      <c r="BV175" s="9">
        <v>3</v>
      </c>
      <c r="BW175" s="9">
        <v>4</v>
      </c>
      <c r="BX175" s="9">
        <v>5</v>
      </c>
      <c r="BY175" s="9">
        <v>6</v>
      </c>
      <c r="BZ175" s="9">
        <v>7</v>
      </c>
      <c r="CA175" s="9">
        <v>8</v>
      </c>
      <c r="CB175" s="9">
        <v>9</v>
      </c>
      <c r="CC175" s="42"/>
      <c r="CD175" s="113"/>
      <c r="CE175" s="113"/>
      <c r="CF175" s="9" t="s">
        <v>0</v>
      </c>
      <c r="CG175" s="9">
        <v>1</v>
      </c>
      <c r="CH175" s="9">
        <v>2</v>
      </c>
      <c r="CI175" s="9">
        <v>3</v>
      </c>
      <c r="CJ175" s="9">
        <v>4</v>
      </c>
      <c r="CK175" s="9">
        <v>5</v>
      </c>
      <c r="CL175" s="9">
        <v>6</v>
      </c>
      <c r="CM175" s="9">
        <v>7</v>
      </c>
      <c r="CN175" s="9">
        <v>8</v>
      </c>
      <c r="CO175" s="9">
        <v>9</v>
      </c>
      <c r="CQ175" s="113"/>
      <c r="CR175" s="113"/>
      <c r="CS175" s="9" t="s">
        <v>0</v>
      </c>
      <c r="CT175" s="9">
        <v>1</v>
      </c>
      <c r="CU175" s="9">
        <v>2</v>
      </c>
      <c r="CV175" s="9">
        <v>3</v>
      </c>
      <c r="CW175" s="9">
        <v>4</v>
      </c>
      <c r="CX175" s="9">
        <v>5</v>
      </c>
      <c r="CY175" s="9">
        <v>6</v>
      </c>
      <c r="CZ175" s="9">
        <v>7</v>
      </c>
      <c r="DA175" s="9">
        <v>8</v>
      </c>
      <c r="DB175" s="9">
        <v>9</v>
      </c>
      <c r="DC175" s="42"/>
      <c r="DD175" s="113"/>
      <c r="DE175" s="113"/>
      <c r="DF175" s="9" t="s">
        <v>0</v>
      </c>
      <c r="DG175" s="9">
        <v>1</v>
      </c>
      <c r="DH175" s="9">
        <v>2</v>
      </c>
      <c r="DI175" s="9">
        <v>3</v>
      </c>
      <c r="DJ175" s="9">
        <v>4</v>
      </c>
      <c r="DK175" s="9">
        <v>5</v>
      </c>
      <c r="DL175" s="9">
        <v>6</v>
      </c>
      <c r="DM175" s="9">
        <v>7</v>
      </c>
      <c r="DN175" s="9">
        <v>8</v>
      </c>
      <c r="DO175" s="9">
        <v>9</v>
      </c>
    </row>
    <row r="176" spans="2:119" ht="14.45" customHeight="1" x14ac:dyDescent="0.45">
      <c r="B176" s="134" t="s">
        <v>122</v>
      </c>
      <c r="C176" s="42"/>
      <c r="D176" s="109" t="s">
        <v>13</v>
      </c>
      <c r="E176" s="46" t="s">
        <v>1</v>
      </c>
      <c r="F176" s="103">
        <v>1</v>
      </c>
      <c r="G176" s="103">
        <v>5</v>
      </c>
      <c r="H176" s="103">
        <v>1</v>
      </c>
      <c r="I176" s="103">
        <v>0</v>
      </c>
      <c r="J176" s="103">
        <v>0</v>
      </c>
      <c r="K176" s="103">
        <v>1</v>
      </c>
      <c r="L176" s="103">
        <v>0</v>
      </c>
      <c r="M176" s="103">
        <v>0</v>
      </c>
      <c r="N176" s="103">
        <v>0</v>
      </c>
      <c r="O176" s="17">
        <v>1</v>
      </c>
      <c r="P176" s="42"/>
      <c r="Q176" s="109" t="s">
        <v>13</v>
      </c>
      <c r="R176" s="46" t="s">
        <v>1</v>
      </c>
      <c r="S176" s="103">
        <v>1</v>
      </c>
      <c r="T176" s="103">
        <v>0</v>
      </c>
      <c r="U176" s="103">
        <v>1</v>
      </c>
      <c r="V176" s="103">
        <v>0</v>
      </c>
      <c r="W176" s="103">
        <v>0</v>
      </c>
      <c r="X176" s="103">
        <v>1</v>
      </c>
      <c r="Y176" s="103">
        <v>0</v>
      </c>
      <c r="Z176" s="103">
        <v>0</v>
      </c>
      <c r="AA176" s="103">
        <v>0</v>
      </c>
      <c r="AB176" s="17">
        <v>0</v>
      </c>
      <c r="AC176" s="42"/>
      <c r="AD176" s="109" t="s">
        <v>13</v>
      </c>
      <c r="AE176" s="46" t="s">
        <v>1</v>
      </c>
      <c r="AF176" s="103">
        <v>0</v>
      </c>
      <c r="AG176" s="103">
        <v>5</v>
      </c>
      <c r="AH176" s="103">
        <v>0</v>
      </c>
      <c r="AI176" s="103">
        <v>0</v>
      </c>
      <c r="AJ176" s="103">
        <v>0</v>
      </c>
      <c r="AK176" s="103">
        <v>0</v>
      </c>
      <c r="AL176" s="103">
        <v>0</v>
      </c>
      <c r="AM176" s="103">
        <v>0</v>
      </c>
      <c r="AN176" s="103">
        <v>0</v>
      </c>
      <c r="AO176" s="17">
        <v>1</v>
      </c>
      <c r="AP176" s="6"/>
      <c r="AQ176" s="109" t="s">
        <v>13</v>
      </c>
      <c r="AR176" s="46" t="s">
        <v>1</v>
      </c>
      <c r="AS176" s="103">
        <v>1</v>
      </c>
      <c r="AT176" s="103">
        <v>4</v>
      </c>
      <c r="AU176" s="103">
        <v>0</v>
      </c>
      <c r="AV176" s="103">
        <v>0</v>
      </c>
      <c r="AW176" s="103">
        <v>0</v>
      </c>
      <c r="AX176" s="103">
        <v>1</v>
      </c>
      <c r="AY176" s="103">
        <v>0</v>
      </c>
      <c r="AZ176" s="103">
        <v>0</v>
      </c>
      <c r="BA176" s="103">
        <v>0</v>
      </c>
      <c r="BB176" s="17">
        <v>0</v>
      </c>
      <c r="BC176" s="42"/>
      <c r="BD176" s="109" t="s">
        <v>13</v>
      </c>
      <c r="BE176" s="46" t="s">
        <v>1</v>
      </c>
      <c r="BF176" s="103">
        <v>0</v>
      </c>
      <c r="BG176" s="103">
        <v>1</v>
      </c>
      <c r="BH176" s="103">
        <v>1</v>
      </c>
      <c r="BI176" s="103">
        <v>0</v>
      </c>
      <c r="BJ176" s="103">
        <v>0</v>
      </c>
      <c r="BK176" s="103">
        <v>0</v>
      </c>
      <c r="BL176" s="103">
        <v>0</v>
      </c>
      <c r="BM176" s="103">
        <v>0</v>
      </c>
      <c r="BN176" s="103">
        <v>0</v>
      </c>
      <c r="BO176" s="17">
        <v>1</v>
      </c>
      <c r="BQ176" s="109" t="s">
        <v>13</v>
      </c>
      <c r="BR176" s="46" t="s">
        <v>1</v>
      </c>
      <c r="BS176" s="103">
        <v>1</v>
      </c>
      <c r="BT176" s="103">
        <v>4</v>
      </c>
      <c r="BU176" s="103">
        <v>1</v>
      </c>
      <c r="BV176" s="103">
        <v>0</v>
      </c>
      <c r="BW176" s="103">
        <v>0</v>
      </c>
      <c r="BX176" s="103">
        <v>0</v>
      </c>
      <c r="BY176" s="103">
        <v>0</v>
      </c>
      <c r="BZ176" s="103">
        <v>0</v>
      </c>
      <c r="CA176" s="103">
        <v>0</v>
      </c>
      <c r="CB176" s="17">
        <v>1</v>
      </c>
      <c r="CC176" s="42"/>
      <c r="CD176" s="109" t="s">
        <v>13</v>
      </c>
      <c r="CE176" s="46" t="s">
        <v>1</v>
      </c>
      <c r="CF176" s="103">
        <v>0</v>
      </c>
      <c r="CG176" s="103">
        <v>1</v>
      </c>
      <c r="CH176" s="103">
        <v>0</v>
      </c>
      <c r="CI176" s="103">
        <v>0</v>
      </c>
      <c r="CJ176" s="103">
        <v>0</v>
      </c>
      <c r="CK176" s="103">
        <v>1</v>
      </c>
      <c r="CL176" s="103">
        <v>0</v>
      </c>
      <c r="CM176" s="103">
        <v>0</v>
      </c>
      <c r="CN176" s="103">
        <v>0</v>
      </c>
      <c r="CO176" s="17">
        <v>0</v>
      </c>
      <c r="CQ176" s="109" t="s">
        <v>13</v>
      </c>
      <c r="CR176" s="46" t="s">
        <v>1</v>
      </c>
      <c r="CS176" s="103">
        <v>1</v>
      </c>
      <c r="CT176" s="103">
        <v>2</v>
      </c>
      <c r="CU176" s="103">
        <v>0</v>
      </c>
      <c r="CV176" s="103">
        <v>0</v>
      </c>
      <c r="CW176" s="103">
        <v>0</v>
      </c>
      <c r="CX176" s="103">
        <v>1</v>
      </c>
      <c r="CY176" s="103">
        <v>0</v>
      </c>
      <c r="CZ176" s="103">
        <v>0</v>
      </c>
      <c r="DA176" s="103">
        <v>0</v>
      </c>
      <c r="DB176" s="17">
        <v>1</v>
      </c>
      <c r="DC176" s="42"/>
      <c r="DD176" s="109" t="s">
        <v>13</v>
      </c>
      <c r="DE176" s="46" t="s">
        <v>1</v>
      </c>
      <c r="DF176" s="103">
        <v>0</v>
      </c>
      <c r="DG176" s="103">
        <v>3</v>
      </c>
      <c r="DH176" s="103">
        <v>1</v>
      </c>
      <c r="DI176" s="103">
        <v>0</v>
      </c>
      <c r="DJ176" s="103">
        <v>0</v>
      </c>
      <c r="DK176" s="103">
        <v>0</v>
      </c>
      <c r="DL176" s="103">
        <v>0</v>
      </c>
      <c r="DM176" s="103">
        <v>0</v>
      </c>
      <c r="DN176" s="103">
        <v>0</v>
      </c>
      <c r="DO176" s="17">
        <v>0</v>
      </c>
    </row>
    <row r="177" spans="2:119" ht="14.45" customHeight="1" x14ac:dyDescent="0.45">
      <c r="B177" s="134"/>
      <c r="C177" s="42"/>
      <c r="D177" s="110"/>
      <c r="E177" s="46">
        <v>1</v>
      </c>
      <c r="F177" s="103">
        <v>3</v>
      </c>
      <c r="G177" s="103">
        <v>13</v>
      </c>
      <c r="H177" s="103">
        <v>4</v>
      </c>
      <c r="I177" s="103">
        <v>5</v>
      </c>
      <c r="J177" s="103">
        <v>0</v>
      </c>
      <c r="K177" s="103">
        <v>1</v>
      </c>
      <c r="L177" s="103">
        <v>0</v>
      </c>
      <c r="M177" s="103">
        <v>1</v>
      </c>
      <c r="N177" s="103">
        <v>0</v>
      </c>
      <c r="O177" s="103">
        <v>2</v>
      </c>
      <c r="P177" s="42"/>
      <c r="Q177" s="110"/>
      <c r="R177" s="46">
        <v>1</v>
      </c>
      <c r="S177" s="103">
        <v>1</v>
      </c>
      <c r="T177" s="103">
        <v>8</v>
      </c>
      <c r="U177" s="103">
        <v>2</v>
      </c>
      <c r="V177" s="103">
        <v>3</v>
      </c>
      <c r="W177" s="103">
        <v>0</v>
      </c>
      <c r="X177" s="103">
        <v>0</v>
      </c>
      <c r="Y177" s="103">
        <v>0</v>
      </c>
      <c r="Z177" s="103">
        <v>1</v>
      </c>
      <c r="AA177" s="103">
        <v>0</v>
      </c>
      <c r="AB177" s="103">
        <v>1</v>
      </c>
      <c r="AC177" s="42"/>
      <c r="AD177" s="110"/>
      <c r="AE177" s="46">
        <v>1</v>
      </c>
      <c r="AF177" s="103">
        <v>2</v>
      </c>
      <c r="AG177" s="103">
        <v>5</v>
      </c>
      <c r="AH177" s="103">
        <v>2</v>
      </c>
      <c r="AI177" s="103">
        <v>2</v>
      </c>
      <c r="AJ177" s="103">
        <v>0</v>
      </c>
      <c r="AK177" s="103">
        <v>1</v>
      </c>
      <c r="AL177" s="103">
        <v>0</v>
      </c>
      <c r="AM177" s="103">
        <v>0</v>
      </c>
      <c r="AN177" s="103">
        <v>0</v>
      </c>
      <c r="AO177" s="103">
        <v>1</v>
      </c>
      <c r="AP177" s="6"/>
      <c r="AQ177" s="110"/>
      <c r="AR177" s="46">
        <v>1</v>
      </c>
      <c r="AS177" s="103">
        <v>1</v>
      </c>
      <c r="AT177" s="103">
        <v>8</v>
      </c>
      <c r="AU177" s="103">
        <v>3</v>
      </c>
      <c r="AV177" s="103">
        <v>2</v>
      </c>
      <c r="AW177" s="103">
        <v>0</v>
      </c>
      <c r="AX177" s="103">
        <v>1</v>
      </c>
      <c r="AY177" s="103">
        <v>0</v>
      </c>
      <c r="AZ177" s="103">
        <v>0</v>
      </c>
      <c r="BA177" s="103">
        <v>0</v>
      </c>
      <c r="BB177" s="103">
        <v>0</v>
      </c>
      <c r="BC177" s="42"/>
      <c r="BD177" s="110"/>
      <c r="BE177" s="46">
        <v>1</v>
      </c>
      <c r="BF177" s="103">
        <v>2</v>
      </c>
      <c r="BG177" s="103">
        <v>5</v>
      </c>
      <c r="BH177" s="103">
        <v>1</v>
      </c>
      <c r="BI177" s="103">
        <v>3</v>
      </c>
      <c r="BJ177" s="103">
        <v>0</v>
      </c>
      <c r="BK177" s="103">
        <v>0</v>
      </c>
      <c r="BL177" s="103">
        <v>0</v>
      </c>
      <c r="BM177" s="103">
        <v>1</v>
      </c>
      <c r="BN177" s="103">
        <v>0</v>
      </c>
      <c r="BO177" s="103">
        <v>2</v>
      </c>
      <c r="BQ177" s="110"/>
      <c r="BR177" s="46">
        <v>1</v>
      </c>
      <c r="BS177" s="103">
        <v>2</v>
      </c>
      <c r="BT177" s="103">
        <v>13</v>
      </c>
      <c r="BU177" s="103">
        <v>3</v>
      </c>
      <c r="BV177" s="103">
        <v>2</v>
      </c>
      <c r="BW177" s="103">
        <v>0</v>
      </c>
      <c r="BX177" s="103">
        <v>0</v>
      </c>
      <c r="BY177" s="103">
        <v>0</v>
      </c>
      <c r="BZ177" s="103">
        <v>0</v>
      </c>
      <c r="CA177" s="103">
        <v>0</v>
      </c>
      <c r="CB177" s="103">
        <v>0</v>
      </c>
      <c r="CC177" s="42"/>
      <c r="CD177" s="110"/>
      <c r="CE177" s="46">
        <v>1</v>
      </c>
      <c r="CF177" s="103">
        <v>1</v>
      </c>
      <c r="CG177" s="103">
        <v>0</v>
      </c>
      <c r="CH177" s="103">
        <v>1</v>
      </c>
      <c r="CI177" s="103">
        <v>3</v>
      </c>
      <c r="CJ177" s="103">
        <v>0</v>
      </c>
      <c r="CK177" s="103">
        <v>1</v>
      </c>
      <c r="CL177" s="103">
        <v>0</v>
      </c>
      <c r="CM177" s="103">
        <v>1</v>
      </c>
      <c r="CN177" s="103">
        <v>0</v>
      </c>
      <c r="CO177" s="103">
        <v>2</v>
      </c>
      <c r="CQ177" s="110"/>
      <c r="CR177" s="46">
        <v>1</v>
      </c>
      <c r="CS177" s="103">
        <v>1</v>
      </c>
      <c r="CT177" s="103">
        <v>4</v>
      </c>
      <c r="CU177" s="103">
        <v>1</v>
      </c>
      <c r="CV177" s="103">
        <v>3</v>
      </c>
      <c r="CW177" s="103">
        <v>0</v>
      </c>
      <c r="CX177" s="103">
        <v>1</v>
      </c>
      <c r="CY177" s="103">
        <v>0</v>
      </c>
      <c r="CZ177" s="103">
        <v>1</v>
      </c>
      <c r="DA177" s="103">
        <v>0</v>
      </c>
      <c r="DB177" s="103">
        <v>2</v>
      </c>
      <c r="DC177" s="42"/>
      <c r="DD177" s="110"/>
      <c r="DE177" s="46">
        <v>1</v>
      </c>
      <c r="DF177" s="103">
        <v>2</v>
      </c>
      <c r="DG177" s="103">
        <v>9</v>
      </c>
      <c r="DH177" s="103">
        <v>3</v>
      </c>
      <c r="DI177" s="103">
        <v>2</v>
      </c>
      <c r="DJ177" s="103">
        <v>0</v>
      </c>
      <c r="DK177" s="103">
        <v>0</v>
      </c>
      <c r="DL177" s="103">
        <v>0</v>
      </c>
      <c r="DM177" s="103">
        <v>0</v>
      </c>
      <c r="DN177" s="103">
        <v>0</v>
      </c>
      <c r="DO177" s="103">
        <v>0</v>
      </c>
    </row>
    <row r="178" spans="2:119" ht="14.45" customHeight="1" x14ac:dyDescent="0.45">
      <c r="B178" s="134"/>
      <c r="C178" s="42"/>
      <c r="D178" s="110"/>
      <c r="E178" s="46" t="s">
        <v>2</v>
      </c>
      <c r="F178" s="103">
        <v>50</v>
      </c>
      <c r="G178" s="103">
        <v>262</v>
      </c>
      <c r="H178" s="103">
        <v>165</v>
      </c>
      <c r="I178" s="103">
        <v>64</v>
      </c>
      <c r="J178" s="103">
        <v>19</v>
      </c>
      <c r="K178" s="103">
        <v>16</v>
      </c>
      <c r="L178" s="103">
        <v>10</v>
      </c>
      <c r="M178" s="103">
        <v>8</v>
      </c>
      <c r="N178" s="103">
        <v>5</v>
      </c>
      <c r="O178" s="103">
        <v>2</v>
      </c>
      <c r="P178" s="42"/>
      <c r="Q178" s="110"/>
      <c r="R178" s="46" t="s">
        <v>2</v>
      </c>
      <c r="S178" s="103">
        <v>17</v>
      </c>
      <c r="T178" s="103">
        <v>118</v>
      </c>
      <c r="U178" s="103">
        <v>63</v>
      </c>
      <c r="V178" s="103">
        <v>19</v>
      </c>
      <c r="W178" s="103">
        <v>6</v>
      </c>
      <c r="X178" s="103">
        <v>8</v>
      </c>
      <c r="Y178" s="103">
        <v>4</v>
      </c>
      <c r="Z178" s="103">
        <v>4</v>
      </c>
      <c r="AA178" s="103">
        <v>3</v>
      </c>
      <c r="AB178" s="103">
        <v>1</v>
      </c>
      <c r="AC178" s="42"/>
      <c r="AD178" s="110"/>
      <c r="AE178" s="46" t="s">
        <v>2</v>
      </c>
      <c r="AF178" s="103">
        <v>33</v>
      </c>
      <c r="AG178" s="103">
        <v>144</v>
      </c>
      <c r="AH178" s="103">
        <v>102</v>
      </c>
      <c r="AI178" s="103">
        <v>45</v>
      </c>
      <c r="AJ178" s="103">
        <v>13</v>
      </c>
      <c r="AK178" s="103">
        <v>8</v>
      </c>
      <c r="AL178" s="103">
        <v>6</v>
      </c>
      <c r="AM178" s="103">
        <v>4</v>
      </c>
      <c r="AN178" s="103">
        <v>2</v>
      </c>
      <c r="AO178" s="103">
        <v>1</v>
      </c>
      <c r="AP178" s="6"/>
      <c r="AQ178" s="110"/>
      <c r="AR178" s="46" t="s">
        <v>2</v>
      </c>
      <c r="AS178" s="103">
        <v>44</v>
      </c>
      <c r="AT178" s="103">
        <v>162</v>
      </c>
      <c r="AU178" s="103">
        <v>101</v>
      </c>
      <c r="AV178" s="103">
        <v>31</v>
      </c>
      <c r="AW178" s="103">
        <v>10</v>
      </c>
      <c r="AX178" s="103">
        <v>1</v>
      </c>
      <c r="AY178" s="103">
        <v>3</v>
      </c>
      <c r="AZ178" s="103">
        <v>2</v>
      </c>
      <c r="BA178" s="103">
        <v>2</v>
      </c>
      <c r="BB178" s="103">
        <v>1</v>
      </c>
      <c r="BC178" s="42"/>
      <c r="BD178" s="110"/>
      <c r="BE178" s="46" t="s">
        <v>2</v>
      </c>
      <c r="BF178" s="103">
        <v>6</v>
      </c>
      <c r="BG178" s="103">
        <v>100</v>
      </c>
      <c r="BH178" s="103">
        <v>64</v>
      </c>
      <c r="BI178" s="103">
        <v>33</v>
      </c>
      <c r="BJ178" s="103">
        <v>9</v>
      </c>
      <c r="BK178" s="103">
        <v>15</v>
      </c>
      <c r="BL178" s="103">
        <v>7</v>
      </c>
      <c r="BM178" s="103">
        <v>6</v>
      </c>
      <c r="BN178" s="103">
        <v>3</v>
      </c>
      <c r="BO178" s="103">
        <v>1</v>
      </c>
      <c r="BQ178" s="110"/>
      <c r="BR178" s="46" t="s">
        <v>2</v>
      </c>
      <c r="BS178" s="103">
        <v>38</v>
      </c>
      <c r="BT178" s="103">
        <v>219</v>
      </c>
      <c r="BU178" s="103">
        <v>134</v>
      </c>
      <c r="BV178" s="103">
        <v>53</v>
      </c>
      <c r="BW178" s="103">
        <v>7</v>
      </c>
      <c r="BX178" s="103">
        <v>5</v>
      </c>
      <c r="BY178" s="103">
        <v>5</v>
      </c>
      <c r="BZ178" s="103">
        <v>0</v>
      </c>
      <c r="CA178" s="103">
        <v>0</v>
      </c>
      <c r="CB178" s="103">
        <v>1</v>
      </c>
      <c r="CC178" s="42"/>
      <c r="CD178" s="110"/>
      <c r="CE178" s="46" t="s">
        <v>2</v>
      </c>
      <c r="CF178" s="103">
        <v>12</v>
      </c>
      <c r="CG178" s="103">
        <v>43</v>
      </c>
      <c r="CH178" s="103">
        <v>31</v>
      </c>
      <c r="CI178" s="103">
        <v>11</v>
      </c>
      <c r="CJ178" s="103">
        <v>12</v>
      </c>
      <c r="CK178" s="103">
        <v>11</v>
      </c>
      <c r="CL178" s="103">
        <v>5</v>
      </c>
      <c r="CM178" s="103">
        <v>8</v>
      </c>
      <c r="CN178" s="103">
        <v>5</v>
      </c>
      <c r="CO178" s="103">
        <v>1</v>
      </c>
      <c r="CQ178" s="110"/>
      <c r="CR178" s="46" t="s">
        <v>2</v>
      </c>
      <c r="CS178" s="103">
        <v>8</v>
      </c>
      <c r="CT178" s="103">
        <v>48</v>
      </c>
      <c r="CU178" s="103">
        <v>27</v>
      </c>
      <c r="CV178" s="103">
        <v>12</v>
      </c>
      <c r="CW178" s="103">
        <v>13</v>
      </c>
      <c r="CX178" s="103">
        <v>11</v>
      </c>
      <c r="CY178" s="103">
        <v>8</v>
      </c>
      <c r="CZ178" s="103">
        <v>8</v>
      </c>
      <c r="DA178" s="103">
        <v>5</v>
      </c>
      <c r="DB178" s="103">
        <v>0</v>
      </c>
      <c r="DC178" s="42"/>
      <c r="DD178" s="110"/>
      <c r="DE178" s="46" t="s">
        <v>2</v>
      </c>
      <c r="DF178" s="103">
        <v>42</v>
      </c>
      <c r="DG178" s="103">
        <v>214</v>
      </c>
      <c r="DH178" s="103">
        <v>138</v>
      </c>
      <c r="DI178" s="103">
        <v>52</v>
      </c>
      <c r="DJ178" s="103">
        <v>6</v>
      </c>
      <c r="DK178" s="103">
        <v>5</v>
      </c>
      <c r="DL178" s="103">
        <v>2</v>
      </c>
      <c r="DM178" s="103">
        <v>0</v>
      </c>
      <c r="DN178" s="103">
        <v>0</v>
      </c>
      <c r="DO178" s="103">
        <v>2</v>
      </c>
    </row>
    <row r="179" spans="2:119" ht="14.45" customHeight="1" x14ac:dyDescent="0.45">
      <c r="B179" s="134"/>
      <c r="C179" s="42"/>
      <c r="D179" s="110"/>
      <c r="E179" s="46" t="s">
        <v>3</v>
      </c>
      <c r="F179" s="103">
        <v>16</v>
      </c>
      <c r="G179" s="103">
        <v>109</v>
      </c>
      <c r="H179" s="103">
        <v>125</v>
      </c>
      <c r="I179" s="103">
        <v>44</v>
      </c>
      <c r="J179" s="103">
        <v>20</v>
      </c>
      <c r="K179" s="103">
        <v>13</v>
      </c>
      <c r="L179" s="103">
        <v>6</v>
      </c>
      <c r="M179" s="103">
        <v>5</v>
      </c>
      <c r="N179" s="103">
        <v>2</v>
      </c>
      <c r="O179" s="103">
        <v>0</v>
      </c>
      <c r="P179" s="42"/>
      <c r="Q179" s="110"/>
      <c r="R179" s="46" t="s">
        <v>3</v>
      </c>
      <c r="S179" s="103">
        <v>4</v>
      </c>
      <c r="T179" s="103">
        <v>44</v>
      </c>
      <c r="U179" s="103">
        <v>62</v>
      </c>
      <c r="V179" s="103">
        <v>17</v>
      </c>
      <c r="W179" s="103">
        <v>8</v>
      </c>
      <c r="X179" s="103">
        <v>6</v>
      </c>
      <c r="Y179" s="103">
        <v>4</v>
      </c>
      <c r="Z179" s="103">
        <v>2</v>
      </c>
      <c r="AA179" s="103">
        <v>1</v>
      </c>
      <c r="AB179" s="103">
        <v>0</v>
      </c>
      <c r="AC179" s="42"/>
      <c r="AD179" s="110"/>
      <c r="AE179" s="46" t="s">
        <v>3</v>
      </c>
      <c r="AF179" s="103">
        <v>12</v>
      </c>
      <c r="AG179" s="103">
        <v>65</v>
      </c>
      <c r="AH179" s="103">
        <v>63</v>
      </c>
      <c r="AI179" s="103">
        <v>27</v>
      </c>
      <c r="AJ179" s="103">
        <v>12</v>
      </c>
      <c r="AK179" s="103">
        <v>7</v>
      </c>
      <c r="AL179" s="103">
        <v>2</v>
      </c>
      <c r="AM179" s="103">
        <v>3</v>
      </c>
      <c r="AN179" s="103">
        <v>1</v>
      </c>
      <c r="AO179" s="103">
        <v>0</v>
      </c>
      <c r="AP179" s="6"/>
      <c r="AQ179" s="110"/>
      <c r="AR179" s="46" t="s">
        <v>3</v>
      </c>
      <c r="AS179" s="103">
        <v>12</v>
      </c>
      <c r="AT179" s="103">
        <v>58</v>
      </c>
      <c r="AU179" s="103">
        <v>55</v>
      </c>
      <c r="AV179" s="103">
        <v>16</v>
      </c>
      <c r="AW179" s="103">
        <v>7</v>
      </c>
      <c r="AX179" s="103">
        <v>3</v>
      </c>
      <c r="AY179" s="103">
        <v>2</v>
      </c>
      <c r="AZ179" s="103">
        <v>1</v>
      </c>
      <c r="BA179" s="103">
        <v>0</v>
      </c>
      <c r="BB179" s="103">
        <v>0</v>
      </c>
      <c r="BC179" s="42"/>
      <c r="BD179" s="110"/>
      <c r="BE179" s="46" t="s">
        <v>3</v>
      </c>
      <c r="BF179" s="103">
        <v>4</v>
      </c>
      <c r="BG179" s="103">
        <v>51</v>
      </c>
      <c r="BH179" s="103">
        <v>70</v>
      </c>
      <c r="BI179" s="103">
        <v>28</v>
      </c>
      <c r="BJ179" s="103">
        <v>13</v>
      </c>
      <c r="BK179" s="103">
        <v>10</v>
      </c>
      <c r="BL179" s="103">
        <v>4</v>
      </c>
      <c r="BM179" s="103">
        <v>4</v>
      </c>
      <c r="BN179" s="103">
        <v>2</v>
      </c>
      <c r="BO179" s="103">
        <v>0</v>
      </c>
      <c r="BQ179" s="110"/>
      <c r="BR179" s="46" t="s">
        <v>3</v>
      </c>
      <c r="BS179" s="103">
        <v>8</v>
      </c>
      <c r="BT179" s="103">
        <v>79</v>
      </c>
      <c r="BU179" s="103">
        <v>82</v>
      </c>
      <c r="BV179" s="103">
        <v>24</v>
      </c>
      <c r="BW179" s="103">
        <v>11</v>
      </c>
      <c r="BX179" s="103">
        <v>6</v>
      </c>
      <c r="BY179" s="103">
        <v>0</v>
      </c>
      <c r="BZ179" s="103">
        <v>1</v>
      </c>
      <c r="CA179" s="103">
        <v>0</v>
      </c>
      <c r="CB179" s="103">
        <v>0</v>
      </c>
      <c r="CC179" s="42"/>
      <c r="CD179" s="110"/>
      <c r="CE179" s="46" t="s">
        <v>3</v>
      </c>
      <c r="CF179" s="103">
        <v>8</v>
      </c>
      <c r="CG179" s="103">
        <v>30</v>
      </c>
      <c r="CH179" s="103">
        <v>43</v>
      </c>
      <c r="CI179" s="103">
        <v>20</v>
      </c>
      <c r="CJ179" s="103">
        <v>9</v>
      </c>
      <c r="CK179" s="103">
        <v>7</v>
      </c>
      <c r="CL179" s="103">
        <v>6</v>
      </c>
      <c r="CM179" s="103">
        <v>4</v>
      </c>
      <c r="CN179" s="103">
        <v>2</v>
      </c>
      <c r="CO179" s="103">
        <v>0</v>
      </c>
      <c r="CQ179" s="110"/>
      <c r="CR179" s="46" t="s">
        <v>3</v>
      </c>
      <c r="CS179" s="103">
        <v>2</v>
      </c>
      <c r="CT179" s="103">
        <v>11</v>
      </c>
      <c r="CU179" s="103">
        <v>21</v>
      </c>
      <c r="CV179" s="103">
        <v>16</v>
      </c>
      <c r="CW179" s="103">
        <v>6</v>
      </c>
      <c r="CX179" s="103">
        <v>7</v>
      </c>
      <c r="CY179" s="103">
        <v>6</v>
      </c>
      <c r="CZ179" s="103">
        <v>5</v>
      </c>
      <c r="DA179" s="103">
        <v>2</v>
      </c>
      <c r="DB179" s="103">
        <v>0</v>
      </c>
      <c r="DC179" s="42"/>
      <c r="DD179" s="110"/>
      <c r="DE179" s="46" t="s">
        <v>3</v>
      </c>
      <c r="DF179" s="103">
        <v>14</v>
      </c>
      <c r="DG179" s="103">
        <v>98</v>
      </c>
      <c r="DH179" s="103">
        <v>104</v>
      </c>
      <c r="DI179" s="103">
        <v>28</v>
      </c>
      <c r="DJ179" s="103">
        <v>14</v>
      </c>
      <c r="DK179" s="103">
        <v>6</v>
      </c>
      <c r="DL179" s="103">
        <v>0</v>
      </c>
      <c r="DM179" s="103">
        <v>0</v>
      </c>
      <c r="DN179" s="103">
        <v>0</v>
      </c>
      <c r="DO179" s="103">
        <v>0</v>
      </c>
    </row>
    <row r="180" spans="2:119" ht="14.45" customHeight="1" x14ac:dyDescent="0.45">
      <c r="B180" s="134"/>
      <c r="C180" s="42"/>
      <c r="D180" s="110"/>
      <c r="E180" s="46" t="s">
        <v>4</v>
      </c>
      <c r="F180" s="103">
        <v>19</v>
      </c>
      <c r="G180" s="103">
        <v>101</v>
      </c>
      <c r="H180" s="103">
        <v>201</v>
      </c>
      <c r="I180" s="103">
        <v>112</v>
      </c>
      <c r="J180" s="103">
        <v>28</v>
      </c>
      <c r="K180" s="103">
        <v>29</v>
      </c>
      <c r="L180" s="103">
        <v>16</v>
      </c>
      <c r="M180" s="103">
        <v>9</v>
      </c>
      <c r="N180" s="103">
        <v>6</v>
      </c>
      <c r="O180" s="103">
        <v>3</v>
      </c>
      <c r="P180" s="42"/>
      <c r="Q180" s="110"/>
      <c r="R180" s="46" t="s">
        <v>4</v>
      </c>
      <c r="S180" s="103">
        <v>7</v>
      </c>
      <c r="T180" s="103">
        <v>36</v>
      </c>
      <c r="U180" s="103">
        <v>90</v>
      </c>
      <c r="V180" s="103">
        <v>43</v>
      </c>
      <c r="W180" s="103">
        <v>10</v>
      </c>
      <c r="X180" s="103">
        <v>13</v>
      </c>
      <c r="Y180" s="103">
        <v>7</v>
      </c>
      <c r="Z180" s="103">
        <v>1</v>
      </c>
      <c r="AA180" s="103">
        <v>1</v>
      </c>
      <c r="AB180" s="103">
        <v>3</v>
      </c>
      <c r="AC180" s="42"/>
      <c r="AD180" s="110"/>
      <c r="AE180" s="46" t="s">
        <v>4</v>
      </c>
      <c r="AF180" s="103">
        <v>12</v>
      </c>
      <c r="AG180" s="103">
        <v>65</v>
      </c>
      <c r="AH180" s="103">
        <v>111</v>
      </c>
      <c r="AI180" s="103">
        <v>69</v>
      </c>
      <c r="AJ180" s="103">
        <v>18</v>
      </c>
      <c r="AK180" s="103">
        <v>16</v>
      </c>
      <c r="AL180" s="103">
        <v>9</v>
      </c>
      <c r="AM180" s="103">
        <v>8</v>
      </c>
      <c r="AN180" s="103">
        <v>5</v>
      </c>
      <c r="AO180" s="103">
        <v>0</v>
      </c>
      <c r="AP180" s="6"/>
      <c r="AQ180" s="110"/>
      <c r="AR180" s="46" t="s">
        <v>4</v>
      </c>
      <c r="AS180" s="103">
        <v>12</v>
      </c>
      <c r="AT180" s="103">
        <v>54</v>
      </c>
      <c r="AU180" s="103">
        <v>98</v>
      </c>
      <c r="AV180" s="103">
        <v>35</v>
      </c>
      <c r="AW180" s="103">
        <v>6</v>
      </c>
      <c r="AX180" s="103">
        <v>10</v>
      </c>
      <c r="AY180" s="103">
        <v>4</v>
      </c>
      <c r="AZ180" s="103">
        <v>3</v>
      </c>
      <c r="BA180" s="103">
        <v>1</v>
      </c>
      <c r="BB180" s="103">
        <v>2</v>
      </c>
      <c r="BC180" s="42"/>
      <c r="BD180" s="110"/>
      <c r="BE180" s="46" t="s">
        <v>4</v>
      </c>
      <c r="BF180" s="103">
        <v>7</v>
      </c>
      <c r="BG180" s="103">
        <v>47</v>
      </c>
      <c r="BH180" s="103">
        <v>103</v>
      </c>
      <c r="BI180" s="103">
        <v>77</v>
      </c>
      <c r="BJ180" s="103">
        <v>22</v>
      </c>
      <c r="BK180" s="103">
        <v>19</v>
      </c>
      <c r="BL180" s="103">
        <v>12</v>
      </c>
      <c r="BM180" s="103">
        <v>6</v>
      </c>
      <c r="BN180" s="103">
        <v>5</v>
      </c>
      <c r="BO180" s="103">
        <v>1</v>
      </c>
      <c r="BQ180" s="110"/>
      <c r="BR180" s="46" t="s">
        <v>4</v>
      </c>
      <c r="BS180" s="103">
        <v>9</v>
      </c>
      <c r="BT180" s="103">
        <v>53</v>
      </c>
      <c r="BU180" s="103">
        <v>99</v>
      </c>
      <c r="BV180" s="103">
        <v>55</v>
      </c>
      <c r="BW180" s="103">
        <v>3</v>
      </c>
      <c r="BX180" s="103">
        <v>11</v>
      </c>
      <c r="BY180" s="103">
        <v>3</v>
      </c>
      <c r="BZ180" s="103">
        <v>2</v>
      </c>
      <c r="CA180" s="103">
        <v>0</v>
      </c>
      <c r="CB180" s="103">
        <v>0</v>
      </c>
      <c r="CC180" s="42"/>
      <c r="CD180" s="110"/>
      <c r="CE180" s="46" t="s">
        <v>4</v>
      </c>
      <c r="CF180" s="103">
        <v>10</v>
      </c>
      <c r="CG180" s="103">
        <v>48</v>
      </c>
      <c r="CH180" s="103">
        <v>102</v>
      </c>
      <c r="CI180" s="103">
        <v>57</v>
      </c>
      <c r="CJ180" s="103">
        <v>25</v>
      </c>
      <c r="CK180" s="103">
        <v>18</v>
      </c>
      <c r="CL180" s="103">
        <v>13</v>
      </c>
      <c r="CM180" s="103">
        <v>7</v>
      </c>
      <c r="CN180" s="103">
        <v>6</v>
      </c>
      <c r="CO180" s="103">
        <v>3</v>
      </c>
      <c r="CQ180" s="110"/>
      <c r="CR180" s="46" t="s">
        <v>4</v>
      </c>
      <c r="CS180" s="103">
        <v>1</v>
      </c>
      <c r="CT180" s="103">
        <v>12</v>
      </c>
      <c r="CU180" s="103">
        <v>22</v>
      </c>
      <c r="CV180" s="103">
        <v>26</v>
      </c>
      <c r="CW180" s="103">
        <v>20</v>
      </c>
      <c r="CX180" s="103">
        <v>15</v>
      </c>
      <c r="CY180" s="103">
        <v>12</v>
      </c>
      <c r="CZ180" s="103">
        <v>5</v>
      </c>
      <c r="DA180" s="103">
        <v>6</v>
      </c>
      <c r="DB180" s="103">
        <v>3</v>
      </c>
      <c r="DC180" s="42"/>
      <c r="DD180" s="110"/>
      <c r="DE180" s="46" t="s">
        <v>4</v>
      </c>
      <c r="DF180" s="103">
        <v>18</v>
      </c>
      <c r="DG180" s="103">
        <v>89</v>
      </c>
      <c r="DH180" s="103">
        <v>179</v>
      </c>
      <c r="DI180" s="103">
        <v>86</v>
      </c>
      <c r="DJ180" s="103">
        <v>8</v>
      </c>
      <c r="DK180" s="103">
        <v>14</v>
      </c>
      <c r="DL180" s="103">
        <v>4</v>
      </c>
      <c r="DM180" s="103">
        <v>4</v>
      </c>
      <c r="DN180" s="103">
        <v>0</v>
      </c>
      <c r="DO180" s="103">
        <v>0</v>
      </c>
    </row>
    <row r="181" spans="2:119" ht="14.45" customHeight="1" x14ac:dyDescent="0.45">
      <c r="B181" s="134"/>
      <c r="C181" s="42"/>
      <c r="D181" s="110"/>
      <c r="E181" s="46" t="s">
        <v>5</v>
      </c>
      <c r="F181" s="103">
        <v>25</v>
      </c>
      <c r="G181" s="103">
        <v>158</v>
      </c>
      <c r="H181" s="103">
        <v>308</v>
      </c>
      <c r="I181" s="103">
        <v>249</v>
      </c>
      <c r="J181" s="103">
        <v>103</v>
      </c>
      <c r="K181" s="103">
        <v>69</v>
      </c>
      <c r="L181" s="103">
        <v>33</v>
      </c>
      <c r="M181" s="103">
        <v>11</v>
      </c>
      <c r="N181" s="103">
        <v>5</v>
      </c>
      <c r="O181" s="103">
        <v>1</v>
      </c>
      <c r="P181" s="42"/>
      <c r="Q181" s="110"/>
      <c r="R181" s="46" t="s">
        <v>5</v>
      </c>
      <c r="S181" s="103">
        <v>7</v>
      </c>
      <c r="T181" s="103">
        <v>68</v>
      </c>
      <c r="U181" s="103">
        <v>153</v>
      </c>
      <c r="V181" s="103">
        <v>127</v>
      </c>
      <c r="W181" s="103">
        <v>54</v>
      </c>
      <c r="X181" s="103">
        <v>35</v>
      </c>
      <c r="Y181" s="103">
        <v>12</v>
      </c>
      <c r="Z181" s="103">
        <v>3</v>
      </c>
      <c r="AA181" s="103">
        <v>4</v>
      </c>
      <c r="AB181" s="103">
        <v>0</v>
      </c>
      <c r="AC181" s="42"/>
      <c r="AD181" s="110"/>
      <c r="AE181" s="46" t="s">
        <v>5</v>
      </c>
      <c r="AF181" s="103">
        <v>18</v>
      </c>
      <c r="AG181" s="103">
        <v>90</v>
      </c>
      <c r="AH181" s="103">
        <v>155</v>
      </c>
      <c r="AI181" s="103">
        <v>122</v>
      </c>
      <c r="AJ181" s="103">
        <v>49</v>
      </c>
      <c r="AK181" s="103">
        <v>34</v>
      </c>
      <c r="AL181" s="103">
        <v>21</v>
      </c>
      <c r="AM181" s="103">
        <v>8</v>
      </c>
      <c r="AN181" s="103">
        <v>1</v>
      </c>
      <c r="AO181" s="103">
        <v>1</v>
      </c>
      <c r="AP181" s="6"/>
      <c r="AQ181" s="110"/>
      <c r="AR181" s="46" t="s">
        <v>5</v>
      </c>
      <c r="AS181" s="103">
        <v>16</v>
      </c>
      <c r="AT181" s="103">
        <v>75</v>
      </c>
      <c r="AU181" s="103">
        <v>146</v>
      </c>
      <c r="AV181" s="103">
        <v>95</v>
      </c>
      <c r="AW181" s="103">
        <v>27</v>
      </c>
      <c r="AX181" s="103">
        <v>18</v>
      </c>
      <c r="AY181" s="103">
        <v>6</v>
      </c>
      <c r="AZ181" s="103">
        <v>3</v>
      </c>
      <c r="BA181" s="103">
        <v>3</v>
      </c>
      <c r="BB181" s="103">
        <v>0</v>
      </c>
      <c r="BC181" s="42"/>
      <c r="BD181" s="110"/>
      <c r="BE181" s="46" t="s">
        <v>5</v>
      </c>
      <c r="BF181" s="103">
        <v>9</v>
      </c>
      <c r="BG181" s="103">
        <v>83</v>
      </c>
      <c r="BH181" s="103">
        <v>162</v>
      </c>
      <c r="BI181" s="103">
        <v>154</v>
      </c>
      <c r="BJ181" s="103">
        <v>76</v>
      </c>
      <c r="BK181" s="103">
        <v>51</v>
      </c>
      <c r="BL181" s="103">
        <v>27</v>
      </c>
      <c r="BM181" s="103">
        <v>8</v>
      </c>
      <c r="BN181" s="103">
        <v>2</v>
      </c>
      <c r="BO181" s="103">
        <v>1</v>
      </c>
      <c r="BQ181" s="110"/>
      <c r="BR181" s="46" t="s">
        <v>5</v>
      </c>
      <c r="BS181" s="103">
        <v>12</v>
      </c>
      <c r="BT181" s="103">
        <v>75</v>
      </c>
      <c r="BU181" s="103">
        <v>123</v>
      </c>
      <c r="BV181" s="103">
        <v>82</v>
      </c>
      <c r="BW181" s="103">
        <v>19</v>
      </c>
      <c r="BX181" s="103">
        <v>16</v>
      </c>
      <c r="BY181" s="103">
        <v>5</v>
      </c>
      <c r="BZ181" s="103">
        <v>4</v>
      </c>
      <c r="CA181" s="103">
        <v>0</v>
      </c>
      <c r="CB181" s="103">
        <v>0</v>
      </c>
      <c r="CC181" s="42"/>
      <c r="CD181" s="110"/>
      <c r="CE181" s="46" t="s">
        <v>5</v>
      </c>
      <c r="CF181" s="103">
        <v>13</v>
      </c>
      <c r="CG181" s="103">
        <v>83</v>
      </c>
      <c r="CH181" s="103">
        <v>185</v>
      </c>
      <c r="CI181" s="103">
        <v>167</v>
      </c>
      <c r="CJ181" s="103">
        <v>84</v>
      </c>
      <c r="CK181" s="103">
        <v>53</v>
      </c>
      <c r="CL181" s="103">
        <v>28</v>
      </c>
      <c r="CM181" s="103">
        <v>7</v>
      </c>
      <c r="CN181" s="103">
        <v>5</v>
      </c>
      <c r="CO181" s="103">
        <v>1</v>
      </c>
      <c r="CQ181" s="110"/>
      <c r="CR181" s="46" t="s">
        <v>5</v>
      </c>
      <c r="CS181" s="103">
        <v>2</v>
      </c>
      <c r="CT181" s="103">
        <v>17</v>
      </c>
      <c r="CU181" s="103">
        <v>38</v>
      </c>
      <c r="CV181" s="103">
        <v>47</v>
      </c>
      <c r="CW181" s="103">
        <v>24</v>
      </c>
      <c r="CX181" s="103">
        <v>23</v>
      </c>
      <c r="CY181" s="103">
        <v>19</v>
      </c>
      <c r="CZ181" s="103">
        <v>5</v>
      </c>
      <c r="DA181" s="103">
        <v>5</v>
      </c>
      <c r="DB181" s="103">
        <v>1</v>
      </c>
      <c r="DC181" s="42"/>
      <c r="DD181" s="110"/>
      <c r="DE181" s="46" t="s">
        <v>5</v>
      </c>
      <c r="DF181" s="103">
        <v>23</v>
      </c>
      <c r="DG181" s="103">
        <v>141</v>
      </c>
      <c r="DH181" s="103">
        <v>270</v>
      </c>
      <c r="DI181" s="103">
        <v>202</v>
      </c>
      <c r="DJ181" s="103">
        <v>79</v>
      </c>
      <c r="DK181" s="103">
        <v>46</v>
      </c>
      <c r="DL181" s="103">
        <v>14</v>
      </c>
      <c r="DM181" s="103">
        <v>6</v>
      </c>
      <c r="DN181" s="103">
        <v>0</v>
      </c>
      <c r="DO181" s="103">
        <v>0</v>
      </c>
    </row>
    <row r="182" spans="2:119" ht="14.45" customHeight="1" x14ac:dyDescent="0.45">
      <c r="B182" s="134"/>
      <c r="C182" s="42"/>
      <c r="D182" s="110"/>
      <c r="E182" s="46" t="s">
        <v>6</v>
      </c>
      <c r="F182" s="103">
        <v>54</v>
      </c>
      <c r="G182" s="103">
        <v>202</v>
      </c>
      <c r="H182" s="103">
        <v>542</v>
      </c>
      <c r="I182" s="103">
        <v>725</v>
      </c>
      <c r="J182" s="103">
        <v>464</v>
      </c>
      <c r="K182" s="103">
        <v>318</v>
      </c>
      <c r="L182" s="103">
        <v>157</v>
      </c>
      <c r="M182" s="103">
        <v>54</v>
      </c>
      <c r="N182" s="103">
        <v>23</v>
      </c>
      <c r="O182" s="103">
        <v>3</v>
      </c>
      <c r="P182" s="42"/>
      <c r="Q182" s="110"/>
      <c r="R182" s="46" t="s">
        <v>6</v>
      </c>
      <c r="S182" s="103">
        <v>25</v>
      </c>
      <c r="T182" s="103">
        <v>78</v>
      </c>
      <c r="U182" s="103">
        <v>256</v>
      </c>
      <c r="V182" s="103">
        <v>369</v>
      </c>
      <c r="W182" s="103">
        <v>245</v>
      </c>
      <c r="X182" s="103">
        <v>163</v>
      </c>
      <c r="Y182" s="103">
        <v>73</v>
      </c>
      <c r="Z182" s="103">
        <v>28</v>
      </c>
      <c r="AA182" s="103">
        <v>14</v>
      </c>
      <c r="AB182" s="103">
        <v>0</v>
      </c>
      <c r="AC182" s="42"/>
      <c r="AD182" s="110"/>
      <c r="AE182" s="46" t="s">
        <v>6</v>
      </c>
      <c r="AF182" s="103">
        <v>29</v>
      </c>
      <c r="AG182" s="103">
        <v>124</v>
      </c>
      <c r="AH182" s="103">
        <v>286</v>
      </c>
      <c r="AI182" s="103">
        <v>356</v>
      </c>
      <c r="AJ182" s="103">
        <v>219</v>
      </c>
      <c r="AK182" s="103">
        <v>155</v>
      </c>
      <c r="AL182" s="103">
        <v>84</v>
      </c>
      <c r="AM182" s="103">
        <v>26</v>
      </c>
      <c r="AN182" s="103">
        <v>9</v>
      </c>
      <c r="AO182" s="103">
        <v>3</v>
      </c>
      <c r="AP182" s="6"/>
      <c r="AQ182" s="110"/>
      <c r="AR182" s="46" t="s">
        <v>6</v>
      </c>
      <c r="AS182" s="103">
        <v>22</v>
      </c>
      <c r="AT182" s="103">
        <v>116</v>
      </c>
      <c r="AU182" s="103">
        <v>236</v>
      </c>
      <c r="AV182" s="103">
        <v>238</v>
      </c>
      <c r="AW182" s="103">
        <v>118</v>
      </c>
      <c r="AX182" s="103">
        <v>75</v>
      </c>
      <c r="AY182" s="103">
        <v>41</v>
      </c>
      <c r="AZ182" s="103">
        <v>9</v>
      </c>
      <c r="BA182" s="103">
        <v>6</v>
      </c>
      <c r="BB182" s="103">
        <v>1</v>
      </c>
      <c r="BC182" s="42"/>
      <c r="BD182" s="110"/>
      <c r="BE182" s="46" t="s">
        <v>6</v>
      </c>
      <c r="BF182" s="103">
        <v>32</v>
      </c>
      <c r="BG182" s="103">
        <v>86</v>
      </c>
      <c r="BH182" s="103">
        <v>306</v>
      </c>
      <c r="BI182" s="103">
        <v>487</v>
      </c>
      <c r="BJ182" s="103">
        <v>346</v>
      </c>
      <c r="BK182" s="103">
        <v>243</v>
      </c>
      <c r="BL182" s="103">
        <v>116</v>
      </c>
      <c r="BM182" s="103">
        <v>45</v>
      </c>
      <c r="BN182" s="103">
        <v>17</v>
      </c>
      <c r="BO182" s="103">
        <v>2</v>
      </c>
      <c r="BQ182" s="110"/>
      <c r="BR182" s="46" t="s">
        <v>6</v>
      </c>
      <c r="BS182" s="103">
        <v>18</v>
      </c>
      <c r="BT182" s="103">
        <v>76</v>
      </c>
      <c r="BU182" s="103">
        <v>137</v>
      </c>
      <c r="BV182" s="103">
        <v>141</v>
      </c>
      <c r="BW182" s="103">
        <v>74</v>
      </c>
      <c r="BX182" s="103">
        <v>49</v>
      </c>
      <c r="BY182" s="103">
        <v>14</v>
      </c>
      <c r="BZ182" s="103">
        <v>5</v>
      </c>
      <c r="CA182" s="103">
        <v>5</v>
      </c>
      <c r="CB182" s="103">
        <v>1</v>
      </c>
      <c r="CC182" s="42"/>
      <c r="CD182" s="110"/>
      <c r="CE182" s="46" t="s">
        <v>6</v>
      </c>
      <c r="CF182" s="103">
        <v>36</v>
      </c>
      <c r="CG182" s="103">
        <v>126</v>
      </c>
      <c r="CH182" s="103">
        <v>405</v>
      </c>
      <c r="CI182" s="103">
        <v>584</v>
      </c>
      <c r="CJ182" s="103">
        <v>390</v>
      </c>
      <c r="CK182" s="103">
        <v>269</v>
      </c>
      <c r="CL182" s="103">
        <v>143</v>
      </c>
      <c r="CM182" s="103">
        <v>49</v>
      </c>
      <c r="CN182" s="103">
        <v>18</v>
      </c>
      <c r="CO182" s="103">
        <v>2</v>
      </c>
      <c r="CQ182" s="110"/>
      <c r="CR182" s="46" t="s">
        <v>6</v>
      </c>
      <c r="CS182" s="103">
        <v>7</v>
      </c>
      <c r="CT182" s="103">
        <v>18</v>
      </c>
      <c r="CU182" s="103">
        <v>58</v>
      </c>
      <c r="CV182" s="103">
        <v>118</v>
      </c>
      <c r="CW182" s="103">
        <v>104</v>
      </c>
      <c r="CX182" s="103">
        <v>100</v>
      </c>
      <c r="CY182" s="103">
        <v>65</v>
      </c>
      <c r="CZ182" s="103">
        <v>29</v>
      </c>
      <c r="DA182" s="103">
        <v>15</v>
      </c>
      <c r="DB182" s="103">
        <v>2</v>
      </c>
      <c r="DC182" s="42"/>
      <c r="DD182" s="110"/>
      <c r="DE182" s="46" t="s">
        <v>6</v>
      </c>
      <c r="DF182" s="103">
        <v>47</v>
      </c>
      <c r="DG182" s="103">
        <v>184</v>
      </c>
      <c r="DH182" s="103">
        <v>484</v>
      </c>
      <c r="DI182" s="103">
        <v>607</v>
      </c>
      <c r="DJ182" s="103">
        <v>360</v>
      </c>
      <c r="DK182" s="103">
        <v>218</v>
      </c>
      <c r="DL182" s="103">
        <v>92</v>
      </c>
      <c r="DM182" s="103">
        <v>25</v>
      </c>
      <c r="DN182" s="103">
        <v>8</v>
      </c>
      <c r="DO182" s="103">
        <v>1</v>
      </c>
    </row>
    <row r="183" spans="2:119" ht="14.45" customHeight="1" x14ac:dyDescent="0.45">
      <c r="B183" s="134"/>
      <c r="C183" s="42"/>
      <c r="D183" s="110"/>
      <c r="E183" s="46" t="s">
        <v>7</v>
      </c>
      <c r="F183" s="103">
        <v>117</v>
      </c>
      <c r="G183" s="103">
        <v>228</v>
      </c>
      <c r="H183" s="103">
        <v>762</v>
      </c>
      <c r="I183" s="103">
        <v>1645</v>
      </c>
      <c r="J183" s="103">
        <v>1615</v>
      </c>
      <c r="K183" s="103">
        <v>1537</v>
      </c>
      <c r="L183" s="103">
        <v>834</v>
      </c>
      <c r="M183" s="103">
        <v>304</v>
      </c>
      <c r="N183" s="103">
        <v>114</v>
      </c>
      <c r="O183" s="103">
        <v>37</v>
      </c>
      <c r="P183" s="42"/>
      <c r="Q183" s="110"/>
      <c r="R183" s="46" t="s">
        <v>7</v>
      </c>
      <c r="S183" s="103">
        <v>64</v>
      </c>
      <c r="T183" s="103">
        <v>83</v>
      </c>
      <c r="U183" s="103">
        <v>340</v>
      </c>
      <c r="V183" s="103">
        <v>823</v>
      </c>
      <c r="W183" s="103">
        <v>871</v>
      </c>
      <c r="X183" s="103">
        <v>857</v>
      </c>
      <c r="Y183" s="103">
        <v>448</v>
      </c>
      <c r="Z183" s="103">
        <v>156</v>
      </c>
      <c r="AA183" s="103">
        <v>59</v>
      </c>
      <c r="AB183" s="103">
        <v>18</v>
      </c>
      <c r="AC183" s="42"/>
      <c r="AD183" s="110"/>
      <c r="AE183" s="46" t="s">
        <v>7</v>
      </c>
      <c r="AF183" s="103">
        <v>53</v>
      </c>
      <c r="AG183" s="103">
        <v>145</v>
      </c>
      <c r="AH183" s="103">
        <v>422</v>
      </c>
      <c r="AI183" s="103">
        <v>822</v>
      </c>
      <c r="AJ183" s="103">
        <v>744</v>
      </c>
      <c r="AK183" s="103">
        <v>680</v>
      </c>
      <c r="AL183" s="103">
        <v>386</v>
      </c>
      <c r="AM183" s="103">
        <v>148</v>
      </c>
      <c r="AN183" s="103">
        <v>55</v>
      </c>
      <c r="AO183" s="103">
        <v>19</v>
      </c>
      <c r="AP183" s="6"/>
      <c r="AQ183" s="110"/>
      <c r="AR183" s="46" t="s">
        <v>7</v>
      </c>
      <c r="AS183" s="103">
        <v>34</v>
      </c>
      <c r="AT183" s="103">
        <v>141</v>
      </c>
      <c r="AU183" s="103">
        <v>300</v>
      </c>
      <c r="AV183" s="103">
        <v>521</v>
      </c>
      <c r="AW183" s="103">
        <v>400</v>
      </c>
      <c r="AX183" s="103">
        <v>341</v>
      </c>
      <c r="AY183" s="103">
        <v>195</v>
      </c>
      <c r="AZ183" s="103">
        <v>60</v>
      </c>
      <c r="BA183" s="103">
        <v>13</v>
      </c>
      <c r="BB183" s="103">
        <v>10</v>
      </c>
      <c r="BC183" s="42"/>
      <c r="BD183" s="110"/>
      <c r="BE183" s="46" t="s">
        <v>7</v>
      </c>
      <c r="BF183" s="103">
        <v>83</v>
      </c>
      <c r="BG183" s="103">
        <v>87</v>
      </c>
      <c r="BH183" s="103">
        <v>462</v>
      </c>
      <c r="BI183" s="103">
        <v>1124</v>
      </c>
      <c r="BJ183" s="103">
        <v>1215</v>
      </c>
      <c r="BK183" s="103">
        <v>1196</v>
      </c>
      <c r="BL183" s="103">
        <v>639</v>
      </c>
      <c r="BM183" s="103">
        <v>244</v>
      </c>
      <c r="BN183" s="103">
        <v>101</v>
      </c>
      <c r="BO183" s="103">
        <v>27</v>
      </c>
      <c r="BQ183" s="110"/>
      <c r="BR183" s="46" t="s">
        <v>7</v>
      </c>
      <c r="BS183" s="103">
        <v>18</v>
      </c>
      <c r="BT183" s="103">
        <v>83</v>
      </c>
      <c r="BU183" s="103">
        <v>163</v>
      </c>
      <c r="BV183" s="103">
        <v>194</v>
      </c>
      <c r="BW183" s="103">
        <v>163</v>
      </c>
      <c r="BX183" s="103">
        <v>123</v>
      </c>
      <c r="BY183" s="103">
        <v>77</v>
      </c>
      <c r="BZ183" s="103">
        <v>28</v>
      </c>
      <c r="CA183" s="103">
        <v>9</v>
      </c>
      <c r="CB183" s="103">
        <v>3</v>
      </c>
      <c r="CC183" s="42"/>
      <c r="CD183" s="110"/>
      <c r="CE183" s="46" t="s">
        <v>7</v>
      </c>
      <c r="CF183" s="103">
        <v>99</v>
      </c>
      <c r="CG183" s="103">
        <v>145</v>
      </c>
      <c r="CH183" s="103">
        <v>599</v>
      </c>
      <c r="CI183" s="103">
        <v>1451</v>
      </c>
      <c r="CJ183" s="103">
        <v>1452</v>
      </c>
      <c r="CK183" s="103">
        <v>1414</v>
      </c>
      <c r="CL183" s="103">
        <v>757</v>
      </c>
      <c r="CM183" s="103">
        <v>276</v>
      </c>
      <c r="CN183" s="103">
        <v>105</v>
      </c>
      <c r="CO183" s="103">
        <v>34</v>
      </c>
      <c r="CQ183" s="110"/>
      <c r="CR183" s="46" t="s">
        <v>7</v>
      </c>
      <c r="CS183" s="103">
        <v>16</v>
      </c>
      <c r="CT183" s="103">
        <v>15</v>
      </c>
      <c r="CU183" s="103">
        <v>58</v>
      </c>
      <c r="CV183" s="103">
        <v>224</v>
      </c>
      <c r="CW183" s="103">
        <v>305</v>
      </c>
      <c r="CX183" s="103">
        <v>385</v>
      </c>
      <c r="CY183" s="103">
        <v>288</v>
      </c>
      <c r="CZ183" s="103">
        <v>127</v>
      </c>
      <c r="DA183" s="103">
        <v>40</v>
      </c>
      <c r="DB183" s="103">
        <v>17</v>
      </c>
      <c r="DC183" s="42"/>
      <c r="DD183" s="110"/>
      <c r="DE183" s="46" t="s">
        <v>7</v>
      </c>
      <c r="DF183" s="103">
        <v>101</v>
      </c>
      <c r="DG183" s="103">
        <v>213</v>
      </c>
      <c r="DH183" s="103">
        <v>704</v>
      </c>
      <c r="DI183" s="103">
        <v>1421</v>
      </c>
      <c r="DJ183" s="103">
        <v>1310</v>
      </c>
      <c r="DK183" s="103">
        <v>1152</v>
      </c>
      <c r="DL183" s="103">
        <v>546</v>
      </c>
      <c r="DM183" s="103">
        <v>177</v>
      </c>
      <c r="DN183" s="103">
        <v>74</v>
      </c>
      <c r="DO183" s="103">
        <v>20</v>
      </c>
    </row>
    <row r="184" spans="2:119" ht="14.45" customHeight="1" x14ac:dyDescent="0.45">
      <c r="B184" s="134"/>
      <c r="C184" s="42"/>
      <c r="D184" s="110"/>
      <c r="E184" s="46" t="s">
        <v>8</v>
      </c>
      <c r="F184" s="103">
        <v>172</v>
      </c>
      <c r="G184" s="103">
        <v>137</v>
      </c>
      <c r="H184" s="103">
        <v>520</v>
      </c>
      <c r="I184" s="103">
        <v>2317</v>
      </c>
      <c r="J184" s="103">
        <v>3803</v>
      </c>
      <c r="K184" s="103">
        <v>4979</v>
      </c>
      <c r="L184" s="103">
        <v>3626</v>
      </c>
      <c r="M184" s="103">
        <v>1585</v>
      </c>
      <c r="N184" s="103">
        <v>737</v>
      </c>
      <c r="O184" s="103">
        <v>225</v>
      </c>
      <c r="P184" s="42"/>
      <c r="Q184" s="110"/>
      <c r="R184" s="46" t="s">
        <v>8</v>
      </c>
      <c r="S184" s="103">
        <v>87</v>
      </c>
      <c r="T184" s="103">
        <v>55</v>
      </c>
      <c r="U184" s="103">
        <v>201</v>
      </c>
      <c r="V184" s="103">
        <v>1104</v>
      </c>
      <c r="W184" s="103">
        <v>1996</v>
      </c>
      <c r="X184" s="103">
        <v>2685</v>
      </c>
      <c r="Y184" s="103">
        <v>1990</v>
      </c>
      <c r="Z184" s="103">
        <v>870</v>
      </c>
      <c r="AA184" s="103">
        <v>384</v>
      </c>
      <c r="AB184" s="103">
        <v>126</v>
      </c>
      <c r="AC184" s="42"/>
      <c r="AD184" s="110"/>
      <c r="AE184" s="46" t="s">
        <v>8</v>
      </c>
      <c r="AF184" s="103">
        <v>85</v>
      </c>
      <c r="AG184" s="103">
        <v>82</v>
      </c>
      <c r="AH184" s="103">
        <v>319</v>
      </c>
      <c r="AI184" s="103">
        <v>1213</v>
      </c>
      <c r="AJ184" s="103">
        <v>1807</v>
      </c>
      <c r="AK184" s="103">
        <v>2294</v>
      </c>
      <c r="AL184" s="103">
        <v>1636</v>
      </c>
      <c r="AM184" s="103">
        <v>715</v>
      </c>
      <c r="AN184" s="103">
        <v>353</v>
      </c>
      <c r="AO184" s="103">
        <v>99</v>
      </c>
      <c r="AP184" s="6"/>
      <c r="AQ184" s="110"/>
      <c r="AR184" s="46" t="s">
        <v>8</v>
      </c>
      <c r="AS184" s="103">
        <v>64</v>
      </c>
      <c r="AT184" s="103">
        <v>82</v>
      </c>
      <c r="AU184" s="103">
        <v>216</v>
      </c>
      <c r="AV184" s="103">
        <v>653</v>
      </c>
      <c r="AW184" s="103">
        <v>855</v>
      </c>
      <c r="AX184" s="103">
        <v>924</v>
      </c>
      <c r="AY184" s="103">
        <v>664</v>
      </c>
      <c r="AZ184" s="103">
        <v>259</v>
      </c>
      <c r="BA184" s="103">
        <v>126</v>
      </c>
      <c r="BB184" s="103">
        <v>29</v>
      </c>
      <c r="BC184" s="42"/>
      <c r="BD184" s="110"/>
      <c r="BE184" s="46" t="s">
        <v>8</v>
      </c>
      <c r="BF184" s="103">
        <v>108</v>
      </c>
      <c r="BG184" s="103">
        <v>55</v>
      </c>
      <c r="BH184" s="103">
        <v>304</v>
      </c>
      <c r="BI184" s="103">
        <v>1664</v>
      </c>
      <c r="BJ184" s="103">
        <v>2948</v>
      </c>
      <c r="BK184" s="103">
        <v>4055</v>
      </c>
      <c r="BL184" s="103">
        <v>2962</v>
      </c>
      <c r="BM184" s="103">
        <v>1326</v>
      </c>
      <c r="BN184" s="103">
        <v>611</v>
      </c>
      <c r="BO184" s="103">
        <v>196</v>
      </c>
      <c r="BQ184" s="110"/>
      <c r="BR184" s="46" t="s">
        <v>8</v>
      </c>
      <c r="BS184" s="103">
        <v>14</v>
      </c>
      <c r="BT184" s="103">
        <v>31</v>
      </c>
      <c r="BU184" s="103">
        <v>79</v>
      </c>
      <c r="BV184" s="103">
        <v>188</v>
      </c>
      <c r="BW184" s="103">
        <v>260</v>
      </c>
      <c r="BX184" s="103">
        <v>316</v>
      </c>
      <c r="BY184" s="103">
        <v>218</v>
      </c>
      <c r="BZ184" s="103">
        <v>102</v>
      </c>
      <c r="CA184" s="103">
        <v>41</v>
      </c>
      <c r="CB184" s="103">
        <v>17</v>
      </c>
      <c r="CC184" s="42"/>
      <c r="CD184" s="110"/>
      <c r="CE184" s="46" t="s">
        <v>8</v>
      </c>
      <c r="CF184" s="103">
        <v>158</v>
      </c>
      <c r="CG184" s="103">
        <v>106</v>
      </c>
      <c r="CH184" s="103">
        <v>441</v>
      </c>
      <c r="CI184" s="103">
        <v>2129</v>
      </c>
      <c r="CJ184" s="103">
        <v>3543</v>
      </c>
      <c r="CK184" s="103">
        <v>4663</v>
      </c>
      <c r="CL184" s="103">
        <v>3408</v>
      </c>
      <c r="CM184" s="103">
        <v>1483</v>
      </c>
      <c r="CN184" s="103">
        <v>696</v>
      </c>
      <c r="CO184" s="103">
        <v>208</v>
      </c>
      <c r="CQ184" s="110"/>
      <c r="CR184" s="46" t="s">
        <v>8</v>
      </c>
      <c r="CS184" s="103">
        <v>23</v>
      </c>
      <c r="CT184" s="103">
        <v>9</v>
      </c>
      <c r="CU184" s="103">
        <v>38</v>
      </c>
      <c r="CV184" s="103">
        <v>261</v>
      </c>
      <c r="CW184" s="103">
        <v>526</v>
      </c>
      <c r="CX184" s="103">
        <v>782</v>
      </c>
      <c r="CY184" s="103">
        <v>824</v>
      </c>
      <c r="CZ184" s="103">
        <v>448</v>
      </c>
      <c r="DA184" s="103">
        <v>226</v>
      </c>
      <c r="DB184" s="103">
        <v>66</v>
      </c>
      <c r="DC184" s="42"/>
      <c r="DD184" s="110"/>
      <c r="DE184" s="46" t="s">
        <v>8</v>
      </c>
      <c r="DF184" s="103">
        <v>149</v>
      </c>
      <c r="DG184" s="103">
        <v>128</v>
      </c>
      <c r="DH184" s="103">
        <v>482</v>
      </c>
      <c r="DI184" s="103">
        <v>2056</v>
      </c>
      <c r="DJ184" s="103">
        <v>3277</v>
      </c>
      <c r="DK184" s="103">
        <v>4197</v>
      </c>
      <c r="DL184" s="103">
        <v>2802</v>
      </c>
      <c r="DM184" s="103">
        <v>1137</v>
      </c>
      <c r="DN184" s="103">
        <v>511</v>
      </c>
      <c r="DO184" s="103">
        <v>159</v>
      </c>
    </row>
    <row r="185" spans="2:119" ht="14.45" customHeight="1" x14ac:dyDescent="0.45">
      <c r="B185" s="134"/>
      <c r="C185" s="42"/>
      <c r="D185" s="110"/>
      <c r="E185" s="46" t="s">
        <v>9</v>
      </c>
      <c r="F185" s="103">
        <v>157</v>
      </c>
      <c r="G185" s="103">
        <v>45</v>
      </c>
      <c r="H185" s="103">
        <v>258</v>
      </c>
      <c r="I185" s="103">
        <v>1772</v>
      </c>
      <c r="J185" s="103">
        <v>4907</v>
      </c>
      <c r="K185" s="103">
        <v>9094</v>
      </c>
      <c r="L185" s="103">
        <v>10028</v>
      </c>
      <c r="M185" s="103">
        <v>5816</v>
      </c>
      <c r="N185" s="103">
        <v>3618</v>
      </c>
      <c r="O185" s="103">
        <v>1453</v>
      </c>
      <c r="P185" s="42"/>
      <c r="Q185" s="110"/>
      <c r="R185" s="46" t="s">
        <v>9</v>
      </c>
      <c r="S185" s="103">
        <v>53</v>
      </c>
      <c r="T185" s="103">
        <v>17</v>
      </c>
      <c r="U185" s="103">
        <v>94</v>
      </c>
      <c r="V185" s="103">
        <v>694</v>
      </c>
      <c r="W185" s="103">
        <v>2232</v>
      </c>
      <c r="X185" s="103">
        <v>4438</v>
      </c>
      <c r="Y185" s="103">
        <v>5210</v>
      </c>
      <c r="Z185" s="103">
        <v>3121</v>
      </c>
      <c r="AA185" s="103">
        <v>1989</v>
      </c>
      <c r="AB185" s="103">
        <v>821</v>
      </c>
      <c r="AC185" s="42"/>
      <c r="AD185" s="110"/>
      <c r="AE185" s="46" t="s">
        <v>9</v>
      </c>
      <c r="AF185" s="103">
        <v>104</v>
      </c>
      <c r="AG185" s="103">
        <v>28</v>
      </c>
      <c r="AH185" s="103">
        <v>164</v>
      </c>
      <c r="AI185" s="103">
        <v>1078</v>
      </c>
      <c r="AJ185" s="103">
        <v>2675</v>
      </c>
      <c r="AK185" s="103">
        <v>4656</v>
      </c>
      <c r="AL185" s="103">
        <v>4818</v>
      </c>
      <c r="AM185" s="103">
        <v>2695</v>
      </c>
      <c r="AN185" s="103">
        <v>1629</v>
      </c>
      <c r="AO185" s="103">
        <v>632</v>
      </c>
      <c r="AP185" s="6"/>
      <c r="AQ185" s="110"/>
      <c r="AR185" s="46" t="s">
        <v>9</v>
      </c>
      <c r="AS185" s="103">
        <v>43</v>
      </c>
      <c r="AT185" s="103">
        <v>27</v>
      </c>
      <c r="AU185" s="103">
        <v>108</v>
      </c>
      <c r="AV185" s="103">
        <v>461</v>
      </c>
      <c r="AW185" s="103">
        <v>1011</v>
      </c>
      <c r="AX185" s="103">
        <v>1601</v>
      </c>
      <c r="AY185" s="103">
        <v>1539</v>
      </c>
      <c r="AZ185" s="103">
        <v>759</v>
      </c>
      <c r="BA185" s="103">
        <v>477</v>
      </c>
      <c r="BB185" s="103">
        <v>148</v>
      </c>
      <c r="BC185" s="42"/>
      <c r="BD185" s="110"/>
      <c r="BE185" s="46" t="s">
        <v>9</v>
      </c>
      <c r="BF185" s="103">
        <v>114</v>
      </c>
      <c r="BG185" s="103">
        <v>18</v>
      </c>
      <c r="BH185" s="103">
        <v>150</v>
      </c>
      <c r="BI185" s="103">
        <v>1311</v>
      </c>
      <c r="BJ185" s="103">
        <v>3896</v>
      </c>
      <c r="BK185" s="103">
        <v>7493</v>
      </c>
      <c r="BL185" s="103">
        <v>8489</v>
      </c>
      <c r="BM185" s="103">
        <v>5057</v>
      </c>
      <c r="BN185" s="103">
        <v>3141</v>
      </c>
      <c r="BO185" s="103">
        <v>1305</v>
      </c>
      <c r="BQ185" s="110"/>
      <c r="BR185" s="46" t="s">
        <v>9</v>
      </c>
      <c r="BS185" s="103">
        <v>14</v>
      </c>
      <c r="BT185" s="103">
        <v>14</v>
      </c>
      <c r="BU185" s="103">
        <v>47</v>
      </c>
      <c r="BV185" s="103">
        <v>119</v>
      </c>
      <c r="BW185" s="103">
        <v>300</v>
      </c>
      <c r="BX185" s="103">
        <v>484</v>
      </c>
      <c r="BY185" s="103">
        <v>462</v>
      </c>
      <c r="BZ185" s="103">
        <v>256</v>
      </c>
      <c r="CA185" s="103">
        <v>166</v>
      </c>
      <c r="CB185" s="103">
        <v>79</v>
      </c>
      <c r="CC185" s="42"/>
      <c r="CD185" s="110"/>
      <c r="CE185" s="46" t="s">
        <v>9</v>
      </c>
      <c r="CF185" s="103">
        <v>143</v>
      </c>
      <c r="CG185" s="103">
        <v>31</v>
      </c>
      <c r="CH185" s="103">
        <v>211</v>
      </c>
      <c r="CI185" s="103">
        <v>1653</v>
      </c>
      <c r="CJ185" s="103">
        <v>4607</v>
      </c>
      <c r="CK185" s="103">
        <v>8610</v>
      </c>
      <c r="CL185" s="103">
        <v>9566</v>
      </c>
      <c r="CM185" s="103">
        <v>5560</v>
      </c>
      <c r="CN185" s="103">
        <v>3452</v>
      </c>
      <c r="CO185" s="103">
        <v>1374</v>
      </c>
      <c r="CQ185" s="110"/>
      <c r="CR185" s="46" t="s">
        <v>9</v>
      </c>
      <c r="CS185" s="103">
        <v>7</v>
      </c>
      <c r="CT185" s="103">
        <v>5</v>
      </c>
      <c r="CU185" s="103">
        <v>22</v>
      </c>
      <c r="CV185" s="103">
        <v>161</v>
      </c>
      <c r="CW185" s="103">
        <v>501</v>
      </c>
      <c r="CX185" s="103">
        <v>1095</v>
      </c>
      <c r="CY185" s="103">
        <v>1588</v>
      </c>
      <c r="CZ185" s="103">
        <v>1159</v>
      </c>
      <c r="DA185" s="103">
        <v>800</v>
      </c>
      <c r="DB185" s="103">
        <v>323</v>
      </c>
      <c r="DC185" s="42"/>
      <c r="DD185" s="110"/>
      <c r="DE185" s="46" t="s">
        <v>9</v>
      </c>
      <c r="DF185" s="103">
        <v>150</v>
      </c>
      <c r="DG185" s="103">
        <v>40</v>
      </c>
      <c r="DH185" s="103">
        <v>236</v>
      </c>
      <c r="DI185" s="103">
        <v>1611</v>
      </c>
      <c r="DJ185" s="103">
        <v>4406</v>
      </c>
      <c r="DK185" s="103">
        <v>7999</v>
      </c>
      <c r="DL185" s="103">
        <v>8440</v>
      </c>
      <c r="DM185" s="103">
        <v>4657</v>
      </c>
      <c r="DN185" s="103">
        <v>2818</v>
      </c>
      <c r="DO185" s="103">
        <v>1130</v>
      </c>
    </row>
    <row r="186" spans="2:119" ht="14.45" customHeight="1" x14ac:dyDescent="0.45">
      <c r="B186" s="134"/>
      <c r="C186" s="42"/>
      <c r="D186" s="110"/>
      <c r="E186" s="46" t="s">
        <v>10</v>
      </c>
      <c r="F186" s="103">
        <v>66</v>
      </c>
      <c r="G186" s="103">
        <v>10</v>
      </c>
      <c r="H186" s="103">
        <v>41</v>
      </c>
      <c r="I186" s="103">
        <v>670</v>
      </c>
      <c r="J186" s="103">
        <v>2792</v>
      </c>
      <c r="K186" s="103">
        <v>7593</v>
      </c>
      <c r="L186" s="103">
        <v>13211</v>
      </c>
      <c r="M186" s="103">
        <v>11677</v>
      </c>
      <c r="N186" s="103">
        <v>11041</v>
      </c>
      <c r="O186" s="103">
        <v>8021</v>
      </c>
      <c r="P186" s="42"/>
      <c r="Q186" s="110"/>
      <c r="R186" s="46" t="s">
        <v>10</v>
      </c>
      <c r="S186" s="103">
        <v>20</v>
      </c>
      <c r="T186" s="103">
        <v>3</v>
      </c>
      <c r="U186" s="103">
        <v>12</v>
      </c>
      <c r="V186" s="103">
        <v>229</v>
      </c>
      <c r="W186" s="103">
        <v>1089</v>
      </c>
      <c r="X186" s="103">
        <v>3228</v>
      </c>
      <c r="Y186" s="103">
        <v>6027</v>
      </c>
      <c r="Z186" s="103">
        <v>5833</v>
      </c>
      <c r="AA186" s="103">
        <v>5677</v>
      </c>
      <c r="AB186" s="103">
        <v>4200</v>
      </c>
      <c r="AC186" s="42"/>
      <c r="AD186" s="110"/>
      <c r="AE186" s="46" t="s">
        <v>10</v>
      </c>
      <c r="AF186" s="103">
        <v>46</v>
      </c>
      <c r="AG186" s="103">
        <v>7</v>
      </c>
      <c r="AH186" s="103">
        <v>29</v>
      </c>
      <c r="AI186" s="103">
        <v>441</v>
      </c>
      <c r="AJ186" s="103">
        <v>1703</v>
      </c>
      <c r="AK186" s="103">
        <v>4365</v>
      </c>
      <c r="AL186" s="103">
        <v>7184</v>
      </c>
      <c r="AM186" s="103">
        <v>5844</v>
      </c>
      <c r="AN186" s="103">
        <v>5364</v>
      </c>
      <c r="AO186" s="103">
        <v>3821</v>
      </c>
      <c r="AP186" s="6"/>
      <c r="AQ186" s="110"/>
      <c r="AR186" s="46" t="s">
        <v>10</v>
      </c>
      <c r="AS186" s="103">
        <v>17</v>
      </c>
      <c r="AT186" s="103">
        <v>6</v>
      </c>
      <c r="AU186" s="103">
        <v>16</v>
      </c>
      <c r="AV186" s="103">
        <v>178</v>
      </c>
      <c r="AW186" s="103">
        <v>554</v>
      </c>
      <c r="AX186" s="103">
        <v>1160</v>
      </c>
      <c r="AY186" s="103">
        <v>1610</v>
      </c>
      <c r="AZ186" s="103">
        <v>1272</v>
      </c>
      <c r="BA186" s="103">
        <v>1054</v>
      </c>
      <c r="BB186" s="103">
        <v>600</v>
      </c>
      <c r="BC186" s="42"/>
      <c r="BD186" s="110"/>
      <c r="BE186" s="46" t="s">
        <v>10</v>
      </c>
      <c r="BF186" s="103">
        <v>49</v>
      </c>
      <c r="BG186" s="103">
        <v>4</v>
      </c>
      <c r="BH186" s="103">
        <v>25</v>
      </c>
      <c r="BI186" s="103">
        <v>492</v>
      </c>
      <c r="BJ186" s="103">
        <v>2238</v>
      </c>
      <c r="BK186" s="103">
        <v>6433</v>
      </c>
      <c r="BL186" s="103">
        <v>11601</v>
      </c>
      <c r="BM186" s="103">
        <v>10405</v>
      </c>
      <c r="BN186" s="103">
        <v>9987</v>
      </c>
      <c r="BO186" s="103">
        <v>7421</v>
      </c>
      <c r="BQ186" s="110"/>
      <c r="BR186" s="46" t="s">
        <v>10</v>
      </c>
      <c r="BS186" s="103">
        <v>6</v>
      </c>
      <c r="BT186" s="103">
        <v>2</v>
      </c>
      <c r="BU186" s="103">
        <v>5</v>
      </c>
      <c r="BV186" s="103">
        <v>55</v>
      </c>
      <c r="BW186" s="103">
        <v>136</v>
      </c>
      <c r="BX186" s="103">
        <v>334</v>
      </c>
      <c r="BY186" s="103">
        <v>492</v>
      </c>
      <c r="BZ186" s="103">
        <v>417</v>
      </c>
      <c r="CA186" s="103">
        <v>364</v>
      </c>
      <c r="CB186" s="103">
        <v>230</v>
      </c>
      <c r="CC186" s="42"/>
      <c r="CD186" s="110"/>
      <c r="CE186" s="46" t="s">
        <v>10</v>
      </c>
      <c r="CF186" s="103">
        <v>60</v>
      </c>
      <c r="CG186" s="103">
        <v>8</v>
      </c>
      <c r="CH186" s="103">
        <v>36</v>
      </c>
      <c r="CI186" s="103">
        <v>615</v>
      </c>
      <c r="CJ186" s="103">
        <v>2656</v>
      </c>
      <c r="CK186" s="103">
        <v>7259</v>
      </c>
      <c r="CL186" s="103">
        <v>12719</v>
      </c>
      <c r="CM186" s="103">
        <v>11260</v>
      </c>
      <c r="CN186" s="103">
        <v>10677</v>
      </c>
      <c r="CO186" s="103">
        <v>7791</v>
      </c>
      <c r="CQ186" s="110"/>
      <c r="CR186" s="46" t="s">
        <v>10</v>
      </c>
      <c r="CS186" s="103">
        <v>5</v>
      </c>
      <c r="CT186" s="103">
        <v>1</v>
      </c>
      <c r="CU186" s="103">
        <v>4</v>
      </c>
      <c r="CV186" s="103">
        <v>56</v>
      </c>
      <c r="CW186" s="103">
        <v>229</v>
      </c>
      <c r="CX186" s="103">
        <v>703</v>
      </c>
      <c r="CY186" s="103">
        <v>1597</v>
      </c>
      <c r="CZ186" s="103">
        <v>1693</v>
      </c>
      <c r="DA186" s="103">
        <v>1848</v>
      </c>
      <c r="DB186" s="103">
        <v>1519</v>
      </c>
      <c r="DC186" s="42"/>
      <c r="DD186" s="110"/>
      <c r="DE186" s="46" t="s">
        <v>10</v>
      </c>
      <c r="DF186" s="103">
        <v>61</v>
      </c>
      <c r="DG186" s="103">
        <v>9</v>
      </c>
      <c r="DH186" s="103">
        <v>37</v>
      </c>
      <c r="DI186" s="103">
        <v>614</v>
      </c>
      <c r="DJ186" s="103">
        <v>2563</v>
      </c>
      <c r="DK186" s="103">
        <v>6890</v>
      </c>
      <c r="DL186" s="103">
        <v>11614</v>
      </c>
      <c r="DM186" s="103">
        <v>9984</v>
      </c>
      <c r="DN186" s="103">
        <v>9193</v>
      </c>
      <c r="DO186" s="103">
        <v>6502</v>
      </c>
    </row>
    <row r="187" spans="2:119" ht="14.45" customHeight="1" x14ac:dyDescent="0.45">
      <c r="B187" s="134"/>
      <c r="C187" s="42"/>
      <c r="D187" s="111"/>
      <c r="E187" s="46" t="s">
        <v>11</v>
      </c>
      <c r="F187" s="103">
        <v>3</v>
      </c>
      <c r="G187" s="103">
        <v>1</v>
      </c>
      <c r="H187" s="103">
        <v>2</v>
      </c>
      <c r="I187" s="103">
        <v>35</v>
      </c>
      <c r="J187" s="103">
        <v>167</v>
      </c>
      <c r="K187" s="103">
        <v>770</v>
      </c>
      <c r="L187" s="103">
        <v>2134</v>
      </c>
      <c r="M187" s="103">
        <v>3044</v>
      </c>
      <c r="N187" s="103">
        <v>4630</v>
      </c>
      <c r="O187" s="103">
        <v>7222</v>
      </c>
      <c r="P187" s="42"/>
      <c r="Q187" s="111"/>
      <c r="R187" s="46" t="s">
        <v>11</v>
      </c>
      <c r="S187" s="103">
        <v>1</v>
      </c>
      <c r="T187" s="103">
        <v>0</v>
      </c>
      <c r="U187" s="103">
        <v>0</v>
      </c>
      <c r="V187" s="103">
        <v>10</v>
      </c>
      <c r="W187" s="103">
        <v>51</v>
      </c>
      <c r="X187" s="103">
        <v>272</v>
      </c>
      <c r="Y187" s="103">
        <v>909</v>
      </c>
      <c r="Z187" s="103">
        <v>1384</v>
      </c>
      <c r="AA187" s="103">
        <v>2272</v>
      </c>
      <c r="AB187" s="103">
        <v>3887</v>
      </c>
      <c r="AC187" s="42"/>
      <c r="AD187" s="111"/>
      <c r="AE187" s="46" t="s">
        <v>11</v>
      </c>
      <c r="AF187" s="103">
        <v>2</v>
      </c>
      <c r="AG187" s="103">
        <v>1</v>
      </c>
      <c r="AH187" s="103">
        <v>2</v>
      </c>
      <c r="AI187" s="103">
        <v>25</v>
      </c>
      <c r="AJ187" s="103">
        <v>116</v>
      </c>
      <c r="AK187" s="103">
        <v>498</v>
      </c>
      <c r="AL187" s="103">
        <v>1225</v>
      </c>
      <c r="AM187" s="103">
        <v>1660</v>
      </c>
      <c r="AN187" s="103">
        <v>2358</v>
      </c>
      <c r="AO187" s="103">
        <v>3335</v>
      </c>
      <c r="AP187" s="6"/>
      <c r="AQ187" s="111"/>
      <c r="AR187" s="46" t="s">
        <v>11</v>
      </c>
      <c r="AS187" s="103">
        <v>2</v>
      </c>
      <c r="AT187" s="103">
        <v>1</v>
      </c>
      <c r="AU187" s="103">
        <v>2</v>
      </c>
      <c r="AV187" s="103">
        <v>11</v>
      </c>
      <c r="AW187" s="103">
        <v>22</v>
      </c>
      <c r="AX187" s="103">
        <v>100</v>
      </c>
      <c r="AY187" s="103">
        <v>226</v>
      </c>
      <c r="AZ187" s="103">
        <v>252</v>
      </c>
      <c r="BA187" s="103">
        <v>332</v>
      </c>
      <c r="BB187" s="103">
        <v>374</v>
      </c>
      <c r="BC187" s="42"/>
      <c r="BD187" s="111"/>
      <c r="BE187" s="46" t="s">
        <v>11</v>
      </c>
      <c r="BF187" s="103">
        <v>1</v>
      </c>
      <c r="BG187" s="103">
        <v>0</v>
      </c>
      <c r="BH187" s="103">
        <v>0</v>
      </c>
      <c r="BI187" s="103">
        <v>24</v>
      </c>
      <c r="BJ187" s="103">
        <v>145</v>
      </c>
      <c r="BK187" s="103">
        <v>670</v>
      </c>
      <c r="BL187" s="103">
        <v>1908</v>
      </c>
      <c r="BM187" s="103">
        <v>2792</v>
      </c>
      <c r="BN187" s="103">
        <v>4298</v>
      </c>
      <c r="BO187" s="103">
        <v>6848</v>
      </c>
      <c r="BQ187" s="111"/>
      <c r="BR187" s="46" t="s">
        <v>11</v>
      </c>
      <c r="BS187" s="103">
        <v>0</v>
      </c>
      <c r="BT187" s="103">
        <v>0</v>
      </c>
      <c r="BU187" s="103">
        <v>0</v>
      </c>
      <c r="BV187" s="103">
        <v>5</v>
      </c>
      <c r="BW187" s="103">
        <v>5</v>
      </c>
      <c r="BX187" s="103">
        <v>37</v>
      </c>
      <c r="BY187" s="103">
        <v>81</v>
      </c>
      <c r="BZ187" s="103">
        <v>100</v>
      </c>
      <c r="CA187" s="103">
        <v>138</v>
      </c>
      <c r="CB187" s="103">
        <v>161</v>
      </c>
      <c r="CC187" s="42"/>
      <c r="CD187" s="111"/>
      <c r="CE187" s="46" t="s">
        <v>11</v>
      </c>
      <c r="CF187" s="103">
        <v>3</v>
      </c>
      <c r="CG187" s="103">
        <v>1</v>
      </c>
      <c r="CH187" s="103">
        <v>2</v>
      </c>
      <c r="CI187" s="103">
        <v>30</v>
      </c>
      <c r="CJ187" s="103">
        <v>162</v>
      </c>
      <c r="CK187" s="103">
        <v>733</v>
      </c>
      <c r="CL187" s="103">
        <v>2053</v>
      </c>
      <c r="CM187" s="103">
        <v>2944</v>
      </c>
      <c r="CN187" s="103">
        <v>4492</v>
      </c>
      <c r="CO187" s="103">
        <v>7061</v>
      </c>
      <c r="CQ187" s="111"/>
      <c r="CR187" s="46" t="s">
        <v>11</v>
      </c>
      <c r="CS187" s="103">
        <v>1</v>
      </c>
      <c r="CT187" s="103">
        <v>0</v>
      </c>
      <c r="CU187" s="103">
        <v>0</v>
      </c>
      <c r="CV187" s="103">
        <v>0</v>
      </c>
      <c r="CW187" s="103">
        <v>8</v>
      </c>
      <c r="CX187" s="103">
        <v>54</v>
      </c>
      <c r="CY187" s="103">
        <v>169</v>
      </c>
      <c r="CZ187" s="103">
        <v>337</v>
      </c>
      <c r="DA187" s="103">
        <v>566</v>
      </c>
      <c r="DB187" s="103">
        <v>1018</v>
      </c>
      <c r="DC187" s="42"/>
      <c r="DD187" s="111"/>
      <c r="DE187" s="46" t="s">
        <v>11</v>
      </c>
      <c r="DF187" s="103">
        <v>2</v>
      </c>
      <c r="DG187" s="103">
        <v>1</v>
      </c>
      <c r="DH187" s="103">
        <v>2</v>
      </c>
      <c r="DI187" s="103">
        <v>35</v>
      </c>
      <c r="DJ187" s="103">
        <v>159</v>
      </c>
      <c r="DK187" s="103">
        <v>716</v>
      </c>
      <c r="DL187" s="103">
        <v>1965</v>
      </c>
      <c r="DM187" s="103">
        <v>2707</v>
      </c>
      <c r="DN187" s="103">
        <v>4064</v>
      </c>
      <c r="DO187" s="103">
        <v>6204</v>
      </c>
    </row>
    <row r="188" spans="2:119" ht="14.45" customHeight="1" x14ac:dyDescent="0.45">
      <c r="B188" s="99"/>
      <c r="C188" s="42"/>
      <c r="D188" s="42"/>
      <c r="E188" s="42"/>
      <c r="F188" s="42"/>
      <c r="G188" s="42"/>
      <c r="H188" s="42"/>
      <c r="I188" s="42"/>
      <c r="J188" s="42"/>
      <c r="K188" s="42"/>
      <c r="L188" s="42"/>
      <c r="M188" s="42"/>
      <c r="N188" s="42"/>
      <c r="O188" s="42"/>
      <c r="P188" s="42"/>
      <c r="Q188" s="42"/>
      <c r="R188" s="42"/>
      <c r="S188" s="42"/>
      <c r="T188" s="42"/>
      <c r="U188" s="42"/>
      <c r="V188" s="42"/>
      <c r="W188" s="42"/>
      <c r="X188" s="42"/>
      <c r="Y188" s="42"/>
      <c r="Z188" s="42"/>
      <c r="AA188" s="42"/>
      <c r="AB188" s="42"/>
      <c r="AC188" s="42"/>
      <c r="AD188" s="42"/>
      <c r="AE188" s="42"/>
      <c r="AF188" s="42"/>
      <c r="AG188" s="42"/>
      <c r="AH188" s="42"/>
      <c r="AI188" s="42"/>
      <c r="AJ188" s="42"/>
      <c r="AK188" s="42"/>
      <c r="AL188" s="42"/>
      <c r="AM188" s="42"/>
      <c r="AN188" s="42"/>
      <c r="AO188" s="42"/>
      <c r="AP188" s="6"/>
      <c r="AQ188" s="42"/>
      <c r="AR188" s="42"/>
      <c r="AS188" s="42"/>
      <c r="AT188" s="42"/>
      <c r="AU188" s="42"/>
      <c r="AV188" s="42"/>
      <c r="AW188" s="42"/>
      <c r="AX188" s="42"/>
      <c r="AY188" s="42"/>
      <c r="AZ188" s="42"/>
      <c r="BA188" s="42"/>
      <c r="BB188" s="42"/>
      <c r="BC188" s="42"/>
      <c r="BD188" s="42"/>
      <c r="BE188" s="42"/>
      <c r="BF188" s="42"/>
      <c r="BG188" s="42"/>
      <c r="BH188" s="42"/>
      <c r="BI188" s="42"/>
      <c r="BJ188" s="42"/>
      <c r="BK188" s="42"/>
      <c r="BL188" s="42"/>
      <c r="BM188" s="42"/>
      <c r="BN188" s="42"/>
      <c r="BO188" s="42"/>
      <c r="BQ188" s="42"/>
      <c r="BR188" s="42"/>
      <c r="BS188" s="42"/>
      <c r="BT188" s="42"/>
      <c r="BU188" s="42"/>
      <c r="BV188" s="42"/>
      <c r="BW188" s="42"/>
      <c r="BX188" s="42"/>
      <c r="BY188" s="42"/>
      <c r="BZ188" s="42"/>
      <c r="CA188" s="42"/>
      <c r="CB188" s="42"/>
      <c r="CC188" s="42"/>
      <c r="CD188" s="42"/>
      <c r="CE188" s="42"/>
      <c r="CF188" s="42"/>
      <c r="CG188" s="42"/>
      <c r="CH188" s="42"/>
      <c r="CI188" s="42"/>
      <c r="CJ188" s="42"/>
      <c r="CK188" s="42"/>
      <c r="CL188" s="42"/>
      <c r="CM188" s="42"/>
      <c r="CN188" s="42"/>
      <c r="CO188" s="42"/>
      <c r="CQ188" s="42"/>
      <c r="CR188" s="42"/>
      <c r="CS188" s="42"/>
      <c r="CT188" s="42"/>
      <c r="CU188" s="42"/>
      <c r="CV188" s="42"/>
      <c r="CW188" s="42"/>
      <c r="CX188" s="42"/>
      <c r="CY188" s="42"/>
      <c r="CZ188" s="42"/>
      <c r="DA188" s="42"/>
      <c r="DB188" s="42"/>
      <c r="DC188" s="42"/>
      <c r="DD188" s="42"/>
      <c r="DE188" s="42"/>
      <c r="DF188" s="42"/>
      <c r="DG188" s="42"/>
      <c r="DH188" s="42"/>
      <c r="DI188" s="42"/>
      <c r="DJ188" s="42"/>
      <c r="DK188" s="42"/>
      <c r="DL188" s="42"/>
      <c r="DM188" s="42"/>
      <c r="DN188" s="42"/>
      <c r="DO188" s="42"/>
    </row>
    <row r="189" spans="2:119" ht="14.45" customHeight="1" x14ac:dyDescent="0.55000000000000004">
      <c r="B189" s="99"/>
      <c r="C189" s="42"/>
      <c r="D189" s="112" t="s">
        <v>16</v>
      </c>
      <c r="E189" s="112"/>
      <c r="F189" s="45"/>
      <c r="G189" s="45"/>
      <c r="H189" s="45"/>
      <c r="I189" s="45"/>
      <c r="J189" s="45"/>
      <c r="K189" s="45"/>
      <c r="L189" s="45"/>
      <c r="M189" s="45"/>
      <c r="N189" s="45"/>
      <c r="O189" s="45"/>
      <c r="P189" s="42"/>
      <c r="Q189" s="112" t="s">
        <v>16</v>
      </c>
      <c r="R189" s="112"/>
      <c r="S189" s="45"/>
      <c r="T189" s="45"/>
      <c r="U189" s="45"/>
      <c r="V189" s="45"/>
      <c r="W189" s="45"/>
      <c r="X189" s="45"/>
      <c r="Y189" s="45"/>
      <c r="Z189" s="45"/>
      <c r="AA189" s="45"/>
      <c r="AB189" s="45"/>
      <c r="AC189" s="42"/>
      <c r="AD189" s="112" t="s">
        <v>16</v>
      </c>
      <c r="AE189" s="112"/>
      <c r="AF189" s="45"/>
      <c r="AG189" s="45"/>
      <c r="AH189" s="45"/>
      <c r="AI189" s="45"/>
      <c r="AJ189" s="45"/>
      <c r="AK189" s="45"/>
      <c r="AL189" s="45"/>
      <c r="AM189" s="45"/>
      <c r="AN189" s="45"/>
      <c r="AO189" s="45"/>
      <c r="AP189" s="6"/>
      <c r="AQ189" s="112" t="s">
        <v>16</v>
      </c>
      <c r="AR189" s="112"/>
      <c r="AS189" s="45"/>
      <c r="AT189" s="45"/>
      <c r="AU189" s="45"/>
      <c r="AV189" s="45"/>
      <c r="AW189" s="45"/>
      <c r="AX189" s="45"/>
      <c r="AY189" s="45"/>
      <c r="AZ189" s="45"/>
      <c r="BA189" s="45"/>
      <c r="BB189" s="45"/>
      <c r="BC189" s="42"/>
      <c r="BD189" s="112" t="s">
        <v>16</v>
      </c>
      <c r="BE189" s="112"/>
      <c r="BF189" s="45"/>
      <c r="BG189" s="45"/>
      <c r="BH189" s="45"/>
      <c r="BI189" s="45"/>
      <c r="BJ189" s="45"/>
      <c r="BK189" s="45"/>
      <c r="BL189" s="45"/>
      <c r="BM189" s="45"/>
      <c r="BN189" s="45"/>
      <c r="BO189" s="45"/>
      <c r="BQ189" s="112" t="s">
        <v>16</v>
      </c>
      <c r="BR189" s="112"/>
      <c r="BS189" s="45"/>
      <c r="BT189" s="45"/>
      <c r="BU189" s="45"/>
      <c r="BV189" s="45"/>
      <c r="BW189" s="45"/>
      <c r="BX189" s="45"/>
      <c r="BY189" s="45"/>
      <c r="BZ189" s="45"/>
      <c r="CA189" s="45"/>
      <c r="CB189" s="45"/>
      <c r="CC189" s="42"/>
      <c r="CD189" s="112" t="s">
        <v>16</v>
      </c>
      <c r="CE189" s="112"/>
      <c r="CF189" s="45"/>
      <c r="CG189" s="45"/>
      <c r="CH189" s="45"/>
      <c r="CI189" s="45"/>
      <c r="CJ189" s="45"/>
      <c r="CK189" s="45"/>
      <c r="CL189" s="45"/>
      <c r="CM189" s="45"/>
      <c r="CN189" s="45"/>
      <c r="CO189" s="45"/>
      <c r="CQ189" s="112" t="s">
        <v>16</v>
      </c>
      <c r="CR189" s="112"/>
      <c r="CS189" s="45"/>
      <c r="CT189" s="45"/>
      <c r="CU189" s="45"/>
      <c r="CV189" s="45"/>
      <c r="CW189" s="45"/>
      <c r="CX189" s="45"/>
      <c r="CY189" s="45"/>
      <c r="CZ189" s="45"/>
      <c r="DA189" s="45"/>
      <c r="DB189" s="45"/>
      <c r="DC189" s="42"/>
      <c r="DD189" s="112" t="s">
        <v>16</v>
      </c>
      <c r="DE189" s="112"/>
      <c r="DF189" s="45"/>
      <c r="DG189" s="45"/>
      <c r="DH189" s="45"/>
      <c r="DI189" s="45"/>
      <c r="DJ189" s="45"/>
      <c r="DK189" s="45"/>
      <c r="DL189" s="45"/>
      <c r="DM189" s="45"/>
      <c r="DN189" s="45"/>
      <c r="DO189" s="45"/>
    </row>
    <row r="190" spans="2:119" ht="28.9" customHeight="1" x14ac:dyDescent="0.45">
      <c r="B190" s="99"/>
      <c r="C190" s="42"/>
      <c r="D190" s="112"/>
      <c r="E190" s="112"/>
      <c r="F190" s="108" t="s">
        <v>12</v>
      </c>
      <c r="G190" s="108"/>
      <c r="H190" s="108"/>
      <c r="I190" s="108"/>
      <c r="J190" s="108"/>
      <c r="K190" s="108"/>
      <c r="L190" s="108"/>
      <c r="M190" s="108"/>
      <c r="N190" s="108"/>
      <c r="O190" s="108"/>
      <c r="P190" s="42"/>
      <c r="Q190" s="112"/>
      <c r="R190" s="112"/>
      <c r="S190" s="108" t="s">
        <v>12</v>
      </c>
      <c r="T190" s="108"/>
      <c r="U190" s="108"/>
      <c r="V190" s="108"/>
      <c r="W190" s="108"/>
      <c r="X190" s="108"/>
      <c r="Y190" s="108"/>
      <c r="Z190" s="108"/>
      <c r="AA190" s="108"/>
      <c r="AB190" s="108"/>
      <c r="AC190" s="42"/>
      <c r="AD190" s="112"/>
      <c r="AE190" s="112"/>
      <c r="AF190" s="131" t="s">
        <v>12</v>
      </c>
      <c r="AG190" s="132"/>
      <c r="AH190" s="132"/>
      <c r="AI190" s="132"/>
      <c r="AJ190" s="132"/>
      <c r="AK190" s="132"/>
      <c r="AL190" s="132"/>
      <c r="AM190" s="132"/>
      <c r="AN190" s="132"/>
      <c r="AO190" s="133"/>
      <c r="AP190" s="6"/>
      <c r="AQ190" s="112"/>
      <c r="AR190" s="112"/>
      <c r="AS190" s="108" t="s">
        <v>12</v>
      </c>
      <c r="AT190" s="108"/>
      <c r="AU190" s="108"/>
      <c r="AV190" s="108"/>
      <c r="AW190" s="108"/>
      <c r="AX190" s="108"/>
      <c r="AY190" s="108"/>
      <c r="AZ190" s="108"/>
      <c r="BA190" s="108"/>
      <c r="BB190" s="108"/>
      <c r="BC190" s="42"/>
      <c r="BD190" s="112"/>
      <c r="BE190" s="112"/>
      <c r="BF190" s="108" t="s">
        <v>12</v>
      </c>
      <c r="BG190" s="108"/>
      <c r="BH190" s="108"/>
      <c r="BI190" s="108"/>
      <c r="BJ190" s="108"/>
      <c r="BK190" s="108"/>
      <c r="BL190" s="108"/>
      <c r="BM190" s="108"/>
      <c r="BN190" s="108"/>
      <c r="BO190" s="108"/>
      <c r="BQ190" s="112"/>
      <c r="BR190" s="112"/>
      <c r="BS190" s="108" t="s">
        <v>12</v>
      </c>
      <c r="BT190" s="108"/>
      <c r="BU190" s="108"/>
      <c r="BV190" s="108"/>
      <c r="BW190" s="108"/>
      <c r="BX190" s="108"/>
      <c r="BY190" s="108"/>
      <c r="BZ190" s="108"/>
      <c r="CA190" s="108"/>
      <c r="CB190" s="108"/>
      <c r="CC190" s="42"/>
      <c r="CD190" s="112"/>
      <c r="CE190" s="112"/>
      <c r="CF190" s="108" t="s">
        <v>12</v>
      </c>
      <c r="CG190" s="108"/>
      <c r="CH190" s="108"/>
      <c r="CI190" s="108"/>
      <c r="CJ190" s="108"/>
      <c r="CK190" s="108"/>
      <c r="CL190" s="108"/>
      <c r="CM190" s="108"/>
      <c r="CN190" s="108"/>
      <c r="CO190" s="108"/>
      <c r="CQ190" s="112"/>
      <c r="CR190" s="112"/>
      <c r="CS190" s="108" t="s">
        <v>12</v>
      </c>
      <c r="CT190" s="108"/>
      <c r="CU190" s="108"/>
      <c r="CV190" s="108"/>
      <c r="CW190" s="108"/>
      <c r="CX190" s="108"/>
      <c r="CY190" s="108"/>
      <c r="CZ190" s="108"/>
      <c r="DA190" s="108"/>
      <c r="DB190" s="108"/>
      <c r="DC190" s="42"/>
      <c r="DD190" s="112"/>
      <c r="DE190" s="112"/>
      <c r="DF190" s="108" t="s">
        <v>12</v>
      </c>
      <c r="DG190" s="108"/>
      <c r="DH190" s="108"/>
      <c r="DI190" s="108"/>
      <c r="DJ190" s="108"/>
      <c r="DK190" s="108"/>
      <c r="DL190" s="108"/>
      <c r="DM190" s="108"/>
      <c r="DN190" s="108"/>
      <c r="DO190" s="108"/>
    </row>
    <row r="191" spans="2:119" ht="14.45" customHeight="1" x14ac:dyDescent="0.45">
      <c r="B191" s="99"/>
      <c r="C191" s="42"/>
      <c r="D191" s="113"/>
      <c r="E191" s="113"/>
      <c r="F191" s="9" t="s">
        <v>0</v>
      </c>
      <c r="G191" s="9">
        <v>1</v>
      </c>
      <c r="H191" s="9">
        <v>2</v>
      </c>
      <c r="I191" s="9">
        <v>3</v>
      </c>
      <c r="J191" s="9">
        <v>4</v>
      </c>
      <c r="K191" s="9">
        <v>5</v>
      </c>
      <c r="L191" s="9">
        <v>6</v>
      </c>
      <c r="M191" s="9">
        <v>7</v>
      </c>
      <c r="N191" s="9">
        <v>8</v>
      </c>
      <c r="O191" s="9">
        <v>9</v>
      </c>
      <c r="P191" s="42"/>
      <c r="Q191" s="113"/>
      <c r="R191" s="113"/>
      <c r="S191" s="9" t="s">
        <v>0</v>
      </c>
      <c r="T191" s="9">
        <v>1</v>
      </c>
      <c r="U191" s="9">
        <v>2</v>
      </c>
      <c r="V191" s="9">
        <v>3</v>
      </c>
      <c r="W191" s="9">
        <v>4</v>
      </c>
      <c r="X191" s="9">
        <v>5</v>
      </c>
      <c r="Y191" s="9">
        <v>6</v>
      </c>
      <c r="Z191" s="9">
        <v>7</v>
      </c>
      <c r="AA191" s="9">
        <v>8</v>
      </c>
      <c r="AB191" s="9">
        <v>9</v>
      </c>
      <c r="AC191" s="42"/>
      <c r="AD191" s="113"/>
      <c r="AE191" s="113"/>
      <c r="AF191" s="9" t="s">
        <v>0</v>
      </c>
      <c r="AG191" s="9">
        <v>1</v>
      </c>
      <c r="AH191" s="9">
        <v>2</v>
      </c>
      <c r="AI191" s="9">
        <v>3</v>
      </c>
      <c r="AJ191" s="9">
        <v>4</v>
      </c>
      <c r="AK191" s="9">
        <v>5</v>
      </c>
      <c r="AL191" s="9">
        <v>6</v>
      </c>
      <c r="AM191" s="9">
        <v>7</v>
      </c>
      <c r="AN191" s="9">
        <v>8</v>
      </c>
      <c r="AO191" s="9">
        <v>9</v>
      </c>
      <c r="AP191" s="6"/>
      <c r="AQ191" s="113"/>
      <c r="AR191" s="113"/>
      <c r="AS191" s="9" t="s">
        <v>0</v>
      </c>
      <c r="AT191" s="9">
        <v>1</v>
      </c>
      <c r="AU191" s="9">
        <v>2</v>
      </c>
      <c r="AV191" s="9">
        <v>3</v>
      </c>
      <c r="AW191" s="9">
        <v>4</v>
      </c>
      <c r="AX191" s="9">
        <v>5</v>
      </c>
      <c r="AY191" s="9">
        <v>6</v>
      </c>
      <c r="AZ191" s="9">
        <v>7</v>
      </c>
      <c r="BA191" s="9">
        <v>8</v>
      </c>
      <c r="BB191" s="9">
        <v>9</v>
      </c>
      <c r="BC191" s="42"/>
      <c r="BD191" s="113"/>
      <c r="BE191" s="113"/>
      <c r="BF191" s="9" t="s">
        <v>0</v>
      </c>
      <c r="BG191" s="9">
        <v>1</v>
      </c>
      <c r="BH191" s="9">
        <v>2</v>
      </c>
      <c r="BI191" s="9">
        <v>3</v>
      </c>
      <c r="BJ191" s="9">
        <v>4</v>
      </c>
      <c r="BK191" s="9">
        <v>5</v>
      </c>
      <c r="BL191" s="9">
        <v>6</v>
      </c>
      <c r="BM191" s="9">
        <v>7</v>
      </c>
      <c r="BN191" s="9">
        <v>8</v>
      </c>
      <c r="BO191" s="9">
        <v>9</v>
      </c>
      <c r="BQ191" s="113"/>
      <c r="BR191" s="113"/>
      <c r="BS191" s="9" t="s">
        <v>0</v>
      </c>
      <c r="BT191" s="9">
        <v>1</v>
      </c>
      <c r="BU191" s="9">
        <v>2</v>
      </c>
      <c r="BV191" s="9">
        <v>3</v>
      </c>
      <c r="BW191" s="9">
        <v>4</v>
      </c>
      <c r="BX191" s="9">
        <v>5</v>
      </c>
      <c r="BY191" s="9">
        <v>6</v>
      </c>
      <c r="BZ191" s="9">
        <v>7</v>
      </c>
      <c r="CA191" s="9">
        <v>8</v>
      </c>
      <c r="CB191" s="9">
        <v>9</v>
      </c>
      <c r="CC191" s="42"/>
      <c r="CD191" s="113"/>
      <c r="CE191" s="113"/>
      <c r="CF191" s="9" t="s">
        <v>0</v>
      </c>
      <c r="CG191" s="9">
        <v>1</v>
      </c>
      <c r="CH191" s="9">
        <v>2</v>
      </c>
      <c r="CI191" s="9">
        <v>3</v>
      </c>
      <c r="CJ191" s="9">
        <v>4</v>
      </c>
      <c r="CK191" s="9">
        <v>5</v>
      </c>
      <c r="CL191" s="9">
        <v>6</v>
      </c>
      <c r="CM191" s="9">
        <v>7</v>
      </c>
      <c r="CN191" s="9">
        <v>8</v>
      </c>
      <c r="CO191" s="9">
        <v>9</v>
      </c>
      <c r="CQ191" s="113"/>
      <c r="CR191" s="113"/>
      <c r="CS191" s="9" t="s">
        <v>0</v>
      </c>
      <c r="CT191" s="9">
        <v>1</v>
      </c>
      <c r="CU191" s="9">
        <v>2</v>
      </c>
      <c r="CV191" s="9">
        <v>3</v>
      </c>
      <c r="CW191" s="9">
        <v>4</v>
      </c>
      <c r="CX191" s="9">
        <v>5</v>
      </c>
      <c r="CY191" s="9">
        <v>6</v>
      </c>
      <c r="CZ191" s="9">
        <v>7</v>
      </c>
      <c r="DA191" s="9">
        <v>8</v>
      </c>
      <c r="DB191" s="9">
        <v>9</v>
      </c>
      <c r="DC191" s="42"/>
      <c r="DD191" s="113"/>
      <c r="DE191" s="113"/>
      <c r="DF191" s="9" t="s">
        <v>0</v>
      </c>
      <c r="DG191" s="9">
        <v>1</v>
      </c>
      <c r="DH191" s="9">
        <v>2</v>
      </c>
      <c r="DI191" s="9">
        <v>3</v>
      </c>
      <c r="DJ191" s="9">
        <v>4</v>
      </c>
      <c r="DK191" s="9">
        <v>5</v>
      </c>
      <c r="DL191" s="9">
        <v>6</v>
      </c>
      <c r="DM191" s="9">
        <v>7</v>
      </c>
      <c r="DN191" s="9">
        <v>8</v>
      </c>
      <c r="DO191" s="9">
        <v>9</v>
      </c>
    </row>
    <row r="192" spans="2:119" ht="14.45" customHeight="1" x14ac:dyDescent="0.45">
      <c r="B192" s="99"/>
      <c r="C192" s="42"/>
      <c r="D192" s="109" t="s">
        <v>13</v>
      </c>
      <c r="E192" s="47" t="s">
        <v>1</v>
      </c>
      <c r="F192" s="103">
        <v>11.111111111111111</v>
      </c>
      <c r="G192" s="103">
        <v>55.555555555555557</v>
      </c>
      <c r="H192" s="103">
        <v>11.111111111111111</v>
      </c>
      <c r="I192" s="103">
        <v>0</v>
      </c>
      <c r="J192" s="103">
        <v>0</v>
      </c>
      <c r="K192" s="103">
        <v>11.111111111111111</v>
      </c>
      <c r="L192" s="103">
        <v>0</v>
      </c>
      <c r="M192" s="103">
        <v>0</v>
      </c>
      <c r="N192" s="103">
        <v>0</v>
      </c>
      <c r="O192" s="17">
        <v>11.111111111111111</v>
      </c>
      <c r="P192" s="42"/>
      <c r="Q192" s="109" t="s">
        <v>13</v>
      </c>
      <c r="R192" s="46" t="s">
        <v>1</v>
      </c>
      <c r="S192" s="103">
        <v>33.333333333333329</v>
      </c>
      <c r="T192" s="103">
        <v>0</v>
      </c>
      <c r="U192" s="103">
        <v>33.333333333333329</v>
      </c>
      <c r="V192" s="103">
        <v>0</v>
      </c>
      <c r="W192" s="103">
        <v>0</v>
      </c>
      <c r="X192" s="103">
        <v>33.333333333333329</v>
      </c>
      <c r="Y192" s="103">
        <v>0</v>
      </c>
      <c r="Z192" s="103">
        <v>0</v>
      </c>
      <c r="AA192" s="103">
        <v>0</v>
      </c>
      <c r="AB192" s="17">
        <v>0</v>
      </c>
      <c r="AC192" s="42"/>
      <c r="AD192" s="109" t="s">
        <v>13</v>
      </c>
      <c r="AE192" s="46" t="s">
        <v>1</v>
      </c>
      <c r="AF192" s="103">
        <v>0</v>
      </c>
      <c r="AG192" s="103">
        <v>83.333333333333343</v>
      </c>
      <c r="AH192" s="103">
        <v>0</v>
      </c>
      <c r="AI192" s="103">
        <v>0</v>
      </c>
      <c r="AJ192" s="103">
        <v>0</v>
      </c>
      <c r="AK192" s="103">
        <v>0</v>
      </c>
      <c r="AL192" s="103">
        <v>0</v>
      </c>
      <c r="AM192" s="103">
        <v>0</v>
      </c>
      <c r="AN192" s="103">
        <v>0</v>
      </c>
      <c r="AO192" s="17">
        <v>16.666666666666664</v>
      </c>
      <c r="AP192" s="6"/>
      <c r="AQ192" s="109" t="s">
        <v>13</v>
      </c>
      <c r="AR192" s="46" t="s">
        <v>1</v>
      </c>
      <c r="AS192" s="103">
        <v>16.666666666666664</v>
      </c>
      <c r="AT192" s="103">
        <v>66.666666666666657</v>
      </c>
      <c r="AU192" s="103">
        <v>0</v>
      </c>
      <c r="AV192" s="103">
        <v>0</v>
      </c>
      <c r="AW192" s="103">
        <v>0</v>
      </c>
      <c r="AX192" s="103">
        <v>16.666666666666664</v>
      </c>
      <c r="AY192" s="103">
        <v>0</v>
      </c>
      <c r="AZ192" s="103">
        <v>0</v>
      </c>
      <c r="BA192" s="103">
        <v>0</v>
      </c>
      <c r="BB192" s="17">
        <v>0</v>
      </c>
      <c r="BC192" s="42"/>
      <c r="BD192" s="109" t="s">
        <v>13</v>
      </c>
      <c r="BE192" s="46" t="s">
        <v>1</v>
      </c>
      <c r="BF192" s="103">
        <v>0</v>
      </c>
      <c r="BG192" s="103">
        <v>33.333333333333329</v>
      </c>
      <c r="BH192" s="103">
        <v>33.333333333333329</v>
      </c>
      <c r="BI192" s="103">
        <v>0</v>
      </c>
      <c r="BJ192" s="103">
        <v>0</v>
      </c>
      <c r="BK192" s="103">
        <v>0</v>
      </c>
      <c r="BL192" s="103">
        <v>0</v>
      </c>
      <c r="BM192" s="103">
        <v>0</v>
      </c>
      <c r="BN192" s="103">
        <v>0</v>
      </c>
      <c r="BO192" s="17">
        <v>33.333333333333329</v>
      </c>
      <c r="BQ192" s="109" t="s">
        <v>13</v>
      </c>
      <c r="BR192" s="46" t="s">
        <v>1</v>
      </c>
      <c r="BS192" s="103">
        <v>14.285714285714285</v>
      </c>
      <c r="BT192" s="103">
        <v>57.142857142857139</v>
      </c>
      <c r="BU192" s="103">
        <v>14.285714285714285</v>
      </c>
      <c r="BV192" s="103">
        <v>0</v>
      </c>
      <c r="BW192" s="103">
        <v>0</v>
      </c>
      <c r="BX192" s="103">
        <v>0</v>
      </c>
      <c r="BY192" s="103">
        <v>0</v>
      </c>
      <c r="BZ192" s="103">
        <v>0</v>
      </c>
      <c r="CA192" s="103">
        <v>0</v>
      </c>
      <c r="CB192" s="17">
        <v>14.285714285714285</v>
      </c>
      <c r="CC192" s="42"/>
      <c r="CD192" s="109" t="s">
        <v>13</v>
      </c>
      <c r="CE192" s="46" t="s">
        <v>1</v>
      </c>
      <c r="CF192" s="103">
        <v>0</v>
      </c>
      <c r="CG192" s="103">
        <v>50</v>
      </c>
      <c r="CH192" s="103">
        <v>0</v>
      </c>
      <c r="CI192" s="103">
        <v>0</v>
      </c>
      <c r="CJ192" s="103">
        <v>0</v>
      </c>
      <c r="CK192" s="103">
        <v>50</v>
      </c>
      <c r="CL192" s="103">
        <v>0</v>
      </c>
      <c r="CM192" s="103">
        <v>0</v>
      </c>
      <c r="CN192" s="103">
        <v>0</v>
      </c>
      <c r="CO192" s="17">
        <v>0</v>
      </c>
      <c r="CQ192" s="109" t="s">
        <v>13</v>
      </c>
      <c r="CR192" s="46" t="s">
        <v>1</v>
      </c>
      <c r="CS192" s="103">
        <v>20</v>
      </c>
      <c r="CT192" s="103">
        <v>40</v>
      </c>
      <c r="CU192" s="103">
        <v>0</v>
      </c>
      <c r="CV192" s="103">
        <v>0</v>
      </c>
      <c r="CW192" s="103">
        <v>0</v>
      </c>
      <c r="CX192" s="103">
        <v>20</v>
      </c>
      <c r="CY192" s="103">
        <v>0</v>
      </c>
      <c r="CZ192" s="103">
        <v>0</v>
      </c>
      <c r="DA192" s="103">
        <v>0</v>
      </c>
      <c r="DB192" s="17">
        <v>20</v>
      </c>
      <c r="DC192" s="42"/>
      <c r="DD192" s="109" t="s">
        <v>13</v>
      </c>
      <c r="DE192" s="46" t="s">
        <v>1</v>
      </c>
      <c r="DF192" s="103">
        <v>0</v>
      </c>
      <c r="DG192" s="103">
        <v>75</v>
      </c>
      <c r="DH192" s="103">
        <v>25</v>
      </c>
      <c r="DI192" s="103">
        <v>0</v>
      </c>
      <c r="DJ192" s="103">
        <v>0</v>
      </c>
      <c r="DK192" s="103">
        <v>0</v>
      </c>
      <c r="DL192" s="103">
        <v>0</v>
      </c>
      <c r="DM192" s="103">
        <v>0</v>
      </c>
      <c r="DN192" s="103">
        <v>0</v>
      </c>
      <c r="DO192" s="17">
        <v>0</v>
      </c>
    </row>
    <row r="193" spans="2:119" ht="14.45" customHeight="1" x14ac:dyDescent="0.45">
      <c r="B193" s="99"/>
      <c r="C193" s="42"/>
      <c r="D193" s="110"/>
      <c r="E193" s="47">
        <v>1</v>
      </c>
      <c r="F193" s="103">
        <v>10.344827586206897</v>
      </c>
      <c r="G193" s="103">
        <v>44.827586206896555</v>
      </c>
      <c r="H193" s="103">
        <v>13.793103448275861</v>
      </c>
      <c r="I193" s="103">
        <v>17.241379310344829</v>
      </c>
      <c r="J193" s="103">
        <v>0</v>
      </c>
      <c r="K193" s="103">
        <v>3.4482758620689653</v>
      </c>
      <c r="L193" s="103">
        <v>0</v>
      </c>
      <c r="M193" s="103">
        <v>3.4482758620689653</v>
      </c>
      <c r="N193" s="103">
        <v>0</v>
      </c>
      <c r="O193" s="103">
        <v>6.8965517241379306</v>
      </c>
      <c r="P193" s="42"/>
      <c r="Q193" s="110"/>
      <c r="R193" s="46">
        <v>1</v>
      </c>
      <c r="S193" s="103">
        <v>6.25</v>
      </c>
      <c r="T193" s="103">
        <v>50</v>
      </c>
      <c r="U193" s="103">
        <v>12.5</v>
      </c>
      <c r="V193" s="103">
        <v>18.75</v>
      </c>
      <c r="W193" s="103">
        <v>0</v>
      </c>
      <c r="X193" s="103">
        <v>0</v>
      </c>
      <c r="Y193" s="103">
        <v>0</v>
      </c>
      <c r="Z193" s="103">
        <v>6.25</v>
      </c>
      <c r="AA193" s="103">
        <v>0</v>
      </c>
      <c r="AB193" s="103">
        <v>6.25</v>
      </c>
      <c r="AC193" s="42"/>
      <c r="AD193" s="110"/>
      <c r="AE193" s="46">
        <v>1</v>
      </c>
      <c r="AF193" s="103">
        <v>15.384615384615385</v>
      </c>
      <c r="AG193" s="103">
        <v>38.461538461538467</v>
      </c>
      <c r="AH193" s="103">
        <v>15.384615384615385</v>
      </c>
      <c r="AI193" s="103">
        <v>15.384615384615385</v>
      </c>
      <c r="AJ193" s="103">
        <v>0</v>
      </c>
      <c r="AK193" s="103">
        <v>7.6923076923076925</v>
      </c>
      <c r="AL193" s="103">
        <v>0</v>
      </c>
      <c r="AM193" s="103">
        <v>0</v>
      </c>
      <c r="AN193" s="103">
        <v>0</v>
      </c>
      <c r="AO193" s="103">
        <v>7.6923076923076925</v>
      </c>
      <c r="AP193" s="6"/>
      <c r="AQ193" s="110"/>
      <c r="AR193" s="46">
        <v>1</v>
      </c>
      <c r="AS193" s="103">
        <v>6.666666666666667</v>
      </c>
      <c r="AT193" s="103">
        <v>53.333333333333336</v>
      </c>
      <c r="AU193" s="103">
        <v>20</v>
      </c>
      <c r="AV193" s="103">
        <v>13.333333333333334</v>
      </c>
      <c r="AW193" s="103">
        <v>0</v>
      </c>
      <c r="AX193" s="103">
        <v>6.666666666666667</v>
      </c>
      <c r="AY193" s="103">
        <v>0</v>
      </c>
      <c r="AZ193" s="103">
        <v>0</v>
      </c>
      <c r="BA193" s="103">
        <v>0</v>
      </c>
      <c r="BB193" s="103">
        <v>0</v>
      </c>
      <c r="BC193" s="42"/>
      <c r="BD193" s="110"/>
      <c r="BE193" s="46">
        <v>1</v>
      </c>
      <c r="BF193" s="103">
        <v>14.285714285714285</v>
      </c>
      <c r="BG193" s="103">
        <v>35.714285714285715</v>
      </c>
      <c r="BH193" s="103">
        <v>7.1428571428571423</v>
      </c>
      <c r="BI193" s="103">
        <v>21.428571428571427</v>
      </c>
      <c r="BJ193" s="103">
        <v>0</v>
      </c>
      <c r="BK193" s="103">
        <v>0</v>
      </c>
      <c r="BL193" s="103">
        <v>0</v>
      </c>
      <c r="BM193" s="103">
        <v>7.1428571428571423</v>
      </c>
      <c r="BN193" s="103">
        <v>0</v>
      </c>
      <c r="BO193" s="103">
        <v>14.285714285714285</v>
      </c>
      <c r="BQ193" s="110"/>
      <c r="BR193" s="46">
        <v>1</v>
      </c>
      <c r="BS193" s="103">
        <v>10</v>
      </c>
      <c r="BT193" s="103">
        <v>65</v>
      </c>
      <c r="BU193" s="103">
        <v>15</v>
      </c>
      <c r="BV193" s="103">
        <v>10</v>
      </c>
      <c r="BW193" s="103">
        <v>0</v>
      </c>
      <c r="BX193" s="103">
        <v>0</v>
      </c>
      <c r="BY193" s="103">
        <v>0</v>
      </c>
      <c r="BZ193" s="103">
        <v>0</v>
      </c>
      <c r="CA193" s="103">
        <v>0</v>
      </c>
      <c r="CB193" s="103">
        <v>0</v>
      </c>
      <c r="CC193" s="42"/>
      <c r="CD193" s="110"/>
      <c r="CE193" s="46">
        <v>1</v>
      </c>
      <c r="CF193" s="103">
        <v>11.111111111111111</v>
      </c>
      <c r="CG193" s="103">
        <v>0</v>
      </c>
      <c r="CH193" s="103">
        <v>11.111111111111111</v>
      </c>
      <c r="CI193" s="103">
        <v>33.333333333333329</v>
      </c>
      <c r="CJ193" s="103">
        <v>0</v>
      </c>
      <c r="CK193" s="103">
        <v>11.111111111111111</v>
      </c>
      <c r="CL193" s="103">
        <v>0</v>
      </c>
      <c r="CM193" s="103">
        <v>11.111111111111111</v>
      </c>
      <c r="CN193" s="103">
        <v>0</v>
      </c>
      <c r="CO193" s="103">
        <v>22.222222222222221</v>
      </c>
      <c r="CQ193" s="110"/>
      <c r="CR193" s="46">
        <v>1</v>
      </c>
      <c r="CS193" s="103">
        <v>7.6923076923076925</v>
      </c>
      <c r="CT193" s="103">
        <v>30.76923076923077</v>
      </c>
      <c r="CU193" s="103">
        <v>7.6923076923076925</v>
      </c>
      <c r="CV193" s="103">
        <v>23.076923076923077</v>
      </c>
      <c r="CW193" s="103">
        <v>0</v>
      </c>
      <c r="CX193" s="103">
        <v>7.6923076923076925</v>
      </c>
      <c r="CY193" s="103">
        <v>0</v>
      </c>
      <c r="CZ193" s="103">
        <v>7.6923076923076925</v>
      </c>
      <c r="DA193" s="103">
        <v>0</v>
      </c>
      <c r="DB193" s="103">
        <v>15.384615384615385</v>
      </c>
      <c r="DC193" s="42"/>
      <c r="DD193" s="110"/>
      <c r="DE193" s="46">
        <v>1</v>
      </c>
      <c r="DF193" s="103">
        <v>12.5</v>
      </c>
      <c r="DG193" s="103">
        <v>56.25</v>
      </c>
      <c r="DH193" s="103">
        <v>18.75</v>
      </c>
      <c r="DI193" s="103">
        <v>12.5</v>
      </c>
      <c r="DJ193" s="103">
        <v>0</v>
      </c>
      <c r="DK193" s="103">
        <v>0</v>
      </c>
      <c r="DL193" s="103">
        <v>0</v>
      </c>
      <c r="DM193" s="103">
        <v>0</v>
      </c>
      <c r="DN193" s="103">
        <v>0</v>
      </c>
      <c r="DO193" s="103">
        <v>0</v>
      </c>
    </row>
    <row r="194" spans="2:119" ht="14.45" customHeight="1" x14ac:dyDescent="0.45">
      <c r="B194" s="99"/>
      <c r="C194" s="42"/>
      <c r="D194" s="110"/>
      <c r="E194" s="47" t="s">
        <v>2</v>
      </c>
      <c r="F194" s="103">
        <v>8.3194675540765388</v>
      </c>
      <c r="G194" s="103">
        <v>43.594009983361062</v>
      </c>
      <c r="H194" s="103">
        <v>27.454242928452576</v>
      </c>
      <c r="I194" s="103">
        <v>10.648918469217969</v>
      </c>
      <c r="J194" s="103">
        <v>3.1613976705490847</v>
      </c>
      <c r="K194" s="103">
        <v>2.6622296173044924</v>
      </c>
      <c r="L194" s="103">
        <v>1.6638935108153077</v>
      </c>
      <c r="M194" s="103">
        <v>1.3311148086522462</v>
      </c>
      <c r="N194" s="103">
        <v>0.83194675540765384</v>
      </c>
      <c r="O194" s="103">
        <v>0.33277870216306155</v>
      </c>
      <c r="P194" s="42"/>
      <c r="Q194" s="110"/>
      <c r="R194" s="46" t="s">
        <v>2</v>
      </c>
      <c r="S194" s="103">
        <v>6.9958847736625511</v>
      </c>
      <c r="T194" s="103">
        <v>48.559670781893004</v>
      </c>
      <c r="U194" s="103">
        <v>25.925925925925924</v>
      </c>
      <c r="V194" s="103">
        <v>7.8189300411522638</v>
      </c>
      <c r="W194" s="103">
        <v>2.4691358024691357</v>
      </c>
      <c r="X194" s="103">
        <v>3.2921810699588478</v>
      </c>
      <c r="Y194" s="103">
        <v>1.6460905349794239</v>
      </c>
      <c r="Z194" s="103">
        <v>1.6460905349794239</v>
      </c>
      <c r="AA194" s="103">
        <v>1.2345679012345678</v>
      </c>
      <c r="AB194" s="103">
        <v>0.41152263374485598</v>
      </c>
      <c r="AC194" s="42"/>
      <c r="AD194" s="110"/>
      <c r="AE194" s="46" t="s">
        <v>2</v>
      </c>
      <c r="AF194" s="103">
        <v>9.2178770949720672</v>
      </c>
      <c r="AG194" s="103">
        <v>40.22346368715084</v>
      </c>
      <c r="AH194" s="103">
        <v>28.491620111731841</v>
      </c>
      <c r="AI194" s="103">
        <v>12.569832402234638</v>
      </c>
      <c r="AJ194" s="103">
        <v>3.6312849162011176</v>
      </c>
      <c r="AK194" s="103">
        <v>2.2346368715083798</v>
      </c>
      <c r="AL194" s="103">
        <v>1.6759776536312849</v>
      </c>
      <c r="AM194" s="103">
        <v>1.1173184357541899</v>
      </c>
      <c r="AN194" s="103">
        <v>0.55865921787709494</v>
      </c>
      <c r="AO194" s="103">
        <v>0.27932960893854747</v>
      </c>
      <c r="AP194" s="6"/>
      <c r="AQ194" s="110"/>
      <c r="AR194" s="46" t="s">
        <v>2</v>
      </c>
      <c r="AS194" s="103">
        <v>12.324929971988796</v>
      </c>
      <c r="AT194" s="103">
        <v>45.378151260504204</v>
      </c>
      <c r="AU194" s="103">
        <v>28.291316526610643</v>
      </c>
      <c r="AV194" s="103">
        <v>8.6834733893557416</v>
      </c>
      <c r="AW194" s="103">
        <v>2.801120448179272</v>
      </c>
      <c r="AX194" s="103">
        <v>0.28011204481792717</v>
      </c>
      <c r="AY194" s="103">
        <v>0.84033613445378152</v>
      </c>
      <c r="AZ194" s="103">
        <v>0.56022408963585435</v>
      </c>
      <c r="BA194" s="103">
        <v>0.56022408963585435</v>
      </c>
      <c r="BB194" s="103">
        <v>0.28011204481792717</v>
      </c>
      <c r="BC194" s="42"/>
      <c r="BD194" s="110"/>
      <c r="BE194" s="46" t="s">
        <v>2</v>
      </c>
      <c r="BF194" s="103">
        <v>2.459016393442623</v>
      </c>
      <c r="BG194" s="103">
        <v>40.983606557377051</v>
      </c>
      <c r="BH194" s="103">
        <v>26.229508196721312</v>
      </c>
      <c r="BI194" s="103">
        <v>13.524590163934427</v>
      </c>
      <c r="BJ194" s="103">
        <v>3.6885245901639343</v>
      </c>
      <c r="BK194" s="103">
        <v>6.1475409836065573</v>
      </c>
      <c r="BL194" s="103">
        <v>2.8688524590163933</v>
      </c>
      <c r="BM194" s="103">
        <v>2.459016393442623</v>
      </c>
      <c r="BN194" s="103">
        <v>1.2295081967213115</v>
      </c>
      <c r="BO194" s="103">
        <v>0.4098360655737705</v>
      </c>
      <c r="BQ194" s="110"/>
      <c r="BR194" s="46" t="s">
        <v>2</v>
      </c>
      <c r="BS194" s="103">
        <v>8.2251082251082259</v>
      </c>
      <c r="BT194" s="103">
        <v>47.402597402597401</v>
      </c>
      <c r="BU194" s="103">
        <v>29.004329004329005</v>
      </c>
      <c r="BV194" s="103">
        <v>11.471861471861471</v>
      </c>
      <c r="BW194" s="103">
        <v>1.5151515151515151</v>
      </c>
      <c r="BX194" s="103">
        <v>1.0822510822510822</v>
      </c>
      <c r="BY194" s="103">
        <v>1.0822510822510822</v>
      </c>
      <c r="BZ194" s="103">
        <v>0</v>
      </c>
      <c r="CA194" s="103">
        <v>0</v>
      </c>
      <c r="CB194" s="103">
        <v>0.21645021645021645</v>
      </c>
      <c r="CC194" s="42"/>
      <c r="CD194" s="110"/>
      <c r="CE194" s="46" t="s">
        <v>2</v>
      </c>
      <c r="CF194" s="103">
        <v>8.6330935251798557</v>
      </c>
      <c r="CG194" s="103">
        <v>30.935251798561154</v>
      </c>
      <c r="CH194" s="103">
        <v>22.302158273381295</v>
      </c>
      <c r="CI194" s="103">
        <v>7.9136690647482011</v>
      </c>
      <c r="CJ194" s="103">
        <v>8.6330935251798557</v>
      </c>
      <c r="CK194" s="103">
        <v>7.9136690647482011</v>
      </c>
      <c r="CL194" s="103">
        <v>3.5971223021582732</v>
      </c>
      <c r="CM194" s="103">
        <v>5.755395683453238</v>
      </c>
      <c r="CN194" s="103">
        <v>3.5971223021582732</v>
      </c>
      <c r="CO194" s="103">
        <v>0.71942446043165476</v>
      </c>
      <c r="CQ194" s="110"/>
      <c r="CR194" s="46" t="s">
        <v>2</v>
      </c>
      <c r="CS194" s="103">
        <v>5.7142857142857144</v>
      </c>
      <c r="CT194" s="103">
        <v>34.285714285714285</v>
      </c>
      <c r="CU194" s="103">
        <v>19.285714285714288</v>
      </c>
      <c r="CV194" s="103">
        <v>8.5714285714285712</v>
      </c>
      <c r="CW194" s="103">
        <v>9.2857142857142865</v>
      </c>
      <c r="CX194" s="103">
        <v>7.8571428571428568</v>
      </c>
      <c r="CY194" s="103">
        <v>5.7142857142857144</v>
      </c>
      <c r="CZ194" s="103">
        <v>5.7142857142857144</v>
      </c>
      <c r="DA194" s="103">
        <v>3.5714285714285712</v>
      </c>
      <c r="DB194" s="103">
        <v>0</v>
      </c>
      <c r="DC194" s="42"/>
      <c r="DD194" s="110"/>
      <c r="DE194" s="46" t="s">
        <v>2</v>
      </c>
      <c r="DF194" s="103">
        <v>9.1106290672451191</v>
      </c>
      <c r="DG194" s="103">
        <v>46.420824295010846</v>
      </c>
      <c r="DH194" s="103">
        <v>29.934924078091107</v>
      </c>
      <c r="DI194" s="103">
        <v>11.279826464208242</v>
      </c>
      <c r="DJ194" s="103">
        <v>1.3015184381778742</v>
      </c>
      <c r="DK194" s="103">
        <v>1.0845986984815619</v>
      </c>
      <c r="DL194" s="103">
        <v>0.43383947939262474</v>
      </c>
      <c r="DM194" s="103">
        <v>0</v>
      </c>
      <c r="DN194" s="103">
        <v>0</v>
      </c>
      <c r="DO194" s="103">
        <v>0.43383947939262474</v>
      </c>
    </row>
    <row r="195" spans="2:119" ht="14.45" customHeight="1" x14ac:dyDescent="0.45">
      <c r="B195" s="99"/>
      <c r="C195" s="42"/>
      <c r="D195" s="110"/>
      <c r="E195" s="47" t="s">
        <v>3</v>
      </c>
      <c r="F195" s="103">
        <v>4.7058823529411766</v>
      </c>
      <c r="G195" s="103">
        <v>32.058823529411768</v>
      </c>
      <c r="H195" s="103">
        <v>36.764705882352942</v>
      </c>
      <c r="I195" s="103">
        <v>12.941176470588237</v>
      </c>
      <c r="J195" s="103">
        <v>5.8823529411764701</v>
      </c>
      <c r="K195" s="103">
        <v>3.8235294117647061</v>
      </c>
      <c r="L195" s="103">
        <v>1.7647058823529411</v>
      </c>
      <c r="M195" s="103">
        <v>1.4705882352941175</v>
      </c>
      <c r="N195" s="103">
        <v>0.58823529411764708</v>
      </c>
      <c r="O195" s="103">
        <v>0</v>
      </c>
      <c r="P195" s="42"/>
      <c r="Q195" s="110"/>
      <c r="R195" s="46" t="s">
        <v>3</v>
      </c>
      <c r="S195" s="103">
        <v>2.7027027027027026</v>
      </c>
      <c r="T195" s="103">
        <v>29.72972972972973</v>
      </c>
      <c r="U195" s="103">
        <v>41.891891891891895</v>
      </c>
      <c r="V195" s="103">
        <v>11.486486486486488</v>
      </c>
      <c r="W195" s="103">
        <v>5.4054054054054053</v>
      </c>
      <c r="X195" s="103">
        <v>4.0540540540540544</v>
      </c>
      <c r="Y195" s="103">
        <v>2.7027027027027026</v>
      </c>
      <c r="Z195" s="103">
        <v>1.3513513513513513</v>
      </c>
      <c r="AA195" s="103">
        <v>0.67567567567567566</v>
      </c>
      <c r="AB195" s="103">
        <v>0</v>
      </c>
      <c r="AC195" s="42"/>
      <c r="AD195" s="110"/>
      <c r="AE195" s="46" t="s">
        <v>3</v>
      </c>
      <c r="AF195" s="103">
        <v>6.25</v>
      </c>
      <c r="AG195" s="103">
        <v>33.854166666666671</v>
      </c>
      <c r="AH195" s="103">
        <v>32.8125</v>
      </c>
      <c r="AI195" s="103">
        <v>14.0625</v>
      </c>
      <c r="AJ195" s="103">
        <v>6.25</v>
      </c>
      <c r="AK195" s="103">
        <v>3.6458333333333335</v>
      </c>
      <c r="AL195" s="103">
        <v>1.0416666666666665</v>
      </c>
      <c r="AM195" s="103">
        <v>1.5625</v>
      </c>
      <c r="AN195" s="103">
        <v>0.52083333333333326</v>
      </c>
      <c r="AO195" s="103">
        <v>0</v>
      </c>
      <c r="AP195" s="6"/>
      <c r="AQ195" s="110"/>
      <c r="AR195" s="46" t="s">
        <v>3</v>
      </c>
      <c r="AS195" s="103">
        <v>7.7922077922077921</v>
      </c>
      <c r="AT195" s="103">
        <v>37.662337662337663</v>
      </c>
      <c r="AU195" s="103">
        <v>35.714285714285715</v>
      </c>
      <c r="AV195" s="103">
        <v>10.38961038961039</v>
      </c>
      <c r="AW195" s="103">
        <v>4.5454545454545459</v>
      </c>
      <c r="AX195" s="103">
        <v>1.948051948051948</v>
      </c>
      <c r="AY195" s="103">
        <v>1.2987012987012987</v>
      </c>
      <c r="AZ195" s="103">
        <v>0.64935064935064934</v>
      </c>
      <c r="BA195" s="103">
        <v>0</v>
      </c>
      <c r="BB195" s="103">
        <v>0</v>
      </c>
      <c r="BC195" s="42"/>
      <c r="BD195" s="110"/>
      <c r="BE195" s="46" t="s">
        <v>3</v>
      </c>
      <c r="BF195" s="103">
        <v>2.1505376344086025</v>
      </c>
      <c r="BG195" s="103">
        <v>27.419354838709676</v>
      </c>
      <c r="BH195" s="103">
        <v>37.634408602150536</v>
      </c>
      <c r="BI195" s="103">
        <v>15.053763440860216</v>
      </c>
      <c r="BJ195" s="103">
        <v>6.9892473118279561</v>
      </c>
      <c r="BK195" s="103">
        <v>5.376344086021505</v>
      </c>
      <c r="BL195" s="103">
        <v>2.1505376344086025</v>
      </c>
      <c r="BM195" s="103">
        <v>2.1505376344086025</v>
      </c>
      <c r="BN195" s="103">
        <v>1.0752688172043012</v>
      </c>
      <c r="BO195" s="103">
        <v>0</v>
      </c>
      <c r="BQ195" s="110"/>
      <c r="BR195" s="46" t="s">
        <v>3</v>
      </c>
      <c r="BS195" s="103">
        <v>3.7914691943127963</v>
      </c>
      <c r="BT195" s="103">
        <v>37.440758293838861</v>
      </c>
      <c r="BU195" s="103">
        <v>38.862559241706165</v>
      </c>
      <c r="BV195" s="103">
        <v>11.374407582938389</v>
      </c>
      <c r="BW195" s="103">
        <v>5.2132701421800949</v>
      </c>
      <c r="BX195" s="103">
        <v>2.8436018957345972</v>
      </c>
      <c r="BY195" s="103">
        <v>0</v>
      </c>
      <c r="BZ195" s="103">
        <v>0.47393364928909953</v>
      </c>
      <c r="CA195" s="103">
        <v>0</v>
      </c>
      <c r="CB195" s="103">
        <v>0</v>
      </c>
      <c r="CC195" s="42"/>
      <c r="CD195" s="110"/>
      <c r="CE195" s="46" t="s">
        <v>3</v>
      </c>
      <c r="CF195" s="103">
        <v>6.2015503875968996</v>
      </c>
      <c r="CG195" s="103">
        <v>23.255813953488371</v>
      </c>
      <c r="CH195" s="103">
        <v>33.333333333333329</v>
      </c>
      <c r="CI195" s="103">
        <v>15.503875968992247</v>
      </c>
      <c r="CJ195" s="103">
        <v>6.9767441860465116</v>
      </c>
      <c r="CK195" s="103">
        <v>5.4263565891472867</v>
      </c>
      <c r="CL195" s="103">
        <v>4.6511627906976747</v>
      </c>
      <c r="CM195" s="103">
        <v>3.1007751937984498</v>
      </c>
      <c r="CN195" s="103">
        <v>1.5503875968992249</v>
      </c>
      <c r="CO195" s="103">
        <v>0</v>
      </c>
      <c r="CQ195" s="110"/>
      <c r="CR195" s="46" t="s">
        <v>3</v>
      </c>
      <c r="CS195" s="103">
        <v>2.6315789473684208</v>
      </c>
      <c r="CT195" s="103">
        <v>14.473684210526317</v>
      </c>
      <c r="CU195" s="103">
        <v>27.631578947368425</v>
      </c>
      <c r="CV195" s="103">
        <v>21.052631578947366</v>
      </c>
      <c r="CW195" s="103">
        <v>7.8947368421052628</v>
      </c>
      <c r="CX195" s="103">
        <v>9.2105263157894726</v>
      </c>
      <c r="CY195" s="103">
        <v>7.8947368421052628</v>
      </c>
      <c r="CZ195" s="103">
        <v>6.5789473684210522</v>
      </c>
      <c r="DA195" s="103">
        <v>2.6315789473684208</v>
      </c>
      <c r="DB195" s="103">
        <v>0</v>
      </c>
      <c r="DC195" s="42"/>
      <c r="DD195" s="110"/>
      <c r="DE195" s="46" t="s">
        <v>3</v>
      </c>
      <c r="DF195" s="103">
        <v>5.3030303030303028</v>
      </c>
      <c r="DG195" s="103">
        <v>37.121212121212125</v>
      </c>
      <c r="DH195" s="103">
        <v>39.393939393939391</v>
      </c>
      <c r="DI195" s="103">
        <v>10.606060606060606</v>
      </c>
      <c r="DJ195" s="103">
        <v>5.3030303030303028</v>
      </c>
      <c r="DK195" s="103">
        <v>2.2727272727272729</v>
      </c>
      <c r="DL195" s="103">
        <v>0</v>
      </c>
      <c r="DM195" s="103">
        <v>0</v>
      </c>
      <c r="DN195" s="103">
        <v>0</v>
      </c>
      <c r="DO195" s="103">
        <v>0</v>
      </c>
    </row>
    <row r="196" spans="2:119" ht="14.45" customHeight="1" x14ac:dyDescent="0.45">
      <c r="B196" s="99"/>
      <c r="C196" s="42"/>
      <c r="D196" s="110"/>
      <c r="E196" s="47" t="s">
        <v>4</v>
      </c>
      <c r="F196" s="103">
        <v>3.6259541984732824</v>
      </c>
      <c r="G196" s="103">
        <v>19.274809160305342</v>
      </c>
      <c r="H196" s="103">
        <v>38.358778625954201</v>
      </c>
      <c r="I196" s="103">
        <v>21.374045801526716</v>
      </c>
      <c r="J196" s="103">
        <v>5.343511450381679</v>
      </c>
      <c r="K196" s="103">
        <v>5.5343511450381682</v>
      </c>
      <c r="L196" s="103">
        <v>3.0534351145038165</v>
      </c>
      <c r="M196" s="103">
        <v>1.717557251908397</v>
      </c>
      <c r="N196" s="103">
        <v>1.1450381679389312</v>
      </c>
      <c r="O196" s="103">
        <v>0.5725190839694656</v>
      </c>
      <c r="P196" s="42"/>
      <c r="Q196" s="110"/>
      <c r="R196" s="46" t="s">
        <v>4</v>
      </c>
      <c r="S196" s="103">
        <v>3.3175355450236967</v>
      </c>
      <c r="T196" s="103">
        <v>17.061611374407583</v>
      </c>
      <c r="U196" s="103">
        <v>42.654028436018962</v>
      </c>
      <c r="V196" s="103">
        <v>20.379146919431278</v>
      </c>
      <c r="W196" s="103">
        <v>4.7393364928909953</v>
      </c>
      <c r="X196" s="103">
        <v>6.1611374407582939</v>
      </c>
      <c r="Y196" s="103">
        <v>3.3175355450236967</v>
      </c>
      <c r="Z196" s="103">
        <v>0.47393364928909953</v>
      </c>
      <c r="AA196" s="103">
        <v>0.47393364928909953</v>
      </c>
      <c r="AB196" s="103">
        <v>1.4218009478672986</v>
      </c>
      <c r="AC196" s="42"/>
      <c r="AD196" s="110"/>
      <c r="AE196" s="46" t="s">
        <v>4</v>
      </c>
      <c r="AF196" s="103">
        <v>3.8338658146964857</v>
      </c>
      <c r="AG196" s="103">
        <v>20.766773162939298</v>
      </c>
      <c r="AH196" s="103">
        <v>35.463258785942493</v>
      </c>
      <c r="AI196" s="103">
        <v>22.044728434504794</v>
      </c>
      <c r="AJ196" s="103">
        <v>5.7507987220447285</v>
      </c>
      <c r="AK196" s="103">
        <v>5.1118210862619806</v>
      </c>
      <c r="AL196" s="103">
        <v>2.8753993610223643</v>
      </c>
      <c r="AM196" s="103">
        <v>2.5559105431309903</v>
      </c>
      <c r="AN196" s="103">
        <v>1.5974440894568689</v>
      </c>
      <c r="AO196" s="103">
        <v>0</v>
      </c>
      <c r="AP196" s="6"/>
      <c r="AQ196" s="110"/>
      <c r="AR196" s="46" t="s">
        <v>4</v>
      </c>
      <c r="AS196" s="103">
        <v>5.3333333333333339</v>
      </c>
      <c r="AT196" s="103">
        <v>24</v>
      </c>
      <c r="AU196" s="103">
        <v>43.55555555555555</v>
      </c>
      <c r="AV196" s="103">
        <v>15.555555555555555</v>
      </c>
      <c r="AW196" s="103">
        <v>2.666666666666667</v>
      </c>
      <c r="AX196" s="103">
        <v>4.4444444444444446</v>
      </c>
      <c r="AY196" s="103">
        <v>1.7777777777777777</v>
      </c>
      <c r="AZ196" s="103">
        <v>1.3333333333333335</v>
      </c>
      <c r="BA196" s="103">
        <v>0.44444444444444442</v>
      </c>
      <c r="BB196" s="103">
        <v>0.88888888888888884</v>
      </c>
      <c r="BC196" s="42"/>
      <c r="BD196" s="110"/>
      <c r="BE196" s="46" t="s">
        <v>4</v>
      </c>
      <c r="BF196" s="103">
        <v>2.3411371237458192</v>
      </c>
      <c r="BG196" s="103">
        <v>15.719063545150503</v>
      </c>
      <c r="BH196" s="103">
        <v>34.448160535117054</v>
      </c>
      <c r="BI196" s="103">
        <v>25.752508361204011</v>
      </c>
      <c r="BJ196" s="103">
        <v>7.3578595317725757</v>
      </c>
      <c r="BK196" s="103">
        <v>6.3545150501672243</v>
      </c>
      <c r="BL196" s="103">
        <v>4.0133779264214047</v>
      </c>
      <c r="BM196" s="103">
        <v>2.0066889632107023</v>
      </c>
      <c r="BN196" s="103">
        <v>1.6722408026755853</v>
      </c>
      <c r="BO196" s="103">
        <v>0.33444816053511706</v>
      </c>
      <c r="BQ196" s="110"/>
      <c r="BR196" s="46" t="s">
        <v>4</v>
      </c>
      <c r="BS196" s="103">
        <v>3.8297872340425529</v>
      </c>
      <c r="BT196" s="103">
        <v>22.553191489361701</v>
      </c>
      <c r="BU196" s="103">
        <v>42.127659574468083</v>
      </c>
      <c r="BV196" s="103">
        <v>23.404255319148938</v>
      </c>
      <c r="BW196" s="103">
        <v>1.2765957446808509</v>
      </c>
      <c r="BX196" s="103">
        <v>4.6808510638297873</v>
      </c>
      <c r="BY196" s="103">
        <v>1.2765957446808509</v>
      </c>
      <c r="BZ196" s="103">
        <v>0.85106382978723405</v>
      </c>
      <c r="CA196" s="103">
        <v>0</v>
      </c>
      <c r="CB196" s="103">
        <v>0</v>
      </c>
      <c r="CC196" s="42"/>
      <c r="CD196" s="110"/>
      <c r="CE196" s="46" t="s">
        <v>4</v>
      </c>
      <c r="CF196" s="103">
        <v>3.4602076124567476</v>
      </c>
      <c r="CG196" s="103">
        <v>16.608996539792386</v>
      </c>
      <c r="CH196" s="103">
        <v>35.294117647058826</v>
      </c>
      <c r="CI196" s="103">
        <v>19.72318339100346</v>
      </c>
      <c r="CJ196" s="103">
        <v>8.6505190311418687</v>
      </c>
      <c r="CK196" s="103">
        <v>6.2283737024221448</v>
      </c>
      <c r="CL196" s="103">
        <v>4.4982698961937722</v>
      </c>
      <c r="CM196" s="103">
        <v>2.422145328719723</v>
      </c>
      <c r="CN196" s="103">
        <v>2.0761245674740483</v>
      </c>
      <c r="CO196" s="103">
        <v>1.0380622837370241</v>
      </c>
      <c r="CQ196" s="110"/>
      <c r="CR196" s="46" t="s">
        <v>4</v>
      </c>
      <c r="CS196" s="103">
        <v>0.81967213114754101</v>
      </c>
      <c r="CT196" s="103">
        <v>9.8360655737704921</v>
      </c>
      <c r="CU196" s="103">
        <v>18.032786885245901</v>
      </c>
      <c r="CV196" s="103">
        <v>21.311475409836063</v>
      </c>
      <c r="CW196" s="103">
        <v>16.393442622950818</v>
      </c>
      <c r="CX196" s="103">
        <v>12.295081967213115</v>
      </c>
      <c r="CY196" s="103">
        <v>9.8360655737704921</v>
      </c>
      <c r="CZ196" s="103">
        <v>4.0983606557377046</v>
      </c>
      <c r="DA196" s="103">
        <v>4.918032786885246</v>
      </c>
      <c r="DB196" s="103">
        <v>2.459016393442623</v>
      </c>
      <c r="DC196" s="42"/>
      <c r="DD196" s="110"/>
      <c r="DE196" s="46" t="s">
        <v>4</v>
      </c>
      <c r="DF196" s="103">
        <v>4.4776119402985071</v>
      </c>
      <c r="DG196" s="103">
        <v>22.139303482587064</v>
      </c>
      <c r="DH196" s="103">
        <v>44.527363184079604</v>
      </c>
      <c r="DI196" s="103">
        <v>21.393034825870647</v>
      </c>
      <c r="DJ196" s="103">
        <v>1.9900497512437811</v>
      </c>
      <c r="DK196" s="103">
        <v>3.4825870646766171</v>
      </c>
      <c r="DL196" s="103">
        <v>0.99502487562189057</v>
      </c>
      <c r="DM196" s="103">
        <v>0.99502487562189057</v>
      </c>
      <c r="DN196" s="103">
        <v>0</v>
      </c>
      <c r="DO196" s="103">
        <v>0</v>
      </c>
    </row>
    <row r="197" spans="2:119" ht="14.45" customHeight="1" x14ac:dyDescent="0.45">
      <c r="B197" s="99"/>
      <c r="C197" s="42"/>
      <c r="D197" s="110"/>
      <c r="E197" s="47" t="s">
        <v>5</v>
      </c>
      <c r="F197" s="103">
        <v>2.5987525987525988</v>
      </c>
      <c r="G197" s="103">
        <v>16.424116424116423</v>
      </c>
      <c r="H197" s="103">
        <v>32.016632016632016</v>
      </c>
      <c r="I197" s="103">
        <v>25.883575883575883</v>
      </c>
      <c r="J197" s="103">
        <v>10.706860706860708</v>
      </c>
      <c r="K197" s="103">
        <v>7.1725571725571733</v>
      </c>
      <c r="L197" s="103">
        <v>3.4303534303534304</v>
      </c>
      <c r="M197" s="103">
        <v>1.1434511434511436</v>
      </c>
      <c r="N197" s="103">
        <v>0.51975051975051978</v>
      </c>
      <c r="O197" s="103">
        <v>0.10395010395010396</v>
      </c>
      <c r="P197" s="42"/>
      <c r="Q197" s="110"/>
      <c r="R197" s="46" t="s">
        <v>5</v>
      </c>
      <c r="S197" s="103">
        <v>1.5118790496760259</v>
      </c>
      <c r="T197" s="103">
        <v>14.686825053995682</v>
      </c>
      <c r="U197" s="103">
        <v>33.045356371490278</v>
      </c>
      <c r="V197" s="103">
        <v>27.429805615550755</v>
      </c>
      <c r="W197" s="103">
        <v>11.663066954643629</v>
      </c>
      <c r="X197" s="103">
        <v>7.5593952483801292</v>
      </c>
      <c r="Y197" s="103">
        <v>2.5917926565874732</v>
      </c>
      <c r="Z197" s="103">
        <v>0.64794816414686829</v>
      </c>
      <c r="AA197" s="103">
        <v>0.86393088552915775</v>
      </c>
      <c r="AB197" s="103">
        <v>0</v>
      </c>
      <c r="AC197" s="42"/>
      <c r="AD197" s="110"/>
      <c r="AE197" s="46" t="s">
        <v>5</v>
      </c>
      <c r="AF197" s="103">
        <v>3.6072144288577155</v>
      </c>
      <c r="AG197" s="103">
        <v>18.036072144288578</v>
      </c>
      <c r="AH197" s="103">
        <v>31.062124248496993</v>
      </c>
      <c r="AI197" s="103">
        <v>24.448897795591183</v>
      </c>
      <c r="AJ197" s="103">
        <v>9.8196392785571138</v>
      </c>
      <c r="AK197" s="103">
        <v>6.8136272545090177</v>
      </c>
      <c r="AL197" s="103">
        <v>4.2084168336673349</v>
      </c>
      <c r="AM197" s="103">
        <v>1.6032064128256511</v>
      </c>
      <c r="AN197" s="103">
        <v>0.20040080160320639</v>
      </c>
      <c r="AO197" s="103">
        <v>0.20040080160320639</v>
      </c>
      <c r="AP197" s="6"/>
      <c r="AQ197" s="110"/>
      <c r="AR197" s="46" t="s">
        <v>5</v>
      </c>
      <c r="AS197" s="103">
        <v>4.1131105398457581</v>
      </c>
      <c r="AT197" s="103">
        <v>19.280205655526991</v>
      </c>
      <c r="AU197" s="103">
        <v>37.532133676092542</v>
      </c>
      <c r="AV197" s="103">
        <v>24.421593830334189</v>
      </c>
      <c r="AW197" s="103">
        <v>6.9408740359897179</v>
      </c>
      <c r="AX197" s="103">
        <v>4.6272493573264777</v>
      </c>
      <c r="AY197" s="103">
        <v>1.5424164524421593</v>
      </c>
      <c r="AZ197" s="103">
        <v>0.77120822622107965</v>
      </c>
      <c r="BA197" s="103">
        <v>0.77120822622107965</v>
      </c>
      <c r="BB197" s="103">
        <v>0</v>
      </c>
      <c r="BC197" s="42"/>
      <c r="BD197" s="110"/>
      <c r="BE197" s="46" t="s">
        <v>5</v>
      </c>
      <c r="BF197" s="103">
        <v>1.5706806282722512</v>
      </c>
      <c r="BG197" s="103">
        <v>14.485165794066319</v>
      </c>
      <c r="BH197" s="103">
        <v>28.272251308900525</v>
      </c>
      <c r="BI197" s="103">
        <v>26.876090750436298</v>
      </c>
      <c r="BJ197" s="103">
        <v>13.263525305410123</v>
      </c>
      <c r="BK197" s="103">
        <v>8.9005235602094235</v>
      </c>
      <c r="BL197" s="103">
        <v>4.7120418848167542</v>
      </c>
      <c r="BM197" s="103">
        <v>1.3961605584642234</v>
      </c>
      <c r="BN197" s="103">
        <v>0.34904013961605584</v>
      </c>
      <c r="BO197" s="103">
        <v>0.17452006980802792</v>
      </c>
      <c r="BQ197" s="110"/>
      <c r="BR197" s="46" t="s">
        <v>5</v>
      </c>
      <c r="BS197" s="103">
        <v>3.5714285714285712</v>
      </c>
      <c r="BT197" s="103">
        <v>22.321428571428573</v>
      </c>
      <c r="BU197" s="103">
        <v>36.607142857142854</v>
      </c>
      <c r="BV197" s="103">
        <v>24.404761904761905</v>
      </c>
      <c r="BW197" s="103">
        <v>5.6547619047619051</v>
      </c>
      <c r="BX197" s="103">
        <v>4.7619047619047619</v>
      </c>
      <c r="BY197" s="103">
        <v>1.4880952380952379</v>
      </c>
      <c r="BZ197" s="103">
        <v>1.1904761904761905</v>
      </c>
      <c r="CA197" s="103">
        <v>0</v>
      </c>
      <c r="CB197" s="103">
        <v>0</v>
      </c>
      <c r="CC197" s="42"/>
      <c r="CD197" s="110"/>
      <c r="CE197" s="46" t="s">
        <v>5</v>
      </c>
      <c r="CF197" s="103">
        <v>2.0766773162939298</v>
      </c>
      <c r="CG197" s="103">
        <v>13.258785942492013</v>
      </c>
      <c r="CH197" s="103">
        <v>29.552715654952078</v>
      </c>
      <c r="CI197" s="103">
        <v>26.677316293929714</v>
      </c>
      <c r="CJ197" s="103">
        <v>13.418530351437699</v>
      </c>
      <c r="CK197" s="103">
        <v>8.4664536741214054</v>
      </c>
      <c r="CL197" s="103">
        <v>4.4728434504792327</v>
      </c>
      <c r="CM197" s="103">
        <v>1.1182108626198082</v>
      </c>
      <c r="CN197" s="103">
        <v>0.79872204472843444</v>
      </c>
      <c r="CO197" s="103">
        <v>0.15974440894568689</v>
      </c>
      <c r="CQ197" s="110"/>
      <c r="CR197" s="46" t="s">
        <v>5</v>
      </c>
      <c r="CS197" s="103">
        <v>1.1049723756906076</v>
      </c>
      <c r="CT197" s="103">
        <v>9.3922651933701662</v>
      </c>
      <c r="CU197" s="103">
        <v>20.994475138121548</v>
      </c>
      <c r="CV197" s="103">
        <v>25.966850828729282</v>
      </c>
      <c r="CW197" s="103">
        <v>13.259668508287293</v>
      </c>
      <c r="CX197" s="103">
        <v>12.707182320441991</v>
      </c>
      <c r="CY197" s="103">
        <v>10.497237569060774</v>
      </c>
      <c r="CZ197" s="103">
        <v>2.7624309392265194</v>
      </c>
      <c r="DA197" s="103">
        <v>2.7624309392265194</v>
      </c>
      <c r="DB197" s="103">
        <v>0.55248618784530379</v>
      </c>
      <c r="DC197" s="42"/>
      <c r="DD197" s="110"/>
      <c r="DE197" s="46" t="s">
        <v>5</v>
      </c>
      <c r="DF197" s="103">
        <v>2.9449423815620999</v>
      </c>
      <c r="DG197" s="103">
        <v>18.053777208706787</v>
      </c>
      <c r="DH197" s="103">
        <v>34.571062740076826</v>
      </c>
      <c r="DI197" s="103">
        <v>25.864276568501921</v>
      </c>
      <c r="DJ197" s="103">
        <v>10.115236875800255</v>
      </c>
      <c r="DK197" s="103">
        <v>5.8898847631241997</v>
      </c>
      <c r="DL197" s="103">
        <v>1.7925736235595391</v>
      </c>
      <c r="DM197" s="103">
        <v>0.76824583866837381</v>
      </c>
      <c r="DN197" s="103">
        <v>0</v>
      </c>
      <c r="DO197" s="103">
        <v>0</v>
      </c>
    </row>
    <row r="198" spans="2:119" ht="14.45" customHeight="1" x14ac:dyDescent="0.45">
      <c r="B198" s="99"/>
      <c r="C198" s="42"/>
      <c r="D198" s="110"/>
      <c r="E198" s="47" t="s">
        <v>6</v>
      </c>
      <c r="F198" s="103">
        <v>2.1243115656963023</v>
      </c>
      <c r="G198" s="103">
        <v>7.9464988198269086</v>
      </c>
      <c r="H198" s="103">
        <v>21.321793863099924</v>
      </c>
      <c r="I198" s="103">
        <v>28.520849724626281</v>
      </c>
      <c r="J198" s="103">
        <v>18.253343823760819</v>
      </c>
      <c r="K198" s="103">
        <v>12.509834775767112</v>
      </c>
      <c r="L198" s="103">
        <v>6.1762391817466558</v>
      </c>
      <c r="M198" s="103">
        <v>2.1243115656963023</v>
      </c>
      <c r="N198" s="103">
        <v>0.90479937057435089</v>
      </c>
      <c r="O198" s="103">
        <v>0.11801730920535011</v>
      </c>
      <c r="P198" s="42"/>
      <c r="Q198" s="110"/>
      <c r="R198" s="46" t="s">
        <v>6</v>
      </c>
      <c r="S198" s="103">
        <v>1.9984012789768184</v>
      </c>
      <c r="T198" s="103">
        <v>6.2350119904076742</v>
      </c>
      <c r="U198" s="103">
        <v>20.46362909672262</v>
      </c>
      <c r="V198" s="103">
        <v>29.496402877697843</v>
      </c>
      <c r="W198" s="103">
        <v>19.584332533972823</v>
      </c>
      <c r="X198" s="103">
        <v>13.029576338928859</v>
      </c>
      <c r="Y198" s="103">
        <v>5.8353317346123106</v>
      </c>
      <c r="Z198" s="103">
        <v>2.2382094324540369</v>
      </c>
      <c r="AA198" s="103">
        <v>1.1191047162270185</v>
      </c>
      <c r="AB198" s="103">
        <v>0</v>
      </c>
      <c r="AC198" s="42"/>
      <c r="AD198" s="110"/>
      <c r="AE198" s="46" t="s">
        <v>6</v>
      </c>
      <c r="AF198" s="103">
        <v>2.2463206816421377</v>
      </c>
      <c r="AG198" s="103">
        <v>9.6049573973663822</v>
      </c>
      <c r="AH198" s="103">
        <v>22.153369481022462</v>
      </c>
      <c r="AI198" s="103">
        <v>27.575522850503486</v>
      </c>
      <c r="AJ198" s="103">
        <v>16.963594113090625</v>
      </c>
      <c r="AK198" s="103">
        <v>12.006196746707978</v>
      </c>
      <c r="AL198" s="103">
        <v>6.5065840433772264</v>
      </c>
      <c r="AM198" s="103">
        <v>2.0139426800929514</v>
      </c>
      <c r="AN198" s="103">
        <v>0.69713400464756003</v>
      </c>
      <c r="AO198" s="103">
        <v>0.23237800154918667</v>
      </c>
      <c r="AP198" s="6"/>
      <c r="AQ198" s="110"/>
      <c r="AR198" s="46" t="s">
        <v>6</v>
      </c>
      <c r="AS198" s="103">
        <v>2.5522041763341066</v>
      </c>
      <c r="AT198" s="103">
        <v>13.45707656612529</v>
      </c>
      <c r="AU198" s="103">
        <v>27.378190255220421</v>
      </c>
      <c r="AV198" s="103">
        <v>27.610208816705335</v>
      </c>
      <c r="AW198" s="103">
        <v>13.68909512761021</v>
      </c>
      <c r="AX198" s="103">
        <v>8.700696055684455</v>
      </c>
      <c r="AY198" s="103">
        <v>4.7563805104408354</v>
      </c>
      <c r="AZ198" s="103">
        <v>1.0440835266821344</v>
      </c>
      <c r="BA198" s="103">
        <v>0.6960556844547563</v>
      </c>
      <c r="BB198" s="103">
        <v>0.11600928074245939</v>
      </c>
      <c r="BC198" s="42"/>
      <c r="BD198" s="110"/>
      <c r="BE198" s="46" t="s">
        <v>6</v>
      </c>
      <c r="BF198" s="103">
        <v>1.9047619047619049</v>
      </c>
      <c r="BG198" s="103">
        <v>5.1190476190476186</v>
      </c>
      <c r="BH198" s="103">
        <v>18.214285714285712</v>
      </c>
      <c r="BI198" s="103">
        <v>28.988095238095241</v>
      </c>
      <c r="BJ198" s="103">
        <v>20.595238095238095</v>
      </c>
      <c r="BK198" s="103">
        <v>14.464285714285715</v>
      </c>
      <c r="BL198" s="103">
        <v>6.9047619047619051</v>
      </c>
      <c r="BM198" s="103">
        <v>2.6785714285714284</v>
      </c>
      <c r="BN198" s="103">
        <v>1.0119047619047619</v>
      </c>
      <c r="BO198" s="103">
        <v>0.11904761904761905</v>
      </c>
      <c r="BQ198" s="110"/>
      <c r="BR198" s="46" t="s">
        <v>6</v>
      </c>
      <c r="BS198" s="103">
        <v>3.4615384615384617</v>
      </c>
      <c r="BT198" s="103">
        <v>14.615384615384617</v>
      </c>
      <c r="BU198" s="103">
        <v>26.346153846153847</v>
      </c>
      <c r="BV198" s="103">
        <v>27.115384615384613</v>
      </c>
      <c r="BW198" s="103">
        <v>14.23076923076923</v>
      </c>
      <c r="BX198" s="103">
        <v>9.4230769230769234</v>
      </c>
      <c r="BY198" s="103">
        <v>2.6923076923076925</v>
      </c>
      <c r="BZ198" s="103">
        <v>0.96153846153846156</v>
      </c>
      <c r="CA198" s="103">
        <v>0.96153846153846156</v>
      </c>
      <c r="CB198" s="103">
        <v>0.19230769230769232</v>
      </c>
      <c r="CC198" s="42"/>
      <c r="CD198" s="110"/>
      <c r="CE198" s="46" t="s">
        <v>6</v>
      </c>
      <c r="CF198" s="103">
        <v>1.7804154302670623</v>
      </c>
      <c r="CG198" s="103">
        <v>6.2314540059347179</v>
      </c>
      <c r="CH198" s="103">
        <v>20.029673590504451</v>
      </c>
      <c r="CI198" s="103">
        <v>28.882294757665676</v>
      </c>
      <c r="CJ198" s="103">
        <v>19.287833827893174</v>
      </c>
      <c r="CK198" s="103">
        <v>13.303659742828883</v>
      </c>
      <c r="CL198" s="103">
        <v>7.0722057368941647</v>
      </c>
      <c r="CM198" s="103">
        <v>2.4233432245301683</v>
      </c>
      <c r="CN198" s="103">
        <v>0.89020771513353114</v>
      </c>
      <c r="CO198" s="103">
        <v>9.8911968348170121E-2</v>
      </c>
      <c r="CQ198" s="110"/>
      <c r="CR198" s="46" t="s">
        <v>6</v>
      </c>
      <c r="CS198" s="103">
        <v>1.3565891472868217</v>
      </c>
      <c r="CT198" s="103">
        <v>3.4883720930232558</v>
      </c>
      <c r="CU198" s="103">
        <v>11.24031007751938</v>
      </c>
      <c r="CV198" s="103">
        <v>22.868217054263564</v>
      </c>
      <c r="CW198" s="103">
        <v>20.155038759689923</v>
      </c>
      <c r="CX198" s="103">
        <v>19.379844961240313</v>
      </c>
      <c r="CY198" s="103">
        <v>12.596899224806201</v>
      </c>
      <c r="CZ198" s="103">
        <v>5.6201550387596901</v>
      </c>
      <c r="DA198" s="103">
        <v>2.9069767441860463</v>
      </c>
      <c r="DB198" s="103">
        <v>0.38759689922480622</v>
      </c>
      <c r="DC198" s="42"/>
      <c r="DD198" s="110"/>
      <c r="DE198" s="46" t="s">
        <v>6</v>
      </c>
      <c r="DF198" s="103">
        <v>2.319842053307009</v>
      </c>
      <c r="DG198" s="103">
        <v>9.0819348469891406</v>
      </c>
      <c r="DH198" s="103">
        <v>23.889437314906221</v>
      </c>
      <c r="DI198" s="103">
        <v>29.960513326752221</v>
      </c>
      <c r="DJ198" s="103">
        <v>17.769002961500494</v>
      </c>
      <c r="DK198" s="103">
        <v>10.760118460019743</v>
      </c>
      <c r="DL198" s="103">
        <v>4.5409674234945703</v>
      </c>
      <c r="DM198" s="103">
        <v>1.2339585389930898</v>
      </c>
      <c r="DN198" s="103">
        <v>0.3948667324777887</v>
      </c>
      <c r="DO198" s="103">
        <v>4.9358341559723587E-2</v>
      </c>
    </row>
    <row r="199" spans="2:119" ht="14.45" customHeight="1" x14ac:dyDescent="0.45">
      <c r="B199" s="99"/>
      <c r="C199" s="42"/>
      <c r="D199" s="110"/>
      <c r="E199" s="47" t="s">
        <v>7</v>
      </c>
      <c r="F199" s="103">
        <v>1.6265813985819548</v>
      </c>
      <c r="G199" s="103">
        <v>3.1697483664673989</v>
      </c>
      <c r="H199" s="103">
        <v>10.593632698456833</v>
      </c>
      <c r="I199" s="103">
        <v>22.869456415959959</v>
      </c>
      <c r="J199" s="103">
        <v>22.452384262477409</v>
      </c>
      <c r="K199" s="103">
        <v>21.367996663422772</v>
      </c>
      <c r="L199" s="103">
        <v>11.594605866814959</v>
      </c>
      <c r="M199" s="103">
        <v>4.2263311552898646</v>
      </c>
      <c r="N199" s="103">
        <v>1.5848741832336994</v>
      </c>
      <c r="O199" s="103">
        <v>0.51438898929514809</v>
      </c>
      <c r="P199" s="42"/>
      <c r="Q199" s="110"/>
      <c r="R199" s="46" t="s">
        <v>7</v>
      </c>
      <c r="S199" s="103">
        <v>1.7208927130949181</v>
      </c>
      <c r="T199" s="103">
        <v>2.2317827372949717</v>
      </c>
      <c r="U199" s="103">
        <v>9.1422425383167507</v>
      </c>
      <c r="V199" s="103">
        <v>22.129604732454961</v>
      </c>
      <c r="W199" s="103">
        <v>23.420274267276149</v>
      </c>
      <c r="X199" s="103">
        <v>23.043828986286634</v>
      </c>
      <c r="Y199" s="103">
        <v>12.046248991664426</v>
      </c>
      <c r="Z199" s="103">
        <v>4.1946759881688624</v>
      </c>
      <c r="AA199" s="103">
        <v>1.5864479698843774</v>
      </c>
      <c r="AB199" s="103">
        <v>0.48400107555794569</v>
      </c>
      <c r="AC199" s="42"/>
      <c r="AD199" s="110"/>
      <c r="AE199" s="46" t="s">
        <v>7</v>
      </c>
      <c r="AF199" s="103">
        <v>1.5256188831318365</v>
      </c>
      <c r="AG199" s="103">
        <v>4.1738629821531381</v>
      </c>
      <c r="AH199" s="103">
        <v>12.147380541162924</v>
      </c>
      <c r="AI199" s="103">
        <v>23.661485319516405</v>
      </c>
      <c r="AJ199" s="103">
        <v>21.416234887737478</v>
      </c>
      <c r="AK199" s="103">
        <v>19.573978123200924</v>
      </c>
      <c r="AL199" s="103">
        <v>11.111111111111111</v>
      </c>
      <c r="AM199" s="103">
        <v>4.2602187679907884</v>
      </c>
      <c r="AN199" s="103">
        <v>1.5831894070236039</v>
      </c>
      <c r="AO199" s="103">
        <v>0.5469199769717904</v>
      </c>
      <c r="AP199" s="6"/>
      <c r="AQ199" s="110"/>
      <c r="AR199" s="46" t="s">
        <v>7</v>
      </c>
      <c r="AS199" s="103">
        <v>1.6873449131513649</v>
      </c>
      <c r="AT199" s="103">
        <v>6.9975186104218361</v>
      </c>
      <c r="AU199" s="103">
        <v>14.888337468982629</v>
      </c>
      <c r="AV199" s="103">
        <v>25.856079404466502</v>
      </c>
      <c r="AW199" s="103">
        <v>19.851116625310176</v>
      </c>
      <c r="AX199" s="103">
        <v>16.923076923076923</v>
      </c>
      <c r="AY199" s="103">
        <v>9.67741935483871</v>
      </c>
      <c r="AZ199" s="103">
        <v>2.9776674937965262</v>
      </c>
      <c r="BA199" s="103">
        <v>0.64516129032258063</v>
      </c>
      <c r="BB199" s="103">
        <v>0.49627791563275436</v>
      </c>
      <c r="BC199" s="42"/>
      <c r="BD199" s="110"/>
      <c r="BE199" s="46" t="s">
        <v>7</v>
      </c>
      <c r="BF199" s="103">
        <v>1.6029354963306295</v>
      </c>
      <c r="BG199" s="103">
        <v>1.6801853997682505</v>
      </c>
      <c r="BH199" s="103">
        <v>8.9223638470451903</v>
      </c>
      <c r="BI199" s="103">
        <v>21.707222865971417</v>
      </c>
      <c r="BJ199" s="103">
        <v>23.464658169177287</v>
      </c>
      <c r="BK199" s="103">
        <v>23.09772112784859</v>
      </c>
      <c r="BL199" s="103">
        <v>12.340672074159906</v>
      </c>
      <c r="BM199" s="103">
        <v>4.7122441096948631</v>
      </c>
      <c r="BN199" s="103">
        <v>1.9505600617999226</v>
      </c>
      <c r="BO199" s="103">
        <v>0.52143684820393976</v>
      </c>
      <c r="BQ199" s="110"/>
      <c r="BR199" s="46" t="s">
        <v>7</v>
      </c>
      <c r="BS199" s="103">
        <v>2.0905923344947737</v>
      </c>
      <c r="BT199" s="103">
        <v>9.6399535423925666</v>
      </c>
      <c r="BU199" s="103">
        <v>18.931475029036005</v>
      </c>
      <c r="BV199" s="103">
        <v>22.531939605110338</v>
      </c>
      <c r="BW199" s="103">
        <v>18.931475029036005</v>
      </c>
      <c r="BX199" s="103">
        <v>14.285714285714285</v>
      </c>
      <c r="BY199" s="103">
        <v>8.9430894308943092</v>
      </c>
      <c r="BZ199" s="103">
        <v>3.2520325203252036</v>
      </c>
      <c r="CA199" s="103">
        <v>1.0452961672473868</v>
      </c>
      <c r="CB199" s="103">
        <v>0.34843205574912894</v>
      </c>
      <c r="CC199" s="42"/>
      <c r="CD199" s="110"/>
      <c r="CE199" s="46" t="s">
        <v>7</v>
      </c>
      <c r="CF199" s="103">
        <v>1.5634870499052433</v>
      </c>
      <c r="CG199" s="103">
        <v>2.2899557801642452</v>
      </c>
      <c r="CH199" s="103">
        <v>9.4598862918509159</v>
      </c>
      <c r="CI199" s="103">
        <v>22.915350600126342</v>
      </c>
      <c r="CJ199" s="103">
        <v>22.931143398610235</v>
      </c>
      <c r="CK199" s="103">
        <v>22.331017056222365</v>
      </c>
      <c r="CL199" s="103">
        <v>11.955148452305748</v>
      </c>
      <c r="CM199" s="103">
        <v>4.3588123815540118</v>
      </c>
      <c r="CN199" s="103">
        <v>1.6582438408085913</v>
      </c>
      <c r="CO199" s="103">
        <v>0.53695514845230574</v>
      </c>
      <c r="CQ199" s="110"/>
      <c r="CR199" s="46" t="s">
        <v>7</v>
      </c>
      <c r="CS199" s="103">
        <v>1.0847457627118644</v>
      </c>
      <c r="CT199" s="103">
        <v>1.0169491525423728</v>
      </c>
      <c r="CU199" s="103">
        <v>3.9322033898305082</v>
      </c>
      <c r="CV199" s="103">
        <v>15.1864406779661</v>
      </c>
      <c r="CW199" s="103">
        <v>20.677966101694913</v>
      </c>
      <c r="CX199" s="103">
        <v>26.101694915254235</v>
      </c>
      <c r="CY199" s="103">
        <v>19.525423728813561</v>
      </c>
      <c r="CZ199" s="103">
        <v>8.6101694915254239</v>
      </c>
      <c r="DA199" s="103">
        <v>2.7118644067796609</v>
      </c>
      <c r="DB199" s="103">
        <v>1.152542372881356</v>
      </c>
      <c r="DC199" s="42"/>
      <c r="DD199" s="110"/>
      <c r="DE199" s="46" t="s">
        <v>7</v>
      </c>
      <c r="DF199" s="103">
        <v>1.7663518712836657</v>
      </c>
      <c r="DG199" s="103">
        <v>3.7250786988457505</v>
      </c>
      <c r="DH199" s="103">
        <v>12.311997201818818</v>
      </c>
      <c r="DI199" s="103">
        <v>24.851346624693949</v>
      </c>
      <c r="DJ199" s="103">
        <v>22.910108429520811</v>
      </c>
      <c r="DK199" s="103">
        <v>20.146904512067156</v>
      </c>
      <c r="DL199" s="103">
        <v>9.5487932843651624</v>
      </c>
      <c r="DM199" s="103">
        <v>3.0954879328436515</v>
      </c>
      <c r="DN199" s="103">
        <v>1.2941587967820916</v>
      </c>
      <c r="DO199" s="103">
        <v>0.34977264777894368</v>
      </c>
    </row>
    <row r="200" spans="2:119" ht="14.45" customHeight="1" x14ac:dyDescent="0.45">
      <c r="B200" s="99"/>
      <c r="C200" s="42"/>
      <c r="D200" s="110"/>
      <c r="E200" s="47" t="s">
        <v>8</v>
      </c>
      <c r="F200" s="103">
        <v>0.9502237445445002</v>
      </c>
      <c r="G200" s="103">
        <v>0.75686426164300313</v>
      </c>
      <c r="H200" s="103">
        <v>2.8727694602508147</v>
      </c>
      <c r="I200" s="103">
        <v>12.800397768079112</v>
      </c>
      <c r="J200" s="103">
        <v>21.009888956411249</v>
      </c>
      <c r="K200" s="103">
        <v>27.506767581901553</v>
      </c>
      <c r="L200" s="103">
        <v>20.032042428595105</v>
      </c>
      <c r="M200" s="103">
        <v>8.7564222971106567</v>
      </c>
      <c r="N200" s="103">
        <v>4.0715982542400972</v>
      </c>
      <c r="O200" s="103">
        <v>1.2430252472239103</v>
      </c>
      <c r="P200" s="42"/>
      <c r="Q200" s="110"/>
      <c r="R200" s="46" t="s">
        <v>8</v>
      </c>
      <c r="S200" s="103">
        <v>0.91598231206569802</v>
      </c>
      <c r="T200" s="103">
        <v>0.57906927774268269</v>
      </c>
      <c r="U200" s="103">
        <v>2.1162349968414405</v>
      </c>
      <c r="V200" s="103">
        <v>11.623499684144029</v>
      </c>
      <c r="W200" s="103">
        <v>21.014950515898086</v>
      </c>
      <c r="X200" s="103">
        <v>28.269109286165506</v>
      </c>
      <c r="Y200" s="103">
        <v>20.951779321962519</v>
      </c>
      <c r="Z200" s="103">
        <v>9.1598231206569807</v>
      </c>
      <c r="AA200" s="103">
        <v>4.042956411876184</v>
      </c>
      <c r="AB200" s="103">
        <v>1.3265950726468732</v>
      </c>
      <c r="AC200" s="42"/>
      <c r="AD200" s="110"/>
      <c r="AE200" s="46" t="s">
        <v>8</v>
      </c>
      <c r="AF200" s="103">
        <v>0.98802743229106127</v>
      </c>
      <c r="AG200" s="103">
        <v>0.95315587585725914</v>
      </c>
      <c r="AH200" s="103">
        <v>3.7080088341276296</v>
      </c>
      <c r="AI200" s="103">
        <v>14.099732651400673</v>
      </c>
      <c r="AJ200" s="103">
        <v>21.004300825293502</v>
      </c>
      <c r="AK200" s="103">
        <v>26.665116819714051</v>
      </c>
      <c r="AL200" s="103">
        <v>19.016622108566779</v>
      </c>
      <c r="AM200" s="103">
        <v>8.3110542833895149</v>
      </c>
      <c r="AN200" s="103">
        <v>4.103219807044054</v>
      </c>
      <c r="AO200" s="103">
        <v>1.1507613623154713</v>
      </c>
      <c r="AP200" s="6"/>
      <c r="AQ200" s="110"/>
      <c r="AR200" s="46" t="s">
        <v>8</v>
      </c>
      <c r="AS200" s="103">
        <v>1.6528925619834711</v>
      </c>
      <c r="AT200" s="103">
        <v>2.1177685950413223</v>
      </c>
      <c r="AU200" s="103">
        <v>5.5785123966942152</v>
      </c>
      <c r="AV200" s="103">
        <v>16.864669421487601</v>
      </c>
      <c r="AW200" s="103">
        <v>22.081611570247933</v>
      </c>
      <c r="AX200" s="103">
        <v>23.863636363636363</v>
      </c>
      <c r="AY200" s="103">
        <v>17.148760330578515</v>
      </c>
      <c r="AZ200" s="103">
        <v>6.6890495867768598</v>
      </c>
      <c r="BA200" s="103">
        <v>3.254132231404959</v>
      </c>
      <c r="BB200" s="103">
        <v>0.74896694214876036</v>
      </c>
      <c r="BC200" s="42"/>
      <c r="BD200" s="110"/>
      <c r="BE200" s="46" t="s">
        <v>8</v>
      </c>
      <c r="BF200" s="103">
        <v>0.75901328273244784</v>
      </c>
      <c r="BG200" s="103">
        <v>0.38653454213226507</v>
      </c>
      <c r="BH200" s="103">
        <v>2.1364818328765196</v>
      </c>
      <c r="BI200" s="103">
        <v>11.694426874692528</v>
      </c>
      <c r="BJ200" s="103">
        <v>20.718251458289409</v>
      </c>
      <c r="BK200" s="103">
        <v>28.498137606296996</v>
      </c>
      <c r="BL200" s="103">
        <v>20.816642069013984</v>
      </c>
      <c r="BM200" s="103">
        <v>9.3189964157706093</v>
      </c>
      <c r="BN200" s="103">
        <v>4.2940473680511637</v>
      </c>
      <c r="BO200" s="103">
        <v>1.377468550144072</v>
      </c>
      <c r="BQ200" s="110"/>
      <c r="BR200" s="46" t="s">
        <v>8</v>
      </c>
      <c r="BS200" s="103">
        <v>1.1058451816745656</v>
      </c>
      <c r="BT200" s="103">
        <v>2.4486571879936809</v>
      </c>
      <c r="BU200" s="103">
        <v>6.2401263823064763</v>
      </c>
      <c r="BV200" s="103">
        <v>14.84992101105845</v>
      </c>
      <c r="BW200" s="103">
        <v>20.537124802527646</v>
      </c>
      <c r="BX200" s="103">
        <v>24.960505529225905</v>
      </c>
      <c r="BY200" s="103">
        <v>17.219589257503952</v>
      </c>
      <c r="BZ200" s="103">
        <v>8.0568720379146921</v>
      </c>
      <c r="CA200" s="103">
        <v>3.238546603475513</v>
      </c>
      <c r="CB200" s="103">
        <v>1.3428120063191153</v>
      </c>
      <c r="CC200" s="42"/>
      <c r="CD200" s="110"/>
      <c r="CE200" s="46" t="s">
        <v>8</v>
      </c>
      <c r="CF200" s="103">
        <v>0.93852093852093854</v>
      </c>
      <c r="CG200" s="103">
        <v>0.62964062964062961</v>
      </c>
      <c r="CH200" s="103">
        <v>2.6195426195426199</v>
      </c>
      <c r="CI200" s="103">
        <v>12.646272646272646</v>
      </c>
      <c r="CJ200" s="103">
        <v>21.045441045441045</v>
      </c>
      <c r="CK200" s="103">
        <v>27.698247698247698</v>
      </c>
      <c r="CL200" s="103">
        <v>20.243540243540242</v>
      </c>
      <c r="CM200" s="103">
        <v>8.809028809028808</v>
      </c>
      <c r="CN200" s="103">
        <v>4.1342441342441338</v>
      </c>
      <c r="CO200" s="103">
        <v>1.2355212355212355</v>
      </c>
      <c r="CQ200" s="110"/>
      <c r="CR200" s="46" t="s">
        <v>8</v>
      </c>
      <c r="CS200" s="103">
        <v>0.71807680299719012</v>
      </c>
      <c r="CT200" s="103">
        <v>0.280986575085857</v>
      </c>
      <c r="CU200" s="103">
        <v>1.1863877614736185</v>
      </c>
      <c r="CV200" s="103">
        <v>8.1486106774898541</v>
      </c>
      <c r="CW200" s="103">
        <v>16.422104277240088</v>
      </c>
      <c r="CX200" s="103">
        <v>24.414611301904465</v>
      </c>
      <c r="CY200" s="103">
        <v>25.725881985638466</v>
      </c>
      <c r="CZ200" s="103">
        <v>13.986887293162658</v>
      </c>
      <c r="DA200" s="103">
        <v>7.0558851077115206</v>
      </c>
      <c r="DB200" s="103">
        <v>2.0605682172962845</v>
      </c>
      <c r="DC200" s="42"/>
      <c r="DD200" s="110"/>
      <c r="DE200" s="46" t="s">
        <v>8</v>
      </c>
      <c r="DF200" s="103">
        <v>1.0001342462075447</v>
      </c>
      <c r="DG200" s="103">
        <v>0.8591757282856759</v>
      </c>
      <c r="DH200" s="103">
        <v>3.2353336018257481</v>
      </c>
      <c r="DI200" s="103">
        <v>13.80051013558867</v>
      </c>
      <c r="DJ200" s="103">
        <v>21.996241106188748</v>
      </c>
      <c r="DK200" s="103">
        <v>28.171566653242046</v>
      </c>
      <c r="DL200" s="103">
        <v>18.807893677003626</v>
      </c>
      <c r="DM200" s="103">
        <v>7.6318968989126059</v>
      </c>
      <c r="DN200" s="103">
        <v>3.4299906027654719</v>
      </c>
      <c r="DO200" s="103">
        <v>1.067257349979863</v>
      </c>
    </row>
    <row r="201" spans="2:119" ht="14.45" customHeight="1" x14ac:dyDescent="0.45">
      <c r="B201" s="99"/>
      <c r="C201" s="42"/>
      <c r="D201" s="110"/>
      <c r="E201" s="47" t="s">
        <v>9</v>
      </c>
      <c r="F201" s="103">
        <v>0.42263378916765376</v>
      </c>
      <c r="G201" s="103">
        <v>0.12113707332830838</v>
      </c>
      <c r="H201" s="103">
        <v>0.69451922041563474</v>
      </c>
      <c r="I201" s="103">
        <v>4.7701087541724991</v>
      </c>
      <c r="J201" s="103">
        <v>13.209324862711316</v>
      </c>
      <c r="K201" s="103">
        <v>24.480456552169699</v>
      </c>
      <c r="L201" s="103">
        <v>26.994723807472809</v>
      </c>
      <c r="M201" s="103">
        <v>15.656293743943147</v>
      </c>
      <c r="N201" s="103">
        <v>9.7394206955959941</v>
      </c>
      <c r="O201" s="103">
        <v>3.9113815010229356</v>
      </c>
      <c r="P201" s="42"/>
      <c r="Q201" s="110"/>
      <c r="R201" s="46" t="s">
        <v>9</v>
      </c>
      <c r="S201" s="103">
        <v>0.28389308479297226</v>
      </c>
      <c r="T201" s="103">
        <v>9.1060046065670364E-2</v>
      </c>
      <c r="U201" s="103">
        <v>0.50350849001017728</v>
      </c>
      <c r="V201" s="103">
        <v>3.7173924687985429</v>
      </c>
      <c r="W201" s="103">
        <v>11.95564840109272</v>
      </c>
      <c r="X201" s="103">
        <v>23.772028496437944</v>
      </c>
      <c r="Y201" s="103">
        <v>27.907225882478976</v>
      </c>
      <c r="Z201" s="103">
        <v>16.717553162997483</v>
      </c>
      <c r="AA201" s="103">
        <v>10.654025389683433</v>
      </c>
      <c r="AB201" s="103">
        <v>4.3976645776420806</v>
      </c>
      <c r="AC201" s="42"/>
      <c r="AD201" s="110"/>
      <c r="AE201" s="46" t="s">
        <v>9</v>
      </c>
      <c r="AF201" s="103">
        <v>0.56280101737106991</v>
      </c>
      <c r="AG201" s="103">
        <v>0.15152335083067264</v>
      </c>
      <c r="AH201" s="103">
        <v>0.88749391200822547</v>
      </c>
      <c r="AI201" s="103">
        <v>5.8336490069808971</v>
      </c>
      <c r="AJ201" s="103">
        <v>14.475891552573191</v>
      </c>
      <c r="AK201" s="103">
        <v>25.196168623843278</v>
      </c>
      <c r="AL201" s="103">
        <v>26.072839439363605</v>
      </c>
      <c r="AM201" s="103">
        <v>14.584122517452244</v>
      </c>
      <c r="AN201" s="103">
        <v>8.8154120893987766</v>
      </c>
      <c r="AO201" s="103">
        <v>3.4200984901780398</v>
      </c>
      <c r="AP201" s="6"/>
      <c r="AQ201" s="110"/>
      <c r="AR201" s="46" t="s">
        <v>9</v>
      </c>
      <c r="AS201" s="103">
        <v>0.6964690638160026</v>
      </c>
      <c r="AT201" s="103">
        <v>0.43731778425655976</v>
      </c>
      <c r="AU201" s="103">
        <v>1.749271137026239</v>
      </c>
      <c r="AV201" s="103">
        <v>7.4667962423064465</v>
      </c>
      <c r="AW201" s="103">
        <v>16.375121477162295</v>
      </c>
      <c r="AX201" s="103">
        <v>25.931324910916747</v>
      </c>
      <c r="AY201" s="103">
        <v>24.927113702623906</v>
      </c>
      <c r="AZ201" s="103">
        <v>12.293488824101068</v>
      </c>
      <c r="BA201" s="103">
        <v>7.7259475218658888</v>
      </c>
      <c r="BB201" s="103">
        <v>2.3971493359248459</v>
      </c>
      <c r="BC201" s="42"/>
      <c r="BD201" s="110"/>
      <c r="BE201" s="46" t="s">
        <v>9</v>
      </c>
      <c r="BF201" s="103">
        <v>0.36805062310324788</v>
      </c>
      <c r="BG201" s="103">
        <v>5.8113256279460186E-2</v>
      </c>
      <c r="BH201" s="103">
        <v>0.48427713566216829</v>
      </c>
      <c r="BI201" s="103">
        <v>4.2325821656873508</v>
      </c>
      <c r="BJ201" s="103">
        <v>12.578291470265384</v>
      </c>
      <c r="BK201" s="103">
        <v>24.191257183444179</v>
      </c>
      <c r="BL201" s="103">
        <v>27.406857364240977</v>
      </c>
      <c r="BM201" s="103">
        <v>16.326596500290567</v>
      </c>
      <c r="BN201" s="103">
        <v>10.140763220765804</v>
      </c>
      <c r="BO201" s="103">
        <v>4.213211080260864</v>
      </c>
      <c r="BQ201" s="110"/>
      <c r="BR201" s="46" t="s">
        <v>9</v>
      </c>
      <c r="BS201" s="103">
        <v>0.72127769191138591</v>
      </c>
      <c r="BT201" s="103">
        <v>0.72127769191138591</v>
      </c>
      <c r="BU201" s="103">
        <v>2.4214322514167956</v>
      </c>
      <c r="BV201" s="103">
        <v>6.1308603812467801</v>
      </c>
      <c r="BW201" s="103">
        <v>15.455950540958268</v>
      </c>
      <c r="BX201" s="103">
        <v>24.935600206079343</v>
      </c>
      <c r="BY201" s="103">
        <v>23.802163833075735</v>
      </c>
      <c r="BZ201" s="103">
        <v>13.189077794951057</v>
      </c>
      <c r="CA201" s="103">
        <v>8.5522926326635762</v>
      </c>
      <c r="CB201" s="103">
        <v>4.0700669757856769</v>
      </c>
      <c r="CC201" s="42"/>
      <c r="CD201" s="110"/>
      <c r="CE201" s="46" t="s">
        <v>9</v>
      </c>
      <c r="CF201" s="103">
        <v>0.40616922771039854</v>
      </c>
      <c r="CG201" s="103">
        <v>8.8050671741415065E-2</v>
      </c>
      <c r="CH201" s="103">
        <v>0.59931263669156698</v>
      </c>
      <c r="CI201" s="103">
        <v>4.6950890447922289</v>
      </c>
      <c r="CJ201" s="103">
        <v>13.085465958474169</v>
      </c>
      <c r="CK201" s="103">
        <v>24.455363990115604</v>
      </c>
      <c r="CL201" s="103">
        <v>27.170733092850853</v>
      </c>
      <c r="CM201" s="103">
        <v>15.79231402846025</v>
      </c>
      <c r="CN201" s="103">
        <v>9.8048683500440248</v>
      </c>
      <c r="CO201" s="103">
        <v>3.902632999119493</v>
      </c>
      <c r="CQ201" s="110"/>
      <c r="CR201" s="46" t="s">
        <v>9</v>
      </c>
      <c r="CS201" s="103">
        <v>0.12365306482953542</v>
      </c>
      <c r="CT201" s="103">
        <v>8.8323617735382443E-2</v>
      </c>
      <c r="CU201" s="103">
        <v>0.38862391803568275</v>
      </c>
      <c r="CV201" s="103">
        <v>2.8440204910793145</v>
      </c>
      <c r="CW201" s="103">
        <v>8.850026497085322</v>
      </c>
      <c r="CX201" s="103">
        <v>19.342872284048752</v>
      </c>
      <c r="CY201" s="103">
        <v>28.051580992757465</v>
      </c>
      <c r="CZ201" s="103">
        <v>20.473414591061651</v>
      </c>
      <c r="DA201" s="103">
        <v>14.131778837661191</v>
      </c>
      <c r="DB201" s="103">
        <v>5.7057057057057055</v>
      </c>
      <c r="DC201" s="42"/>
      <c r="DD201" s="110"/>
      <c r="DE201" s="46" t="s">
        <v>9</v>
      </c>
      <c r="DF201" s="103">
        <v>0.47638708038237998</v>
      </c>
      <c r="DG201" s="103">
        <v>0.12703655476863468</v>
      </c>
      <c r="DH201" s="103">
        <v>0.7495156731349446</v>
      </c>
      <c r="DI201" s="103">
        <v>5.1163972433067615</v>
      </c>
      <c r="DJ201" s="103">
        <v>13.993076507765108</v>
      </c>
      <c r="DK201" s="103">
        <v>25.404135039857717</v>
      </c>
      <c r="DL201" s="103">
        <v>26.804713056181917</v>
      </c>
      <c r="DM201" s="103">
        <v>14.790230888938291</v>
      </c>
      <c r="DN201" s="103">
        <v>8.9497252834503129</v>
      </c>
      <c r="DO201" s="103">
        <v>3.5887826722139295</v>
      </c>
    </row>
    <row r="202" spans="2:119" ht="14.45" customHeight="1" x14ac:dyDescent="0.45">
      <c r="B202" s="99"/>
      <c r="C202" s="42"/>
      <c r="D202" s="110"/>
      <c r="E202" s="47" t="s">
        <v>10</v>
      </c>
      <c r="F202" s="103">
        <v>0.11973440731468379</v>
      </c>
      <c r="G202" s="103">
        <v>1.8141576865861181E-2</v>
      </c>
      <c r="H202" s="103">
        <v>7.4380465150030842E-2</v>
      </c>
      <c r="I202" s="103">
        <v>1.2154856500126991</v>
      </c>
      <c r="J202" s="103">
        <v>5.0651282609484412</v>
      </c>
      <c r="K202" s="103">
        <v>13.774899314248396</v>
      </c>
      <c r="L202" s="103">
        <v>23.966837197489205</v>
      </c>
      <c r="M202" s="103">
        <v>21.183919306266098</v>
      </c>
      <c r="N202" s="103">
        <v>20.030115017597332</v>
      </c>
      <c r="O202" s="103">
        <v>14.551358804107254</v>
      </c>
      <c r="P202" s="42"/>
      <c r="Q202" s="110"/>
      <c r="R202" s="46" t="s">
        <v>10</v>
      </c>
      <c r="S202" s="103">
        <v>7.5993616536210951E-2</v>
      </c>
      <c r="T202" s="103">
        <v>1.1399042480431644E-2</v>
      </c>
      <c r="U202" s="103">
        <v>4.5596169921726576E-2</v>
      </c>
      <c r="V202" s="103">
        <v>0.87012690933961545</v>
      </c>
      <c r="W202" s="103">
        <v>4.137852420396686</v>
      </c>
      <c r="X202" s="103">
        <v>12.265369708944448</v>
      </c>
      <c r="Y202" s="103">
        <v>22.900676343187172</v>
      </c>
      <c r="Z202" s="103">
        <v>22.163538262785927</v>
      </c>
      <c r="AA202" s="103">
        <v>21.570788053803479</v>
      </c>
      <c r="AB202" s="103">
        <v>15.9586594726043</v>
      </c>
      <c r="AC202" s="42"/>
      <c r="AD202" s="110"/>
      <c r="AE202" s="46" t="s">
        <v>10</v>
      </c>
      <c r="AF202" s="103">
        <v>0.15970004166088045</v>
      </c>
      <c r="AG202" s="103">
        <v>2.4302180252742677E-2</v>
      </c>
      <c r="AH202" s="103">
        <v>0.1006804610470768</v>
      </c>
      <c r="AI202" s="103">
        <v>1.5310373559227886</v>
      </c>
      <c r="AJ202" s="103">
        <v>5.9123732814886827</v>
      </c>
      <c r="AK202" s="103">
        <v>15.15414525760311</v>
      </c>
      <c r="AL202" s="103">
        <v>24.940980419386197</v>
      </c>
      <c r="AM202" s="103">
        <v>20.288848771004027</v>
      </c>
      <c r="AN202" s="103">
        <v>18.622413553673102</v>
      </c>
      <c r="AO202" s="103">
        <v>13.265518677961394</v>
      </c>
      <c r="AP202" s="6"/>
      <c r="AQ202" s="110"/>
      <c r="AR202" s="46" t="s">
        <v>10</v>
      </c>
      <c r="AS202" s="103">
        <v>0.2628730477810422</v>
      </c>
      <c r="AT202" s="103">
        <v>9.2778722746250195E-2</v>
      </c>
      <c r="AU202" s="103">
        <v>0.24740992732333383</v>
      </c>
      <c r="AV202" s="103">
        <v>2.7524354414720889</v>
      </c>
      <c r="AW202" s="103">
        <v>8.5665687335704348</v>
      </c>
      <c r="AX202" s="103">
        <v>17.937219730941703</v>
      </c>
      <c r="AY202" s="103">
        <v>24.895623936910468</v>
      </c>
      <c r="AZ202" s="103">
        <v>19.669089222205042</v>
      </c>
      <c r="BA202" s="103">
        <v>16.29812896242462</v>
      </c>
      <c r="BB202" s="103">
        <v>9.27787227462502</v>
      </c>
      <c r="BC202" s="42"/>
      <c r="BD202" s="110"/>
      <c r="BE202" s="46" t="s">
        <v>10</v>
      </c>
      <c r="BF202" s="103">
        <v>0.10070907409310451</v>
      </c>
      <c r="BG202" s="103">
        <v>8.221148905559552E-3</v>
      </c>
      <c r="BH202" s="103">
        <v>5.1382180659747201E-2</v>
      </c>
      <c r="BI202" s="103">
        <v>1.0112013153838249</v>
      </c>
      <c r="BJ202" s="103">
        <v>4.5997328126605694</v>
      </c>
      <c r="BK202" s="103">
        <v>13.221662727366148</v>
      </c>
      <c r="BL202" s="103">
        <v>23.843387113349092</v>
      </c>
      <c r="BM202" s="103">
        <v>21.385263590586785</v>
      </c>
      <c r="BN202" s="103">
        <v>20.526153529955813</v>
      </c>
      <c r="BO202" s="103">
        <v>15.252286507039358</v>
      </c>
      <c r="BQ202" s="110"/>
      <c r="BR202" s="46" t="s">
        <v>10</v>
      </c>
      <c r="BS202" s="103">
        <v>0.29397354238118567</v>
      </c>
      <c r="BT202" s="103">
        <v>9.7991180793728566E-2</v>
      </c>
      <c r="BU202" s="103">
        <v>0.2449779519843214</v>
      </c>
      <c r="BV202" s="103">
        <v>2.6947574718275353</v>
      </c>
      <c r="BW202" s="103">
        <v>6.6634002939735426</v>
      </c>
      <c r="BX202" s="103">
        <v>16.364527192552668</v>
      </c>
      <c r="BY202" s="103">
        <v>24.105830475257225</v>
      </c>
      <c r="BZ202" s="103">
        <v>20.431161195492408</v>
      </c>
      <c r="CA202" s="103">
        <v>17.834394904458598</v>
      </c>
      <c r="CB202" s="103">
        <v>11.268985791278785</v>
      </c>
      <c r="CC202" s="42"/>
      <c r="CD202" s="110"/>
      <c r="CE202" s="46" t="s">
        <v>10</v>
      </c>
      <c r="CF202" s="103">
        <v>0.11303479587799778</v>
      </c>
      <c r="CG202" s="103">
        <v>1.5071306117066372E-2</v>
      </c>
      <c r="CH202" s="103">
        <v>6.7820877526798662E-2</v>
      </c>
      <c r="CI202" s="103">
        <v>1.1586066577494771</v>
      </c>
      <c r="CJ202" s="103">
        <v>5.003673630866035</v>
      </c>
      <c r="CK202" s="103">
        <v>13.675326387973097</v>
      </c>
      <c r="CL202" s="103">
        <v>23.961492812870897</v>
      </c>
      <c r="CM202" s="103">
        <v>21.212863359770918</v>
      </c>
      <c r="CN202" s="103">
        <v>20.114541926489704</v>
      </c>
      <c r="CO202" s="103">
        <v>14.67756824475801</v>
      </c>
      <c r="CQ202" s="110"/>
      <c r="CR202" s="46" t="s">
        <v>10</v>
      </c>
      <c r="CS202" s="103">
        <v>6.531678641410843E-2</v>
      </c>
      <c r="CT202" s="103">
        <v>1.3063357282821686E-2</v>
      </c>
      <c r="CU202" s="103">
        <v>5.2253429131286742E-2</v>
      </c>
      <c r="CV202" s="103">
        <v>0.73154800783801432</v>
      </c>
      <c r="CW202" s="103">
        <v>2.991508817766166</v>
      </c>
      <c r="CX202" s="103">
        <v>9.1835401698236456</v>
      </c>
      <c r="CY202" s="103">
        <v>20.862181580666231</v>
      </c>
      <c r="CZ202" s="103">
        <v>22.116263879817115</v>
      </c>
      <c r="DA202" s="103">
        <v>24.141084258654473</v>
      </c>
      <c r="DB202" s="103">
        <v>19.843239712606138</v>
      </c>
      <c r="DC202" s="42"/>
      <c r="DD202" s="110"/>
      <c r="DE202" s="46" t="s">
        <v>10</v>
      </c>
      <c r="DF202" s="103">
        <v>0.12851033349484905</v>
      </c>
      <c r="DG202" s="103">
        <v>1.8960541007436743E-2</v>
      </c>
      <c r="DH202" s="103">
        <v>7.7948890808351073E-2</v>
      </c>
      <c r="DI202" s="103">
        <v>1.2935302420629069</v>
      </c>
      <c r="DJ202" s="103">
        <v>5.3995407335622643</v>
      </c>
      <c r="DK202" s="103">
        <v>14.515347504582129</v>
      </c>
      <c r="DL202" s="103">
        <v>24.467524806707818</v>
      </c>
      <c r="DM202" s="103">
        <v>21.033560157583164</v>
      </c>
      <c r="DN202" s="103">
        <v>19.367139275707334</v>
      </c>
      <c r="DO202" s="103">
        <v>13.697937514483746</v>
      </c>
    </row>
    <row r="203" spans="2:119" ht="14.45" customHeight="1" x14ac:dyDescent="0.45">
      <c r="B203" s="99"/>
      <c r="C203" s="42"/>
      <c r="D203" s="111"/>
      <c r="E203" s="47" t="s">
        <v>11</v>
      </c>
      <c r="F203" s="103">
        <v>1.665926254997779E-2</v>
      </c>
      <c r="G203" s="103">
        <v>5.5530875166592622E-3</v>
      </c>
      <c r="H203" s="103">
        <v>1.1106175033318524E-2</v>
      </c>
      <c r="I203" s="103">
        <v>0.19435806308307418</v>
      </c>
      <c r="J203" s="103">
        <v>0.92736561528209671</v>
      </c>
      <c r="K203" s="103">
        <v>4.2758773878276317</v>
      </c>
      <c r="L203" s="103">
        <v>11.850288760550866</v>
      </c>
      <c r="M203" s="103">
        <v>16.903598400710795</v>
      </c>
      <c r="N203" s="103">
        <v>25.710795202132385</v>
      </c>
      <c r="O203" s="103">
        <v>40.104398045313197</v>
      </c>
      <c r="P203" s="42"/>
      <c r="Q203" s="111"/>
      <c r="R203" s="46" t="s">
        <v>11</v>
      </c>
      <c r="S203" s="103">
        <v>1.1381743683132257E-2</v>
      </c>
      <c r="T203" s="103">
        <v>0</v>
      </c>
      <c r="U203" s="103">
        <v>0</v>
      </c>
      <c r="V203" s="103">
        <v>0.11381743683132256</v>
      </c>
      <c r="W203" s="103">
        <v>0.58046892783974502</v>
      </c>
      <c r="X203" s="103">
        <v>3.0958342818119733</v>
      </c>
      <c r="Y203" s="103">
        <v>10.346005007967221</v>
      </c>
      <c r="Z203" s="103">
        <v>15.752333257455042</v>
      </c>
      <c r="AA203" s="103">
        <v>25.859321648076484</v>
      </c>
      <c r="AB203" s="103">
        <v>44.240837696335078</v>
      </c>
      <c r="AC203" s="42"/>
      <c r="AD203" s="111"/>
      <c r="AE203" s="46" t="s">
        <v>11</v>
      </c>
      <c r="AF203" s="103">
        <v>2.1687269572760789E-2</v>
      </c>
      <c r="AG203" s="103">
        <v>1.0843634786380394E-2</v>
      </c>
      <c r="AH203" s="103">
        <v>2.1687269572760789E-2</v>
      </c>
      <c r="AI203" s="103">
        <v>0.27109086965950985</v>
      </c>
      <c r="AJ203" s="103">
        <v>1.257861635220126</v>
      </c>
      <c r="AK203" s="103">
        <v>5.4001301236174371</v>
      </c>
      <c r="AL203" s="103">
        <v>13.283452613315983</v>
      </c>
      <c r="AM203" s="103">
        <v>18.000433745391454</v>
      </c>
      <c r="AN203" s="103">
        <v>25.56929082628497</v>
      </c>
      <c r="AO203" s="103">
        <v>36.163522012578611</v>
      </c>
      <c r="AP203" s="6"/>
      <c r="AQ203" s="111"/>
      <c r="AR203" s="46" t="s">
        <v>11</v>
      </c>
      <c r="AS203" s="103">
        <v>0.15128593040847202</v>
      </c>
      <c r="AT203" s="103">
        <v>7.564296520423601E-2</v>
      </c>
      <c r="AU203" s="103">
        <v>0.15128593040847202</v>
      </c>
      <c r="AV203" s="103">
        <v>0.83207261724659609</v>
      </c>
      <c r="AW203" s="103">
        <v>1.6641452344931922</v>
      </c>
      <c r="AX203" s="103">
        <v>7.5642965204236008</v>
      </c>
      <c r="AY203" s="103">
        <v>17.095310136157337</v>
      </c>
      <c r="AZ203" s="103">
        <v>19.062027231467475</v>
      </c>
      <c r="BA203" s="103">
        <v>25.113464447806354</v>
      </c>
      <c r="BB203" s="103">
        <v>28.290468986384266</v>
      </c>
      <c r="BC203" s="42"/>
      <c r="BD203" s="111"/>
      <c r="BE203" s="46" t="s">
        <v>11</v>
      </c>
      <c r="BF203" s="103">
        <v>5.9930480642454752E-3</v>
      </c>
      <c r="BG203" s="103">
        <v>0</v>
      </c>
      <c r="BH203" s="103">
        <v>0</v>
      </c>
      <c r="BI203" s="103">
        <v>0.14383315354189141</v>
      </c>
      <c r="BJ203" s="103">
        <v>0.86899196931559397</v>
      </c>
      <c r="BK203" s="103">
        <v>4.0153422030444679</v>
      </c>
      <c r="BL203" s="103">
        <v>11.434735706580366</v>
      </c>
      <c r="BM203" s="103">
        <v>16.732590195373369</v>
      </c>
      <c r="BN203" s="103">
        <v>25.758120580127052</v>
      </c>
      <c r="BO203" s="103">
        <v>41.040393143953011</v>
      </c>
      <c r="BQ203" s="111"/>
      <c r="BR203" s="46" t="s">
        <v>11</v>
      </c>
      <c r="BS203" s="103">
        <v>0</v>
      </c>
      <c r="BT203" s="103">
        <v>0</v>
      </c>
      <c r="BU203" s="103">
        <v>0</v>
      </c>
      <c r="BV203" s="103">
        <v>0.94876660341555974</v>
      </c>
      <c r="BW203" s="103">
        <v>0.94876660341555974</v>
      </c>
      <c r="BX203" s="103">
        <v>7.020872865275142</v>
      </c>
      <c r="BY203" s="103">
        <v>15.370018975332068</v>
      </c>
      <c r="BZ203" s="103">
        <v>18.975332068311197</v>
      </c>
      <c r="CA203" s="103">
        <v>26.185958254269448</v>
      </c>
      <c r="CB203" s="103">
        <v>30.550284629981022</v>
      </c>
      <c r="CC203" s="42"/>
      <c r="CD203" s="111"/>
      <c r="CE203" s="46" t="s">
        <v>11</v>
      </c>
      <c r="CF203" s="103">
        <v>1.716148961729878E-2</v>
      </c>
      <c r="CG203" s="103">
        <v>5.7204965390995942E-3</v>
      </c>
      <c r="CH203" s="103">
        <v>1.1440993078199188E-2</v>
      </c>
      <c r="CI203" s="103">
        <v>0.17161489617298781</v>
      </c>
      <c r="CJ203" s="103">
        <v>0.92672043933413417</v>
      </c>
      <c r="CK203" s="103">
        <v>4.1931239631600024</v>
      </c>
      <c r="CL203" s="103">
        <v>11.744179394771466</v>
      </c>
      <c r="CM203" s="103">
        <v>16.841141811109203</v>
      </c>
      <c r="CN203" s="103">
        <v>25.696470453635378</v>
      </c>
      <c r="CO203" s="103">
        <v>40.392426062582231</v>
      </c>
      <c r="CQ203" s="111"/>
      <c r="CR203" s="46" t="s">
        <v>11</v>
      </c>
      <c r="CS203" s="103">
        <v>4.6446818392940084E-2</v>
      </c>
      <c r="CT203" s="103">
        <v>0</v>
      </c>
      <c r="CU203" s="103">
        <v>0</v>
      </c>
      <c r="CV203" s="103">
        <v>0</v>
      </c>
      <c r="CW203" s="103">
        <v>0.37157454714352067</v>
      </c>
      <c r="CX203" s="103">
        <v>2.5081281932187642</v>
      </c>
      <c r="CY203" s="103">
        <v>7.8495123084068741</v>
      </c>
      <c r="CZ203" s="103">
        <v>15.652577798420808</v>
      </c>
      <c r="DA203" s="103">
        <v>26.288899210404086</v>
      </c>
      <c r="DB203" s="103">
        <v>47.282861124013003</v>
      </c>
      <c r="DC203" s="42"/>
      <c r="DD203" s="111"/>
      <c r="DE203" s="46" t="s">
        <v>11</v>
      </c>
      <c r="DF203" s="103">
        <v>1.2614317250078839E-2</v>
      </c>
      <c r="DG203" s="103">
        <v>6.3071586250394197E-3</v>
      </c>
      <c r="DH203" s="103">
        <v>1.2614317250078839E-2</v>
      </c>
      <c r="DI203" s="103">
        <v>0.22075055187637968</v>
      </c>
      <c r="DJ203" s="103">
        <v>1.0028382213812679</v>
      </c>
      <c r="DK203" s="103">
        <v>4.5159255755282253</v>
      </c>
      <c r="DL203" s="103">
        <v>12.393566698202459</v>
      </c>
      <c r="DM203" s="103">
        <v>17.07347839798171</v>
      </c>
      <c r="DN203" s="103">
        <v>25.632292652160203</v>
      </c>
      <c r="DO203" s="103">
        <v>39.129612109744563</v>
      </c>
    </row>
    <row r="204" spans="2:119" ht="14.45" customHeight="1" x14ac:dyDescent="0.45">
      <c r="B204" s="99"/>
      <c r="C204" s="42"/>
      <c r="D204" s="42"/>
      <c r="E204" s="42"/>
      <c r="F204" s="42"/>
      <c r="G204" s="42"/>
      <c r="H204" s="42"/>
      <c r="I204" s="42"/>
      <c r="J204" s="42"/>
      <c r="K204" s="42"/>
      <c r="L204" s="42"/>
      <c r="M204" s="42"/>
      <c r="N204" s="42"/>
      <c r="O204" s="42"/>
      <c r="P204" s="42"/>
      <c r="Q204" s="42"/>
      <c r="R204" s="42"/>
      <c r="S204" s="42"/>
      <c r="T204" s="42"/>
      <c r="U204" s="42"/>
      <c r="V204" s="42"/>
      <c r="W204" s="42"/>
      <c r="X204" s="42"/>
      <c r="Y204" s="42"/>
      <c r="Z204" s="42"/>
      <c r="AA204" s="42"/>
      <c r="AB204" s="42"/>
      <c r="AC204" s="42"/>
      <c r="AD204" s="42"/>
      <c r="AE204" s="42"/>
      <c r="AF204" s="42"/>
      <c r="AG204" s="42"/>
      <c r="AH204" s="42"/>
      <c r="AI204" s="42"/>
      <c r="AJ204" s="42"/>
      <c r="AK204" s="42"/>
      <c r="AL204" s="42"/>
      <c r="AM204" s="42"/>
      <c r="AN204" s="42"/>
      <c r="AO204" s="42"/>
      <c r="AQ204" s="42"/>
      <c r="AR204" s="42"/>
      <c r="AS204" s="42"/>
      <c r="AT204" s="42"/>
      <c r="AU204" s="42"/>
      <c r="AV204" s="42"/>
      <c r="AW204" s="42"/>
      <c r="AX204" s="42"/>
      <c r="AY204" s="42"/>
      <c r="AZ204" s="42"/>
      <c r="BA204" s="42"/>
      <c r="BB204" s="42"/>
      <c r="BC204" s="42"/>
      <c r="BD204" s="42"/>
      <c r="BE204" s="42"/>
      <c r="BF204" s="42"/>
      <c r="BG204" s="42"/>
      <c r="BH204" s="42"/>
      <c r="BI204" s="42"/>
      <c r="BJ204" s="42"/>
      <c r="BK204" s="42"/>
      <c r="BL204" s="42"/>
      <c r="BM204" s="42"/>
      <c r="BN204" s="42"/>
      <c r="BO204" s="42"/>
      <c r="BQ204" s="42"/>
      <c r="BR204" s="42"/>
      <c r="BS204" s="42"/>
      <c r="BT204" s="42"/>
      <c r="BU204" s="42"/>
      <c r="BV204" s="42"/>
      <c r="BW204" s="42"/>
      <c r="BX204" s="42"/>
      <c r="BY204" s="42"/>
      <c r="BZ204" s="42"/>
      <c r="CA204" s="42"/>
      <c r="CB204" s="42"/>
      <c r="CC204" s="42"/>
      <c r="CD204" s="42"/>
      <c r="CE204" s="42"/>
      <c r="CF204" s="42"/>
      <c r="CG204" s="42"/>
      <c r="CH204" s="42"/>
      <c r="CI204" s="42"/>
      <c r="CJ204" s="42"/>
      <c r="CK204" s="42"/>
      <c r="CL204" s="42"/>
      <c r="CM204" s="42"/>
      <c r="CN204" s="42"/>
      <c r="CO204" s="42"/>
      <c r="CQ204" s="42"/>
      <c r="CR204" s="42"/>
      <c r="CS204" s="42"/>
      <c r="CT204" s="42"/>
      <c r="CU204" s="42"/>
      <c r="CV204" s="42"/>
      <c r="CW204" s="42"/>
      <c r="CX204" s="42"/>
      <c r="CY204" s="42"/>
      <c r="CZ204" s="42"/>
      <c r="DA204" s="42"/>
      <c r="DB204" s="42"/>
      <c r="DC204" s="42"/>
      <c r="DD204" s="42"/>
      <c r="DE204" s="42"/>
      <c r="DF204" s="42"/>
      <c r="DG204" s="42"/>
      <c r="DH204" s="42"/>
      <c r="DI204" s="42"/>
      <c r="DJ204" s="42"/>
      <c r="DK204" s="42"/>
      <c r="DL204" s="42"/>
      <c r="DM204" s="42"/>
      <c r="DN204" s="42"/>
      <c r="DO204" s="42"/>
    </row>
    <row r="205" spans="2:119" ht="14.45" customHeight="1" x14ac:dyDescent="0.45">
      <c r="B205" s="99"/>
      <c r="C205" s="42"/>
      <c r="D205" s="42"/>
      <c r="E205" s="42"/>
      <c r="F205" s="42"/>
      <c r="G205" s="42"/>
      <c r="H205" s="42"/>
      <c r="I205" s="42"/>
      <c r="J205" s="42"/>
      <c r="K205" s="42"/>
      <c r="L205" s="42"/>
      <c r="M205" s="42"/>
      <c r="N205" s="42"/>
      <c r="O205" s="42"/>
      <c r="P205" s="42"/>
      <c r="Q205" s="42"/>
      <c r="R205" s="42"/>
      <c r="S205" s="42"/>
      <c r="T205" s="42"/>
      <c r="U205" s="42"/>
      <c r="V205" s="42"/>
      <c r="W205" s="42"/>
      <c r="X205" s="42"/>
      <c r="Y205" s="42"/>
      <c r="Z205" s="42"/>
      <c r="AA205" s="42"/>
      <c r="AB205" s="42"/>
      <c r="AC205" s="42"/>
      <c r="AD205" s="42"/>
      <c r="AE205" s="42"/>
      <c r="AF205" s="42"/>
      <c r="AG205" s="42"/>
      <c r="AH205" s="42"/>
      <c r="AI205" s="42"/>
      <c r="AJ205" s="42"/>
      <c r="AK205" s="42"/>
      <c r="AL205" s="42"/>
      <c r="AM205" s="42"/>
      <c r="AN205" s="42"/>
      <c r="AO205" s="42"/>
      <c r="AQ205" s="42"/>
      <c r="AR205" s="42"/>
      <c r="AS205" s="42"/>
      <c r="AT205" s="42"/>
      <c r="AU205" s="42"/>
      <c r="AV205" s="42"/>
      <c r="AW205" s="42"/>
      <c r="AX205" s="42"/>
      <c r="AY205" s="42"/>
      <c r="AZ205" s="42"/>
      <c r="BA205" s="42"/>
      <c r="BB205" s="42"/>
      <c r="BC205" s="42"/>
      <c r="BD205" s="42"/>
      <c r="BE205" s="42"/>
      <c r="BF205" s="42"/>
      <c r="BG205" s="42"/>
      <c r="BH205" s="42"/>
      <c r="BI205" s="42"/>
      <c r="BJ205" s="42"/>
      <c r="BK205" s="42"/>
      <c r="BL205" s="42"/>
      <c r="BM205" s="42"/>
      <c r="BN205" s="42"/>
      <c r="BO205" s="42"/>
      <c r="BQ205" s="42"/>
      <c r="BR205" s="42"/>
      <c r="BS205" s="42"/>
      <c r="BT205" s="42"/>
      <c r="BU205" s="42"/>
      <c r="BV205" s="42"/>
      <c r="BW205" s="42"/>
      <c r="BX205" s="42"/>
      <c r="BY205" s="42"/>
      <c r="BZ205" s="42"/>
      <c r="CA205" s="42"/>
      <c r="CB205" s="42"/>
      <c r="CC205" s="42"/>
      <c r="CD205" s="42"/>
      <c r="CE205" s="42"/>
      <c r="CF205" s="42"/>
      <c r="CG205" s="42"/>
      <c r="CH205" s="42"/>
      <c r="CI205" s="42"/>
      <c r="CJ205" s="42"/>
      <c r="CK205" s="42"/>
      <c r="CL205" s="42"/>
      <c r="CM205" s="42"/>
      <c r="CN205" s="42"/>
      <c r="CO205" s="42"/>
      <c r="CQ205" s="42"/>
      <c r="CR205" s="42"/>
      <c r="CS205" s="42"/>
      <c r="CT205" s="42"/>
      <c r="CU205" s="42"/>
      <c r="CV205" s="42"/>
      <c r="CW205" s="42"/>
      <c r="CX205" s="42"/>
      <c r="CY205" s="42"/>
      <c r="CZ205" s="42"/>
      <c r="DA205" s="42"/>
      <c r="DB205" s="42"/>
      <c r="DC205" s="42"/>
      <c r="DD205" s="42"/>
      <c r="DE205" s="42"/>
      <c r="DF205" s="42"/>
      <c r="DG205" s="42"/>
      <c r="DH205" s="42"/>
      <c r="DI205" s="42"/>
      <c r="DJ205" s="42"/>
      <c r="DK205" s="42"/>
      <c r="DL205" s="42"/>
      <c r="DM205" s="42"/>
      <c r="DN205" s="42"/>
      <c r="DO205" s="42"/>
    </row>
    <row r="206" spans="2:119" ht="14.45" customHeight="1" x14ac:dyDescent="0.55000000000000004">
      <c r="B206" s="99"/>
      <c r="C206" s="42"/>
      <c r="D206" s="112" t="s">
        <v>24</v>
      </c>
      <c r="E206" s="112"/>
      <c r="F206" s="45"/>
      <c r="G206" s="45"/>
      <c r="H206" s="45"/>
      <c r="I206" s="45"/>
      <c r="J206" s="45"/>
      <c r="K206" s="45"/>
      <c r="L206" s="45"/>
      <c r="M206" s="45"/>
      <c r="N206" s="45"/>
      <c r="O206" s="45"/>
      <c r="P206" s="42"/>
      <c r="Q206" s="112" t="s">
        <v>24</v>
      </c>
      <c r="R206" s="112"/>
      <c r="S206" s="45"/>
      <c r="T206" s="45"/>
      <c r="U206" s="45"/>
      <c r="V206" s="45"/>
      <c r="W206" s="45"/>
      <c r="X206" s="45"/>
      <c r="Y206" s="45"/>
      <c r="Z206" s="45"/>
      <c r="AA206" s="45"/>
      <c r="AB206" s="45"/>
      <c r="AC206" s="42"/>
      <c r="AD206" s="112" t="s">
        <v>24</v>
      </c>
      <c r="AE206" s="112"/>
      <c r="AF206" s="45"/>
      <c r="AG206" s="45"/>
      <c r="AH206" s="45"/>
      <c r="AI206" s="45"/>
      <c r="AJ206" s="45"/>
      <c r="AK206" s="45"/>
      <c r="AL206" s="45"/>
      <c r="AM206" s="45"/>
      <c r="AN206" s="45"/>
      <c r="AO206" s="45"/>
      <c r="AP206" s="6"/>
      <c r="AQ206" s="112" t="s">
        <v>24</v>
      </c>
      <c r="AR206" s="112"/>
      <c r="AS206" s="45"/>
      <c r="AT206" s="45"/>
      <c r="AU206" s="45"/>
      <c r="AV206" s="45"/>
      <c r="AW206" s="45"/>
      <c r="AX206" s="45"/>
      <c r="AY206" s="45"/>
      <c r="AZ206" s="45"/>
      <c r="BA206" s="45"/>
      <c r="BB206" s="45"/>
      <c r="BC206" s="42"/>
      <c r="BD206" s="112" t="s">
        <v>24</v>
      </c>
      <c r="BE206" s="112"/>
      <c r="BF206" s="45"/>
      <c r="BG206" s="45"/>
      <c r="BH206" s="45"/>
      <c r="BI206" s="45"/>
      <c r="BJ206" s="45"/>
      <c r="BK206" s="45"/>
      <c r="BL206" s="45"/>
      <c r="BM206" s="45"/>
      <c r="BN206" s="45"/>
      <c r="BO206" s="45"/>
      <c r="BQ206" s="112" t="s">
        <v>24</v>
      </c>
      <c r="BR206" s="112"/>
      <c r="BS206" s="45"/>
      <c r="BT206" s="45"/>
      <c r="BU206" s="45"/>
      <c r="BV206" s="45"/>
      <c r="BW206" s="45"/>
      <c r="BX206" s="45"/>
      <c r="BY206" s="45"/>
      <c r="BZ206" s="45"/>
      <c r="CA206" s="45"/>
      <c r="CB206" s="45"/>
      <c r="CC206" s="42"/>
      <c r="CD206" s="112" t="s">
        <v>24</v>
      </c>
      <c r="CE206" s="112"/>
      <c r="CF206" s="45"/>
      <c r="CG206" s="45"/>
      <c r="CH206" s="45"/>
      <c r="CI206" s="45"/>
      <c r="CJ206" s="45"/>
      <c r="CK206" s="45"/>
      <c r="CL206" s="45"/>
      <c r="CM206" s="45"/>
      <c r="CN206" s="45"/>
      <c r="CO206" s="45"/>
      <c r="CQ206" s="112" t="s">
        <v>24</v>
      </c>
      <c r="CR206" s="112"/>
      <c r="CS206" s="45"/>
      <c r="CT206" s="45"/>
      <c r="CU206" s="45"/>
      <c r="CV206" s="45"/>
      <c r="CW206" s="45"/>
      <c r="CX206" s="45"/>
      <c r="CY206" s="45"/>
      <c r="CZ206" s="45"/>
      <c r="DA206" s="45"/>
      <c r="DB206" s="45"/>
      <c r="DC206" s="42"/>
      <c r="DD206" s="112" t="s">
        <v>24</v>
      </c>
      <c r="DE206" s="112"/>
      <c r="DF206" s="45"/>
      <c r="DG206" s="45"/>
      <c r="DH206" s="45"/>
      <c r="DI206" s="45"/>
      <c r="DJ206" s="45"/>
      <c r="DK206" s="45"/>
      <c r="DL206" s="45"/>
      <c r="DM206" s="45"/>
      <c r="DN206" s="45"/>
      <c r="DO206" s="45"/>
    </row>
    <row r="207" spans="2:119" ht="28.9" customHeight="1" x14ac:dyDescent="0.45">
      <c r="B207" s="99"/>
      <c r="C207" s="42"/>
      <c r="D207" s="112"/>
      <c r="E207" s="112"/>
      <c r="F207" s="108" t="s">
        <v>12</v>
      </c>
      <c r="G207" s="108"/>
      <c r="H207" s="108"/>
      <c r="I207" s="108"/>
      <c r="J207" s="108"/>
      <c r="K207" s="108"/>
      <c r="L207" s="108"/>
      <c r="M207" s="108"/>
      <c r="N207" s="108"/>
      <c r="O207" s="108"/>
      <c r="P207" s="42"/>
      <c r="Q207" s="112"/>
      <c r="R207" s="112"/>
      <c r="S207" s="108" t="s">
        <v>12</v>
      </c>
      <c r="T207" s="108"/>
      <c r="U207" s="108"/>
      <c r="V207" s="108"/>
      <c r="W207" s="108"/>
      <c r="X207" s="108"/>
      <c r="Y207" s="108"/>
      <c r="Z207" s="108"/>
      <c r="AA207" s="108"/>
      <c r="AB207" s="108"/>
      <c r="AC207" s="42"/>
      <c r="AD207" s="112"/>
      <c r="AE207" s="112"/>
      <c r="AF207" s="108" t="s">
        <v>12</v>
      </c>
      <c r="AG207" s="108"/>
      <c r="AH207" s="108"/>
      <c r="AI207" s="108"/>
      <c r="AJ207" s="108"/>
      <c r="AK207" s="108"/>
      <c r="AL207" s="108"/>
      <c r="AM207" s="108"/>
      <c r="AN207" s="108"/>
      <c r="AO207" s="108"/>
      <c r="AP207" s="6"/>
      <c r="AQ207" s="112"/>
      <c r="AR207" s="112"/>
      <c r="AS207" s="108" t="s">
        <v>12</v>
      </c>
      <c r="AT207" s="108"/>
      <c r="AU207" s="108"/>
      <c r="AV207" s="108"/>
      <c r="AW207" s="108"/>
      <c r="AX207" s="108"/>
      <c r="AY207" s="108"/>
      <c r="AZ207" s="108"/>
      <c r="BA207" s="108"/>
      <c r="BB207" s="108"/>
      <c r="BC207" s="42"/>
      <c r="BD207" s="112"/>
      <c r="BE207" s="112"/>
      <c r="BF207" s="108" t="s">
        <v>12</v>
      </c>
      <c r="BG207" s="108"/>
      <c r="BH207" s="108"/>
      <c r="BI207" s="108"/>
      <c r="BJ207" s="108"/>
      <c r="BK207" s="108"/>
      <c r="BL207" s="108"/>
      <c r="BM207" s="108"/>
      <c r="BN207" s="108"/>
      <c r="BO207" s="108"/>
      <c r="BQ207" s="112"/>
      <c r="BR207" s="112"/>
      <c r="BS207" s="108" t="s">
        <v>12</v>
      </c>
      <c r="BT207" s="108"/>
      <c r="BU207" s="108"/>
      <c r="BV207" s="108"/>
      <c r="BW207" s="108"/>
      <c r="BX207" s="108"/>
      <c r="BY207" s="108"/>
      <c r="BZ207" s="108"/>
      <c r="CA207" s="108"/>
      <c r="CB207" s="108"/>
      <c r="CC207" s="42"/>
      <c r="CD207" s="112"/>
      <c r="CE207" s="112"/>
      <c r="CF207" s="108" t="s">
        <v>12</v>
      </c>
      <c r="CG207" s="108"/>
      <c r="CH207" s="108"/>
      <c r="CI207" s="108"/>
      <c r="CJ207" s="108"/>
      <c r="CK207" s="108"/>
      <c r="CL207" s="108"/>
      <c r="CM207" s="108"/>
      <c r="CN207" s="108"/>
      <c r="CO207" s="108"/>
      <c r="CQ207" s="112"/>
      <c r="CR207" s="112"/>
      <c r="CS207" s="108" t="s">
        <v>12</v>
      </c>
      <c r="CT207" s="108"/>
      <c r="CU207" s="108"/>
      <c r="CV207" s="108"/>
      <c r="CW207" s="108"/>
      <c r="CX207" s="108"/>
      <c r="CY207" s="108"/>
      <c r="CZ207" s="108"/>
      <c r="DA207" s="108"/>
      <c r="DB207" s="108"/>
      <c r="DC207" s="42"/>
      <c r="DD207" s="112"/>
      <c r="DE207" s="112"/>
      <c r="DF207" s="108" t="s">
        <v>12</v>
      </c>
      <c r="DG207" s="108"/>
      <c r="DH207" s="108"/>
      <c r="DI207" s="108"/>
      <c r="DJ207" s="108"/>
      <c r="DK207" s="108"/>
      <c r="DL207" s="108"/>
      <c r="DM207" s="108"/>
      <c r="DN207" s="108"/>
      <c r="DO207" s="108"/>
    </row>
    <row r="208" spans="2:119" ht="14.45" customHeight="1" x14ac:dyDescent="0.45">
      <c r="B208" s="99"/>
      <c r="C208" s="42"/>
      <c r="D208" s="113"/>
      <c r="E208" s="113"/>
      <c r="F208" s="9" t="s">
        <v>0</v>
      </c>
      <c r="G208" s="9">
        <v>1</v>
      </c>
      <c r="H208" s="9">
        <v>2</v>
      </c>
      <c r="I208" s="9">
        <v>3</v>
      </c>
      <c r="J208" s="9">
        <v>4</v>
      </c>
      <c r="K208" s="9">
        <v>5</v>
      </c>
      <c r="L208" s="9">
        <v>6</v>
      </c>
      <c r="M208" s="9">
        <v>7</v>
      </c>
      <c r="N208" s="9">
        <v>8</v>
      </c>
      <c r="O208" s="9">
        <v>9</v>
      </c>
      <c r="P208" s="42"/>
      <c r="Q208" s="113"/>
      <c r="R208" s="113"/>
      <c r="S208" s="9" t="s">
        <v>0</v>
      </c>
      <c r="T208" s="9">
        <v>1</v>
      </c>
      <c r="U208" s="9">
        <v>2</v>
      </c>
      <c r="V208" s="9">
        <v>3</v>
      </c>
      <c r="W208" s="9">
        <v>4</v>
      </c>
      <c r="X208" s="9">
        <v>5</v>
      </c>
      <c r="Y208" s="9">
        <v>6</v>
      </c>
      <c r="Z208" s="9">
        <v>7</v>
      </c>
      <c r="AA208" s="9">
        <v>8</v>
      </c>
      <c r="AB208" s="9">
        <v>9</v>
      </c>
      <c r="AC208" s="42"/>
      <c r="AD208" s="113"/>
      <c r="AE208" s="113"/>
      <c r="AF208" s="9" t="s">
        <v>0</v>
      </c>
      <c r="AG208" s="9">
        <v>1</v>
      </c>
      <c r="AH208" s="9">
        <v>2</v>
      </c>
      <c r="AI208" s="9">
        <v>3</v>
      </c>
      <c r="AJ208" s="9">
        <v>4</v>
      </c>
      <c r="AK208" s="9">
        <v>5</v>
      </c>
      <c r="AL208" s="9">
        <v>6</v>
      </c>
      <c r="AM208" s="9">
        <v>7</v>
      </c>
      <c r="AN208" s="9">
        <v>8</v>
      </c>
      <c r="AO208" s="9">
        <v>9</v>
      </c>
      <c r="AP208" s="6"/>
      <c r="AQ208" s="113"/>
      <c r="AR208" s="113"/>
      <c r="AS208" s="9" t="s">
        <v>0</v>
      </c>
      <c r="AT208" s="9">
        <v>1</v>
      </c>
      <c r="AU208" s="9">
        <v>2</v>
      </c>
      <c r="AV208" s="9">
        <v>3</v>
      </c>
      <c r="AW208" s="9">
        <v>4</v>
      </c>
      <c r="AX208" s="9">
        <v>5</v>
      </c>
      <c r="AY208" s="9">
        <v>6</v>
      </c>
      <c r="AZ208" s="9">
        <v>7</v>
      </c>
      <c r="BA208" s="9">
        <v>8</v>
      </c>
      <c r="BB208" s="9">
        <v>9</v>
      </c>
      <c r="BC208" s="42"/>
      <c r="BD208" s="113"/>
      <c r="BE208" s="113"/>
      <c r="BF208" s="9" t="s">
        <v>0</v>
      </c>
      <c r="BG208" s="9">
        <v>1</v>
      </c>
      <c r="BH208" s="9">
        <v>2</v>
      </c>
      <c r="BI208" s="9">
        <v>3</v>
      </c>
      <c r="BJ208" s="9">
        <v>4</v>
      </c>
      <c r="BK208" s="9">
        <v>5</v>
      </c>
      <c r="BL208" s="9">
        <v>6</v>
      </c>
      <c r="BM208" s="9">
        <v>7</v>
      </c>
      <c r="BN208" s="9">
        <v>8</v>
      </c>
      <c r="BO208" s="9">
        <v>9</v>
      </c>
      <c r="BQ208" s="113"/>
      <c r="BR208" s="113"/>
      <c r="BS208" s="9" t="s">
        <v>0</v>
      </c>
      <c r="BT208" s="9">
        <v>1</v>
      </c>
      <c r="BU208" s="9">
        <v>2</v>
      </c>
      <c r="BV208" s="9">
        <v>3</v>
      </c>
      <c r="BW208" s="9">
        <v>4</v>
      </c>
      <c r="BX208" s="9">
        <v>5</v>
      </c>
      <c r="BY208" s="9">
        <v>6</v>
      </c>
      <c r="BZ208" s="9">
        <v>7</v>
      </c>
      <c r="CA208" s="9">
        <v>8</v>
      </c>
      <c r="CB208" s="9">
        <v>9</v>
      </c>
      <c r="CC208" s="42"/>
      <c r="CD208" s="113"/>
      <c r="CE208" s="113"/>
      <c r="CF208" s="9" t="s">
        <v>0</v>
      </c>
      <c r="CG208" s="9">
        <v>1</v>
      </c>
      <c r="CH208" s="9">
        <v>2</v>
      </c>
      <c r="CI208" s="9">
        <v>3</v>
      </c>
      <c r="CJ208" s="9">
        <v>4</v>
      </c>
      <c r="CK208" s="9">
        <v>5</v>
      </c>
      <c r="CL208" s="9">
        <v>6</v>
      </c>
      <c r="CM208" s="9">
        <v>7</v>
      </c>
      <c r="CN208" s="9">
        <v>8</v>
      </c>
      <c r="CO208" s="9">
        <v>9</v>
      </c>
      <c r="CQ208" s="113"/>
      <c r="CR208" s="113"/>
      <c r="CS208" s="9" t="s">
        <v>0</v>
      </c>
      <c r="CT208" s="9">
        <v>1</v>
      </c>
      <c r="CU208" s="9">
        <v>2</v>
      </c>
      <c r="CV208" s="9">
        <v>3</v>
      </c>
      <c r="CW208" s="9">
        <v>4</v>
      </c>
      <c r="CX208" s="9">
        <v>5</v>
      </c>
      <c r="CY208" s="9">
        <v>6</v>
      </c>
      <c r="CZ208" s="9">
        <v>7</v>
      </c>
      <c r="DA208" s="9">
        <v>8</v>
      </c>
      <c r="DB208" s="9">
        <v>9</v>
      </c>
      <c r="DC208" s="42"/>
      <c r="DD208" s="113"/>
      <c r="DE208" s="113"/>
      <c r="DF208" s="9" t="s">
        <v>0</v>
      </c>
      <c r="DG208" s="9">
        <v>1</v>
      </c>
      <c r="DH208" s="9">
        <v>2</v>
      </c>
      <c r="DI208" s="9">
        <v>3</v>
      </c>
      <c r="DJ208" s="9">
        <v>4</v>
      </c>
      <c r="DK208" s="9">
        <v>5</v>
      </c>
      <c r="DL208" s="9">
        <v>6</v>
      </c>
      <c r="DM208" s="9">
        <v>7</v>
      </c>
      <c r="DN208" s="9">
        <v>8</v>
      </c>
      <c r="DO208" s="9">
        <v>9</v>
      </c>
    </row>
    <row r="209" spans="2:119" ht="14.45" customHeight="1" x14ac:dyDescent="0.45">
      <c r="B209" s="134" t="s">
        <v>30</v>
      </c>
      <c r="C209" s="42"/>
      <c r="D209" s="109" t="s">
        <v>13</v>
      </c>
      <c r="E209" s="46" t="s">
        <v>1</v>
      </c>
      <c r="F209" s="103">
        <v>0</v>
      </c>
      <c r="G209" s="103">
        <v>1</v>
      </c>
      <c r="H209" s="103">
        <v>1</v>
      </c>
      <c r="I209" s="103">
        <v>0</v>
      </c>
      <c r="J209" s="103">
        <v>1</v>
      </c>
      <c r="K209" s="103">
        <v>0</v>
      </c>
      <c r="L209" s="103">
        <v>1</v>
      </c>
      <c r="M209" s="103">
        <v>0</v>
      </c>
      <c r="N209" s="103">
        <v>0</v>
      </c>
      <c r="O209" s="17">
        <v>0</v>
      </c>
      <c r="P209" s="42"/>
      <c r="Q209" s="109" t="s">
        <v>13</v>
      </c>
      <c r="R209" s="46" t="s">
        <v>1</v>
      </c>
      <c r="S209" s="103">
        <v>0</v>
      </c>
      <c r="T209" s="103">
        <v>0</v>
      </c>
      <c r="U209" s="103">
        <v>0</v>
      </c>
      <c r="V209" s="103">
        <v>0</v>
      </c>
      <c r="W209" s="103">
        <v>0</v>
      </c>
      <c r="X209" s="103">
        <v>0</v>
      </c>
      <c r="Y209" s="103">
        <v>0</v>
      </c>
      <c r="Z209" s="103">
        <v>0</v>
      </c>
      <c r="AA209" s="103">
        <v>0</v>
      </c>
      <c r="AB209" s="17">
        <v>0</v>
      </c>
      <c r="AC209" s="42"/>
      <c r="AD209" s="109" t="s">
        <v>13</v>
      </c>
      <c r="AE209" s="46" t="s">
        <v>1</v>
      </c>
      <c r="AF209" s="103">
        <v>0</v>
      </c>
      <c r="AG209" s="103">
        <v>1</v>
      </c>
      <c r="AH209" s="103">
        <v>1</v>
      </c>
      <c r="AI209" s="103">
        <v>0</v>
      </c>
      <c r="AJ209" s="103">
        <v>1</v>
      </c>
      <c r="AK209" s="103">
        <v>0</v>
      </c>
      <c r="AL209" s="103">
        <v>1</v>
      </c>
      <c r="AM209" s="103">
        <v>0</v>
      </c>
      <c r="AN209" s="103">
        <v>0</v>
      </c>
      <c r="AO209" s="17">
        <v>0</v>
      </c>
      <c r="AP209" s="6"/>
      <c r="AQ209" s="109" t="s">
        <v>13</v>
      </c>
      <c r="AR209" s="46" t="s">
        <v>1</v>
      </c>
      <c r="AS209" s="103">
        <v>0</v>
      </c>
      <c r="AT209" s="103">
        <v>1</v>
      </c>
      <c r="AU209" s="103">
        <v>0</v>
      </c>
      <c r="AV209" s="103">
        <v>0</v>
      </c>
      <c r="AW209" s="103">
        <v>1</v>
      </c>
      <c r="AX209" s="103">
        <v>0</v>
      </c>
      <c r="AY209" s="103">
        <v>0</v>
      </c>
      <c r="AZ209" s="103">
        <v>0</v>
      </c>
      <c r="BA209" s="103">
        <v>0</v>
      </c>
      <c r="BB209" s="17">
        <v>0</v>
      </c>
      <c r="BC209" s="42"/>
      <c r="BD209" s="109" t="s">
        <v>13</v>
      </c>
      <c r="BE209" s="46" t="s">
        <v>1</v>
      </c>
      <c r="BF209" s="103">
        <v>0</v>
      </c>
      <c r="BG209" s="103">
        <v>0</v>
      </c>
      <c r="BH209" s="103">
        <v>1</v>
      </c>
      <c r="BI209" s="103">
        <v>0</v>
      </c>
      <c r="BJ209" s="103">
        <v>0</v>
      </c>
      <c r="BK209" s="103">
        <v>0</v>
      </c>
      <c r="BL209" s="103">
        <v>1</v>
      </c>
      <c r="BM209" s="103">
        <v>0</v>
      </c>
      <c r="BN209" s="103">
        <v>0</v>
      </c>
      <c r="BO209" s="17">
        <v>0</v>
      </c>
      <c r="BQ209" s="109" t="s">
        <v>13</v>
      </c>
      <c r="BR209" s="46" t="s">
        <v>1</v>
      </c>
      <c r="BS209" s="103">
        <v>0</v>
      </c>
      <c r="BT209" s="103">
        <v>1</v>
      </c>
      <c r="BU209" s="103">
        <v>0</v>
      </c>
      <c r="BV209" s="103">
        <v>0</v>
      </c>
      <c r="BW209" s="103">
        <v>1</v>
      </c>
      <c r="BX209" s="103">
        <v>0</v>
      </c>
      <c r="BY209" s="103">
        <v>0</v>
      </c>
      <c r="BZ209" s="103">
        <v>0</v>
      </c>
      <c r="CA209" s="103">
        <v>0</v>
      </c>
      <c r="CB209" s="17">
        <v>0</v>
      </c>
      <c r="CC209" s="42"/>
      <c r="CD209" s="109" t="s">
        <v>13</v>
      </c>
      <c r="CE209" s="46" t="s">
        <v>1</v>
      </c>
      <c r="CF209" s="103">
        <v>0</v>
      </c>
      <c r="CG209" s="103">
        <v>0</v>
      </c>
      <c r="CH209" s="103">
        <v>1</v>
      </c>
      <c r="CI209" s="103">
        <v>0</v>
      </c>
      <c r="CJ209" s="103">
        <v>0</v>
      </c>
      <c r="CK209" s="103">
        <v>0</v>
      </c>
      <c r="CL209" s="103">
        <v>1</v>
      </c>
      <c r="CM209" s="103">
        <v>0</v>
      </c>
      <c r="CN209" s="103">
        <v>0</v>
      </c>
      <c r="CO209" s="17">
        <v>0</v>
      </c>
      <c r="CQ209" s="109" t="s">
        <v>13</v>
      </c>
      <c r="CR209" s="46" t="s">
        <v>1</v>
      </c>
      <c r="CS209" s="103">
        <v>0</v>
      </c>
      <c r="CT209" s="103">
        <v>1</v>
      </c>
      <c r="CU209" s="103">
        <v>1</v>
      </c>
      <c r="CV209" s="103">
        <v>0</v>
      </c>
      <c r="CW209" s="103">
        <v>1</v>
      </c>
      <c r="CX209" s="103">
        <v>0</v>
      </c>
      <c r="CY209" s="103">
        <v>1</v>
      </c>
      <c r="CZ209" s="103">
        <v>0</v>
      </c>
      <c r="DA209" s="103">
        <v>0</v>
      </c>
      <c r="DB209" s="17">
        <v>0</v>
      </c>
      <c r="DC209" s="42"/>
      <c r="DD209" s="109" t="s">
        <v>13</v>
      </c>
      <c r="DE209" s="46" t="s">
        <v>1</v>
      </c>
      <c r="DF209" s="103">
        <v>0</v>
      </c>
      <c r="DG209" s="103">
        <v>0</v>
      </c>
      <c r="DH209" s="103">
        <v>0</v>
      </c>
      <c r="DI209" s="103">
        <v>0</v>
      </c>
      <c r="DJ209" s="103">
        <v>0</v>
      </c>
      <c r="DK209" s="103">
        <v>0</v>
      </c>
      <c r="DL209" s="103">
        <v>0</v>
      </c>
      <c r="DM209" s="103">
        <v>0</v>
      </c>
      <c r="DN209" s="103">
        <v>0</v>
      </c>
      <c r="DO209" s="17">
        <v>0</v>
      </c>
    </row>
    <row r="210" spans="2:119" ht="14.45" customHeight="1" x14ac:dyDescent="0.45">
      <c r="B210" s="134"/>
      <c r="C210" s="42"/>
      <c r="D210" s="110"/>
      <c r="E210" s="46">
        <v>1</v>
      </c>
      <c r="F210" s="103">
        <v>6</v>
      </c>
      <c r="G210" s="103">
        <v>2</v>
      </c>
      <c r="H210" s="103">
        <v>1</v>
      </c>
      <c r="I210" s="103">
        <v>1</v>
      </c>
      <c r="J210" s="103">
        <v>2</v>
      </c>
      <c r="K210" s="103">
        <v>2</v>
      </c>
      <c r="L210" s="103">
        <v>0</v>
      </c>
      <c r="M210" s="103">
        <v>0</v>
      </c>
      <c r="N210" s="103">
        <v>0</v>
      </c>
      <c r="O210" s="103">
        <v>0</v>
      </c>
      <c r="P210" s="42"/>
      <c r="Q210" s="110"/>
      <c r="R210" s="46">
        <v>1</v>
      </c>
      <c r="S210" s="103">
        <v>3</v>
      </c>
      <c r="T210" s="103">
        <v>1</v>
      </c>
      <c r="U210" s="103">
        <v>0</v>
      </c>
      <c r="V210" s="103">
        <v>0</v>
      </c>
      <c r="W210" s="103">
        <v>0</v>
      </c>
      <c r="X210" s="103">
        <v>1</v>
      </c>
      <c r="Y210" s="103">
        <v>0</v>
      </c>
      <c r="Z210" s="103">
        <v>0</v>
      </c>
      <c r="AA210" s="103">
        <v>0</v>
      </c>
      <c r="AB210" s="103">
        <v>0</v>
      </c>
      <c r="AC210" s="42"/>
      <c r="AD210" s="110"/>
      <c r="AE210" s="46">
        <v>1</v>
      </c>
      <c r="AF210" s="103">
        <v>3</v>
      </c>
      <c r="AG210" s="103">
        <v>1</v>
      </c>
      <c r="AH210" s="103">
        <v>1</v>
      </c>
      <c r="AI210" s="103">
        <v>1</v>
      </c>
      <c r="AJ210" s="103">
        <v>2</v>
      </c>
      <c r="AK210" s="103">
        <v>1</v>
      </c>
      <c r="AL210" s="103">
        <v>0</v>
      </c>
      <c r="AM210" s="103">
        <v>0</v>
      </c>
      <c r="AN210" s="103">
        <v>0</v>
      </c>
      <c r="AO210" s="103">
        <v>0</v>
      </c>
      <c r="AP210" s="6"/>
      <c r="AQ210" s="110"/>
      <c r="AR210" s="46">
        <v>1</v>
      </c>
      <c r="AS210" s="103">
        <v>2</v>
      </c>
      <c r="AT210" s="103">
        <v>2</v>
      </c>
      <c r="AU210" s="103">
        <v>1</v>
      </c>
      <c r="AV210" s="103">
        <v>1</v>
      </c>
      <c r="AW210" s="103">
        <v>0</v>
      </c>
      <c r="AX210" s="103">
        <v>0</v>
      </c>
      <c r="AY210" s="103">
        <v>0</v>
      </c>
      <c r="AZ210" s="103">
        <v>0</v>
      </c>
      <c r="BA210" s="103">
        <v>0</v>
      </c>
      <c r="BB210" s="103">
        <v>0</v>
      </c>
      <c r="BC210" s="42"/>
      <c r="BD210" s="110"/>
      <c r="BE210" s="46">
        <v>1</v>
      </c>
      <c r="BF210" s="103">
        <v>4</v>
      </c>
      <c r="BG210" s="103">
        <v>0</v>
      </c>
      <c r="BH210" s="103">
        <v>0</v>
      </c>
      <c r="BI210" s="103">
        <v>0</v>
      </c>
      <c r="BJ210" s="103">
        <v>2</v>
      </c>
      <c r="BK210" s="103">
        <v>2</v>
      </c>
      <c r="BL210" s="103">
        <v>0</v>
      </c>
      <c r="BM210" s="103">
        <v>0</v>
      </c>
      <c r="BN210" s="103">
        <v>0</v>
      </c>
      <c r="BO210" s="103">
        <v>0</v>
      </c>
      <c r="BQ210" s="110"/>
      <c r="BR210" s="46">
        <v>1</v>
      </c>
      <c r="BS210" s="103">
        <v>3</v>
      </c>
      <c r="BT210" s="103">
        <v>1</v>
      </c>
      <c r="BU210" s="103">
        <v>0</v>
      </c>
      <c r="BV210" s="103">
        <v>0</v>
      </c>
      <c r="BW210" s="103">
        <v>0</v>
      </c>
      <c r="BX210" s="103">
        <v>0</v>
      </c>
      <c r="BY210" s="103">
        <v>0</v>
      </c>
      <c r="BZ210" s="103">
        <v>0</v>
      </c>
      <c r="CA210" s="103">
        <v>0</v>
      </c>
      <c r="CB210" s="103">
        <v>0</v>
      </c>
      <c r="CC210" s="42"/>
      <c r="CD210" s="110"/>
      <c r="CE210" s="46">
        <v>1</v>
      </c>
      <c r="CF210" s="103">
        <v>3</v>
      </c>
      <c r="CG210" s="103">
        <v>1</v>
      </c>
      <c r="CH210" s="103">
        <v>1</v>
      </c>
      <c r="CI210" s="103">
        <v>1</v>
      </c>
      <c r="CJ210" s="103">
        <v>2</v>
      </c>
      <c r="CK210" s="103">
        <v>2</v>
      </c>
      <c r="CL210" s="103">
        <v>0</v>
      </c>
      <c r="CM210" s="103">
        <v>0</v>
      </c>
      <c r="CN210" s="103">
        <v>0</v>
      </c>
      <c r="CO210" s="103">
        <v>0</v>
      </c>
      <c r="CQ210" s="110"/>
      <c r="CR210" s="46">
        <v>1</v>
      </c>
      <c r="CS210" s="103">
        <v>3</v>
      </c>
      <c r="CT210" s="103">
        <v>1</v>
      </c>
      <c r="CU210" s="103">
        <v>1</v>
      </c>
      <c r="CV210" s="103">
        <v>1</v>
      </c>
      <c r="CW210" s="103">
        <v>2</v>
      </c>
      <c r="CX210" s="103">
        <v>2</v>
      </c>
      <c r="CY210" s="103">
        <v>0</v>
      </c>
      <c r="CZ210" s="103">
        <v>0</v>
      </c>
      <c r="DA210" s="103">
        <v>0</v>
      </c>
      <c r="DB210" s="103">
        <v>0</v>
      </c>
      <c r="DC210" s="42"/>
      <c r="DD210" s="110"/>
      <c r="DE210" s="46">
        <v>1</v>
      </c>
      <c r="DF210" s="103">
        <v>3</v>
      </c>
      <c r="DG210" s="103">
        <v>1</v>
      </c>
      <c r="DH210" s="103">
        <v>0</v>
      </c>
      <c r="DI210" s="103">
        <v>0</v>
      </c>
      <c r="DJ210" s="103">
        <v>0</v>
      </c>
      <c r="DK210" s="103">
        <v>0</v>
      </c>
      <c r="DL210" s="103">
        <v>0</v>
      </c>
      <c r="DM210" s="103">
        <v>0</v>
      </c>
      <c r="DN210" s="103">
        <v>0</v>
      </c>
      <c r="DO210" s="103">
        <v>0</v>
      </c>
    </row>
    <row r="211" spans="2:119" ht="14.45" customHeight="1" x14ac:dyDescent="0.45">
      <c r="B211" s="134"/>
      <c r="C211" s="42"/>
      <c r="D211" s="110"/>
      <c r="E211" s="46" t="s">
        <v>2</v>
      </c>
      <c r="F211" s="103">
        <v>184</v>
      </c>
      <c r="G211" s="103">
        <v>135</v>
      </c>
      <c r="H211" s="103">
        <v>70</v>
      </c>
      <c r="I211" s="103">
        <v>24</v>
      </c>
      <c r="J211" s="103">
        <v>18</v>
      </c>
      <c r="K211" s="103">
        <v>5</v>
      </c>
      <c r="L211" s="103">
        <v>9</v>
      </c>
      <c r="M211" s="103">
        <v>6</v>
      </c>
      <c r="N211" s="103">
        <v>2</v>
      </c>
      <c r="O211" s="103">
        <v>1</v>
      </c>
      <c r="P211" s="42"/>
      <c r="Q211" s="110"/>
      <c r="R211" s="46" t="s">
        <v>2</v>
      </c>
      <c r="S211" s="103">
        <v>37</v>
      </c>
      <c r="T211" s="103">
        <v>24</v>
      </c>
      <c r="U211" s="103">
        <v>16</v>
      </c>
      <c r="V211" s="103">
        <v>3</v>
      </c>
      <c r="W211" s="103">
        <v>2</v>
      </c>
      <c r="X211" s="103">
        <v>2</v>
      </c>
      <c r="Y211" s="103">
        <v>1</v>
      </c>
      <c r="Z211" s="103">
        <v>1</v>
      </c>
      <c r="AA211" s="103">
        <v>1</v>
      </c>
      <c r="AB211" s="103">
        <v>1</v>
      </c>
      <c r="AC211" s="42"/>
      <c r="AD211" s="110"/>
      <c r="AE211" s="46" t="s">
        <v>2</v>
      </c>
      <c r="AF211" s="103">
        <v>147</v>
      </c>
      <c r="AG211" s="103">
        <v>111</v>
      </c>
      <c r="AH211" s="103">
        <v>54</v>
      </c>
      <c r="AI211" s="103">
        <v>21</v>
      </c>
      <c r="AJ211" s="103">
        <v>16</v>
      </c>
      <c r="AK211" s="103">
        <v>3</v>
      </c>
      <c r="AL211" s="103">
        <v>8</v>
      </c>
      <c r="AM211" s="103">
        <v>5</v>
      </c>
      <c r="AN211" s="103">
        <v>1</v>
      </c>
      <c r="AO211" s="103">
        <v>0</v>
      </c>
      <c r="AP211" s="6"/>
      <c r="AQ211" s="110"/>
      <c r="AR211" s="46" t="s">
        <v>2</v>
      </c>
      <c r="AS211" s="103">
        <v>98</v>
      </c>
      <c r="AT211" s="103">
        <v>59</v>
      </c>
      <c r="AU211" s="103">
        <v>25</v>
      </c>
      <c r="AV211" s="103">
        <v>8</v>
      </c>
      <c r="AW211" s="103">
        <v>5</v>
      </c>
      <c r="AX211" s="103">
        <v>1</v>
      </c>
      <c r="AY211" s="103">
        <v>5</v>
      </c>
      <c r="AZ211" s="103">
        <v>0</v>
      </c>
      <c r="BA211" s="103">
        <v>1</v>
      </c>
      <c r="BB211" s="103">
        <v>0</v>
      </c>
      <c r="BC211" s="42"/>
      <c r="BD211" s="110"/>
      <c r="BE211" s="46" t="s">
        <v>2</v>
      </c>
      <c r="BF211" s="103">
        <v>86</v>
      </c>
      <c r="BG211" s="103">
        <v>76</v>
      </c>
      <c r="BH211" s="103">
        <v>45</v>
      </c>
      <c r="BI211" s="103">
        <v>16</v>
      </c>
      <c r="BJ211" s="103">
        <v>13</v>
      </c>
      <c r="BK211" s="103">
        <v>4</v>
      </c>
      <c r="BL211" s="103">
        <v>4</v>
      </c>
      <c r="BM211" s="103">
        <v>6</v>
      </c>
      <c r="BN211" s="103">
        <v>1</v>
      </c>
      <c r="BO211" s="103">
        <v>1</v>
      </c>
      <c r="BQ211" s="110"/>
      <c r="BR211" s="46" t="s">
        <v>2</v>
      </c>
      <c r="BS211" s="103">
        <v>139</v>
      </c>
      <c r="BT211" s="103">
        <v>80</v>
      </c>
      <c r="BU211" s="103">
        <v>33</v>
      </c>
      <c r="BV211" s="103">
        <v>6</v>
      </c>
      <c r="BW211" s="103">
        <v>4</v>
      </c>
      <c r="BX211" s="103">
        <v>0</v>
      </c>
      <c r="BY211" s="103">
        <v>1</v>
      </c>
      <c r="BZ211" s="103">
        <v>0</v>
      </c>
      <c r="CA211" s="103">
        <v>1</v>
      </c>
      <c r="CB211" s="103">
        <v>0</v>
      </c>
      <c r="CC211" s="42"/>
      <c r="CD211" s="110"/>
      <c r="CE211" s="46" t="s">
        <v>2</v>
      </c>
      <c r="CF211" s="103">
        <v>45</v>
      </c>
      <c r="CG211" s="103">
        <v>55</v>
      </c>
      <c r="CH211" s="103">
        <v>37</v>
      </c>
      <c r="CI211" s="103">
        <v>18</v>
      </c>
      <c r="CJ211" s="103">
        <v>14</v>
      </c>
      <c r="CK211" s="103">
        <v>5</v>
      </c>
      <c r="CL211" s="103">
        <v>8</v>
      </c>
      <c r="CM211" s="103">
        <v>6</v>
      </c>
      <c r="CN211" s="103">
        <v>1</v>
      </c>
      <c r="CO211" s="103">
        <v>1</v>
      </c>
      <c r="CQ211" s="110"/>
      <c r="CR211" s="46" t="s">
        <v>2</v>
      </c>
      <c r="CS211" s="103">
        <v>48</v>
      </c>
      <c r="CT211" s="103">
        <v>46</v>
      </c>
      <c r="CU211" s="103">
        <v>35</v>
      </c>
      <c r="CV211" s="103">
        <v>17</v>
      </c>
      <c r="CW211" s="103">
        <v>15</v>
      </c>
      <c r="CX211" s="103">
        <v>4</v>
      </c>
      <c r="CY211" s="103">
        <v>9</v>
      </c>
      <c r="CZ211" s="103">
        <v>5</v>
      </c>
      <c r="DA211" s="103">
        <v>0</v>
      </c>
      <c r="DB211" s="103">
        <v>1</v>
      </c>
      <c r="DC211" s="42"/>
      <c r="DD211" s="110"/>
      <c r="DE211" s="46" t="s">
        <v>2</v>
      </c>
      <c r="DF211" s="103">
        <v>136</v>
      </c>
      <c r="DG211" s="103">
        <v>89</v>
      </c>
      <c r="DH211" s="103">
        <v>35</v>
      </c>
      <c r="DI211" s="103">
        <v>7</v>
      </c>
      <c r="DJ211" s="103">
        <v>3</v>
      </c>
      <c r="DK211" s="103">
        <v>1</v>
      </c>
      <c r="DL211" s="103">
        <v>0</v>
      </c>
      <c r="DM211" s="103">
        <v>1</v>
      </c>
      <c r="DN211" s="103">
        <v>2</v>
      </c>
      <c r="DO211" s="103">
        <v>0</v>
      </c>
    </row>
    <row r="212" spans="2:119" ht="14.45" customHeight="1" x14ac:dyDescent="0.45">
      <c r="B212" s="134"/>
      <c r="C212" s="42"/>
      <c r="D212" s="110"/>
      <c r="E212" s="46" t="s">
        <v>3</v>
      </c>
      <c r="F212" s="103">
        <v>144</v>
      </c>
      <c r="G212" s="103">
        <v>149</v>
      </c>
      <c r="H212" s="103">
        <v>47</v>
      </c>
      <c r="I212" s="103">
        <v>36</v>
      </c>
      <c r="J212" s="103">
        <v>9</v>
      </c>
      <c r="K212" s="103">
        <v>5</v>
      </c>
      <c r="L212" s="103">
        <v>4</v>
      </c>
      <c r="M212" s="103">
        <v>3</v>
      </c>
      <c r="N212" s="103">
        <v>1</v>
      </c>
      <c r="O212" s="103">
        <v>0</v>
      </c>
      <c r="P212" s="42"/>
      <c r="Q212" s="110"/>
      <c r="R212" s="46" t="s">
        <v>3</v>
      </c>
      <c r="S212" s="103">
        <v>34</v>
      </c>
      <c r="T212" s="103">
        <v>38</v>
      </c>
      <c r="U212" s="103">
        <v>13</v>
      </c>
      <c r="V212" s="103">
        <v>6</v>
      </c>
      <c r="W212" s="103">
        <v>0</v>
      </c>
      <c r="X212" s="103">
        <v>1</v>
      </c>
      <c r="Y212" s="103">
        <v>0</v>
      </c>
      <c r="Z212" s="103">
        <v>0</v>
      </c>
      <c r="AA212" s="103">
        <v>0</v>
      </c>
      <c r="AB212" s="103">
        <v>0</v>
      </c>
      <c r="AC212" s="42"/>
      <c r="AD212" s="110"/>
      <c r="AE212" s="46" t="s">
        <v>3</v>
      </c>
      <c r="AF212" s="103">
        <v>110</v>
      </c>
      <c r="AG212" s="103">
        <v>111</v>
      </c>
      <c r="AH212" s="103">
        <v>34</v>
      </c>
      <c r="AI212" s="103">
        <v>30</v>
      </c>
      <c r="AJ212" s="103">
        <v>9</v>
      </c>
      <c r="AK212" s="103">
        <v>4</v>
      </c>
      <c r="AL212" s="103">
        <v>4</v>
      </c>
      <c r="AM212" s="103">
        <v>3</v>
      </c>
      <c r="AN212" s="103">
        <v>1</v>
      </c>
      <c r="AO212" s="103">
        <v>0</v>
      </c>
      <c r="AP212" s="6"/>
      <c r="AQ212" s="110"/>
      <c r="AR212" s="46" t="s">
        <v>3</v>
      </c>
      <c r="AS212" s="103">
        <v>64</v>
      </c>
      <c r="AT212" s="103">
        <v>63</v>
      </c>
      <c r="AU212" s="103">
        <v>16</v>
      </c>
      <c r="AV212" s="103">
        <v>10</v>
      </c>
      <c r="AW212" s="103">
        <v>3</v>
      </c>
      <c r="AX212" s="103">
        <v>3</v>
      </c>
      <c r="AY212" s="103">
        <v>2</v>
      </c>
      <c r="AZ212" s="103">
        <v>0</v>
      </c>
      <c r="BA212" s="103">
        <v>0</v>
      </c>
      <c r="BB212" s="103">
        <v>0</v>
      </c>
      <c r="BC212" s="42"/>
      <c r="BD212" s="110"/>
      <c r="BE212" s="46" t="s">
        <v>3</v>
      </c>
      <c r="BF212" s="103">
        <v>80</v>
      </c>
      <c r="BG212" s="103">
        <v>86</v>
      </c>
      <c r="BH212" s="103">
        <v>31</v>
      </c>
      <c r="BI212" s="103">
        <v>26</v>
      </c>
      <c r="BJ212" s="103">
        <v>6</v>
      </c>
      <c r="BK212" s="103">
        <v>2</v>
      </c>
      <c r="BL212" s="103">
        <v>2</v>
      </c>
      <c r="BM212" s="103">
        <v>3</v>
      </c>
      <c r="BN212" s="103">
        <v>1</v>
      </c>
      <c r="BO212" s="103">
        <v>0</v>
      </c>
      <c r="BQ212" s="110"/>
      <c r="BR212" s="46" t="s">
        <v>3</v>
      </c>
      <c r="BS212" s="103">
        <v>73</v>
      </c>
      <c r="BT212" s="103">
        <v>76</v>
      </c>
      <c r="BU212" s="103">
        <v>28</v>
      </c>
      <c r="BV212" s="103">
        <v>22</v>
      </c>
      <c r="BW212" s="103">
        <v>3</v>
      </c>
      <c r="BX212" s="103">
        <v>1</v>
      </c>
      <c r="BY212" s="103">
        <v>0</v>
      </c>
      <c r="BZ212" s="103">
        <v>0</v>
      </c>
      <c r="CA212" s="103">
        <v>0</v>
      </c>
      <c r="CB212" s="103">
        <v>0</v>
      </c>
      <c r="CC212" s="42"/>
      <c r="CD212" s="110"/>
      <c r="CE212" s="46" t="s">
        <v>3</v>
      </c>
      <c r="CF212" s="103">
        <v>71</v>
      </c>
      <c r="CG212" s="103">
        <v>73</v>
      </c>
      <c r="CH212" s="103">
        <v>19</v>
      </c>
      <c r="CI212" s="103">
        <v>14</v>
      </c>
      <c r="CJ212" s="103">
        <v>6</v>
      </c>
      <c r="CK212" s="103">
        <v>4</v>
      </c>
      <c r="CL212" s="103">
        <v>4</v>
      </c>
      <c r="CM212" s="103">
        <v>3</v>
      </c>
      <c r="CN212" s="103">
        <v>1</v>
      </c>
      <c r="CO212" s="103">
        <v>0</v>
      </c>
      <c r="CQ212" s="110"/>
      <c r="CR212" s="46" t="s">
        <v>3</v>
      </c>
      <c r="CS212" s="103">
        <v>22</v>
      </c>
      <c r="CT212" s="103">
        <v>33</v>
      </c>
      <c r="CU212" s="103">
        <v>15</v>
      </c>
      <c r="CV212" s="103">
        <v>13</v>
      </c>
      <c r="CW212" s="103">
        <v>8</v>
      </c>
      <c r="CX212" s="103">
        <v>5</v>
      </c>
      <c r="CY212" s="103">
        <v>4</v>
      </c>
      <c r="CZ212" s="103">
        <v>3</v>
      </c>
      <c r="DA212" s="103">
        <v>1</v>
      </c>
      <c r="DB212" s="103">
        <v>0</v>
      </c>
      <c r="DC212" s="42"/>
      <c r="DD212" s="110"/>
      <c r="DE212" s="46" t="s">
        <v>3</v>
      </c>
      <c r="DF212" s="103">
        <v>122</v>
      </c>
      <c r="DG212" s="103">
        <v>116</v>
      </c>
      <c r="DH212" s="103">
        <v>32</v>
      </c>
      <c r="DI212" s="103">
        <v>23</v>
      </c>
      <c r="DJ212" s="103">
        <v>1</v>
      </c>
      <c r="DK212" s="103">
        <v>0</v>
      </c>
      <c r="DL212" s="103">
        <v>0</v>
      </c>
      <c r="DM212" s="103">
        <v>0</v>
      </c>
      <c r="DN212" s="103">
        <v>0</v>
      </c>
      <c r="DO212" s="103">
        <v>0</v>
      </c>
    </row>
    <row r="213" spans="2:119" ht="14.45" customHeight="1" x14ac:dyDescent="0.45">
      <c r="B213" s="134"/>
      <c r="C213" s="42"/>
      <c r="D213" s="110"/>
      <c r="E213" s="46" t="s">
        <v>4</v>
      </c>
      <c r="F213" s="103">
        <v>187</v>
      </c>
      <c r="G213" s="103">
        <v>224</v>
      </c>
      <c r="H213" s="103">
        <v>145</v>
      </c>
      <c r="I213" s="103">
        <v>70</v>
      </c>
      <c r="J213" s="103">
        <v>28</v>
      </c>
      <c r="K213" s="103">
        <v>15</v>
      </c>
      <c r="L213" s="103">
        <v>13</v>
      </c>
      <c r="M213" s="103">
        <v>3</v>
      </c>
      <c r="N213" s="103">
        <v>0</v>
      </c>
      <c r="O213" s="103">
        <v>1</v>
      </c>
      <c r="P213" s="42"/>
      <c r="Q213" s="110"/>
      <c r="R213" s="46" t="s">
        <v>4</v>
      </c>
      <c r="S213" s="103">
        <v>51</v>
      </c>
      <c r="T213" s="103">
        <v>43</v>
      </c>
      <c r="U213" s="103">
        <v>25</v>
      </c>
      <c r="V213" s="103">
        <v>12</v>
      </c>
      <c r="W213" s="103">
        <v>7</v>
      </c>
      <c r="X213" s="103">
        <v>2</v>
      </c>
      <c r="Y213" s="103">
        <v>1</v>
      </c>
      <c r="Z213" s="103">
        <v>0</v>
      </c>
      <c r="AA213" s="103">
        <v>0</v>
      </c>
      <c r="AB213" s="103">
        <v>1</v>
      </c>
      <c r="AC213" s="42"/>
      <c r="AD213" s="110"/>
      <c r="AE213" s="46" t="s">
        <v>4</v>
      </c>
      <c r="AF213" s="103">
        <v>136</v>
      </c>
      <c r="AG213" s="103">
        <v>181</v>
      </c>
      <c r="AH213" s="103">
        <v>120</v>
      </c>
      <c r="AI213" s="103">
        <v>58</v>
      </c>
      <c r="AJ213" s="103">
        <v>21</v>
      </c>
      <c r="AK213" s="103">
        <v>13</v>
      </c>
      <c r="AL213" s="103">
        <v>12</v>
      </c>
      <c r="AM213" s="103">
        <v>3</v>
      </c>
      <c r="AN213" s="103">
        <v>0</v>
      </c>
      <c r="AO213" s="103">
        <v>0</v>
      </c>
      <c r="AP213" s="6"/>
      <c r="AQ213" s="110"/>
      <c r="AR213" s="46" t="s">
        <v>4</v>
      </c>
      <c r="AS213" s="103">
        <v>100</v>
      </c>
      <c r="AT213" s="103">
        <v>85</v>
      </c>
      <c r="AU213" s="103">
        <v>57</v>
      </c>
      <c r="AV213" s="103">
        <v>19</v>
      </c>
      <c r="AW213" s="103">
        <v>9</v>
      </c>
      <c r="AX213" s="103">
        <v>6</v>
      </c>
      <c r="AY213" s="103">
        <v>5</v>
      </c>
      <c r="AZ213" s="103">
        <v>0</v>
      </c>
      <c r="BA213" s="103">
        <v>0</v>
      </c>
      <c r="BB213" s="103">
        <v>1</v>
      </c>
      <c r="BC213" s="42"/>
      <c r="BD213" s="110"/>
      <c r="BE213" s="46" t="s">
        <v>4</v>
      </c>
      <c r="BF213" s="103">
        <v>87</v>
      </c>
      <c r="BG213" s="103">
        <v>139</v>
      </c>
      <c r="BH213" s="103">
        <v>88</v>
      </c>
      <c r="BI213" s="103">
        <v>51</v>
      </c>
      <c r="BJ213" s="103">
        <v>19</v>
      </c>
      <c r="BK213" s="103">
        <v>9</v>
      </c>
      <c r="BL213" s="103">
        <v>8</v>
      </c>
      <c r="BM213" s="103">
        <v>3</v>
      </c>
      <c r="BN213" s="103">
        <v>0</v>
      </c>
      <c r="BO213" s="103">
        <v>0</v>
      </c>
      <c r="BQ213" s="110"/>
      <c r="BR213" s="46" t="s">
        <v>4</v>
      </c>
      <c r="BS213" s="103">
        <v>91</v>
      </c>
      <c r="BT213" s="103">
        <v>96</v>
      </c>
      <c r="BU213" s="103">
        <v>57</v>
      </c>
      <c r="BV213" s="103">
        <v>20</v>
      </c>
      <c r="BW213" s="103">
        <v>9</v>
      </c>
      <c r="BX213" s="103">
        <v>7</v>
      </c>
      <c r="BY213" s="103">
        <v>6</v>
      </c>
      <c r="BZ213" s="103">
        <v>0</v>
      </c>
      <c r="CA213" s="103">
        <v>0</v>
      </c>
      <c r="CB213" s="103">
        <v>0</v>
      </c>
      <c r="CC213" s="42"/>
      <c r="CD213" s="110"/>
      <c r="CE213" s="46" t="s">
        <v>4</v>
      </c>
      <c r="CF213" s="103">
        <v>96</v>
      </c>
      <c r="CG213" s="103">
        <v>128</v>
      </c>
      <c r="CH213" s="103">
        <v>88</v>
      </c>
      <c r="CI213" s="103">
        <v>50</v>
      </c>
      <c r="CJ213" s="103">
        <v>19</v>
      </c>
      <c r="CK213" s="103">
        <v>8</v>
      </c>
      <c r="CL213" s="103">
        <v>7</v>
      </c>
      <c r="CM213" s="103">
        <v>3</v>
      </c>
      <c r="CN213" s="103">
        <v>0</v>
      </c>
      <c r="CO213" s="103">
        <v>1</v>
      </c>
      <c r="CQ213" s="110"/>
      <c r="CR213" s="46" t="s">
        <v>4</v>
      </c>
      <c r="CS213" s="103">
        <v>36</v>
      </c>
      <c r="CT213" s="103">
        <v>51</v>
      </c>
      <c r="CU213" s="103">
        <v>43</v>
      </c>
      <c r="CV213" s="103">
        <v>26</v>
      </c>
      <c r="CW213" s="103">
        <v>17</v>
      </c>
      <c r="CX213" s="103">
        <v>8</v>
      </c>
      <c r="CY213" s="103">
        <v>7</v>
      </c>
      <c r="CZ213" s="103">
        <v>3</v>
      </c>
      <c r="DA213" s="103">
        <v>0</v>
      </c>
      <c r="DB213" s="103">
        <v>1</v>
      </c>
      <c r="DC213" s="42"/>
      <c r="DD213" s="110"/>
      <c r="DE213" s="46" t="s">
        <v>4</v>
      </c>
      <c r="DF213" s="103">
        <v>151</v>
      </c>
      <c r="DG213" s="103">
        <v>173</v>
      </c>
      <c r="DH213" s="103">
        <v>102</v>
      </c>
      <c r="DI213" s="103">
        <v>44</v>
      </c>
      <c r="DJ213" s="103">
        <v>11</v>
      </c>
      <c r="DK213" s="103">
        <v>7</v>
      </c>
      <c r="DL213" s="103">
        <v>6</v>
      </c>
      <c r="DM213" s="103">
        <v>0</v>
      </c>
      <c r="DN213" s="103">
        <v>0</v>
      </c>
      <c r="DO213" s="103">
        <v>0</v>
      </c>
    </row>
    <row r="214" spans="2:119" ht="14.45" customHeight="1" x14ac:dyDescent="0.45">
      <c r="B214" s="134"/>
      <c r="C214" s="42"/>
      <c r="D214" s="110"/>
      <c r="E214" s="46" t="s">
        <v>5</v>
      </c>
      <c r="F214" s="103">
        <v>225</v>
      </c>
      <c r="G214" s="103">
        <v>492</v>
      </c>
      <c r="H214" s="103">
        <v>329</v>
      </c>
      <c r="I214" s="103">
        <v>205</v>
      </c>
      <c r="J214" s="103">
        <v>85</v>
      </c>
      <c r="K214" s="103">
        <v>36</v>
      </c>
      <c r="L214" s="103">
        <v>15</v>
      </c>
      <c r="M214" s="103">
        <v>13</v>
      </c>
      <c r="N214" s="103">
        <v>3</v>
      </c>
      <c r="O214" s="103">
        <v>0</v>
      </c>
      <c r="P214" s="42"/>
      <c r="Q214" s="110"/>
      <c r="R214" s="46" t="s">
        <v>5</v>
      </c>
      <c r="S214" s="103">
        <v>47</v>
      </c>
      <c r="T214" s="103">
        <v>108</v>
      </c>
      <c r="U214" s="103">
        <v>59</v>
      </c>
      <c r="V214" s="103">
        <v>34</v>
      </c>
      <c r="W214" s="103">
        <v>15</v>
      </c>
      <c r="X214" s="103">
        <v>7</v>
      </c>
      <c r="Y214" s="103">
        <v>1</v>
      </c>
      <c r="Z214" s="103">
        <v>1</v>
      </c>
      <c r="AA214" s="103">
        <v>0</v>
      </c>
      <c r="AB214" s="103">
        <v>0</v>
      </c>
      <c r="AC214" s="42"/>
      <c r="AD214" s="110"/>
      <c r="AE214" s="46" t="s">
        <v>5</v>
      </c>
      <c r="AF214" s="103">
        <v>178</v>
      </c>
      <c r="AG214" s="103">
        <v>384</v>
      </c>
      <c r="AH214" s="103">
        <v>270</v>
      </c>
      <c r="AI214" s="103">
        <v>171</v>
      </c>
      <c r="AJ214" s="103">
        <v>70</v>
      </c>
      <c r="AK214" s="103">
        <v>29</v>
      </c>
      <c r="AL214" s="103">
        <v>14</v>
      </c>
      <c r="AM214" s="103">
        <v>12</v>
      </c>
      <c r="AN214" s="103">
        <v>3</v>
      </c>
      <c r="AO214" s="103">
        <v>0</v>
      </c>
      <c r="AP214" s="6"/>
      <c r="AQ214" s="110"/>
      <c r="AR214" s="46" t="s">
        <v>5</v>
      </c>
      <c r="AS214" s="103">
        <v>100</v>
      </c>
      <c r="AT214" s="103">
        <v>189</v>
      </c>
      <c r="AU214" s="103">
        <v>108</v>
      </c>
      <c r="AV214" s="103">
        <v>77</v>
      </c>
      <c r="AW214" s="103">
        <v>22</v>
      </c>
      <c r="AX214" s="103">
        <v>10</v>
      </c>
      <c r="AY214" s="103">
        <v>5</v>
      </c>
      <c r="AZ214" s="103">
        <v>3</v>
      </c>
      <c r="BA214" s="103">
        <v>0</v>
      </c>
      <c r="BB214" s="103">
        <v>0</v>
      </c>
      <c r="BC214" s="42"/>
      <c r="BD214" s="110"/>
      <c r="BE214" s="46" t="s">
        <v>5</v>
      </c>
      <c r="BF214" s="103">
        <v>125</v>
      </c>
      <c r="BG214" s="103">
        <v>303</v>
      </c>
      <c r="BH214" s="103">
        <v>221</v>
      </c>
      <c r="BI214" s="103">
        <v>128</v>
      </c>
      <c r="BJ214" s="103">
        <v>63</v>
      </c>
      <c r="BK214" s="103">
        <v>26</v>
      </c>
      <c r="BL214" s="103">
        <v>10</v>
      </c>
      <c r="BM214" s="103">
        <v>10</v>
      </c>
      <c r="BN214" s="103">
        <v>3</v>
      </c>
      <c r="BO214" s="103">
        <v>0</v>
      </c>
      <c r="BQ214" s="110"/>
      <c r="BR214" s="46" t="s">
        <v>5</v>
      </c>
      <c r="BS214" s="103">
        <v>88</v>
      </c>
      <c r="BT214" s="103">
        <v>156</v>
      </c>
      <c r="BU214" s="103">
        <v>108</v>
      </c>
      <c r="BV214" s="103">
        <v>57</v>
      </c>
      <c r="BW214" s="103">
        <v>20</v>
      </c>
      <c r="BX214" s="103">
        <v>9</v>
      </c>
      <c r="BY214" s="103">
        <v>3</v>
      </c>
      <c r="BZ214" s="103">
        <v>0</v>
      </c>
      <c r="CA214" s="103">
        <v>2</v>
      </c>
      <c r="CB214" s="103">
        <v>0</v>
      </c>
      <c r="CC214" s="42"/>
      <c r="CD214" s="110"/>
      <c r="CE214" s="46" t="s">
        <v>5</v>
      </c>
      <c r="CF214" s="103">
        <v>137</v>
      </c>
      <c r="CG214" s="103">
        <v>336</v>
      </c>
      <c r="CH214" s="103">
        <v>221</v>
      </c>
      <c r="CI214" s="103">
        <v>148</v>
      </c>
      <c r="CJ214" s="103">
        <v>65</v>
      </c>
      <c r="CK214" s="103">
        <v>27</v>
      </c>
      <c r="CL214" s="103">
        <v>12</v>
      </c>
      <c r="CM214" s="103">
        <v>13</v>
      </c>
      <c r="CN214" s="103">
        <v>1</v>
      </c>
      <c r="CO214" s="103">
        <v>0</v>
      </c>
      <c r="CQ214" s="110"/>
      <c r="CR214" s="46" t="s">
        <v>5</v>
      </c>
      <c r="CS214" s="103">
        <v>28</v>
      </c>
      <c r="CT214" s="103">
        <v>92</v>
      </c>
      <c r="CU214" s="103">
        <v>66</v>
      </c>
      <c r="CV214" s="103">
        <v>64</v>
      </c>
      <c r="CW214" s="103">
        <v>38</v>
      </c>
      <c r="CX214" s="103">
        <v>15</v>
      </c>
      <c r="CY214" s="103">
        <v>9</v>
      </c>
      <c r="CZ214" s="103">
        <v>12</v>
      </c>
      <c r="DA214" s="103">
        <v>1</v>
      </c>
      <c r="DB214" s="103">
        <v>0</v>
      </c>
      <c r="DC214" s="42"/>
      <c r="DD214" s="110"/>
      <c r="DE214" s="46" t="s">
        <v>5</v>
      </c>
      <c r="DF214" s="103">
        <v>197</v>
      </c>
      <c r="DG214" s="103">
        <v>400</v>
      </c>
      <c r="DH214" s="103">
        <v>263</v>
      </c>
      <c r="DI214" s="103">
        <v>141</v>
      </c>
      <c r="DJ214" s="103">
        <v>47</v>
      </c>
      <c r="DK214" s="103">
        <v>21</v>
      </c>
      <c r="DL214" s="103">
        <v>6</v>
      </c>
      <c r="DM214" s="103">
        <v>1</v>
      </c>
      <c r="DN214" s="103">
        <v>2</v>
      </c>
      <c r="DO214" s="103">
        <v>0</v>
      </c>
    </row>
    <row r="215" spans="2:119" ht="14.45" customHeight="1" x14ac:dyDescent="0.45">
      <c r="B215" s="134"/>
      <c r="C215" s="42"/>
      <c r="D215" s="110"/>
      <c r="E215" s="46" t="s">
        <v>6</v>
      </c>
      <c r="F215" s="103">
        <v>421</v>
      </c>
      <c r="G215" s="103">
        <v>966</v>
      </c>
      <c r="H215" s="103">
        <v>912</v>
      </c>
      <c r="I215" s="103">
        <v>626</v>
      </c>
      <c r="J215" s="103">
        <v>297</v>
      </c>
      <c r="K215" s="103">
        <v>157</v>
      </c>
      <c r="L215" s="103">
        <v>64</v>
      </c>
      <c r="M215" s="103">
        <v>22</v>
      </c>
      <c r="N215" s="103">
        <v>7</v>
      </c>
      <c r="O215" s="103">
        <v>0</v>
      </c>
      <c r="P215" s="42"/>
      <c r="Q215" s="110"/>
      <c r="R215" s="46" t="s">
        <v>6</v>
      </c>
      <c r="S215" s="103">
        <v>99</v>
      </c>
      <c r="T215" s="103">
        <v>209</v>
      </c>
      <c r="U215" s="103">
        <v>189</v>
      </c>
      <c r="V215" s="103">
        <v>153</v>
      </c>
      <c r="W215" s="103">
        <v>68</v>
      </c>
      <c r="X215" s="103">
        <v>30</v>
      </c>
      <c r="Y215" s="103">
        <v>10</v>
      </c>
      <c r="Z215" s="103">
        <v>1</v>
      </c>
      <c r="AA215" s="103">
        <v>1</v>
      </c>
      <c r="AB215" s="103">
        <v>0</v>
      </c>
      <c r="AC215" s="42"/>
      <c r="AD215" s="110"/>
      <c r="AE215" s="46" t="s">
        <v>6</v>
      </c>
      <c r="AF215" s="103">
        <v>322</v>
      </c>
      <c r="AG215" s="103">
        <v>757</v>
      </c>
      <c r="AH215" s="103">
        <v>723</v>
      </c>
      <c r="AI215" s="103">
        <v>473</v>
      </c>
      <c r="AJ215" s="103">
        <v>229</v>
      </c>
      <c r="AK215" s="103">
        <v>127</v>
      </c>
      <c r="AL215" s="103">
        <v>54</v>
      </c>
      <c r="AM215" s="103">
        <v>21</v>
      </c>
      <c r="AN215" s="103">
        <v>6</v>
      </c>
      <c r="AO215" s="103">
        <v>0</v>
      </c>
      <c r="AP215" s="6"/>
      <c r="AQ215" s="110"/>
      <c r="AR215" s="46" t="s">
        <v>6</v>
      </c>
      <c r="AS215" s="103">
        <v>173</v>
      </c>
      <c r="AT215" s="103">
        <v>340</v>
      </c>
      <c r="AU215" s="103">
        <v>298</v>
      </c>
      <c r="AV215" s="103">
        <v>183</v>
      </c>
      <c r="AW215" s="103">
        <v>79</v>
      </c>
      <c r="AX215" s="103">
        <v>48</v>
      </c>
      <c r="AY215" s="103">
        <v>13</v>
      </c>
      <c r="AZ215" s="103">
        <v>7</v>
      </c>
      <c r="BA215" s="103">
        <v>1</v>
      </c>
      <c r="BB215" s="103">
        <v>0</v>
      </c>
      <c r="BC215" s="42"/>
      <c r="BD215" s="110"/>
      <c r="BE215" s="46" t="s">
        <v>6</v>
      </c>
      <c r="BF215" s="103">
        <v>248</v>
      </c>
      <c r="BG215" s="103">
        <v>626</v>
      </c>
      <c r="BH215" s="103">
        <v>614</v>
      </c>
      <c r="BI215" s="103">
        <v>443</v>
      </c>
      <c r="BJ215" s="103">
        <v>218</v>
      </c>
      <c r="BK215" s="103">
        <v>109</v>
      </c>
      <c r="BL215" s="103">
        <v>51</v>
      </c>
      <c r="BM215" s="103">
        <v>15</v>
      </c>
      <c r="BN215" s="103">
        <v>6</v>
      </c>
      <c r="BO215" s="103">
        <v>0</v>
      </c>
      <c r="BQ215" s="110"/>
      <c r="BR215" s="46" t="s">
        <v>6</v>
      </c>
      <c r="BS215" s="103">
        <v>97</v>
      </c>
      <c r="BT215" s="103">
        <v>179</v>
      </c>
      <c r="BU215" s="103">
        <v>183</v>
      </c>
      <c r="BV215" s="103">
        <v>129</v>
      </c>
      <c r="BW215" s="103">
        <v>56</v>
      </c>
      <c r="BX215" s="103">
        <v>23</v>
      </c>
      <c r="BY215" s="103">
        <v>6</v>
      </c>
      <c r="BZ215" s="103">
        <v>3</v>
      </c>
      <c r="CA215" s="103">
        <v>3</v>
      </c>
      <c r="CB215" s="103">
        <v>0</v>
      </c>
      <c r="CC215" s="42"/>
      <c r="CD215" s="110"/>
      <c r="CE215" s="46" t="s">
        <v>6</v>
      </c>
      <c r="CF215" s="103">
        <v>324</v>
      </c>
      <c r="CG215" s="103">
        <v>787</v>
      </c>
      <c r="CH215" s="103">
        <v>729</v>
      </c>
      <c r="CI215" s="103">
        <v>497</v>
      </c>
      <c r="CJ215" s="103">
        <v>241</v>
      </c>
      <c r="CK215" s="103">
        <v>134</v>
      </c>
      <c r="CL215" s="103">
        <v>58</v>
      </c>
      <c r="CM215" s="103">
        <v>19</v>
      </c>
      <c r="CN215" s="103">
        <v>4</v>
      </c>
      <c r="CO215" s="103">
        <v>0</v>
      </c>
      <c r="CQ215" s="110"/>
      <c r="CR215" s="46" t="s">
        <v>6</v>
      </c>
      <c r="CS215" s="103">
        <v>50</v>
      </c>
      <c r="CT215" s="103">
        <v>139</v>
      </c>
      <c r="CU215" s="103">
        <v>187</v>
      </c>
      <c r="CV215" s="103">
        <v>168</v>
      </c>
      <c r="CW215" s="103">
        <v>104</v>
      </c>
      <c r="CX215" s="103">
        <v>58</v>
      </c>
      <c r="CY215" s="103">
        <v>33</v>
      </c>
      <c r="CZ215" s="103">
        <v>10</v>
      </c>
      <c r="DA215" s="103">
        <v>3</v>
      </c>
      <c r="DB215" s="103">
        <v>0</v>
      </c>
      <c r="DC215" s="42"/>
      <c r="DD215" s="110"/>
      <c r="DE215" s="46" t="s">
        <v>6</v>
      </c>
      <c r="DF215" s="103">
        <v>371</v>
      </c>
      <c r="DG215" s="103">
        <v>827</v>
      </c>
      <c r="DH215" s="103">
        <v>725</v>
      </c>
      <c r="DI215" s="103">
        <v>458</v>
      </c>
      <c r="DJ215" s="103">
        <v>193</v>
      </c>
      <c r="DK215" s="103">
        <v>99</v>
      </c>
      <c r="DL215" s="103">
        <v>31</v>
      </c>
      <c r="DM215" s="103">
        <v>12</v>
      </c>
      <c r="DN215" s="103">
        <v>4</v>
      </c>
      <c r="DO215" s="103">
        <v>0</v>
      </c>
    </row>
    <row r="216" spans="2:119" ht="14.45" customHeight="1" x14ac:dyDescent="0.45">
      <c r="B216" s="134"/>
      <c r="C216" s="42"/>
      <c r="D216" s="110"/>
      <c r="E216" s="46" t="s">
        <v>7</v>
      </c>
      <c r="F216" s="103">
        <v>491</v>
      </c>
      <c r="G216" s="103">
        <v>1443</v>
      </c>
      <c r="H216" s="103">
        <v>1945</v>
      </c>
      <c r="I216" s="103">
        <v>1771</v>
      </c>
      <c r="J216" s="103">
        <v>1026</v>
      </c>
      <c r="K216" s="103">
        <v>575</v>
      </c>
      <c r="L216" s="103">
        <v>284</v>
      </c>
      <c r="M216" s="103">
        <v>90</v>
      </c>
      <c r="N216" s="103">
        <v>34</v>
      </c>
      <c r="O216" s="103">
        <v>6</v>
      </c>
      <c r="P216" s="42"/>
      <c r="Q216" s="110"/>
      <c r="R216" s="46" t="s">
        <v>7</v>
      </c>
      <c r="S216" s="103">
        <v>70</v>
      </c>
      <c r="T216" s="103">
        <v>267</v>
      </c>
      <c r="U216" s="103">
        <v>393</v>
      </c>
      <c r="V216" s="103">
        <v>341</v>
      </c>
      <c r="W216" s="103">
        <v>185</v>
      </c>
      <c r="X216" s="103">
        <v>112</v>
      </c>
      <c r="Y216" s="103">
        <v>47</v>
      </c>
      <c r="Z216" s="103">
        <v>11</v>
      </c>
      <c r="AA216" s="103">
        <v>4</v>
      </c>
      <c r="AB216" s="103">
        <v>0</v>
      </c>
      <c r="AC216" s="42"/>
      <c r="AD216" s="110"/>
      <c r="AE216" s="46" t="s">
        <v>7</v>
      </c>
      <c r="AF216" s="103">
        <v>421</v>
      </c>
      <c r="AG216" s="103">
        <v>1176</v>
      </c>
      <c r="AH216" s="103">
        <v>1552</v>
      </c>
      <c r="AI216" s="103">
        <v>1430</v>
      </c>
      <c r="AJ216" s="103">
        <v>841</v>
      </c>
      <c r="AK216" s="103">
        <v>463</v>
      </c>
      <c r="AL216" s="103">
        <v>237</v>
      </c>
      <c r="AM216" s="103">
        <v>79</v>
      </c>
      <c r="AN216" s="103">
        <v>30</v>
      </c>
      <c r="AO216" s="103">
        <v>6</v>
      </c>
      <c r="AP216" s="6"/>
      <c r="AQ216" s="110"/>
      <c r="AR216" s="46" t="s">
        <v>7</v>
      </c>
      <c r="AS216" s="103">
        <v>219</v>
      </c>
      <c r="AT216" s="103">
        <v>531</v>
      </c>
      <c r="AU216" s="103">
        <v>601</v>
      </c>
      <c r="AV216" s="103">
        <v>455</v>
      </c>
      <c r="AW216" s="103">
        <v>263</v>
      </c>
      <c r="AX216" s="103">
        <v>140</v>
      </c>
      <c r="AY216" s="103">
        <v>68</v>
      </c>
      <c r="AZ216" s="103">
        <v>13</v>
      </c>
      <c r="BA216" s="103">
        <v>6</v>
      </c>
      <c r="BB216" s="103">
        <v>1</v>
      </c>
      <c r="BC216" s="42"/>
      <c r="BD216" s="110"/>
      <c r="BE216" s="46" t="s">
        <v>7</v>
      </c>
      <c r="BF216" s="103">
        <v>272</v>
      </c>
      <c r="BG216" s="103">
        <v>912</v>
      </c>
      <c r="BH216" s="103">
        <v>1344</v>
      </c>
      <c r="BI216" s="103">
        <v>1316</v>
      </c>
      <c r="BJ216" s="103">
        <v>763</v>
      </c>
      <c r="BK216" s="103">
        <v>435</v>
      </c>
      <c r="BL216" s="103">
        <v>216</v>
      </c>
      <c r="BM216" s="103">
        <v>77</v>
      </c>
      <c r="BN216" s="103">
        <v>28</v>
      </c>
      <c r="BO216" s="103">
        <v>5</v>
      </c>
      <c r="BQ216" s="110"/>
      <c r="BR216" s="46" t="s">
        <v>7</v>
      </c>
      <c r="BS216" s="103">
        <v>73</v>
      </c>
      <c r="BT216" s="103">
        <v>201</v>
      </c>
      <c r="BU216" s="103">
        <v>290</v>
      </c>
      <c r="BV216" s="103">
        <v>214</v>
      </c>
      <c r="BW216" s="103">
        <v>142</v>
      </c>
      <c r="BX216" s="103">
        <v>84</v>
      </c>
      <c r="BY216" s="103">
        <v>41</v>
      </c>
      <c r="BZ216" s="103">
        <v>18</v>
      </c>
      <c r="CA216" s="103">
        <v>6</v>
      </c>
      <c r="CB216" s="103">
        <v>2</v>
      </c>
      <c r="CC216" s="42"/>
      <c r="CD216" s="110"/>
      <c r="CE216" s="46" t="s">
        <v>7</v>
      </c>
      <c r="CF216" s="103">
        <v>418</v>
      </c>
      <c r="CG216" s="103">
        <v>1242</v>
      </c>
      <c r="CH216" s="103">
        <v>1655</v>
      </c>
      <c r="CI216" s="103">
        <v>1557</v>
      </c>
      <c r="CJ216" s="103">
        <v>884</v>
      </c>
      <c r="CK216" s="103">
        <v>491</v>
      </c>
      <c r="CL216" s="103">
        <v>243</v>
      </c>
      <c r="CM216" s="103">
        <v>72</v>
      </c>
      <c r="CN216" s="103">
        <v>28</v>
      </c>
      <c r="CO216" s="103">
        <v>4</v>
      </c>
      <c r="CQ216" s="110"/>
      <c r="CR216" s="46" t="s">
        <v>7</v>
      </c>
      <c r="CS216" s="103">
        <v>52</v>
      </c>
      <c r="CT216" s="103">
        <v>173</v>
      </c>
      <c r="CU216" s="103">
        <v>349</v>
      </c>
      <c r="CV216" s="103">
        <v>398</v>
      </c>
      <c r="CW216" s="103">
        <v>277</v>
      </c>
      <c r="CX216" s="103">
        <v>175</v>
      </c>
      <c r="CY216" s="103">
        <v>90</v>
      </c>
      <c r="CZ216" s="103">
        <v>35</v>
      </c>
      <c r="DA216" s="103">
        <v>13</v>
      </c>
      <c r="DB216" s="103">
        <v>4</v>
      </c>
      <c r="DC216" s="42"/>
      <c r="DD216" s="110"/>
      <c r="DE216" s="46" t="s">
        <v>7</v>
      </c>
      <c r="DF216" s="103">
        <v>439</v>
      </c>
      <c r="DG216" s="103">
        <v>1270</v>
      </c>
      <c r="DH216" s="103">
        <v>1596</v>
      </c>
      <c r="DI216" s="103">
        <v>1373</v>
      </c>
      <c r="DJ216" s="103">
        <v>749</v>
      </c>
      <c r="DK216" s="103">
        <v>400</v>
      </c>
      <c r="DL216" s="103">
        <v>194</v>
      </c>
      <c r="DM216" s="103">
        <v>55</v>
      </c>
      <c r="DN216" s="103">
        <v>21</v>
      </c>
      <c r="DO216" s="103">
        <v>2</v>
      </c>
    </row>
    <row r="217" spans="2:119" ht="14.45" customHeight="1" x14ac:dyDescent="0.45">
      <c r="B217" s="134"/>
      <c r="C217" s="42"/>
      <c r="D217" s="110"/>
      <c r="E217" s="46" t="s">
        <v>8</v>
      </c>
      <c r="F217" s="103">
        <v>356</v>
      </c>
      <c r="G217" s="103">
        <v>1349</v>
      </c>
      <c r="H217" s="103">
        <v>2320</v>
      </c>
      <c r="I217" s="103">
        <v>2985</v>
      </c>
      <c r="J217" s="103">
        <v>2354</v>
      </c>
      <c r="K217" s="103">
        <v>1756</v>
      </c>
      <c r="L217" s="103">
        <v>1019</v>
      </c>
      <c r="M217" s="103">
        <v>425</v>
      </c>
      <c r="N217" s="103">
        <v>174</v>
      </c>
      <c r="O217" s="103">
        <v>32</v>
      </c>
      <c r="P217" s="42"/>
      <c r="Q217" s="110"/>
      <c r="R217" s="46" t="s">
        <v>8</v>
      </c>
      <c r="S217" s="103">
        <v>59</v>
      </c>
      <c r="T217" s="103">
        <v>232</v>
      </c>
      <c r="U217" s="103">
        <v>442</v>
      </c>
      <c r="V217" s="103">
        <v>613</v>
      </c>
      <c r="W217" s="103">
        <v>508</v>
      </c>
      <c r="X217" s="103">
        <v>357</v>
      </c>
      <c r="Y217" s="103">
        <v>178</v>
      </c>
      <c r="Z217" s="103">
        <v>81</v>
      </c>
      <c r="AA217" s="103">
        <v>25</v>
      </c>
      <c r="AB217" s="103">
        <v>4</v>
      </c>
      <c r="AC217" s="42"/>
      <c r="AD217" s="110"/>
      <c r="AE217" s="46" t="s">
        <v>8</v>
      </c>
      <c r="AF217" s="103">
        <v>297</v>
      </c>
      <c r="AG217" s="103">
        <v>1117</v>
      </c>
      <c r="AH217" s="103">
        <v>1878</v>
      </c>
      <c r="AI217" s="103">
        <v>2372</v>
      </c>
      <c r="AJ217" s="103">
        <v>1846</v>
      </c>
      <c r="AK217" s="103">
        <v>1399</v>
      </c>
      <c r="AL217" s="103">
        <v>841</v>
      </c>
      <c r="AM217" s="103">
        <v>344</v>
      </c>
      <c r="AN217" s="103">
        <v>149</v>
      </c>
      <c r="AO217" s="103">
        <v>28</v>
      </c>
      <c r="AP217" s="6"/>
      <c r="AQ217" s="110"/>
      <c r="AR217" s="46" t="s">
        <v>8</v>
      </c>
      <c r="AS217" s="103">
        <v>149</v>
      </c>
      <c r="AT217" s="103">
        <v>479</v>
      </c>
      <c r="AU217" s="103">
        <v>681</v>
      </c>
      <c r="AV217" s="103">
        <v>755</v>
      </c>
      <c r="AW217" s="103">
        <v>512</v>
      </c>
      <c r="AX217" s="103">
        <v>393</v>
      </c>
      <c r="AY217" s="103">
        <v>228</v>
      </c>
      <c r="AZ217" s="103">
        <v>75</v>
      </c>
      <c r="BA217" s="103">
        <v>31</v>
      </c>
      <c r="BB217" s="103">
        <v>10</v>
      </c>
      <c r="BC217" s="42"/>
      <c r="BD217" s="110"/>
      <c r="BE217" s="46" t="s">
        <v>8</v>
      </c>
      <c r="BF217" s="103">
        <v>207</v>
      </c>
      <c r="BG217" s="103">
        <v>870</v>
      </c>
      <c r="BH217" s="103">
        <v>1639</v>
      </c>
      <c r="BI217" s="103">
        <v>2230</v>
      </c>
      <c r="BJ217" s="103">
        <v>1842</v>
      </c>
      <c r="BK217" s="103">
        <v>1363</v>
      </c>
      <c r="BL217" s="103">
        <v>791</v>
      </c>
      <c r="BM217" s="103">
        <v>350</v>
      </c>
      <c r="BN217" s="103">
        <v>143</v>
      </c>
      <c r="BO217" s="103">
        <v>22</v>
      </c>
      <c r="BQ217" s="110"/>
      <c r="BR217" s="46" t="s">
        <v>8</v>
      </c>
      <c r="BS217" s="103">
        <v>69</v>
      </c>
      <c r="BT217" s="103">
        <v>146</v>
      </c>
      <c r="BU217" s="103">
        <v>276</v>
      </c>
      <c r="BV217" s="103">
        <v>300</v>
      </c>
      <c r="BW217" s="103">
        <v>203</v>
      </c>
      <c r="BX217" s="103">
        <v>151</v>
      </c>
      <c r="BY217" s="103">
        <v>98</v>
      </c>
      <c r="BZ217" s="103">
        <v>48</v>
      </c>
      <c r="CA217" s="103">
        <v>26</v>
      </c>
      <c r="CB217" s="103">
        <v>2</v>
      </c>
      <c r="CC217" s="42"/>
      <c r="CD217" s="110"/>
      <c r="CE217" s="46" t="s">
        <v>8</v>
      </c>
      <c r="CF217" s="103">
        <v>287</v>
      </c>
      <c r="CG217" s="103">
        <v>1203</v>
      </c>
      <c r="CH217" s="103">
        <v>2044</v>
      </c>
      <c r="CI217" s="103">
        <v>2685</v>
      </c>
      <c r="CJ217" s="103">
        <v>2151</v>
      </c>
      <c r="CK217" s="103">
        <v>1605</v>
      </c>
      <c r="CL217" s="103">
        <v>921</v>
      </c>
      <c r="CM217" s="103">
        <v>377</v>
      </c>
      <c r="CN217" s="103">
        <v>148</v>
      </c>
      <c r="CO217" s="103">
        <v>30</v>
      </c>
      <c r="CQ217" s="110"/>
      <c r="CR217" s="46" t="s">
        <v>8</v>
      </c>
      <c r="CS217" s="103">
        <v>31</v>
      </c>
      <c r="CT217" s="103">
        <v>157</v>
      </c>
      <c r="CU217" s="103">
        <v>314</v>
      </c>
      <c r="CV217" s="103">
        <v>493</v>
      </c>
      <c r="CW217" s="103">
        <v>492</v>
      </c>
      <c r="CX217" s="103">
        <v>406</v>
      </c>
      <c r="CY217" s="103">
        <v>257</v>
      </c>
      <c r="CZ217" s="103">
        <v>130</v>
      </c>
      <c r="DA217" s="103">
        <v>47</v>
      </c>
      <c r="DB217" s="103">
        <v>10</v>
      </c>
      <c r="DC217" s="42"/>
      <c r="DD217" s="110"/>
      <c r="DE217" s="46" t="s">
        <v>8</v>
      </c>
      <c r="DF217" s="103">
        <v>325</v>
      </c>
      <c r="DG217" s="103">
        <v>1192</v>
      </c>
      <c r="DH217" s="103">
        <v>2006</v>
      </c>
      <c r="DI217" s="103">
        <v>2492</v>
      </c>
      <c r="DJ217" s="103">
        <v>1862</v>
      </c>
      <c r="DK217" s="103">
        <v>1350</v>
      </c>
      <c r="DL217" s="103">
        <v>762</v>
      </c>
      <c r="DM217" s="103">
        <v>295</v>
      </c>
      <c r="DN217" s="103">
        <v>127</v>
      </c>
      <c r="DO217" s="103">
        <v>22</v>
      </c>
    </row>
    <row r="218" spans="2:119" ht="14.45" customHeight="1" x14ac:dyDescent="0.45">
      <c r="B218" s="134"/>
      <c r="C218" s="42"/>
      <c r="D218" s="110"/>
      <c r="E218" s="46" t="s">
        <v>9</v>
      </c>
      <c r="F218" s="103">
        <v>167</v>
      </c>
      <c r="G218" s="103">
        <v>715</v>
      </c>
      <c r="H218" s="103">
        <v>1611</v>
      </c>
      <c r="I218" s="103">
        <v>3080</v>
      </c>
      <c r="J218" s="103">
        <v>3335</v>
      </c>
      <c r="K218" s="103">
        <v>3412</v>
      </c>
      <c r="L218" s="103">
        <v>2570</v>
      </c>
      <c r="M218" s="103">
        <v>1512</v>
      </c>
      <c r="N218" s="103">
        <v>701</v>
      </c>
      <c r="O218" s="103">
        <v>158</v>
      </c>
      <c r="P218" s="42"/>
      <c r="Q218" s="110"/>
      <c r="R218" s="46" t="s">
        <v>9</v>
      </c>
      <c r="S218" s="103">
        <v>25</v>
      </c>
      <c r="T218" s="103">
        <v>114</v>
      </c>
      <c r="U218" s="103">
        <v>268</v>
      </c>
      <c r="V218" s="103">
        <v>561</v>
      </c>
      <c r="W218" s="103">
        <v>706</v>
      </c>
      <c r="X218" s="103">
        <v>669</v>
      </c>
      <c r="Y218" s="103">
        <v>566</v>
      </c>
      <c r="Z218" s="103">
        <v>306</v>
      </c>
      <c r="AA218" s="103">
        <v>142</v>
      </c>
      <c r="AB218" s="103">
        <v>33</v>
      </c>
      <c r="AC218" s="42"/>
      <c r="AD218" s="110"/>
      <c r="AE218" s="46" t="s">
        <v>9</v>
      </c>
      <c r="AF218" s="103">
        <v>142</v>
      </c>
      <c r="AG218" s="103">
        <v>601</v>
      </c>
      <c r="AH218" s="103">
        <v>1343</v>
      </c>
      <c r="AI218" s="103">
        <v>2519</v>
      </c>
      <c r="AJ218" s="103">
        <v>2629</v>
      </c>
      <c r="AK218" s="103">
        <v>2743</v>
      </c>
      <c r="AL218" s="103">
        <v>2004</v>
      </c>
      <c r="AM218" s="103">
        <v>1206</v>
      </c>
      <c r="AN218" s="103">
        <v>559</v>
      </c>
      <c r="AO218" s="103">
        <v>125</v>
      </c>
      <c r="AP218" s="6"/>
      <c r="AQ218" s="110"/>
      <c r="AR218" s="46" t="s">
        <v>9</v>
      </c>
      <c r="AS218" s="103">
        <v>63</v>
      </c>
      <c r="AT218" s="103">
        <v>235</v>
      </c>
      <c r="AU218" s="103">
        <v>432</v>
      </c>
      <c r="AV218" s="103">
        <v>726</v>
      </c>
      <c r="AW218" s="103">
        <v>704</v>
      </c>
      <c r="AX218" s="103">
        <v>628</v>
      </c>
      <c r="AY218" s="103">
        <v>451</v>
      </c>
      <c r="AZ218" s="103">
        <v>237</v>
      </c>
      <c r="BA218" s="103">
        <v>98</v>
      </c>
      <c r="BB218" s="103">
        <v>20</v>
      </c>
      <c r="BC218" s="42"/>
      <c r="BD218" s="110"/>
      <c r="BE218" s="46" t="s">
        <v>9</v>
      </c>
      <c r="BF218" s="103">
        <v>104</v>
      </c>
      <c r="BG218" s="103">
        <v>480</v>
      </c>
      <c r="BH218" s="103">
        <v>1179</v>
      </c>
      <c r="BI218" s="103">
        <v>2354</v>
      </c>
      <c r="BJ218" s="103">
        <v>2631</v>
      </c>
      <c r="BK218" s="103">
        <v>2784</v>
      </c>
      <c r="BL218" s="103">
        <v>2119</v>
      </c>
      <c r="BM218" s="103">
        <v>1275</v>
      </c>
      <c r="BN218" s="103">
        <v>603</v>
      </c>
      <c r="BO218" s="103">
        <v>138</v>
      </c>
      <c r="BQ218" s="110"/>
      <c r="BR218" s="46" t="s">
        <v>9</v>
      </c>
      <c r="BS218" s="103">
        <v>23</v>
      </c>
      <c r="BT218" s="103">
        <v>73</v>
      </c>
      <c r="BU218" s="103">
        <v>149</v>
      </c>
      <c r="BV218" s="103">
        <v>230</v>
      </c>
      <c r="BW218" s="103">
        <v>241</v>
      </c>
      <c r="BX218" s="103">
        <v>202</v>
      </c>
      <c r="BY218" s="103">
        <v>204</v>
      </c>
      <c r="BZ218" s="103">
        <v>107</v>
      </c>
      <c r="CA218" s="103">
        <v>53</v>
      </c>
      <c r="CB218" s="103">
        <v>11</v>
      </c>
      <c r="CC218" s="42"/>
      <c r="CD218" s="110"/>
      <c r="CE218" s="46" t="s">
        <v>9</v>
      </c>
      <c r="CF218" s="103">
        <v>144</v>
      </c>
      <c r="CG218" s="103">
        <v>642</v>
      </c>
      <c r="CH218" s="103">
        <v>1462</v>
      </c>
      <c r="CI218" s="103">
        <v>2850</v>
      </c>
      <c r="CJ218" s="103">
        <v>3094</v>
      </c>
      <c r="CK218" s="103">
        <v>3210</v>
      </c>
      <c r="CL218" s="103">
        <v>2366</v>
      </c>
      <c r="CM218" s="103">
        <v>1405</v>
      </c>
      <c r="CN218" s="103">
        <v>648</v>
      </c>
      <c r="CO218" s="103">
        <v>147</v>
      </c>
      <c r="CQ218" s="110"/>
      <c r="CR218" s="46" t="s">
        <v>9</v>
      </c>
      <c r="CS218" s="103">
        <v>15</v>
      </c>
      <c r="CT218" s="103">
        <v>61</v>
      </c>
      <c r="CU218" s="103">
        <v>163</v>
      </c>
      <c r="CV218" s="103">
        <v>405</v>
      </c>
      <c r="CW218" s="103">
        <v>579</v>
      </c>
      <c r="CX218" s="103">
        <v>669</v>
      </c>
      <c r="CY218" s="103">
        <v>531</v>
      </c>
      <c r="CZ218" s="103">
        <v>344</v>
      </c>
      <c r="DA218" s="103">
        <v>180</v>
      </c>
      <c r="DB218" s="103">
        <v>39</v>
      </c>
      <c r="DC218" s="42"/>
      <c r="DD218" s="110"/>
      <c r="DE218" s="46" t="s">
        <v>9</v>
      </c>
      <c r="DF218" s="103">
        <v>152</v>
      </c>
      <c r="DG218" s="103">
        <v>654</v>
      </c>
      <c r="DH218" s="103">
        <v>1448</v>
      </c>
      <c r="DI218" s="103">
        <v>2675</v>
      </c>
      <c r="DJ218" s="103">
        <v>2756</v>
      </c>
      <c r="DK218" s="103">
        <v>2743</v>
      </c>
      <c r="DL218" s="103">
        <v>2039</v>
      </c>
      <c r="DM218" s="103">
        <v>1168</v>
      </c>
      <c r="DN218" s="103">
        <v>521</v>
      </c>
      <c r="DO218" s="103">
        <v>119</v>
      </c>
    </row>
    <row r="219" spans="2:119" ht="14.45" customHeight="1" x14ac:dyDescent="0.45">
      <c r="B219" s="134"/>
      <c r="C219" s="42"/>
      <c r="D219" s="110"/>
      <c r="E219" s="46" t="s">
        <v>10</v>
      </c>
      <c r="F219" s="103">
        <v>35</v>
      </c>
      <c r="G219" s="103">
        <v>195</v>
      </c>
      <c r="H219" s="103">
        <v>576</v>
      </c>
      <c r="I219" s="103">
        <v>1577</v>
      </c>
      <c r="J219" s="103">
        <v>2338</v>
      </c>
      <c r="K219" s="103">
        <v>3412</v>
      </c>
      <c r="L219" s="103">
        <v>4109</v>
      </c>
      <c r="M219" s="103">
        <v>3455</v>
      </c>
      <c r="N219" s="103">
        <v>2715</v>
      </c>
      <c r="O219" s="103">
        <v>1147</v>
      </c>
      <c r="P219" s="42"/>
      <c r="Q219" s="110"/>
      <c r="R219" s="46" t="s">
        <v>10</v>
      </c>
      <c r="S219" s="103">
        <v>2</v>
      </c>
      <c r="T219" s="103">
        <v>30</v>
      </c>
      <c r="U219" s="103">
        <v>97</v>
      </c>
      <c r="V219" s="103">
        <v>262</v>
      </c>
      <c r="W219" s="103">
        <v>463</v>
      </c>
      <c r="X219" s="103">
        <v>756</v>
      </c>
      <c r="Y219" s="103">
        <v>930</v>
      </c>
      <c r="Z219" s="103">
        <v>815</v>
      </c>
      <c r="AA219" s="103">
        <v>649</v>
      </c>
      <c r="AB219" s="103">
        <v>230</v>
      </c>
      <c r="AC219" s="42"/>
      <c r="AD219" s="110"/>
      <c r="AE219" s="46" t="s">
        <v>10</v>
      </c>
      <c r="AF219" s="103">
        <v>33</v>
      </c>
      <c r="AG219" s="103">
        <v>165</v>
      </c>
      <c r="AH219" s="103">
        <v>479</v>
      </c>
      <c r="AI219" s="103">
        <v>1315</v>
      </c>
      <c r="AJ219" s="103">
        <v>1875</v>
      </c>
      <c r="AK219" s="103">
        <v>2656</v>
      </c>
      <c r="AL219" s="103">
        <v>3179</v>
      </c>
      <c r="AM219" s="103">
        <v>2640</v>
      </c>
      <c r="AN219" s="103">
        <v>2066</v>
      </c>
      <c r="AO219" s="103">
        <v>917</v>
      </c>
      <c r="AP219" s="6"/>
      <c r="AQ219" s="110"/>
      <c r="AR219" s="46" t="s">
        <v>10</v>
      </c>
      <c r="AS219" s="103">
        <v>18</v>
      </c>
      <c r="AT219" s="103">
        <v>54</v>
      </c>
      <c r="AU219" s="103">
        <v>134</v>
      </c>
      <c r="AV219" s="103">
        <v>365</v>
      </c>
      <c r="AW219" s="103">
        <v>445</v>
      </c>
      <c r="AX219" s="103">
        <v>556</v>
      </c>
      <c r="AY219" s="103">
        <v>569</v>
      </c>
      <c r="AZ219" s="103">
        <v>419</v>
      </c>
      <c r="BA219" s="103">
        <v>281</v>
      </c>
      <c r="BB219" s="103">
        <v>114</v>
      </c>
      <c r="BC219" s="42"/>
      <c r="BD219" s="110"/>
      <c r="BE219" s="46" t="s">
        <v>10</v>
      </c>
      <c r="BF219" s="103">
        <v>17</v>
      </c>
      <c r="BG219" s="103">
        <v>141</v>
      </c>
      <c r="BH219" s="103">
        <v>442</v>
      </c>
      <c r="BI219" s="103">
        <v>1212</v>
      </c>
      <c r="BJ219" s="103">
        <v>1893</v>
      </c>
      <c r="BK219" s="103">
        <v>2856</v>
      </c>
      <c r="BL219" s="103">
        <v>3540</v>
      </c>
      <c r="BM219" s="103">
        <v>3036</v>
      </c>
      <c r="BN219" s="103">
        <v>2434</v>
      </c>
      <c r="BO219" s="103">
        <v>1033</v>
      </c>
      <c r="BQ219" s="110"/>
      <c r="BR219" s="46" t="s">
        <v>10</v>
      </c>
      <c r="BS219" s="103">
        <v>6</v>
      </c>
      <c r="BT219" s="103">
        <v>18</v>
      </c>
      <c r="BU219" s="103">
        <v>47</v>
      </c>
      <c r="BV219" s="103">
        <v>88</v>
      </c>
      <c r="BW219" s="103">
        <v>138</v>
      </c>
      <c r="BX219" s="103">
        <v>178</v>
      </c>
      <c r="BY219" s="103">
        <v>215</v>
      </c>
      <c r="BZ219" s="103">
        <v>178</v>
      </c>
      <c r="CA219" s="103">
        <v>156</v>
      </c>
      <c r="CB219" s="103">
        <v>70</v>
      </c>
      <c r="CC219" s="42"/>
      <c r="CD219" s="110"/>
      <c r="CE219" s="46" t="s">
        <v>10</v>
      </c>
      <c r="CF219" s="103">
        <v>29</v>
      </c>
      <c r="CG219" s="103">
        <v>177</v>
      </c>
      <c r="CH219" s="103">
        <v>529</v>
      </c>
      <c r="CI219" s="103">
        <v>1489</v>
      </c>
      <c r="CJ219" s="103">
        <v>2200</v>
      </c>
      <c r="CK219" s="103">
        <v>3234</v>
      </c>
      <c r="CL219" s="103">
        <v>3894</v>
      </c>
      <c r="CM219" s="103">
        <v>3277</v>
      </c>
      <c r="CN219" s="103">
        <v>2559</v>
      </c>
      <c r="CO219" s="103">
        <v>1077</v>
      </c>
      <c r="CQ219" s="110"/>
      <c r="CR219" s="46" t="s">
        <v>10</v>
      </c>
      <c r="CS219" s="103">
        <v>3</v>
      </c>
      <c r="CT219" s="103">
        <v>15</v>
      </c>
      <c r="CU219" s="103">
        <v>64</v>
      </c>
      <c r="CV219" s="103">
        <v>182</v>
      </c>
      <c r="CW219" s="103">
        <v>350</v>
      </c>
      <c r="CX219" s="103">
        <v>517</v>
      </c>
      <c r="CY219" s="103">
        <v>717</v>
      </c>
      <c r="CZ219" s="103">
        <v>593</v>
      </c>
      <c r="DA219" s="103">
        <v>540</v>
      </c>
      <c r="DB219" s="103">
        <v>261</v>
      </c>
      <c r="DC219" s="42"/>
      <c r="DD219" s="110"/>
      <c r="DE219" s="46" t="s">
        <v>10</v>
      </c>
      <c r="DF219" s="103">
        <v>32</v>
      </c>
      <c r="DG219" s="103">
        <v>180</v>
      </c>
      <c r="DH219" s="103">
        <v>512</v>
      </c>
      <c r="DI219" s="103">
        <v>1395</v>
      </c>
      <c r="DJ219" s="103">
        <v>1988</v>
      </c>
      <c r="DK219" s="103">
        <v>2895</v>
      </c>
      <c r="DL219" s="103">
        <v>3392</v>
      </c>
      <c r="DM219" s="103">
        <v>2862</v>
      </c>
      <c r="DN219" s="103">
        <v>2175</v>
      </c>
      <c r="DO219" s="103">
        <v>886</v>
      </c>
    </row>
    <row r="220" spans="2:119" ht="14.45" customHeight="1" x14ac:dyDescent="0.45">
      <c r="B220" s="134"/>
      <c r="C220" s="42"/>
      <c r="D220" s="111"/>
      <c r="E220" s="46" t="s">
        <v>11</v>
      </c>
      <c r="F220" s="103">
        <v>0</v>
      </c>
      <c r="G220" s="103">
        <v>4</v>
      </c>
      <c r="H220" s="103">
        <v>31</v>
      </c>
      <c r="I220" s="103">
        <v>120</v>
      </c>
      <c r="J220" s="103">
        <v>212</v>
      </c>
      <c r="K220" s="103">
        <v>504</v>
      </c>
      <c r="L220" s="103">
        <v>831</v>
      </c>
      <c r="M220" s="103">
        <v>1175</v>
      </c>
      <c r="N220" s="103">
        <v>1542</v>
      </c>
      <c r="O220" s="103">
        <v>1290</v>
      </c>
      <c r="P220" s="42"/>
      <c r="Q220" s="111"/>
      <c r="R220" s="46" t="s">
        <v>11</v>
      </c>
      <c r="S220" s="103">
        <v>0</v>
      </c>
      <c r="T220" s="103">
        <v>1</v>
      </c>
      <c r="U220" s="103">
        <v>7</v>
      </c>
      <c r="V220" s="103">
        <v>23</v>
      </c>
      <c r="W220" s="103">
        <v>37</v>
      </c>
      <c r="X220" s="103">
        <v>93</v>
      </c>
      <c r="Y220" s="103">
        <v>215</v>
      </c>
      <c r="Z220" s="103">
        <v>312</v>
      </c>
      <c r="AA220" s="103">
        <v>423</v>
      </c>
      <c r="AB220" s="103">
        <v>389</v>
      </c>
      <c r="AC220" s="42"/>
      <c r="AD220" s="111"/>
      <c r="AE220" s="46" t="s">
        <v>11</v>
      </c>
      <c r="AF220" s="103">
        <v>0</v>
      </c>
      <c r="AG220" s="103">
        <v>3</v>
      </c>
      <c r="AH220" s="103">
        <v>24</v>
      </c>
      <c r="AI220" s="103">
        <v>97</v>
      </c>
      <c r="AJ220" s="103">
        <v>175</v>
      </c>
      <c r="AK220" s="103">
        <v>411</v>
      </c>
      <c r="AL220" s="103">
        <v>616</v>
      </c>
      <c r="AM220" s="103">
        <v>863</v>
      </c>
      <c r="AN220" s="103">
        <v>1119</v>
      </c>
      <c r="AO220" s="103">
        <v>901</v>
      </c>
      <c r="AP220" s="6"/>
      <c r="AQ220" s="111"/>
      <c r="AR220" s="46" t="s">
        <v>11</v>
      </c>
      <c r="AS220" s="103">
        <v>0</v>
      </c>
      <c r="AT220" s="103">
        <v>1</v>
      </c>
      <c r="AU220" s="103">
        <v>7</v>
      </c>
      <c r="AV220" s="103">
        <v>25</v>
      </c>
      <c r="AW220" s="103">
        <v>38</v>
      </c>
      <c r="AX220" s="103">
        <v>71</v>
      </c>
      <c r="AY220" s="103">
        <v>93</v>
      </c>
      <c r="AZ220" s="103">
        <v>100</v>
      </c>
      <c r="BA220" s="103">
        <v>102</v>
      </c>
      <c r="BB220" s="103">
        <v>84</v>
      </c>
      <c r="BC220" s="42"/>
      <c r="BD220" s="111"/>
      <c r="BE220" s="46" t="s">
        <v>11</v>
      </c>
      <c r="BF220" s="103">
        <v>0</v>
      </c>
      <c r="BG220" s="103">
        <v>3</v>
      </c>
      <c r="BH220" s="103">
        <v>24</v>
      </c>
      <c r="BI220" s="103">
        <v>95</v>
      </c>
      <c r="BJ220" s="103">
        <v>174</v>
      </c>
      <c r="BK220" s="103">
        <v>433</v>
      </c>
      <c r="BL220" s="103">
        <v>738</v>
      </c>
      <c r="BM220" s="103">
        <v>1075</v>
      </c>
      <c r="BN220" s="103">
        <v>1440</v>
      </c>
      <c r="BO220" s="103">
        <v>1206</v>
      </c>
      <c r="BQ220" s="111"/>
      <c r="BR220" s="46" t="s">
        <v>11</v>
      </c>
      <c r="BS220" s="103">
        <v>0</v>
      </c>
      <c r="BT220" s="103">
        <v>1</v>
      </c>
      <c r="BU220" s="103">
        <v>2</v>
      </c>
      <c r="BV220" s="103">
        <v>8</v>
      </c>
      <c r="BW220" s="103">
        <v>18</v>
      </c>
      <c r="BX220" s="103">
        <v>25</v>
      </c>
      <c r="BY220" s="103">
        <v>34</v>
      </c>
      <c r="BZ220" s="103">
        <v>44</v>
      </c>
      <c r="CA220" s="103">
        <v>67</v>
      </c>
      <c r="CB220" s="103">
        <v>40</v>
      </c>
      <c r="CC220" s="42"/>
      <c r="CD220" s="111"/>
      <c r="CE220" s="46" t="s">
        <v>11</v>
      </c>
      <c r="CF220" s="103">
        <v>0</v>
      </c>
      <c r="CG220" s="103">
        <v>3</v>
      </c>
      <c r="CH220" s="103">
        <v>29</v>
      </c>
      <c r="CI220" s="103">
        <v>112</v>
      </c>
      <c r="CJ220" s="103">
        <v>194</v>
      </c>
      <c r="CK220" s="103">
        <v>479</v>
      </c>
      <c r="CL220" s="103">
        <v>797</v>
      </c>
      <c r="CM220" s="103">
        <v>1131</v>
      </c>
      <c r="CN220" s="103">
        <v>1475</v>
      </c>
      <c r="CO220" s="103">
        <v>1250</v>
      </c>
      <c r="CQ220" s="111"/>
      <c r="CR220" s="46" t="s">
        <v>11</v>
      </c>
      <c r="CS220" s="103">
        <v>0</v>
      </c>
      <c r="CT220" s="103">
        <v>1</v>
      </c>
      <c r="CU220" s="103">
        <v>1</v>
      </c>
      <c r="CV220" s="103">
        <v>15</v>
      </c>
      <c r="CW220" s="103">
        <v>19</v>
      </c>
      <c r="CX220" s="103">
        <v>59</v>
      </c>
      <c r="CY220" s="103">
        <v>106</v>
      </c>
      <c r="CZ220" s="103">
        <v>164</v>
      </c>
      <c r="DA220" s="103">
        <v>234</v>
      </c>
      <c r="DB220" s="103">
        <v>224</v>
      </c>
      <c r="DC220" s="42"/>
      <c r="DD220" s="111"/>
      <c r="DE220" s="46" t="s">
        <v>11</v>
      </c>
      <c r="DF220" s="103">
        <v>0</v>
      </c>
      <c r="DG220" s="103">
        <v>3</v>
      </c>
      <c r="DH220" s="103">
        <v>30</v>
      </c>
      <c r="DI220" s="103">
        <v>105</v>
      </c>
      <c r="DJ220" s="103">
        <v>193</v>
      </c>
      <c r="DK220" s="103">
        <v>445</v>
      </c>
      <c r="DL220" s="103">
        <v>725</v>
      </c>
      <c r="DM220" s="103">
        <v>1011</v>
      </c>
      <c r="DN220" s="103">
        <v>1308</v>
      </c>
      <c r="DO220" s="103">
        <v>1066</v>
      </c>
    </row>
    <row r="221" spans="2:119" ht="14.45" customHeight="1" x14ac:dyDescent="0.45">
      <c r="B221" s="99"/>
      <c r="C221" s="42"/>
      <c r="D221" s="42"/>
      <c r="E221" s="42"/>
      <c r="F221" s="42"/>
      <c r="G221" s="42"/>
      <c r="H221" s="42"/>
      <c r="I221" s="42"/>
      <c r="J221" s="42"/>
      <c r="K221" s="42"/>
      <c r="L221" s="42"/>
      <c r="M221" s="42"/>
      <c r="N221" s="42"/>
      <c r="O221" s="42"/>
      <c r="P221" s="42"/>
      <c r="Q221" s="42"/>
      <c r="R221" s="42"/>
      <c r="S221" s="42"/>
      <c r="T221" s="42"/>
      <c r="U221" s="42"/>
      <c r="V221" s="42"/>
      <c r="W221" s="42"/>
      <c r="X221" s="42"/>
      <c r="Y221" s="42"/>
      <c r="Z221" s="42"/>
      <c r="AA221" s="42"/>
      <c r="AB221" s="42"/>
      <c r="AC221" s="42"/>
      <c r="AD221" s="42"/>
      <c r="AE221" s="42"/>
      <c r="AF221" s="42"/>
      <c r="AG221" s="42"/>
      <c r="AH221" s="42"/>
      <c r="AI221" s="42"/>
      <c r="AJ221" s="42"/>
      <c r="AK221" s="42"/>
      <c r="AL221" s="42"/>
      <c r="AM221" s="42"/>
      <c r="AN221" s="42"/>
      <c r="AO221" s="42"/>
      <c r="AP221" s="6"/>
      <c r="AQ221" s="42"/>
      <c r="AR221" s="42"/>
      <c r="AS221" s="42"/>
      <c r="AT221" s="42"/>
      <c r="AU221" s="42"/>
      <c r="AV221" s="42"/>
      <c r="AW221" s="42"/>
      <c r="AX221" s="42"/>
      <c r="AY221" s="42"/>
      <c r="AZ221" s="42"/>
      <c r="BA221" s="42"/>
      <c r="BB221" s="42"/>
      <c r="BC221" s="42"/>
      <c r="BD221" s="42"/>
      <c r="BE221" s="42"/>
      <c r="BF221" s="42"/>
      <c r="BG221" s="42"/>
      <c r="BH221" s="42"/>
      <c r="BI221" s="42"/>
      <c r="BJ221" s="42"/>
      <c r="BK221" s="42"/>
      <c r="BL221" s="42"/>
      <c r="BM221" s="42"/>
      <c r="BN221" s="42"/>
      <c r="BO221" s="42"/>
      <c r="BQ221" s="42"/>
      <c r="BR221" s="42"/>
      <c r="BS221" s="42"/>
      <c r="BT221" s="42"/>
      <c r="BU221" s="42"/>
      <c r="BV221" s="42"/>
      <c r="BW221" s="42"/>
      <c r="BX221" s="42"/>
      <c r="BY221" s="42"/>
      <c r="BZ221" s="42"/>
      <c r="CA221" s="42"/>
      <c r="CB221" s="42"/>
      <c r="CC221" s="42"/>
      <c r="CD221" s="42"/>
      <c r="CE221" s="42"/>
      <c r="CF221" s="42"/>
      <c r="CG221" s="42"/>
      <c r="CH221" s="42"/>
      <c r="CI221" s="42"/>
      <c r="CJ221" s="42"/>
      <c r="CK221" s="42"/>
      <c r="CL221" s="42"/>
      <c r="CM221" s="42"/>
      <c r="CN221" s="42"/>
      <c r="CO221" s="42"/>
      <c r="CQ221" s="42"/>
      <c r="CR221" s="42"/>
      <c r="CS221" s="42"/>
      <c r="CT221" s="42"/>
      <c r="CU221" s="42"/>
      <c r="CV221" s="42"/>
      <c r="CW221" s="42"/>
      <c r="CX221" s="42"/>
      <c r="CY221" s="42"/>
      <c r="CZ221" s="42"/>
      <c r="DA221" s="42"/>
      <c r="DB221" s="42"/>
      <c r="DC221" s="42"/>
      <c r="DD221" s="42"/>
      <c r="DE221" s="42"/>
      <c r="DF221" s="42"/>
      <c r="DG221" s="42"/>
      <c r="DH221" s="42"/>
      <c r="DI221" s="42"/>
      <c r="DJ221" s="42"/>
      <c r="DK221" s="42"/>
      <c r="DL221" s="42"/>
      <c r="DM221" s="42"/>
      <c r="DN221" s="42"/>
      <c r="DO221" s="42"/>
    </row>
    <row r="222" spans="2:119" ht="14.45" customHeight="1" x14ac:dyDescent="0.55000000000000004">
      <c r="B222" s="99"/>
      <c r="C222" s="42"/>
      <c r="D222" s="112" t="s">
        <v>16</v>
      </c>
      <c r="E222" s="112"/>
      <c r="F222" s="45"/>
      <c r="G222" s="45"/>
      <c r="H222" s="45"/>
      <c r="I222" s="45"/>
      <c r="J222" s="45"/>
      <c r="K222" s="45"/>
      <c r="L222" s="45"/>
      <c r="M222" s="45"/>
      <c r="N222" s="45"/>
      <c r="O222" s="45"/>
      <c r="P222" s="42"/>
      <c r="Q222" s="112" t="s">
        <v>16</v>
      </c>
      <c r="R222" s="112"/>
      <c r="S222" s="45"/>
      <c r="T222" s="45"/>
      <c r="U222" s="45"/>
      <c r="V222" s="45"/>
      <c r="W222" s="45"/>
      <c r="X222" s="45"/>
      <c r="Y222" s="45"/>
      <c r="Z222" s="45"/>
      <c r="AA222" s="45"/>
      <c r="AB222" s="45"/>
      <c r="AC222" s="42"/>
      <c r="AD222" s="112" t="s">
        <v>16</v>
      </c>
      <c r="AE222" s="112"/>
      <c r="AF222" s="45"/>
      <c r="AG222" s="45"/>
      <c r="AH222" s="45"/>
      <c r="AI222" s="45"/>
      <c r="AJ222" s="45"/>
      <c r="AK222" s="45"/>
      <c r="AL222" s="45"/>
      <c r="AM222" s="45"/>
      <c r="AN222" s="45"/>
      <c r="AO222" s="45"/>
      <c r="AP222" s="6"/>
      <c r="AQ222" s="112" t="s">
        <v>16</v>
      </c>
      <c r="AR222" s="112"/>
      <c r="AS222" s="45"/>
      <c r="AT222" s="45"/>
      <c r="AU222" s="45"/>
      <c r="AV222" s="45"/>
      <c r="AW222" s="45"/>
      <c r="AX222" s="45"/>
      <c r="AY222" s="45"/>
      <c r="AZ222" s="45"/>
      <c r="BA222" s="45"/>
      <c r="BB222" s="45"/>
      <c r="BC222" s="42"/>
      <c r="BD222" s="112" t="s">
        <v>16</v>
      </c>
      <c r="BE222" s="112"/>
      <c r="BF222" s="45"/>
      <c r="BG222" s="45"/>
      <c r="BH222" s="45"/>
      <c r="BI222" s="45"/>
      <c r="BJ222" s="45"/>
      <c r="BK222" s="45"/>
      <c r="BL222" s="45"/>
      <c r="BM222" s="45"/>
      <c r="BN222" s="45"/>
      <c r="BO222" s="45"/>
      <c r="BQ222" s="112" t="s">
        <v>16</v>
      </c>
      <c r="BR222" s="112"/>
      <c r="BS222" s="45"/>
      <c r="BT222" s="45"/>
      <c r="BU222" s="45"/>
      <c r="BV222" s="45"/>
      <c r="BW222" s="45"/>
      <c r="BX222" s="45"/>
      <c r="BY222" s="45"/>
      <c r="BZ222" s="45"/>
      <c r="CA222" s="45"/>
      <c r="CB222" s="45"/>
      <c r="CC222" s="42"/>
      <c r="CD222" s="112" t="s">
        <v>16</v>
      </c>
      <c r="CE222" s="112"/>
      <c r="CF222" s="45"/>
      <c r="CG222" s="45"/>
      <c r="CH222" s="45"/>
      <c r="CI222" s="45"/>
      <c r="CJ222" s="45"/>
      <c r="CK222" s="45"/>
      <c r="CL222" s="45"/>
      <c r="CM222" s="45"/>
      <c r="CN222" s="45"/>
      <c r="CO222" s="45"/>
      <c r="CQ222" s="112" t="s">
        <v>16</v>
      </c>
      <c r="CR222" s="112"/>
      <c r="CS222" s="45"/>
      <c r="CT222" s="45"/>
      <c r="CU222" s="45"/>
      <c r="CV222" s="45"/>
      <c r="CW222" s="45"/>
      <c r="CX222" s="45"/>
      <c r="CY222" s="45"/>
      <c r="CZ222" s="45"/>
      <c r="DA222" s="45"/>
      <c r="DB222" s="45"/>
      <c r="DC222" s="42"/>
      <c r="DD222" s="112" t="s">
        <v>16</v>
      </c>
      <c r="DE222" s="112"/>
      <c r="DF222" s="45"/>
      <c r="DG222" s="45"/>
      <c r="DH222" s="45"/>
      <c r="DI222" s="45"/>
      <c r="DJ222" s="45"/>
      <c r="DK222" s="45"/>
      <c r="DL222" s="45"/>
      <c r="DM222" s="45"/>
      <c r="DN222" s="45"/>
      <c r="DO222" s="45"/>
    </row>
    <row r="223" spans="2:119" ht="28.9" customHeight="1" x14ac:dyDescent="0.45">
      <c r="B223" s="99"/>
      <c r="C223" s="42"/>
      <c r="D223" s="112"/>
      <c r="E223" s="112"/>
      <c r="F223" s="108" t="s">
        <v>12</v>
      </c>
      <c r="G223" s="108"/>
      <c r="H223" s="108"/>
      <c r="I223" s="108"/>
      <c r="J223" s="108"/>
      <c r="K223" s="108"/>
      <c r="L223" s="108"/>
      <c r="M223" s="108"/>
      <c r="N223" s="108"/>
      <c r="O223" s="108"/>
      <c r="P223" s="42"/>
      <c r="Q223" s="112"/>
      <c r="R223" s="112"/>
      <c r="S223" s="108" t="s">
        <v>12</v>
      </c>
      <c r="T223" s="108"/>
      <c r="U223" s="108"/>
      <c r="V223" s="108"/>
      <c r="W223" s="108"/>
      <c r="X223" s="108"/>
      <c r="Y223" s="108"/>
      <c r="Z223" s="108"/>
      <c r="AA223" s="108"/>
      <c r="AB223" s="108"/>
      <c r="AC223" s="42"/>
      <c r="AD223" s="112"/>
      <c r="AE223" s="112"/>
      <c r="AF223" s="131" t="s">
        <v>12</v>
      </c>
      <c r="AG223" s="132"/>
      <c r="AH223" s="132"/>
      <c r="AI223" s="132"/>
      <c r="AJ223" s="132"/>
      <c r="AK223" s="132"/>
      <c r="AL223" s="132"/>
      <c r="AM223" s="132"/>
      <c r="AN223" s="132"/>
      <c r="AO223" s="133"/>
      <c r="AP223" s="6"/>
      <c r="AQ223" s="112"/>
      <c r="AR223" s="112"/>
      <c r="AS223" s="108" t="s">
        <v>12</v>
      </c>
      <c r="AT223" s="108"/>
      <c r="AU223" s="108"/>
      <c r="AV223" s="108"/>
      <c r="AW223" s="108"/>
      <c r="AX223" s="108"/>
      <c r="AY223" s="108"/>
      <c r="AZ223" s="108"/>
      <c r="BA223" s="108"/>
      <c r="BB223" s="108"/>
      <c r="BC223" s="42"/>
      <c r="BD223" s="112"/>
      <c r="BE223" s="112"/>
      <c r="BF223" s="108" t="s">
        <v>12</v>
      </c>
      <c r="BG223" s="108"/>
      <c r="BH223" s="108"/>
      <c r="BI223" s="108"/>
      <c r="BJ223" s="108"/>
      <c r="BK223" s="108"/>
      <c r="BL223" s="108"/>
      <c r="BM223" s="108"/>
      <c r="BN223" s="108"/>
      <c r="BO223" s="108"/>
      <c r="BQ223" s="112"/>
      <c r="BR223" s="112"/>
      <c r="BS223" s="108" t="s">
        <v>12</v>
      </c>
      <c r="BT223" s="108"/>
      <c r="BU223" s="108"/>
      <c r="BV223" s="108"/>
      <c r="BW223" s="108"/>
      <c r="BX223" s="108"/>
      <c r="BY223" s="108"/>
      <c r="BZ223" s="108"/>
      <c r="CA223" s="108"/>
      <c r="CB223" s="108"/>
      <c r="CC223" s="42"/>
      <c r="CD223" s="112"/>
      <c r="CE223" s="112"/>
      <c r="CF223" s="108" t="s">
        <v>12</v>
      </c>
      <c r="CG223" s="108"/>
      <c r="CH223" s="108"/>
      <c r="CI223" s="108"/>
      <c r="CJ223" s="108"/>
      <c r="CK223" s="108"/>
      <c r="CL223" s="108"/>
      <c r="CM223" s="108"/>
      <c r="CN223" s="108"/>
      <c r="CO223" s="108"/>
      <c r="CQ223" s="112"/>
      <c r="CR223" s="112"/>
      <c r="CS223" s="108" t="s">
        <v>12</v>
      </c>
      <c r="CT223" s="108"/>
      <c r="CU223" s="108"/>
      <c r="CV223" s="108"/>
      <c r="CW223" s="108"/>
      <c r="CX223" s="108"/>
      <c r="CY223" s="108"/>
      <c r="CZ223" s="108"/>
      <c r="DA223" s="108"/>
      <c r="DB223" s="108"/>
      <c r="DC223" s="42"/>
      <c r="DD223" s="112"/>
      <c r="DE223" s="112"/>
      <c r="DF223" s="108" t="s">
        <v>12</v>
      </c>
      <c r="DG223" s="108"/>
      <c r="DH223" s="108"/>
      <c r="DI223" s="108"/>
      <c r="DJ223" s="108"/>
      <c r="DK223" s="108"/>
      <c r="DL223" s="108"/>
      <c r="DM223" s="108"/>
      <c r="DN223" s="108"/>
      <c r="DO223" s="108"/>
    </row>
    <row r="224" spans="2:119" ht="14.45" customHeight="1" x14ac:dyDescent="0.45">
      <c r="B224" s="99"/>
      <c r="C224" s="42"/>
      <c r="D224" s="113"/>
      <c r="E224" s="113"/>
      <c r="F224" s="9" t="s">
        <v>0</v>
      </c>
      <c r="G224" s="9">
        <v>1</v>
      </c>
      <c r="H224" s="9">
        <v>2</v>
      </c>
      <c r="I224" s="9">
        <v>3</v>
      </c>
      <c r="J224" s="9">
        <v>4</v>
      </c>
      <c r="K224" s="9">
        <v>5</v>
      </c>
      <c r="L224" s="9">
        <v>6</v>
      </c>
      <c r="M224" s="9">
        <v>7</v>
      </c>
      <c r="N224" s="9">
        <v>8</v>
      </c>
      <c r="O224" s="9">
        <v>9</v>
      </c>
      <c r="P224" s="42"/>
      <c r="Q224" s="113"/>
      <c r="R224" s="113"/>
      <c r="S224" s="9" t="s">
        <v>0</v>
      </c>
      <c r="T224" s="9">
        <v>1</v>
      </c>
      <c r="U224" s="9">
        <v>2</v>
      </c>
      <c r="V224" s="9">
        <v>3</v>
      </c>
      <c r="W224" s="9">
        <v>4</v>
      </c>
      <c r="X224" s="9">
        <v>5</v>
      </c>
      <c r="Y224" s="9">
        <v>6</v>
      </c>
      <c r="Z224" s="9">
        <v>7</v>
      </c>
      <c r="AA224" s="9">
        <v>8</v>
      </c>
      <c r="AB224" s="9">
        <v>9</v>
      </c>
      <c r="AC224" s="42"/>
      <c r="AD224" s="113"/>
      <c r="AE224" s="113"/>
      <c r="AF224" s="9" t="s">
        <v>0</v>
      </c>
      <c r="AG224" s="9">
        <v>1</v>
      </c>
      <c r="AH224" s="9">
        <v>2</v>
      </c>
      <c r="AI224" s="9">
        <v>3</v>
      </c>
      <c r="AJ224" s="9">
        <v>4</v>
      </c>
      <c r="AK224" s="9">
        <v>5</v>
      </c>
      <c r="AL224" s="9">
        <v>6</v>
      </c>
      <c r="AM224" s="9">
        <v>7</v>
      </c>
      <c r="AN224" s="9">
        <v>8</v>
      </c>
      <c r="AO224" s="9">
        <v>9</v>
      </c>
      <c r="AP224" s="6"/>
      <c r="AQ224" s="113"/>
      <c r="AR224" s="113"/>
      <c r="AS224" s="9" t="s">
        <v>0</v>
      </c>
      <c r="AT224" s="9">
        <v>1</v>
      </c>
      <c r="AU224" s="9">
        <v>2</v>
      </c>
      <c r="AV224" s="9">
        <v>3</v>
      </c>
      <c r="AW224" s="9">
        <v>4</v>
      </c>
      <c r="AX224" s="9">
        <v>5</v>
      </c>
      <c r="AY224" s="9">
        <v>6</v>
      </c>
      <c r="AZ224" s="9">
        <v>7</v>
      </c>
      <c r="BA224" s="9">
        <v>8</v>
      </c>
      <c r="BB224" s="9">
        <v>9</v>
      </c>
      <c r="BC224" s="42"/>
      <c r="BD224" s="113"/>
      <c r="BE224" s="113"/>
      <c r="BF224" s="9" t="s">
        <v>0</v>
      </c>
      <c r="BG224" s="9">
        <v>1</v>
      </c>
      <c r="BH224" s="9">
        <v>2</v>
      </c>
      <c r="BI224" s="9">
        <v>3</v>
      </c>
      <c r="BJ224" s="9">
        <v>4</v>
      </c>
      <c r="BK224" s="9">
        <v>5</v>
      </c>
      <c r="BL224" s="9">
        <v>6</v>
      </c>
      <c r="BM224" s="9">
        <v>7</v>
      </c>
      <c r="BN224" s="9">
        <v>8</v>
      </c>
      <c r="BO224" s="9">
        <v>9</v>
      </c>
      <c r="BQ224" s="113"/>
      <c r="BR224" s="113"/>
      <c r="BS224" s="9" t="s">
        <v>0</v>
      </c>
      <c r="BT224" s="9">
        <v>1</v>
      </c>
      <c r="BU224" s="9">
        <v>2</v>
      </c>
      <c r="BV224" s="9">
        <v>3</v>
      </c>
      <c r="BW224" s="9">
        <v>4</v>
      </c>
      <c r="BX224" s="9">
        <v>5</v>
      </c>
      <c r="BY224" s="9">
        <v>6</v>
      </c>
      <c r="BZ224" s="9">
        <v>7</v>
      </c>
      <c r="CA224" s="9">
        <v>8</v>
      </c>
      <c r="CB224" s="9">
        <v>9</v>
      </c>
      <c r="CC224" s="42"/>
      <c r="CD224" s="113"/>
      <c r="CE224" s="113"/>
      <c r="CF224" s="9" t="s">
        <v>0</v>
      </c>
      <c r="CG224" s="9">
        <v>1</v>
      </c>
      <c r="CH224" s="9">
        <v>2</v>
      </c>
      <c r="CI224" s="9">
        <v>3</v>
      </c>
      <c r="CJ224" s="9">
        <v>4</v>
      </c>
      <c r="CK224" s="9">
        <v>5</v>
      </c>
      <c r="CL224" s="9">
        <v>6</v>
      </c>
      <c r="CM224" s="9">
        <v>7</v>
      </c>
      <c r="CN224" s="9">
        <v>8</v>
      </c>
      <c r="CO224" s="9">
        <v>9</v>
      </c>
      <c r="CQ224" s="113"/>
      <c r="CR224" s="113"/>
      <c r="CS224" s="9" t="s">
        <v>0</v>
      </c>
      <c r="CT224" s="9">
        <v>1</v>
      </c>
      <c r="CU224" s="9">
        <v>2</v>
      </c>
      <c r="CV224" s="9">
        <v>3</v>
      </c>
      <c r="CW224" s="9">
        <v>4</v>
      </c>
      <c r="CX224" s="9">
        <v>5</v>
      </c>
      <c r="CY224" s="9">
        <v>6</v>
      </c>
      <c r="CZ224" s="9">
        <v>7</v>
      </c>
      <c r="DA224" s="9">
        <v>8</v>
      </c>
      <c r="DB224" s="9">
        <v>9</v>
      </c>
      <c r="DC224" s="42"/>
      <c r="DD224" s="113"/>
      <c r="DE224" s="113"/>
      <c r="DF224" s="9" t="s">
        <v>0</v>
      </c>
      <c r="DG224" s="9">
        <v>1</v>
      </c>
      <c r="DH224" s="9">
        <v>2</v>
      </c>
      <c r="DI224" s="9">
        <v>3</v>
      </c>
      <c r="DJ224" s="9">
        <v>4</v>
      </c>
      <c r="DK224" s="9">
        <v>5</v>
      </c>
      <c r="DL224" s="9">
        <v>6</v>
      </c>
      <c r="DM224" s="9">
        <v>7</v>
      </c>
      <c r="DN224" s="9">
        <v>8</v>
      </c>
      <c r="DO224" s="9">
        <v>9</v>
      </c>
    </row>
    <row r="225" spans="2:119" ht="14.45" customHeight="1" x14ac:dyDescent="0.45">
      <c r="B225" s="99"/>
      <c r="C225" s="42"/>
      <c r="D225" s="109" t="s">
        <v>13</v>
      </c>
      <c r="E225" s="47" t="s">
        <v>1</v>
      </c>
      <c r="F225" s="103">
        <v>0</v>
      </c>
      <c r="G225" s="103">
        <v>25</v>
      </c>
      <c r="H225" s="103">
        <v>25</v>
      </c>
      <c r="I225" s="103">
        <v>0</v>
      </c>
      <c r="J225" s="103">
        <v>25</v>
      </c>
      <c r="K225" s="103">
        <v>0</v>
      </c>
      <c r="L225" s="103">
        <v>25</v>
      </c>
      <c r="M225" s="103">
        <v>0</v>
      </c>
      <c r="N225" s="103">
        <v>0</v>
      </c>
      <c r="O225" s="17">
        <v>0</v>
      </c>
      <c r="P225" s="42"/>
      <c r="Q225" s="109" t="s">
        <v>13</v>
      </c>
      <c r="R225" s="46" t="s">
        <v>1</v>
      </c>
      <c r="S225" s="103" t="s">
        <v>128</v>
      </c>
      <c r="T225" s="103" t="s">
        <v>128</v>
      </c>
      <c r="U225" s="103" t="s">
        <v>128</v>
      </c>
      <c r="V225" s="103" t="s">
        <v>128</v>
      </c>
      <c r="W225" s="103" t="s">
        <v>128</v>
      </c>
      <c r="X225" s="103" t="s">
        <v>128</v>
      </c>
      <c r="Y225" s="103" t="s">
        <v>128</v>
      </c>
      <c r="Z225" s="103" t="s">
        <v>128</v>
      </c>
      <c r="AA225" s="103" t="s">
        <v>128</v>
      </c>
      <c r="AB225" s="17" t="s">
        <v>128</v>
      </c>
      <c r="AC225" s="42"/>
      <c r="AD225" s="109" t="s">
        <v>13</v>
      </c>
      <c r="AE225" s="46" t="s">
        <v>1</v>
      </c>
      <c r="AF225" s="103">
        <v>0</v>
      </c>
      <c r="AG225" s="103">
        <v>25</v>
      </c>
      <c r="AH225" s="103">
        <v>25</v>
      </c>
      <c r="AI225" s="103">
        <v>0</v>
      </c>
      <c r="AJ225" s="103">
        <v>25</v>
      </c>
      <c r="AK225" s="103">
        <v>0</v>
      </c>
      <c r="AL225" s="103">
        <v>25</v>
      </c>
      <c r="AM225" s="103">
        <v>0</v>
      </c>
      <c r="AN225" s="103">
        <v>0</v>
      </c>
      <c r="AO225" s="17">
        <v>0</v>
      </c>
      <c r="AP225" s="6"/>
      <c r="AQ225" s="109" t="s">
        <v>13</v>
      </c>
      <c r="AR225" s="46" t="s">
        <v>1</v>
      </c>
      <c r="AS225" s="103">
        <v>0</v>
      </c>
      <c r="AT225" s="103">
        <v>50</v>
      </c>
      <c r="AU225" s="103">
        <v>0</v>
      </c>
      <c r="AV225" s="103">
        <v>0</v>
      </c>
      <c r="AW225" s="103">
        <v>50</v>
      </c>
      <c r="AX225" s="103">
        <v>0</v>
      </c>
      <c r="AY225" s="103">
        <v>0</v>
      </c>
      <c r="AZ225" s="103">
        <v>0</v>
      </c>
      <c r="BA225" s="103">
        <v>0</v>
      </c>
      <c r="BB225" s="17">
        <v>0</v>
      </c>
      <c r="BC225" s="42"/>
      <c r="BD225" s="109" t="s">
        <v>13</v>
      </c>
      <c r="BE225" s="46" t="s">
        <v>1</v>
      </c>
      <c r="BF225" s="103">
        <v>0</v>
      </c>
      <c r="BG225" s="103">
        <v>0</v>
      </c>
      <c r="BH225" s="103">
        <v>50</v>
      </c>
      <c r="BI225" s="103">
        <v>0</v>
      </c>
      <c r="BJ225" s="103">
        <v>0</v>
      </c>
      <c r="BK225" s="103">
        <v>0</v>
      </c>
      <c r="BL225" s="103">
        <v>50</v>
      </c>
      <c r="BM225" s="103">
        <v>0</v>
      </c>
      <c r="BN225" s="103">
        <v>0</v>
      </c>
      <c r="BO225" s="17">
        <v>0</v>
      </c>
      <c r="BQ225" s="109" t="s">
        <v>13</v>
      </c>
      <c r="BR225" s="46" t="s">
        <v>1</v>
      </c>
      <c r="BS225" s="103">
        <v>0</v>
      </c>
      <c r="BT225" s="103">
        <v>50</v>
      </c>
      <c r="BU225" s="103">
        <v>0</v>
      </c>
      <c r="BV225" s="103">
        <v>0</v>
      </c>
      <c r="BW225" s="103">
        <v>50</v>
      </c>
      <c r="BX225" s="103">
        <v>0</v>
      </c>
      <c r="BY225" s="103">
        <v>0</v>
      </c>
      <c r="BZ225" s="103">
        <v>0</v>
      </c>
      <c r="CA225" s="103">
        <v>0</v>
      </c>
      <c r="CB225" s="17">
        <v>0</v>
      </c>
      <c r="CC225" s="42"/>
      <c r="CD225" s="109" t="s">
        <v>13</v>
      </c>
      <c r="CE225" s="46" t="s">
        <v>1</v>
      </c>
      <c r="CF225" s="103">
        <v>0</v>
      </c>
      <c r="CG225" s="103">
        <v>0</v>
      </c>
      <c r="CH225" s="103">
        <v>50</v>
      </c>
      <c r="CI225" s="103">
        <v>0</v>
      </c>
      <c r="CJ225" s="103">
        <v>0</v>
      </c>
      <c r="CK225" s="103">
        <v>0</v>
      </c>
      <c r="CL225" s="103">
        <v>50</v>
      </c>
      <c r="CM225" s="103">
        <v>0</v>
      </c>
      <c r="CN225" s="103">
        <v>0</v>
      </c>
      <c r="CO225" s="17">
        <v>0</v>
      </c>
      <c r="CQ225" s="109" t="s">
        <v>13</v>
      </c>
      <c r="CR225" s="46" t="s">
        <v>1</v>
      </c>
      <c r="CS225" s="103">
        <v>0</v>
      </c>
      <c r="CT225" s="103">
        <v>25</v>
      </c>
      <c r="CU225" s="103">
        <v>25</v>
      </c>
      <c r="CV225" s="103">
        <v>0</v>
      </c>
      <c r="CW225" s="103">
        <v>25</v>
      </c>
      <c r="CX225" s="103">
        <v>0</v>
      </c>
      <c r="CY225" s="103">
        <v>25</v>
      </c>
      <c r="CZ225" s="103">
        <v>0</v>
      </c>
      <c r="DA225" s="103">
        <v>0</v>
      </c>
      <c r="DB225" s="17">
        <v>0</v>
      </c>
      <c r="DC225" s="42"/>
      <c r="DD225" s="109" t="s">
        <v>13</v>
      </c>
      <c r="DE225" s="46" t="s">
        <v>1</v>
      </c>
      <c r="DF225" s="103" t="s">
        <v>128</v>
      </c>
      <c r="DG225" s="103" t="s">
        <v>128</v>
      </c>
      <c r="DH225" s="103" t="s">
        <v>128</v>
      </c>
      <c r="DI225" s="103" t="s">
        <v>128</v>
      </c>
      <c r="DJ225" s="103" t="s">
        <v>128</v>
      </c>
      <c r="DK225" s="103" t="s">
        <v>128</v>
      </c>
      <c r="DL225" s="103" t="s">
        <v>128</v>
      </c>
      <c r="DM225" s="103" t="s">
        <v>128</v>
      </c>
      <c r="DN225" s="103" t="s">
        <v>128</v>
      </c>
      <c r="DO225" s="17" t="s">
        <v>128</v>
      </c>
    </row>
    <row r="226" spans="2:119" ht="14.45" customHeight="1" x14ac:dyDescent="0.45">
      <c r="B226" s="99"/>
      <c r="C226" s="42"/>
      <c r="D226" s="110"/>
      <c r="E226" s="47">
        <v>1</v>
      </c>
      <c r="F226" s="103">
        <v>42.857142857142854</v>
      </c>
      <c r="G226" s="103">
        <v>14.285714285714285</v>
      </c>
      <c r="H226" s="103">
        <v>7.1428571428571423</v>
      </c>
      <c r="I226" s="103">
        <v>7.1428571428571423</v>
      </c>
      <c r="J226" s="103">
        <v>14.285714285714285</v>
      </c>
      <c r="K226" s="103">
        <v>14.285714285714285</v>
      </c>
      <c r="L226" s="103">
        <v>0</v>
      </c>
      <c r="M226" s="103">
        <v>0</v>
      </c>
      <c r="N226" s="103">
        <v>0</v>
      </c>
      <c r="O226" s="103">
        <v>0</v>
      </c>
      <c r="P226" s="42"/>
      <c r="Q226" s="110"/>
      <c r="R226" s="46">
        <v>1</v>
      </c>
      <c r="S226" s="103">
        <v>60</v>
      </c>
      <c r="T226" s="103">
        <v>20</v>
      </c>
      <c r="U226" s="103">
        <v>0</v>
      </c>
      <c r="V226" s="103">
        <v>0</v>
      </c>
      <c r="W226" s="103">
        <v>0</v>
      </c>
      <c r="X226" s="103">
        <v>20</v>
      </c>
      <c r="Y226" s="103">
        <v>0</v>
      </c>
      <c r="Z226" s="103">
        <v>0</v>
      </c>
      <c r="AA226" s="103">
        <v>0</v>
      </c>
      <c r="AB226" s="103">
        <v>0</v>
      </c>
      <c r="AC226" s="42"/>
      <c r="AD226" s="110"/>
      <c r="AE226" s="46">
        <v>1</v>
      </c>
      <c r="AF226" s="103">
        <v>33.333333333333329</v>
      </c>
      <c r="AG226" s="103">
        <v>11.111111111111111</v>
      </c>
      <c r="AH226" s="103">
        <v>11.111111111111111</v>
      </c>
      <c r="AI226" s="103">
        <v>11.111111111111111</v>
      </c>
      <c r="AJ226" s="103">
        <v>22.222222222222221</v>
      </c>
      <c r="AK226" s="103">
        <v>11.111111111111111</v>
      </c>
      <c r="AL226" s="103">
        <v>0</v>
      </c>
      <c r="AM226" s="103">
        <v>0</v>
      </c>
      <c r="AN226" s="103">
        <v>0</v>
      </c>
      <c r="AO226" s="103">
        <v>0</v>
      </c>
      <c r="AP226" s="6"/>
      <c r="AQ226" s="110"/>
      <c r="AR226" s="46">
        <v>1</v>
      </c>
      <c r="AS226" s="103">
        <v>33.333333333333329</v>
      </c>
      <c r="AT226" s="103">
        <v>33.333333333333329</v>
      </c>
      <c r="AU226" s="103">
        <v>16.666666666666664</v>
      </c>
      <c r="AV226" s="103">
        <v>16.666666666666664</v>
      </c>
      <c r="AW226" s="103">
        <v>0</v>
      </c>
      <c r="AX226" s="103">
        <v>0</v>
      </c>
      <c r="AY226" s="103">
        <v>0</v>
      </c>
      <c r="AZ226" s="103">
        <v>0</v>
      </c>
      <c r="BA226" s="103">
        <v>0</v>
      </c>
      <c r="BB226" s="103">
        <v>0</v>
      </c>
      <c r="BC226" s="42"/>
      <c r="BD226" s="110"/>
      <c r="BE226" s="46">
        <v>1</v>
      </c>
      <c r="BF226" s="103">
        <v>50</v>
      </c>
      <c r="BG226" s="103">
        <v>0</v>
      </c>
      <c r="BH226" s="103">
        <v>0</v>
      </c>
      <c r="BI226" s="103">
        <v>0</v>
      </c>
      <c r="BJ226" s="103">
        <v>25</v>
      </c>
      <c r="BK226" s="103">
        <v>25</v>
      </c>
      <c r="BL226" s="103">
        <v>0</v>
      </c>
      <c r="BM226" s="103">
        <v>0</v>
      </c>
      <c r="BN226" s="103">
        <v>0</v>
      </c>
      <c r="BO226" s="103">
        <v>0</v>
      </c>
      <c r="BQ226" s="110"/>
      <c r="BR226" s="46">
        <v>1</v>
      </c>
      <c r="BS226" s="103">
        <v>75</v>
      </c>
      <c r="BT226" s="103">
        <v>25</v>
      </c>
      <c r="BU226" s="103">
        <v>0</v>
      </c>
      <c r="BV226" s="103">
        <v>0</v>
      </c>
      <c r="BW226" s="103">
        <v>0</v>
      </c>
      <c r="BX226" s="103">
        <v>0</v>
      </c>
      <c r="BY226" s="103">
        <v>0</v>
      </c>
      <c r="BZ226" s="103">
        <v>0</v>
      </c>
      <c r="CA226" s="103">
        <v>0</v>
      </c>
      <c r="CB226" s="103">
        <v>0</v>
      </c>
      <c r="CC226" s="42"/>
      <c r="CD226" s="110"/>
      <c r="CE226" s="46">
        <v>1</v>
      </c>
      <c r="CF226" s="103">
        <v>30</v>
      </c>
      <c r="CG226" s="103">
        <v>10</v>
      </c>
      <c r="CH226" s="103">
        <v>10</v>
      </c>
      <c r="CI226" s="103">
        <v>10</v>
      </c>
      <c r="CJ226" s="103">
        <v>20</v>
      </c>
      <c r="CK226" s="103">
        <v>20</v>
      </c>
      <c r="CL226" s="103">
        <v>0</v>
      </c>
      <c r="CM226" s="103">
        <v>0</v>
      </c>
      <c r="CN226" s="103">
        <v>0</v>
      </c>
      <c r="CO226" s="103">
        <v>0</v>
      </c>
      <c r="CQ226" s="110"/>
      <c r="CR226" s="46">
        <v>1</v>
      </c>
      <c r="CS226" s="103">
        <v>30</v>
      </c>
      <c r="CT226" s="103">
        <v>10</v>
      </c>
      <c r="CU226" s="103">
        <v>10</v>
      </c>
      <c r="CV226" s="103">
        <v>10</v>
      </c>
      <c r="CW226" s="103">
        <v>20</v>
      </c>
      <c r="CX226" s="103">
        <v>20</v>
      </c>
      <c r="CY226" s="103">
        <v>0</v>
      </c>
      <c r="CZ226" s="103">
        <v>0</v>
      </c>
      <c r="DA226" s="103">
        <v>0</v>
      </c>
      <c r="DB226" s="103">
        <v>0</v>
      </c>
      <c r="DC226" s="42"/>
      <c r="DD226" s="110"/>
      <c r="DE226" s="46">
        <v>1</v>
      </c>
      <c r="DF226" s="103">
        <v>75</v>
      </c>
      <c r="DG226" s="103">
        <v>25</v>
      </c>
      <c r="DH226" s="103">
        <v>0</v>
      </c>
      <c r="DI226" s="103">
        <v>0</v>
      </c>
      <c r="DJ226" s="103">
        <v>0</v>
      </c>
      <c r="DK226" s="103">
        <v>0</v>
      </c>
      <c r="DL226" s="103">
        <v>0</v>
      </c>
      <c r="DM226" s="103">
        <v>0</v>
      </c>
      <c r="DN226" s="103">
        <v>0</v>
      </c>
      <c r="DO226" s="103">
        <v>0</v>
      </c>
    </row>
    <row r="227" spans="2:119" ht="14.45" customHeight="1" x14ac:dyDescent="0.45">
      <c r="B227" s="99"/>
      <c r="C227" s="42"/>
      <c r="D227" s="110"/>
      <c r="E227" s="47" t="s">
        <v>2</v>
      </c>
      <c r="F227" s="103">
        <v>40.528634361233479</v>
      </c>
      <c r="G227" s="103">
        <v>29.735682819383257</v>
      </c>
      <c r="H227" s="103">
        <v>15.418502202643172</v>
      </c>
      <c r="I227" s="103">
        <v>5.286343612334802</v>
      </c>
      <c r="J227" s="103">
        <v>3.9647577092511015</v>
      </c>
      <c r="K227" s="103">
        <v>1.1013215859030838</v>
      </c>
      <c r="L227" s="103">
        <v>1.9823788546255507</v>
      </c>
      <c r="M227" s="103">
        <v>1.3215859030837005</v>
      </c>
      <c r="N227" s="103">
        <v>0.44052863436123352</v>
      </c>
      <c r="O227" s="103">
        <v>0.22026431718061676</v>
      </c>
      <c r="P227" s="42"/>
      <c r="Q227" s="110"/>
      <c r="R227" s="46" t="s">
        <v>2</v>
      </c>
      <c r="S227" s="103">
        <v>42.045454545454547</v>
      </c>
      <c r="T227" s="103">
        <v>27.27272727272727</v>
      </c>
      <c r="U227" s="103">
        <v>18.181818181818183</v>
      </c>
      <c r="V227" s="103">
        <v>3.4090909090909087</v>
      </c>
      <c r="W227" s="103">
        <v>2.2727272727272729</v>
      </c>
      <c r="X227" s="103">
        <v>2.2727272727272729</v>
      </c>
      <c r="Y227" s="103">
        <v>1.1363636363636365</v>
      </c>
      <c r="Z227" s="103">
        <v>1.1363636363636365</v>
      </c>
      <c r="AA227" s="103">
        <v>1.1363636363636365</v>
      </c>
      <c r="AB227" s="103">
        <v>1.1363636363636365</v>
      </c>
      <c r="AC227" s="42"/>
      <c r="AD227" s="110"/>
      <c r="AE227" s="46" t="s">
        <v>2</v>
      </c>
      <c r="AF227" s="103">
        <v>40.16393442622951</v>
      </c>
      <c r="AG227" s="103">
        <v>30.327868852459016</v>
      </c>
      <c r="AH227" s="103">
        <v>14.754098360655737</v>
      </c>
      <c r="AI227" s="103">
        <v>5.7377049180327866</v>
      </c>
      <c r="AJ227" s="103">
        <v>4.3715846994535523</v>
      </c>
      <c r="AK227" s="103">
        <v>0.81967213114754101</v>
      </c>
      <c r="AL227" s="103">
        <v>2.1857923497267762</v>
      </c>
      <c r="AM227" s="103">
        <v>1.3661202185792349</v>
      </c>
      <c r="AN227" s="103">
        <v>0.27322404371584702</v>
      </c>
      <c r="AO227" s="103">
        <v>0</v>
      </c>
      <c r="AP227" s="6"/>
      <c r="AQ227" s="110"/>
      <c r="AR227" s="46" t="s">
        <v>2</v>
      </c>
      <c r="AS227" s="103">
        <v>48.514851485148512</v>
      </c>
      <c r="AT227" s="103">
        <v>29.207920792079207</v>
      </c>
      <c r="AU227" s="103">
        <v>12.376237623762377</v>
      </c>
      <c r="AV227" s="103">
        <v>3.9603960396039604</v>
      </c>
      <c r="AW227" s="103">
        <v>2.4752475247524752</v>
      </c>
      <c r="AX227" s="103">
        <v>0.49504950495049505</v>
      </c>
      <c r="AY227" s="103">
        <v>2.4752475247524752</v>
      </c>
      <c r="AZ227" s="103">
        <v>0</v>
      </c>
      <c r="BA227" s="103">
        <v>0.49504950495049505</v>
      </c>
      <c r="BB227" s="103">
        <v>0</v>
      </c>
      <c r="BC227" s="42"/>
      <c r="BD227" s="110"/>
      <c r="BE227" s="46" t="s">
        <v>2</v>
      </c>
      <c r="BF227" s="103">
        <v>34.126984126984127</v>
      </c>
      <c r="BG227" s="103">
        <v>30.158730158730158</v>
      </c>
      <c r="BH227" s="103">
        <v>17.857142857142858</v>
      </c>
      <c r="BI227" s="103">
        <v>6.3492063492063489</v>
      </c>
      <c r="BJ227" s="103">
        <v>5.1587301587301582</v>
      </c>
      <c r="BK227" s="103">
        <v>1.5873015873015872</v>
      </c>
      <c r="BL227" s="103">
        <v>1.5873015873015872</v>
      </c>
      <c r="BM227" s="103">
        <v>2.3809523809523809</v>
      </c>
      <c r="BN227" s="103">
        <v>0.3968253968253968</v>
      </c>
      <c r="BO227" s="103">
        <v>0.3968253968253968</v>
      </c>
      <c r="BQ227" s="110"/>
      <c r="BR227" s="46" t="s">
        <v>2</v>
      </c>
      <c r="BS227" s="103">
        <v>52.651515151515149</v>
      </c>
      <c r="BT227" s="103">
        <v>30.303030303030305</v>
      </c>
      <c r="BU227" s="103">
        <v>12.5</v>
      </c>
      <c r="BV227" s="103">
        <v>2.2727272727272729</v>
      </c>
      <c r="BW227" s="103">
        <v>1.5151515151515151</v>
      </c>
      <c r="BX227" s="103">
        <v>0</v>
      </c>
      <c r="BY227" s="103">
        <v>0.37878787878787878</v>
      </c>
      <c r="BZ227" s="103">
        <v>0</v>
      </c>
      <c r="CA227" s="103">
        <v>0.37878787878787878</v>
      </c>
      <c r="CB227" s="103">
        <v>0</v>
      </c>
      <c r="CC227" s="42"/>
      <c r="CD227" s="110"/>
      <c r="CE227" s="46" t="s">
        <v>2</v>
      </c>
      <c r="CF227" s="103">
        <v>23.684210526315788</v>
      </c>
      <c r="CG227" s="103">
        <v>28.947368421052634</v>
      </c>
      <c r="CH227" s="103">
        <v>19.473684210526315</v>
      </c>
      <c r="CI227" s="103">
        <v>9.4736842105263168</v>
      </c>
      <c r="CJ227" s="103">
        <v>7.3684210526315779</v>
      </c>
      <c r="CK227" s="103">
        <v>2.6315789473684208</v>
      </c>
      <c r="CL227" s="103">
        <v>4.2105263157894735</v>
      </c>
      <c r="CM227" s="103">
        <v>3.1578947368421053</v>
      </c>
      <c r="CN227" s="103">
        <v>0.52631578947368418</v>
      </c>
      <c r="CO227" s="103">
        <v>0.52631578947368418</v>
      </c>
      <c r="CQ227" s="110"/>
      <c r="CR227" s="46" t="s">
        <v>2</v>
      </c>
      <c r="CS227" s="103">
        <v>26.666666666666668</v>
      </c>
      <c r="CT227" s="103">
        <v>25.555555555555554</v>
      </c>
      <c r="CU227" s="103">
        <v>19.444444444444446</v>
      </c>
      <c r="CV227" s="103">
        <v>9.4444444444444446</v>
      </c>
      <c r="CW227" s="103">
        <v>8.3333333333333321</v>
      </c>
      <c r="CX227" s="103">
        <v>2.2222222222222223</v>
      </c>
      <c r="CY227" s="103">
        <v>5</v>
      </c>
      <c r="CZ227" s="103">
        <v>2.7777777777777777</v>
      </c>
      <c r="DA227" s="103">
        <v>0</v>
      </c>
      <c r="DB227" s="103">
        <v>0.55555555555555558</v>
      </c>
      <c r="DC227" s="42"/>
      <c r="DD227" s="110"/>
      <c r="DE227" s="46" t="s">
        <v>2</v>
      </c>
      <c r="DF227" s="103">
        <v>49.635036496350367</v>
      </c>
      <c r="DG227" s="103">
        <v>32.481751824817515</v>
      </c>
      <c r="DH227" s="103">
        <v>12.773722627737227</v>
      </c>
      <c r="DI227" s="103">
        <v>2.5547445255474455</v>
      </c>
      <c r="DJ227" s="103">
        <v>1.0948905109489051</v>
      </c>
      <c r="DK227" s="103">
        <v>0.36496350364963503</v>
      </c>
      <c r="DL227" s="103">
        <v>0</v>
      </c>
      <c r="DM227" s="103">
        <v>0.36496350364963503</v>
      </c>
      <c r="DN227" s="103">
        <v>0.72992700729927007</v>
      </c>
      <c r="DO227" s="103">
        <v>0</v>
      </c>
    </row>
    <row r="228" spans="2:119" ht="14.45" customHeight="1" x14ac:dyDescent="0.45">
      <c r="B228" s="99"/>
      <c r="C228" s="42"/>
      <c r="D228" s="110"/>
      <c r="E228" s="47" t="s">
        <v>3</v>
      </c>
      <c r="F228" s="103">
        <v>36.180904522613069</v>
      </c>
      <c r="G228" s="103">
        <v>37.437185929648244</v>
      </c>
      <c r="H228" s="103">
        <v>11.809045226130653</v>
      </c>
      <c r="I228" s="103">
        <v>9.0452261306532673</v>
      </c>
      <c r="J228" s="103">
        <v>2.2613065326633168</v>
      </c>
      <c r="K228" s="103">
        <v>1.256281407035176</v>
      </c>
      <c r="L228" s="103">
        <v>1.0050251256281406</v>
      </c>
      <c r="M228" s="103">
        <v>0.75376884422110546</v>
      </c>
      <c r="N228" s="103">
        <v>0.25125628140703515</v>
      </c>
      <c r="O228" s="103">
        <v>0</v>
      </c>
      <c r="P228" s="42"/>
      <c r="Q228" s="110"/>
      <c r="R228" s="46" t="s">
        <v>3</v>
      </c>
      <c r="S228" s="103">
        <v>36.95652173913043</v>
      </c>
      <c r="T228" s="103">
        <v>41.304347826086953</v>
      </c>
      <c r="U228" s="103">
        <v>14.130434782608695</v>
      </c>
      <c r="V228" s="103">
        <v>6.5217391304347823</v>
      </c>
      <c r="W228" s="103">
        <v>0</v>
      </c>
      <c r="X228" s="103">
        <v>1.0869565217391304</v>
      </c>
      <c r="Y228" s="103">
        <v>0</v>
      </c>
      <c r="Z228" s="103">
        <v>0</v>
      </c>
      <c r="AA228" s="103">
        <v>0</v>
      </c>
      <c r="AB228" s="103">
        <v>0</v>
      </c>
      <c r="AC228" s="42"/>
      <c r="AD228" s="110"/>
      <c r="AE228" s="46" t="s">
        <v>3</v>
      </c>
      <c r="AF228" s="103">
        <v>35.947712418300654</v>
      </c>
      <c r="AG228" s="103">
        <v>36.274509803921568</v>
      </c>
      <c r="AH228" s="103">
        <v>11.111111111111111</v>
      </c>
      <c r="AI228" s="103">
        <v>9.8039215686274517</v>
      </c>
      <c r="AJ228" s="103">
        <v>2.9411764705882351</v>
      </c>
      <c r="AK228" s="103">
        <v>1.3071895424836601</v>
      </c>
      <c r="AL228" s="103">
        <v>1.3071895424836601</v>
      </c>
      <c r="AM228" s="103">
        <v>0.98039215686274506</v>
      </c>
      <c r="AN228" s="103">
        <v>0.32679738562091504</v>
      </c>
      <c r="AO228" s="103">
        <v>0</v>
      </c>
      <c r="AP228" s="6"/>
      <c r="AQ228" s="110"/>
      <c r="AR228" s="46" t="s">
        <v>3</v>
      </c>
      <c r="AS228" s="103">
        <v>39.751552795031053</v>
      </c>
      <c r="AT228" s="103">
        <v>39.130434782608695</v>
      </c>
      <c r="AU228" s="103">
        <v>9.9378881987577632</v>
      </c>
      <c r="AV228" s="103">
        <v>6.2111801242236027</v>
      </c>
      <c r="AW228" s="103">
        <v>1.8633540372670807</v>
      </c>
      <c r="AX228" s="103">
        <v>1.8633540372670807</v>
      </c>
      <c r="AY228" s="103">
        <v>1.2422360248447204</v>
      </c>
      <c r="AZ228" s="103">
        <v>0</v>
      </c>
      <c r="BA228" s="103">
        <v>0</v>
      </c>
      <c r="BB228" s="103">
        <v>0</v>
      </c>
      <c r="BC228" s="42"/>
      <c r="BD228" s="110"/>
      <c r="BE228" s="46" t="s">
        <v>3</v>
      </c>
      <c r="BF228" s="103">
        <v>33.755274261603375</v>
      </c>
      <c r="BG228" s="103">
        <v>36.286919831223628</v>
      </c>
      <c r="BH228" s="103">
        <v>13.080168776371309</v>
      </c>
      <c r="BI228" s="103">
        <v>10.970464135021098</v>
      </c>
      <c r="BJ228" s="103">
        <v>2.5316455696202533</v>
      </c>
      <c r="BK228" s="103">
        <v>0.8438818565400843</v>
      </c>
      <c r="BL228" s="103">
        <v>0.8438818565400843</v>
      </c>
      <c r="BM228" s="103">
        <v>1.2658227848101267</v>
      </c>
      <c r="BN228" s="103">
        <v>0.42194092827004215</v>
      </c>
      <c r="BO228" s="103">
        <v>0</v>
      </c>
      <c r="BQ228" s="110"/>
      <c r="BR228" s="46" t="s">
        <v>3</v>
      </c>
      <c r="BS228" s="103">
        <v>35.960591133004925</v>
      </c>
      <c r="BT228" s="103">
        <v>37.438423645320199</v>
      </c>
      <c r="BU228" s="103">
        <v>13.793103448275861</v>
      </c>
      <c r="BV228" s="103">
        <v>10.83743842364532</v>
      </c>
      <c r="BW228" s="103">
        <v>1.4778325123152709</v>
      </c>
      <c r="BX228" s="103">
        <v>0.49261083743842365</v>
      </c>
      <c r="BY228" s="103">
        <v>0</v>
      </c>
      <c r="BZ228" s="103">
        <v>0</v>
      </c>
      <c r="CA228" s="103">
        <v>0</v>
      </c>
      <c r="CB228" s="103">
        <v>0</v>
      </c>
      <c r="CC228" s="42"/>
      <c r="CD228" s="110"/>
      <c r="CE228" s="46" t="s">
        <v>3</v>
      </c>
      <c r="CF228" s="103">
        <v>36.410256410256409</v>
      </c>
      <c r="CG228" s="103">
        <v>37.435897435897438</v>
      </c>
      <c r="CH228" s="103">
        <v>9.7435897435897445</v>
      </c>
      <c r="CI228" s="103">
        <v>7.1794871794871788</v>
      </c>
      <c r="CJ228" s="103">
        <v>3.0769230769230771</v>
      </c>
      <c r="CK228" s="103">
        <v>2.0512820512820511</v>
      </c>
      <c r="CL228" s="103">
        <v>2.0512820512820511</v>
      </c>
      <c r="CM228" s="103">
        <v>1.5384615384615385</v>
      </c>
      <c r="CN228" s="103">
        <v>0.51282051282051277</v>
      </c>
      <c r="CO228" s="103">
        <v>0</v>
      </c>
      <c r="CQ228" s="110"/>
      <c r="CR228" s="46" t="s">
        <v>3</v>
      </c>
      <c r="CS228" s="103">
        <v>21.153846153846153</v>
      </c>
      <c r="CT228" s="103">
        <v>31.73076923076923</v>
      </c>
      <c r="CU228" s="103">
        <v>14.423076923076922</v>
      </c>
      <c r="CV228" s="103">
        <v>12.5</v>
      </c>
      <c r="CW228" s="103">
        <v>7.6923076923076925</v>
      </c>
      <c r="CX228" s="103">
        <v>4.8076923076923084</v>
      </c>
      <c r="CY228" s="103">
        <v>3.8461538461538463</v>
      </c>
      <c r="CZ228" s="103">
        <v>2.8846153846153846</v>
      </c>
      <c r="DA228" s="103">
        <v>0.96153846153846156</v>
      </c>
      <c r="DB228" s="103">
        <v>0</v>
      </c>
      <c r="DC228" s="42"/>
      <c r="DD228" s="110"/>
      <c r="DE228" s="46" t="s">
        <v>3</v>
      </c>
      <c r="DF228" s="103">
        <v>41.496598639455783</v>
      </c>
      <c r="DG228" s="103">
        <v>39.455782312925166</v>
      </c>
      <c r="DH228" s="103">
        <v>10.884353741496598</v>
      </c>
      <c r="DI228" s="103">
        <v>7.8231292517006805</v>
      </c>
      <c r="DJ228" s="103">
        <v>0.3401360544217687</v>
      </c>
      <c r="DK228" s="103">
        <v>0</v>
      </c>
      <c r="DL228" s="103">
        <v>0</v>
      </c>
      <c r="DM228" s="103">
        <v>0</v>
      </c>
      <c r="DN228" s="103">
        <v>0</v>
      </c>
      <c r="DO228" s="103">
        <v>0</v>
      </c>
    </row>
    <row r="229" spans="2:119" ht="14.45" customHeight="1" x14ac:dyDescent="0.45">
      <c r="B229" s="99"/>
      <c r="C229" s="42"/>
      <c r="D229" s="110"/>
      <c r="E229" s="47" t="s">
        <v>4</v>
      </c>
      <c r="F229" s="103">
        <v>27.259475218658892</v>
      </c>
      <c r="G229" s="103">
        <v>32.653061224489797</v>
      </c>
      <c r="H229" s="103">
        <v>21.137026239067055</v>
      </c>
      <c r="I229" s="103">
        <v>10.204081632653061</v>
      </c>
      <c r="J229" s="103">
        <v>4.0816326530612246</v>
      </c>
      <c r="K229" s="103">
        <v>2.1865889212827989</v>
      </c>
      <c r="L229" s="103">
        <v>1.8950437317784257</v>
      </c>
      <c r="M229" s="103">
        <v>0.43731778425655976</v>
      </c>
      <c r="N229" s="103">
        <v>0</v>
      </c>
      <c r="O229" s="103">
        <v>0.1457725947521866</v>
      </c>
      <c r="P229" s="42"/>
      <c r="Q229" s="110"/>
      <c r="R229" s="46" t="s">
        <v>4</v>
      </c>
      <c r="S229" s="103">
        <v>35.91549295774648</v>
      </c>
      <c r="T229" s="103">
        <v>30.281690140845068</v>
      </c>
      <c r="U229" s="103">
        <v>17.6056338028169</v>
      </c>
      <c r="V229" s="103">
        <v>8.4507042253521121</v>
      </c>
      <c r="W229" s="103">
        <v>4.929577464788732</v>
      </c>
      <c r="X229" s="103">
        <v>1.4084507042253522</v>
      </c>
      <c r="Y229" s="103">
        <v>0.70422535211267612</v>
      </c>
      <c r="Z229" s="103">
        <v>0</v>
      </c>
      <c r="AA229" s="103">
        <v>0</v>
      </c>
      <c r="AB229" s="103">
        <v>0.70422535211267612</v>
      </c>
      <c r="AC229" s="42"/>
      <c r="AD229" s="110"/>
      <c r="AE229" s="46" t="s">
        <v>4</v>
      </c>
      <c r="AF229" s="103">
        <v>25</v>
      </c>
      <c r="AG229" s="103">
        <v>33.272058823529413</v>
      </c>
      <c r="AH229" s="103">
        <v>22.058823529411764</v>
      </c>
      <c r="AI229" s="103">
        <v>10.661764705882353</v>
      </c>
      <c r="AJ229" s="103">
        <v>3.8602941176470589</v>
      </c>
      <c r="AK229" s="103">
        <v>2.3897058823529411</v>
      </c>
      <c r="AL229" s="103">
        <v>2.2058823529411766</v>
      </c>
      <c r="AM229" s="103">
        <v>0.55147058823529416</v>
      </c>
      <c r="AN229" s="103">
        <v>0</v>
      </c>
      <c r="AO229" s="103">
        <v>0</v>
      </c>
      <c r="AP229" s="6"/>
      <c r="AQ229" s="110"/>
      <c r="AR229" s="46" t="s">
        <v>4</v>
      </c>
      <c r="AS229" s="103">
        <v>35.460992907801419</v>
      </c>
      <c r="AT229" s="103">
        <v>30.141843971631204</v>
      </c>
      <c r="AU229" s="103">
        <v>20.212765957446805</v>
      </c>
      <c r="AV229" s="103">
        <v>6.7375886524822697</v>
      </c>
      <c r="AW229" s="103">
        <v>3.1914893617021276</v>
      </c>
      <c r="AX229" s="103">
        <v>2.1276595744680851</v>
      </c>
      <c r="AY229" s="103">
        <v>1.773049645390071</v>
      </c>
      <c r="AZ229" s="103">
        <v>0</v>
      </c>
      <c r="BA229" s="103">
        <v>0</v>
      </c>
      <c r="BB229" s="103">
        <v>0.3546099290780142</v>
      </c>
      <c r="BC229" s="42"/>
      <c r="BD229" s="110"/>
      <c r="BE229" s="46" t="s">
        <v>4</v>
      </c>
      <c r="BF229" s="103">
        <v>21.534653465346533</v>
      </c>
      <c r="BG229" s="103">
        <v>34.405940594059402</v>
      </c>
      <c r="BH229" s="103">
        <v>21.782178217821784</v>
      </c>
      <c r="BI229" s="103">
        <v>12.623762376237623</v>
      </c>
      <c r="BJ229" s="103">
        <v>4.7029702970297027</v>
      </c>
      <c r="BK229" s="103">
        <v>2.2277227722772275</v>
      </c>
      <c r="BL229" s="103">
        <v>1.9801980198019802</v>
      </c>
      <c r="BM229" s="103">
        <v>0.74257425742574257</v>
      </c>
      <c r="BN229" s="103">
        <v>0</v>
      </c>
      <c r="BO229" s="103">
        <v>0</v>
      </c>
      <c r="BQ229" s="110"/>
      <c r="BR229" s="46" t="s">
        <v>4</v>
      </c>
      <c r="BS229" s="103">
        <v>31.818181818181817</v>
      </c>
      <c r="BT229" s="103">
        <v>33.566433566433567</v>
      </c>
      <c r="BU229" s="103">
        <v>19.93006993006993</v>
      </c>
      <c r="BV229" s="103">
        <v>6.9930069930069934</v>
      </c>
      <c r="BW229" s="103">
        <v>3.1468531468531471</v>
      </c>
      <c r="BX229" s="103">
        <v>2.4475524475524475</v>
      </c>
      <c r="BY229" s="103">
        <v>2.0979020979020979</v>
      </c>
      <c r="BZ229" s="103">
        <v>0</v>
      </c>
      <c r="CA229" s="103">
        <v>0</v>
      </c>
      <c r="CB229" s="103">
        <v>0</v>
      </c>
      <c r="CC229" s="42"/>
      <c r="CD229" s="110"/>
      <c r="CE229" s="46" t="s">
        <v>4</v>
      </c>
      <c r="CF229" s="103">
        <v>24</v>
      </c>
      <c r="CG229" s="103">
        <v>32</v>
      </c>
      <c r="CH229" s="103">
        <v>22</v>
      </c>
      <c r="CI229" s="103">
        <v>12.5</v>
      </c>
      <c r="CJ229" s="103">
        <v>4.75</v>
      </c>
      <c r="CK229" s="103">
        <v>2</v>
      </c>
      <c r="CL229" s="103">
        <v>1.7500000000000002</v>
      </c>
      <c r="CM229" s="103">
        <v>0.75</v>
      </c>
      <c r="CN229" s="103">
        <v>0</v>
      </c>
      <c r="CO229" s="103">
        <v>0.25</v>
      </c>
      <c r="CQ229" s="110"/>
      <c r="CR229" s="46" t="s">
        <v>4</v>
      </c>
      <c r="CS229" s="103">
        <v>18.75</v>
      </c>
      <c r="CT229" s="103">
        <v>26.5625</v>
      </c>
      <c r="CU229" s="103">
        <v>22.395833333333336</v>
      </c>
      <c r="CV229" s="103">
        <v>13.541666666666666</v>
      </c>
      <c r="CW229" s="103">
        <v>8.8541666666666679</v>
      </c>
      <c r="CX229" s="103">
        <v>4.1666666666666661</v>
      </c>
      <c r="CY229" s="103">
        <v>3.6458333333333335</v>
      </c>
      <c r="CZ229" s="103">
        <v>1.5625</v>
      </c>
      <c r="DA229" s="103">
        <v>0</v>
      </c>
      <c r="DB229" s="103">
        <v>0.52083333333333326</v>
      </c>
      <c r="DC229" s="42"/>
      <c r="DD229" s="110"/>
      <c r="DE229" s="46" t="s">
        <v>4</v>
      </c>
      <c r="DF229" s="103">
        <v>30.5668016194332</v>
      </c>
      <c r="DG229" s="103">
        <v>35.020242914979754</v>
      </c>
      <c r="DH229" s="103">
        <v>20.647773279352226</v>
      </c>
      <c r="DI229" s="103">
        <v>8.9068825910931171</v>
      </c>
      <c r="DJ229" s="103">
        <v>2.2267206477732793</v>
      </c>
      <c r="DK229" s="103">
        <v>1.417004048582996</v>
      </c>
      <c r="DL229" s="103">
        <v>1.214574898785425</v>
      </c>
      <c r="DM229" s="103">
        <v>0</v>
      </c>
      <c r="DN229" s="103">
        <v>0</v>
      </c>
      <c r="DO229" s="103">
        <v>0</v>
      </c>
    </row>
    <row r="230" spans="2:119" ht="14.45" customHeight="1" x14ac:dyDescent="0.45">
      <c r="B230" s="99"/>
      <c r="C230" s="42"/>
      <c r="D230" s="110"/>
      <c r="E230" s="47" t="s">
        <v>5</v>
      </c>
      <c r="F230" s="103">
        <v>16.037063435495366</v>
      </c>
      <c r="G230" s="103">
        <v>35.067712045616531</v>
      </c>
      <c r="H230" s="103">
        <v>23.449750534568782</v>
      </c>
      <c r="I230" s="103">
        <v>14.611546685673558</v>
      </c>
      <c r="J230" s="103">
        <v>6.0584461867426942</v>
      </c>
      <c r="K230" s="103">
        <v>2.565930149679259</v>
      </c>
      <c r="L230" s="103">
        <v>1.0691375623663579</v>
      </c>
      <c r="M230" s="103">
        <v>0.9265858873841768</v>
      </c>
      <c r="N230" s="103">
        <v>0.21382751247327159</v>
      </c>
      <c r="O230" s="103">
        <v>0</v>
      </c>
      <c r="P230" s="42"/>
      <c r="Q230" s="110"/>
      <c r="R230" s="46" t="s">
        <v>5</v>
      </c>
      <c r="S230" s="103">
        <v>17.27941176470588</v>
      </c>
      <c r="T230" s="103">
        <v>39.705882352941174</v>
      </c>
      <c r="U230" s="103">
        <v>21.691176470588236</v>
      </c>
      <c r="V230" s="103">
        <v>12.5</v>
      </c>
      <c r="W230" s="103">
        <v>5.5147058823529411</v>
      </c>
      <c r="X230" s="103">
        <v>2.5735294117647056</v>
      </c>
      <c r="Y230" s="103">
        <v>0.36764705882352938</v>
      </c>
      <c r="Z230" s="103">
        <v>0.36764705882352938</v>
      </c>
      <c r="AA230" s="103">
        <v>0</v>
      </c>
      <c r="AB230" s="103">
        <v>0</v>
      </c>
      <c r="AC230" s="42"/>
      <c r="AD230" s="110"/>
      <c r="AE230" s="46" t="s">
        <v>5</v>
      </c>
      <c r="AF230" s="103">
        <v>15.738284703801945</v>
      </c>
      <c r="AG230" s="103">
        <v>33.952254641909811</v>
      </c>
      <c r="AH230" s="103">
        <v>23.872679045092838</v>
      </c>
      <c r="AI230" s="103">
        <v>15.119363395225463</v>
      </c>
      <c r="AJ230" s="103">
        <v>6.18921308576481</v>
      </c>
      <c r="AK230" s="103">
        <v>2.5641025641025639</v>
      </c>
      <c r="AL230" s="103">
        <v>1.237842617152962</v>
      </c>
      <c r="AM230" s="103">
        <v>1.0610079575596816</v>
      </c>
      <c r="AN230" s="103">
        <v>0.2652519893899204</v>
      </c>
      <c r="AO230" s="103">
        <v>0</v>
      </c>
      <c r="AP230" s="6"/>
      <c r="AQ230" s="110"/>
      <c r="AR230" s="46" t="s">
        <v>5</v>
      </c>
      <c r="AS230" s="103">
        <v>19.45525291828794</v>
      </c>
      <c r="AT230" s="103">
        <v>36.770428015564207</v>
      </c>
      <c r="AU230" s="103">
        <v>21.011673151750973</v>
      </c>
      <c r="AV230" s="103">
        <v>14.980544747081712</v>
      </c>
      <c r="AW230" s="103">
        <v>4.2801556420233462</v>
      </c>
      <c r="AX230" s="103">
        <v>1.9455252918287937</v>
      </c>
      <c r="AY230" s="103">
        <v>0.97276264591439687</v>
      </c>
      <c r="AZ230" s="103">
        <v>0.58365758754863817</v>
      </c>
      <c r="BA230" s="103">
        <v>0</v>
      </c>
      <c r="BB230" s="103">
        <v>0</v>
      </c>
      <c r="BC230" s="42"/>
      <c r="BD230" s="110"/>
      <c r="BE230" s="46" t="s">
        <v>5</v>
      </c>
      <c r="BF230" s="103">
        <v>14.060742407199101</v>
      </c>
      <c r="BG230" s="103">
        <v>34.083239595050621</v>
      </c>
      <c r="BH230" s="103">
        <v>24.859392575928009</v>
      </c>
      <c r="BI230" s="103">
        <v>14.39820022497188</v>
      </c>
      <c r="BJ230" s="103">
        <v>7.0866141732283463</v>
      </c>
      <c r="BK230" s="103">
        <v>2.9246344206974131</v>
      </c>
      <c r="BL230" s="103">
        <v>1.124859392575928</v>
      </c>
      <c r="BM230" s="103">
        <v>1.124859392575928</v>
      </c>
      <c r="BN230" s="103">
        <v>0.33745781777277839</v>
      </c>
      <c r="BO230" s="103">
        <v>0</v>
      </c>
      <c r="BQ230" s="110"/>
      <c r="BR230" s="46" t="s">
        <v>5</v>
      </c>
      <c r="BS230" s="103">
        <v>19.864559819413092</v>
      </c>
      <c r="BT230" s="103">
        <v>35.214446952595935</v>
      </c>
      <c r="BU230" s="103">
        <v>24.379232505643341</v>
      </c>
      <c r="BV230" s="103">
        <v>12.866817155756207</v>
      </c>
      <c r="BW230" s="103">
        <v>4.5146726862302486</v>
      </c>
      <c r="BX230" s="103">
        <v>2.0316027088036117</v>
      </c>
      <c r="BY230" s="103">
        <v>0.67720090293453727</v>
      </c>
      <c r="BZ230" s="103">
        <v>0</v>
      </c>
      <c r="CA230" s="103">
        <v>0.45146726862302478</v>
      </c>
      <c r="CB230" s="103">
        <v>0</v>
      </c>
      <c r="CC230" s="42"/>
      <c r="CD230" s="110"/>
      <c r="CE230" s="46" t="s">
        <v>5</v>
      </c>
      <c r="CF230" s="103">
        <v>14.270833333333332</v>
      </c>
      <c r="CG230" s="103">
        <v>35</v>
      </c>
      <c r="CH230" s="103">
        <v>23.020833333333332</v>
      </c>
      <c r="CI230" s="103">
        <v>15.416666666666668</v>
      </c>
      <c r="CJ230" s="103">
        <v>6.770833333333333</v>
      </c>
      <c r="CK230" s="103">
        <v>2.8125</v>
      </c>
      <c r="CL230" s="103">
        <v>1.25</v>
      </c>
      <c r="CM230" s="103">
        <v>1.3541666666666667</v>
      </c>
      <c r="CN230" s="103">
        <v>0.10416666666666667</v>
      </c>
      <c r="CO230" s="103">
        <v>0</v>
      </c>
      <c r="CQ230" s="110"/>
      <c r="CR230" s="46" t="s">
        <v>5</v>
      </c>
      <c r="CS230" s="103">
        <v>8.615384615384615</v>
      </c>
      <c r="CT230" s="103">
        <v>28.307692307692307</v>
      </c>
      <c r="CU230" s="103">
        <v>20.307692307692307</v>
      </c>
      <c r="CV230" s="103">
        <v>19.692307692307693</v>
      </c>
      <c r="CW230" s="103">
        <v>11.692307692307692</v>
      </c>
      <c r="CX230" s="103">
        <v>4.6153846153846159</v>
      </c>
      <c r="CY230" s="103">
        <v>2.7692307692307692</v>
      </c>
      <c r="CZ230" s="103">
        <v>3.6923076923076925</v>
      </c>
      <c r="DA230" s="103">
        <v>0.30769230769230771</v>
      </c>
      <c r="DB230" s="103">
        <v>0</v>
      </c>
      <c r="DC230" s="42"/>
      <c r="DD230" s="110"/>
      <c r="DE230" s="46" t="s">
        <v>5</v>
      </c>
      <c r="DF230" s="103">
        <v>18.274582560296846</v>
      </c>
      <c r="DG230" s="103">
        <v>37.105751391465674</v>
      </c>
      <c r="DH230" s="103">
        <v>24.397031539888683</v>
      </c>
      <c r="DI230" s="103">
        <v>13.079777365491651</v>
      </c>
      <c r="DJ230" s="103">
        <v>4.3599257884972165</v>
      </c>
      <c r="DK230" s="103">
        <v>1.948051948051948</v>
      </c>
      <c r="DL230" s="103">
        <v>0.55658627087198509</v>
      </c>
      <c r="DM230" s="103">
        <v>9.27643784786642E-2</v>
      </c>
      <c r="DN230" s="103">
        <v>0.1855287569573284</v>
      </c>
      <c r="DO230" s="103">
        <v>0</v>
      </c>
    </row>
    <row r="231" spans="2:119" ht="14.45" customHeight="1" x14ac:dyDescent="0.45">
      <c r="B231" s="99"/>
      <c r="C231" s="42"/>
      <c r="D231" s="110"/>
      <c r="E231" s="47" t="s">
        <v>6</v>
      </c>
      <c r="F231" s="103">
        <v>12.125576036866359</v>
      </c>
      <c r="G231" s="103">
        <v>27.822580645161288</v>
      </c>
      <c r="H231" s="103">
        <v>26.267281105990779</v>
      </c>
      <c r="I231" s="103">
        <v>18.029953917050694</v>
      </c>
      <c r="J231" s="103">
        <v>8.5541474654377883</v>
      </c>
      <c r="K231" s="103">
        <v>4.5218894009216593</v>
      </c>
      <c r="L231" s="103">
        <v>1.8433179723502304</v>
      </c>
      <c r="M231" s="103">
        <v>0.63364055299539168</v>
      </c>
      <c r="N231" s="103">
        <v>0.20161290322580644</v>
      </c>
      <c r="O231" s="103">
        <v>0</v>
      </c>
      <c r="P231" s="42"/>
      <c r="Q231" s="110"/>
      <c r="R231" s="46" t="s">
        <v>6</v>
      </c>
      <c r="S231" s="103">
        <v>13.026315789473683</v>
      </c>
      <c r="T231" s="103">
        <v>27.500000000000004</v>
      </c>
      <c r="U231" s="103">
        <v>24.868421052631579</v>
      </c>
      <c r="V231" s="103">
        <v>20.131578947368421</v>
      </c>
      <c r="W231" s="103">
        <v>8.9473684210526319</v>
      </c>
      <c r="X231" s="103">
        <v>3.9473684210526314</v>
      </c>
      <c r="Y231" s="103">
        <v>1.3157894736842104</v>
      </c>
      <c r="Z231" s="103">
        <v>0.13157894736842105</v>
      </c>
      <c r="AA231" s="103">
        <v>0.13157894736842105</v>
      </c>
      <c r="AB231" s="103">
        <v>0</v>
      </c>
      <c r="AC231" s="42"/>
      <c r="AD231" s="110"/>
      <c r="AE231" s="46" t="s">
        <v>6</v>
      </c>
      <c r="AF231" s="103">
        <v>11.87315634218289</v>
      </c>
      <c r="AG231" s="103">
        <v>27.912979351032448</v>
      </c>
      <c r="AH231" s="103">
        <v>26.659292035398231</v>
      </c>
      <c r="AI231" s="103">
        <v>17.441002949852507</v>
      </c>
      <c r="AJ231" s="103">
        <v>8.4439528023598811</v>
      </c>
      <c r="AK231" s="103">
        <v>4.6828908554572273</v>
      </c>
      <c r="AL231" s="103">
        <v>1.9911504424778761</v>
      </c>
      <c r="AM231" s="103">
        <v>0.77433628318584069</v>
      </c>
      <c r="AN231" s="103">
        <v>0.22123893805309736</v>
      </c>
      <c r="AO231" s="103">
        <v>0</v>
      </c>
      <c r="AP231" s="6"/>
      <c r="AQ231" s="110"/>
      <c r="AR231" s="46" t="s">
        <v>6</v>
      </c>
      <c r="AS231" s="103">
        <v>15.148861646234677</v>
      </c>
      <c r="AT231" s="103">
        <v>29.772329246935204</v>
      </c>
      <c r="AU231" s="103">
        <v>26.094570928196148</v>
      </c>
      <c r="AV231" s="103">
        <v>16.024518388791595</v>
      </c>
      <c r="AW231" s="103">
        <v>6.917688266199649</v>
      </c>
      <c r="AX231" s="103">
        <v>4.2031523642732047</v>
      </c>
      <c r="AY231" s="103">
        <v>1.138353765323993</v>
      </c>
      <c r="AZ231" s="103">
        <v>0.61295971978984243</v>
      </c>
      <c r="BA231" s="103">
        <v>8.7565674255691769E-2</v>
      </c>
      <c r="BB231" s="103">
        <v>0</v>
      </c>
      <c r="BC231" s="42"/>
      <c r="BD231" s="110"/>
      <c r="BE231" s="46" t="s">
        <v>6</v>
      </c>
      <c r="BF231" s="103">
        <v>10.643776824034335</v>
      </c>
      <c r="BG231" s="103">
        <v>26.866952789699571</v>
      </c>
      <c r="BH231" s="103">
        <v>26.351931330472102</v>
      </c>
      <c r="BI231" s="103">
        <v>19.012875536480685</v>
      </c>
      <c r="BJ231" s="103">
        <v>9.3562231759656651</v>
      </c>
      <c r="BK231" s="103">
        <v>4.6781115879828326</v>
      </c>
      <c r="BL231" s="103">
        <v>2.188841201716738</v>
      </c>
      <c r="BM231" s="103">
        <v>0.64377682403433478</v>
      </c>
      <c r="BN231" s="103">
        <v>0.25751072961373389</v>
      </c>
      <c r="BO231" s="103">
        <v>0</v>
      </c>
      <c r="BQ231" s="110"/>
      <c r="BR231" s="46" t="s">
        <v>6</v>
      </c>
      <c r="BS231" s="103">
        <v>14.285714285714285</v>
      </c>
      <c r="BT231" s="103">
        <v>26.362297496318117</v>
      </c>
      <c r="BU231" s="103">
        <v>26.95139911634757</v>
      </c>
      <c r="BV231" s="103">
        <v>18.998527245949926</v>
      </c>
      <c r="BW231" s="103">
        <v>8.2474226804123703</v>
      </c>
      <c r="BX231" s="103">
        <v>3.3873343151693667</v>
      </c>
      <c r="BY231" s="103">
        <v>0.88365243004418259</v>
      </c>
      <c r="BZ231" s="103">
        <v>0.4418262150220913</v>
      </c>
      <c r="CA231" s="103">
        <v>0.4418262150220913</v>
      </c>
      <c r="CB231" s="103">
        <v>0</v>
      </c>
      <c r="CC231" s="42"/>
      <c r="CD231" s="110"/>
      <c r="CE231" s="46" t="s">
        <v>6</v>
      </c>
      <c r="CF231" s="103">
        <v>11.600429645542427</v>
      </c>
      <c r="CG231" s="103">
        <v>28.177586824203367</v>
      </c>
      <c r="CH231" s="103">
        <v>26.100966702470462</v>
      </c>
      <c r="CI231" s="103">
        <v>17.794486215538846</v>
      </c>
      <c r="CJ231" s="103">
        <v>8.6287146437522377</v>
      </c>
      <c r="CK231" s="103">
        <v>4.797708557107053</v>
      </c>
      <c r="CL231" s="103">
        <v>2.0766201217329039</v>
      </c>
      <c r="CM231" s="103">
        <v>0.68027210884353739</v>
      </c>
      <c r="CN231" s="103">
        <v>0.14321518080916579</v>
      </c>
      <c r="CO231" s="103">
        <v>0</v>
      </c>
      <c r="CQ231" s="110"/>
      <c r="CR231" s="46" t="s">
        <v>6</v>
      </c>
      <c r="CS231" s="103">
        <v>6.6489361702127656</v>
      </c>
      <c r="CT231" s="103">
        <v>18.48404255319149</v>
      </c>
      <c r="CU231" s="103">
        <v>24.867021276595743</v>
      </c>
      <c r="CV231" s="103">
        <v>22.340425531914892</v>
      </c>
      <c r="CW231" s="103">
        <v>13.829787234042554</v>
      </c>
      <c r="CX231" s="103">
        <v>7.7127659574468082</v>
      </c>
      <c r="CY231" s="103">
        <v>4.3882978723404253</v>
      </c>
      <c r="CZ231" s="103">
        <v>1.3297872340425532</v>
      </c>
      <c r="DA231" s="103">
        <v>0.39893617021276595</v>
      </c>
      <c r="DB231" s="103">
        <v>0</v>
      </c>
      <c r="DC231" s="42"/>
      <c r="DD231" s="110"/>
      <c r="DE231" s="46" t="s">
        <v>6</v>
      </c>
      <c r="DF231" s="103">
        <v>13.63970588235294</v>
      </c>
      <c r="DG231" s="103">
        <v>30.40441176470588</v>
      </c>
      <c r="DH231" s="103">
        <v>26.65441176470588</v>
      </c>
      <c r="DI231" s="103">
        <v>16.838235294117649</v>
      </c>
      <c r="DJ231" s="103">
        <v>7.0955882352941178</v>
      </c>
      <c r="DK231" s="103">
        <v>3.6397058823529416</v>
      </c>
      <c r="DL231" s="103">
        <v>1.1397058823529411</v>
      </c>
      <c r="DM231" s="103">
        <v>0.44117647058823528</v>
      </c>
      <c r="DN231" s="103">
        <v>0.14705882352941177</v>
      </c>
      <c r="DO231" s="103">
        <v>0</v>
      </c>
    </row>
    <row r="232" spans="2:119" ht="14.45" customHeight="1" x14ac:dyDescent="0.45">
      <c r="B232" s="99"/>
      <c r="C232" s="42"/>
      <c r="D232" s="110"/>
      <c r="E232" s="47" t="s">
        <v>7</v>
      </c>
      <c r="F232" s="103">
        <v>6.4057403783431184</v>
      </c>
      <c r="G232" s="103">
        <v>18.825831702544033</v>
      </c>
      <c r="H232" s="103">
        <v>25.3750815394651</v>
      </c>
      <c r="I232" s="103">
        <v>23.105022831050228</v>
      </c>
      <c r="J232" s="103">
        <v>13.385518590998045</v>
      </c>
      <c r="K232" s="103">
        <v>7.5016307893020215</v>
      </c>
      <c r="L232" s="103">
        <v>3.7051532941943903</v>
      </c>
      <c r="M232" s="103">
        <v>1.1741682974559686</v>
      </c>
      <c r="N232" s="103">
        <v>0.44357469015003259</v>
      </c>
      <c r="O232" s="103">
        <v>7.8277886497064575E-2</v>
      </c>
      <c r="P232" s="42"/>
      <c r="Q232" s="110"/>
      <c r="R232" s="46" t="s">
        <v>7</v>
      </c>
      <c r="S232" s="103">
        <v>4.895104895104895</v>
      </c>
      <c r="T232" s="103">
        <v>18.67132867132867</v>
      </c>
      <c r="U232" s="103">
        <v>27.482517482517483</v>
      </c>
      <c r="V232" s="103">
        <v>23.846153846153847</v>
      </c>
      <c r="W232" s="103">
        <v>12.937062937062937</v>
      </c>
      <c r="X232" s="103">
        <v>7.8321678321678325</v>
      </c>
      <c r="Y232" s="103">
        <v>3.2867132867132867</v>
      </c>
      <c r="Z232" s="103">
        <v>0.76923076923076927</v>
      </c>
      <c r="AA232" s="103">
        <v>0.27972027972027974</v>
      </c>
      <c r="AB232" s="103">
        <v>0</v>
      </c>
      <c r="AC232" s="42"/>
      <c r="AD232" s="110"/>
      <c r="AE232" s="46" t="s">
        <v>7</v>
      </c>
      <c r="AF232" s="103">
        <v>6.7522052927024863</v>
      </c>
      <c r="AG232" s="103">
        <v>18.861267040898156</v>
      </c>
      <c r="AH232" s="103">
        <v>24.891740176423415</v>
      </c>
      <c r="AI232" s="103">
        <v>22.93504410585405</v>
      </c>
      <c r="AJ232" s="103">
        <v>13.488372093023257</v>
      </c>
      <c r="AK232" s="103">
        <v>7.4258219727345631</v>
      </c>
      <c r="AL232" s="103">
        <v>3.80112269446672</v>
      </c>
      <c r="AM232" s="103">
        <v>1.2670408981555734</v>
      </c>
      <c r="AN232" s="103">
        <v>0.48115477145148355</v>
      </c>
      <c r="AO232" s="103">
        <v>9.6230954290296711E-2</v>
      </c>
      <c r="AP232" s="6"/>
      <c r="AQ232" s="110"/>
      <c r="AR232" s="46" t="s">
        <v>7</v>
      </c>
      <c r="AS232" s="103">
        <v>9.5341750108837608</v>
      </c>
      <c r="AT232" s="103">
        <v>23.117109272964736</v>
      </c>
      <c r="AU232" s="103">
        <v>26.1645624727906</v>
      </c>
      <c r="AV232" s="103">
        <v>19.808445798868089</v>
      </c>
      <c r="AW232" s="103">
        <v>11.449717022202874</v>
      </c>
      <c r="AX232" s="103">
        <v>6.0949063996517197</v>
      </c>
      <c r="AY232" s="103">
        <v>2.9603831084022638</v>
      </c>
      <c r="AZ232" s="103">
        <v>0.56595559425337394</v>
      </c>
      <c r="BA232" s="103">
        <v>0.26121027427078797</v>
      </c>
      <c r="BB232" s="103">
        <v>4.3535045711797997E-2</v>
      </c>
      <c r="BC232" s="42"/>
      <c r="BD232" s="110"/>
      <c r="BE232" s="46" t="s">
        <v>7</v>
      </c>
      <c r="BF232" s="103">
        <v>5.0670640834575256</v>
      </c>
      <c r="BG232" s="103">
        <v>16.98956780923994</v>
      </c>
      <c r="BH232" s="103">
        <v>25.037257824143072</v>
      </c>
      <c r="BI232" s="103">
        <v>24.515648286140092</v>
      </c>
      <c r="BJ232" s="103">
        <v>14.213859910581222</v>
      </c>
      <c r="BK232" s="103">
        <v>8.1035767511177337</v>
      </c>
      <c r="BL232" s="103">
        <v>4.0238450074515644</v>
      </c>
      <c r="BM232" s="103">
        <v>1.4344262295081966</v>
      </c>
      <c r="BN232" s="103">
        <v>0.52160953800298071</v>
      </c>
      <c r="BO232" s="103">
        <v>9.3144560357675113E-2</v>
      </c>
      <c r="BQ232" s="110"/>
      <c r="BR232" s="46" t="s">
        <v>7</v>
      </c>
      <c r="BS232" s="103">
        <v>6.8160597572362276</v>
      </c>
      <c r="BT232" s="103">
        <v>18.767507002801121</v>
      </c>
      <c r="BU232" s="103">
        <v>27.07749766573296</v>
      </c>
      <c r="BV232" s="103">
        <v>19.981325863678805</v>
      </c>
      <c r="BW232" s="103">
        <v>13.258636788048554</v>
      </c>
      <c r="BX232" s="103">
        <v>7.8431372549019605</v>
      </c>
      <c r="BY232" s="103">
        <v>3.8281979458450048</v>
      </c>
      <c r="BZ232" s="103">
        <v>1.680672268907563</v>
      </c>
      <c r="CA232" s="103">
        <v>0.56022408963585435</v>
      </c>
      <c r="CB232" s="103">
        <v>0.18674136321195145</v>
      </c>
      <c r="CC232" s="42"/>
      <c r="CD232" s="110"/>
      <c r="CE232" s="46" t="s">
        <v>7</v>
      </c>
      <c r="CF232" s="103">
        <v>6.3390961480133452</v>
      </c>
      <c r="CG232" s="103">
        <v>18.835304822565966</v>
      </c>
      <c r="CH232" s="103">
        <v>25.098574461631785</v>
      </c>
      <c r="CI232" s="103">
        <v>23.612374886260238</v>
      </c>
      <c r="CJ232" s="103">
        <v>13.406126781922961</v>
      </c>
      <c r="CK232" s="103">
        <v>7.4461631786472555</v>
      </c>
      <c r="CL232" s="103">
        <v>3.6851683348498634</v>
      </c>
      <c r="CM232" s="103">
        <v>1.0919017288444042</v>
      </c>
      <c r="CN232" s="103">
        <v>0.42462845010615713</v>
      </c>
      <c r="CO232" s="103">
        <v>6.0661207158022444E-2</v>
      </c>
      <c r="CQ232" s="110"/>
      <c r="CR232" s="46" t="s">
        <v>7</v>
      </c>
      <c r="CS232" s="103">
        <v>3.3205619412515963</v>
      </c>
      <c r="CT232" s="103">
        <v>11.047254150702427</v>
      </c>
      <c r="CU232" s="103">
        <v>22.286079182630907</v>
      </c>
      <c r="CV232" s="103">
        <v>25.415070242656451</v>
      </c>
      <c r="CW232" s="103">
        <v>17.68837803320562</v>
      </c>
      <c r="CX232" s="103">
        <v>11.174968071519796</v>
      </c>
      <c r="CY232" s="103">
        <v>5.7471264367816088</v>
      </c>
      <c r="CZ232" s="103">
        <v>2.234993614303959</v>
      </c>
      <c r="DA232" s="103">
        <v>0.83014048531289908</v>
      </c>
      <c r="DB232" s="103">
        <v>0.2554278416347382</v>
      </c>
      <c r="DC232" s="42"/>
      <c r="DD232" s="110"/>
      <c r="DE232" s="46" t="s">
        <v>7</v>
      </c>
      <c r="DF232" s="103">
        <v>7.1979012952943107</v>
      </c>
      <c r="DG232" s="103">
        <v>20.823085751762584</v>
      </c>
      <c r="DH232" s="103">
        <v>26.168224299065418</v>
      </c>
      <c r="DI232" s="103">
        <v>22.511887194622069</v>
      </c>
      <c r="DJ232" s="103">
        <v>12.280701754385964</v>
      </c>
      <c r="DK232" s="103">
        <v>6.5584522052795542</v>
      </c>
      <c r="DL232" s="103">
        <v>3.1808493195605836</v>
      </c>
      <c r="DM232" s="103">
        <v>0.90178717822593857</v>
      </c>
      <c r="DN232" s="103">
        <v>0.34431874077717661</v>
      </c>
      <c r="DO232" s="103">
        <v>3.2792261026397769E-2</v>
      </c>
    </row>
    <row r="233" spans="2:119" ht="14.45" customHeight="1" x14ac:dyDescent="0.45">
      <c r="B233" s="99"/>
      <c r="C233" s="42"/>
      <c r="D233" s="110"/>
      <c r="E233" s="47" t="s">
        <v>8</v>
      </c>
      <c r="F233" s="103">
        <v>2.78778386844166</v>
      </c>
      <c r="G233" s="103">
        <v>10.563821456538763</v>
      </c>
      <c r="H233" s="103">
        <v>18.167580266249018</v>
      </c>
      <c r="I233" s="103">
        <v>23.37509788566954</v>
      </c>
      <c r="J233" s="103">
        <v>18.433829287392324</v>
      </c>
      <c r="K233" s="103">
        <v>13.750978856695381</v>
      </c>
      <c r="L233" s="103">
        <v>7.9796397807361004</v>
      </c>
      <c r="M233" s="103">
        <v>3.3281127642913075</v>
      </c>
      <c r="N233" s="103">
        <v>1.3625685199686766</v>
      </c>
      <c r="O233" s="103">
        <v>0.25058731401722789</v>
      </c>
      <c r="P233" s="42"/>
      <c r="Q233" s="110"/>
      <c r="R233" s="46" t="s">
        <v>8</v>
      </c>
      <c r="S233" s="103">
        <v>2.3609443777511006</v>
      </c>
      <c r="T233" s="103">
        <v>9.2837134853941574</v>
      </c>
      <c r="U233" s="103">
        <v>17.687074829931973</v>
      </c>
      <c r="V233" s="103">
        <v>24.529811924769909</v>
      </c>
      <c r="W233" s="103">
        <v>20.328131252500999</v>
      </c>
      <c r="X233" s="103">
        <v>14.285714285714285</v>
      </c>
      <c r="Y233" s="103">
        <v>7.1228491396558624</v>
      </c>
      <c r="Z233" s="103">
        <v>3.2412965186074429</v>
      </c>
      <c r="AA233" s="103">
        <v>1.0004001600640255</v>
      </c>
      <c r="AB233" s="103">
        <v>0.1600640256102441</v>
      </c>
      <c r="AC233" s="42"/>
      <c r="AD233" s="110"/>
      <c r="AE233" s="46" t="s">
        <v>8</v>
      </c>
      <c r="AF233" s="103">
        <v>2.8916366468698276</v>
      </c>
      <c r="AG233" s="103">
        <v>10.875279914321876</v>
      </c>
      <c r="AH233" s="103">
        <v>18.284490312530423</v>
      </c>
      <c r="AI233" s="103">
        <v>23.094148573653978</v>
      </c>
      <c r="AJ233" s="103">
        <v>17.972933502093273</v>
      </c>
      <c r="AK233" s="103">
        <v>13.620874306299289</v>
      </c>
      <c r="AL233" s="103">
        <v>8.188102424301432</v>
      </c>
      <c r="AM233" s="103">
        <v>3.3492357121993965</v>
      </c>
      <c r="AN233" s="103">
        <v>1.4506863985979943</v>
      </c>
      <c r="AO233" s="103">
        <v>0.272612209132509</v>
      </c>
      <c r="AP233" s="6"/>
      <c r="AQ233" s="110"/>
      <c r="AR233" s="46" t="s">
        <v>8</v>
      </c>
      <c r="AS233" s="103">
        <v>4.4974343495321465</v>
      </c>
      <c r="AT233" s="103">
        <v>14.458194989435558</v>
      </c>
      <c r="AU233" s="103">
        <v>20.555387865982492</v>
      </c>
      <c r="AV233" s="103">
        <v>22.789012979172956</v>
      </c>
      <c r="AW233" s="103">
        <v>15.454271053425897</v>
      </c>
      <c r="AX233" s="103">
        <v>11.862360398430425</v>
      </c>
      <c r="AY233" s="103">
        <v>6.8819800784787208</v>
      </c>
      <c r="AZ233" s="103">
        <v>2.2638092363416842</v>
      </c>
      <c r="BA233" s="103">
        <v>0.93570781768789624</v>
      </c>
      <c r="BB233" s="103">
        <v>0.30184123151222458</v>
      </c>
      <c r="BC233" s="42"/>
      <c r="BD233" s="110"/>
      <c r="BE233" s="46" t="s">
        <v>8</v>
      </c>
      <c r="BF233" s="103">
        <v>2.1888548165380142</v>
      </c>
      <c r="BG233" s="103">
        <v>9.1995347361742628</v>
      </c>
      <c r="BH233" s="103">
        <v>17.331077508723698</v>
      </c>
      <c r="BI233" s="103">
        <v>23.580416622607594</v>
      </c>
      <c r="BJ233" s="103">
        <v>19.477635613831023</v>
      </c>
      <c r="BK233" s="103">
        <v>14.412604420006344</v>
      </c>
      <c r="BL233" s="103">
        <v>8.3641746854182095</v>
      </c>
      <c r="BM233" s="103">
        <v>3.7009622501850483</v>
      </c>
      <c r="BN233" s="103">
        <v>1.5121074336470339</v>
      </c>
      <c r="BO233" s="103">
        <v>0.23263191286877444</v>
      </c>
      <c r="BQ233" s="110"/>
      <c r="BR233" s="46" t="s">
        <v>8</v>
      </c>
      <c r="BS233" s="103">
        <v>5.2312357846853672</v>
      </c>
      <c r="BT233" s="103">
        <v>11.06899166034875</v>
      </c>
      <c r="BU233" s="103">
        <v>20.924943138741469</v>
      </c>
      <c r="BV233" s="103">
        <v>22.744503411675513</v>
      </c>
      <c r="BW233" s="103">
        <v>15.390447308567095</v>
      </c>
      <c r="BX233" s="103">
        <v>11.448066717210008</v>
      </c>
      <c r="BY233" s="103">
        <v>7.4298711144806671</v>
      </c>
      <c r="BZ233" s="103">
        <v>3.639120545868082</v>
      </c>
      <c r="CA233" s="103">
        <v>1.9711902956785443</v>
      </c>
      <c r="CB233" s="103">
        <v>0.15163002274450341</v>
      </c>
      <c r="CC233" s="42"/>
      <c r="CD233" s="110"/>
      <c r="CE233" s="46" t="s">
        <v>8</v>
      </c>
      <c r="CF233" s="103">
        <v>2.5063313247751289</v>
      </c>
      <c r="CG233" s="103">
        <v>10.505632695834425</v>
      </c>
      <c r="CH233" s="103">
        <v>17.849969434983844</v>
      </c>
      <c r="CI233" s="103">
        <v>23.447733822373593</v>
      </c>
      <c r="CJ233" s="103">
        <v>18.78438564317527</v>
      </c>
      <c r="CK233" s="103">
        <v>14.016243122871366</v>
      </c>
      <c r="CL233" s="103">
        <v>8.0429656798532889</v>
      </c>
      <c r="CM233" s="103">
        <v>3.292288883066981</v>
      </c>
      <c r="CN233" s="103">
        <v>1.2924635403021569</v>
      </c>
      <c r="CO233" s="103">
        <v>0.2619858527639507</v>
      </c>
      <c r="CQ233" s="110"/>
      <c r="CR233" s="46" t="s">
        <v>8</v>
      </c>
      <c r="CS233" s="103">
        <v>1.3264869490800171</v>
      </c>
      <c r="CT233" s="103">
        <v>6.7180145485665381</v>
      </c>
      <c r="CU233" s="103">
        <v>13.436029097133076</v>
      </c>
      <c r="CV233" s="103">
        <v>21.095421480530593</v>
      </c>
      <c r="CW233" s="103">
        <v>21.052631578947366</v>
      </c>
      <c r="CX233" s="103">
        <v>17.372700042789901</v>
      </c>
      <c r="CY233" s="103">
        <v>10.997004706889173</v>
      </c>
      <c r="CZ233" s="103">
        <v>5.5626872058194259</v>
      </c>
      <c r="DA233" s="103">
        <v>2.0111253744116389</v>
      </c>
      <c r="DB233" s="103">
        <v>0.42789901583226364</v>
      </c>
      <c r="DC233" s="42"/>
      <c r="DD233" s="110"/>
      <c r="DE233" s="46" t="s">
        <v>8</v>
      </c>
      <c r="DF233" s="103">
        <v>3.1151154988977283</v>
      </c>
      <c r="DG233" s="103">
        <v>11.425285152880283</v>
      </c>
      <c r="DH233" s="103">
        <v>19.227451356273363</v>
      </c>
      <c r="DI233" s="103">
        <v>23.885747148471197</v>
      </c>
      <c r="DJ233" s="103">
        <v>17.847215565992524</v>
      </c>
      <c r="DK233" s="103">
        <v>12.939710533882872</v>
      </c>
      <c r="DL233" s="103">
        <v>7.3037477235694421</v>
      </c>
      <c r="DM233" s="103">
        <v>2.8275663759225531</v>
      </c>
      <c r="DN233" s="103">
        <v>1.217291287261574</v>
      </c>
      <c r="DO233" s="103">
        <v>0.21086935684846161</v>
      </c>
    </row>
    <row r="234" spans="2:119" ht="14.45" customHeight="1" x14ac:dyDescent="0.45">
      <c r="B234" s="99"/>
      <c r="C234" s="42"/>
      <c r="D234" s="110"/>
      <c r="E234" s="47" t="s">
        <v>9</v>
      </c>
      <c r="F234" s="103">
        <v>0.96749898615375707</v>
      </c>
      <c r="G234" s="103">
        <v>4.1422860784427318</v>
      </c>
      <c r="H234" s="103">
        <v>9.3331788424772597</v>
      </c>
      <c r="I234" s="103">
        <v>17.843693876368693</v>
      </c>
      <c r="J234" s="103">
        <v>19.321012687561556</v>
      </c>
      <c r="K234" s="103">
        <v>19.767105034470774</v>
      </c>
      <c r="L234" s="103">
        <v>14.889056253982968</v>
      </c>
      <c r="M234" s="103">
        <v>8.759631539308268</v>
      </c>
      <c r="N234" s="103">
        <v>4.0611783790046925</v>
      </c>
      <c r="O234" s="103">
        <v>0.91535832222930313</v>
      </c>
      <c r="P234" s="42"/>
      <c r="Q234" s="110"/>
      <c r="R234" s="46" t="s">
        <v>9</v>
      </c>
      <c r="S234" s="103">
        <v>0.73746312684365778</v>
      </c>
      <c r="T234" s="103">
        <v>3.3628318584070795</v>
      </c>
      <c r="U234" s="103">
        <v>7.9056047197640114</v>
      </c>
      <c r="V234" s="103">
        <v>16.548672566371682</v>
      </c>
      <c r="W234" s="103">
        <v>20.825958702064899</v>
      </c>
      <c r="X234" s="103">
        <v>19.734513274336283</v>
      </c>
      <c r="Y234" s="103">
        <v>16.696165191740413</v>
      </c>
      <c r="Z234" s="103">
        <v>9.0265486725663724</v>
      </c>
      <c r="AA234" s="103">
        <v>4.1887905604719764</v>
      </c>
      <c r="AB234" s="103">
        <v>0.97345132743362828</v>
      </c>
      <c r="AC234" s="42"/>
      <c r="AD234" s="110"/>
      <c r="AE234" s="46" t="s">
        <v>9</v>
      </c>
      <c r="AF234" s="103">
        <v>1.0237185494917453</v>
      </c>
      <c r="AG234" s="103">
        <v>4.3327806214404152</v>
      </c>
      <c r="AH234" s="103">
        <v>9.6820705068127744</v>
      </c>
      <c r="AI234" s="103">
        <v>18.160190325138778</v>
      </c>
      <c r="AJ234" s="103">
        <v>18.953211736716892</v>
      </c>
      <c r="AK234" s="103">
        <v>19.77507029053421</v>
      </c>
      <c r="AL234" s="103">
        <v>14.447408261841252</v>
      </c>
      <c r="AM234" s="103">
        <v>8.694398385120035</v>
      </c>
      <c r="AN234" s="103">
        <v>4.0299906279287718</v>
      </c>
      <c r="AO234" s="103">
        <v>0.90116069497512796</v>
      </c>
      <c r="AP234" s="6"/>
      <c r="AQ234" s="110"/>
      <c r="AR234" s="46" t="s">
        <v>9</v>
      </c>
      <c r="AS234" s="103">
        <v>1.7529215358931551</v>
      </c>
      <c r="AT234" s="103">
        <v>6.5386755703951032</v>
      </c>
      <c r="AU234" s="103">
        <v>12.020033388981636</v>
      </c>
      <c r="AV234" s="103">
        <v>20.20033388981636</v>
      </c>
      <c r="AW234" s="103">
        <v>19.588202559821926</v>
      </c>
      <c r="AX234" s="103">
        <v>17.473567056204786</v>
      </c>
      <c r="AY234" s="103">
        <v>12.548692264885922</v>
      </c>
      <c r="AZ234" s="103">
        <v>6.5943238731218701</v>
      </c>
      <c r="BA234" s="103">
        <v>2.7267668336115749</v>
      </c>
      <c r="BB234" s="103">
        <v>0.5564830272676683</v>
      </c>
      <c r="BC234" s="42"/>
      <c r="BD234" s="110"/>
      <c r="BE234" s="46" t="s">
        <v>9</v>
      </c>
      <c r="BF234" s="103">
        <v>0.76095704982805301</v>
      </c>
      <c r="BG234" s="103">
        <v>3.5121094607448597</v>
      </c>
      <c r="BH234" s="103">
        <v>8.6266188629545617</v>
      </c>
      <c r="BI234" s="103">
        <v>17.223970147069583</v>
      </c>
      <c r="BJ234" s="103">
        <v>19.250749981707763</v>
      </c>
      <c r="BK234" s="103">
        <v>20.370234872320186</v>
      </c>
      <c r="BL234" s="103">
        <v>15.504499890246578</v>
      </c>
      <c r="BM234" s="103">
        <v>9.3290407551035326</v>
      </c>
      <c r="BN234" s="103">
        <v>4.4120875100607302</v>
      </c>
      <c r="BO234" s="103">
        <v>1.0097314699641473</v>
      </c>
      <c r="BQ234" s="110"/>
      <c r="BR234" s="46" t="s">
        <v>9</v>
      </c>
      <c r="BS234" s="103">
        <v>1.7788089713843775</v>
      </c>
      <c r="BT234" s="103">
        <v>5.645784996133024</v>
      </c>
      <c r="BU234" s="103">
        <v>11.523588553750967</v>
      </c>
      <c r="BV234" s="103">
        <v>17.788089713843775</v>
      </c>
      <c r="BW234" s="103">
        <v>18.638824439288477</v>
      </c>
      <c r="BX234" s="103">
        <v>15.622583139984533</v>
      </c>
      <c r="BY234" s="103">
        <v>15.777262180974477</v>
      </c>
      <c r="BZ234" s="103">
        <v>8.2753286929621037</v>
      </c>
      <c r="CA234" s="103">
        <v>4.0989945862335651</v>
      </c>
      <c r="CB234" s="103">
        <v>0.8507347254447023</v>
      </c>
      <c r="CC234" s="42"/>
      <c r="CD234" s="110"/>
      <c r="CE234" s="46" t="s">
        <v>9</v>
      </c>
      <c r="CF234" s="103">
        <v>0.90180360721442887</v>
      </c>
      <c r="CG234" s="103">
        <v>4.0205410821643284</v>
      </c>
      <c r="CH234" s="103">
        <v>9.1558116232464926</v>
      </c>
      <c r="CI234" s="103">
        <v>17.848196392785571</v>
      </c>
      <c r="CJ234" s="103">
        <v>19.376252505010019</v>
      </c>
      <c r="CK234" s="103">
        <v>20.102705410821645</v>
      </c>
      <c r="CL234" s="103">
        <v>14.817134268537075</v>
      </c>
      <c r="CM234" s="103">
        <v>8.7988476953907817</v>
      </c>
      <c r="CN234" s="103">
        <v>4.05811623246493</v>
      </c>
      <c r="CO234" s="103">
        <v>0.92059118236472948</v>
      </c>
      <c r="CQ234" s="110"/>
      <c r="CR234" s="46" t="s">
        <v>9</v>
      </c>
      <c r="CS234" s="103">
        <v>0.50234427327528464</v>
      </c>
      <c r="CT234" s="103">
        <v>2.0428667113194909</v>
      </c>
      <c r="CU234" s="103">
        <v>5.4588077695914272</v>
      </c>
      <c r="CV234" s="103">
        <v>13.563295378432686</v>
      </c>
      <c r="CW234" s="103">
        <v>19.39048894842599</v>
      </c>
      <c r="CX234" s="103">
        <v>22.404554588077698</v>
      </c>
      <c r="CY234" s="103">
        <v>17.782987273945078</v>
      </c>
      <c r="CZ234" s="103">
        <v>11.520428667113194</v>
      </c>
      <c r="DA234" s="103">
        <v>6.0281312793034161</v>
      </c>
      <c r="DB234" s="103">
        <v>1.3060951105157401</v>
      </c>
      <c r="DC234" s="42"/>
      <c r="DD234" s="110"/>
      <c r="DE234" s="46" t="s">
        <v>9</v>
      </c>
      <c r="DF234" s="103">
        <v>1.0647985989492119</v>
      </c>
      <c r="DG234" s="103">
        <v>4.5814360770577931</v>
      </c>
      <c r="DH234" s="103">
        <v>10.143607705779335</v>
      </c>
      <c r="DI234" s="103">
        <v>18.739054290718038</v>
      </c>
      <c r="DJ234" s="103">
        <v>19.306479859894921</v>
      </c>
      <c r="DK234" s="103">
        <v>19.215411558669</v>
      </c>
      <c r="DL234" s="103">
        <v>14.283712784588442</v>
      </c>
      <c r="DM234" s="103">
        <v>8.1821366024518394</v>
      </c>
      <c r="DN234" s="103">
        <v>3.6497373029772331</v>
      </c>
      <c r="DO234" s="103">
        <v>0.83362521891418551</v>
      </c>
    </row>
    <row r="235" spans="2:119" ht="14.45" customHeight="1" x14ac:dyDescent="0.45">
      <c r="B235" s="99"/>
      <c r="C235" s="42"/>
      <c r="D235" s="110"/>
      <c r="E235" s="47" t="s">
        <v>10</v>
      </c>
      <c r="F235" s="103">
        <v>0.17894575387289738</v>
      </c>
      <c r="G235" s="103">
        <v>0.99698348586328545</v>
      </c>
      <c r="H235" s="103">
        <v>2.9449358351653974</v>
      </c>
      <c r="I235" s="103">
        <v>8.0627843959302634</v>
      </c>
      <c r="J235" s="103">
        <v>11.953576358709546</v>
      </c>
      <c r="K235" s="103">
        <v>17.444654634695027</v>
      </c>
      <c r="L235" s="103">
        <v>21.008231504678154</v>
      </c>
      <c r="M235" s="103">
        <v>17.664502275167443</v>
      </c>
      <c r="N235" s="103">
        <v>13.881077764711897</v>
      </c>
      <c r="O235" s="103">
        <v>5.8643079912060943</v>
      </c>
      <c r="P235" s="42"/>
      <c r="Q235" s="110"/>
      <c r="R235" s="46" t="s">
        <v>10</v>
      </c>
      <c r="S235" s="103">
        <v>4.723665564478035E-2</v>
      </c>
      <c r="T235" s="103">
        <v>0.70854983467170529</v>
      </c>
      <c r="U235" s="103">
        <v>2.2909777987718467</v>
      </c>
      <c r="V235" s="103">
        <v>6.1880018894662259</v>
      </c>
      <c r="W235" s="103">
        <v>10.935285781766652</v>
      </c>
      <c r="X235" s="103">
        <v>17.855455833726971</v>
      </c>
      <c r="Y235" s="103">
        <v>21.965044874822862</v>
      </c>
      <c r="Z235" s="103">
        <v>19.248937175247992</v>
      </c>
      <c r="AA235" s="103">
        <v>15.328294756731223</v>
      </c>
      <c r="AB235" s="103">
        <v>5.4322153991497402</v>
      </c>
      <c r="AC235" s="42"/>
      <c r="AD235" s="110"/>
      <c r="AE235" s="46" t="s">
        <v>10</v>
      </c>
      <c r="AF235" s="103">
        <v>0.21533442088091356</v>
      </c>
      <c r="AG235" s="103">
        <v>1.0766721044045677</v>
      </c>
      <c r="AH235" s="103">
        <v>3.1256117455138663</v>
      </c>
      <c r="AI235" s="103">
        <v>8.580750407830342</v>
      </c>
      <c r="AJ235" s="103">
        <v>12.234910277324634</v>
      </c>
      <c r="AK235" s="103">
        <v>17.331158238172918</v>
      </c>
      <c r="AL235" s="103">
        <v>20.743882544861339</v>
      </c>
      <c r="AM235" s="103">
        <v>17.226753670473084</v>
      </c>
      <c r="AN235" s="103">
        <v>13.481239804241435</v>
      </c>
      <c r="AO235" s="103">
        <v>5.9836867862969001</v>
      </c>
      <c r="AP235" s="6"/>
      <c r="AQ235" s="110"/>
      <c r="AR235" s="46" t="s">
        <v>10</v>
      </c>
      <c r="AS235" s="103">
        <v>0.60913705583756339</v>
      </c>
      <c r="AT235" s="103">
        <v>1.8274111675126905</v>
      </c>
      <c r="AU235" s="103">
        <v>4.5346869712351943</v>
      </c>
      <c r="AV235" s="103">
        <v>12.351945854483926</v>
      </c>
      <c r="AW235" s="103">
        <v>15.059221658206429</v>
      </c>
      <c r="AX235" s="103">
        <v>18.815566835871405</v>
      </c>
      <c r="AY235" s="103">
        <v>19.255499153976309</v>
      </c>
      <c r="AZ235" s="103">
        <v>14.179357021996616</v>
      </c>
      <c r="BA235" s="103">
        <v>9.5093062605752969</v>
      </c>
      <c r="BB235" s="103">
        <v>3.857868020304569</v>
      </c>
      <c r="BC235" s="42"/>
      <c r="BD235" s="110"/>
      <c r="BE235" s="46" t="s">
        <v>10</v>
      </c>
      <c r="BF235" s="103">
        <v>0.10238496747771622</v>
      </c>
      <c r="BG235" s="103">
        <v>0.84919296555046975</v>
      </c>
      <c r="BH235" s="103">
        <v>2.6620091544206215</v>
      </c>
      <c r="BI235" s="103">
        <v>7.299445916646591</v>
      </c>
      <c r="BJ235" s="103">
        <v>11.400867260900988</v>
      </c>
      <c r="BK235" s="103">
        <v>17.200674536256326</v>
      </c>
      <c r="BL235" s="103">
        <v>21.320163815947964</v>
      </c>
      <c r="BM235" s="103">
        <v>18.284750662490968</v>
      </c>
      <c r="BN235" s="103">
        <v>14.659118284750663</v>
      </c>
      <c r="BO235" s="103">
        <v>6.2213924355576964</v>
      </c>
      <c r="BQ235" s="110"/>
      <c r="BR235" s="46" t="s">
        <v>10</v>
      </c>
      <c r="BS235" s="103">
        <v>0.54844606946983543</v>
      </c>
      <c r="BT235" s="103">
        <v>1.6453382084095063</v>
      </c>
      <c r="BU235" s="103">
        <v>4.296160877513711</v>
      </c>
      <c r="BV235" s="103">
        <v>8.0438756855575875</v>
      </c>
      <c r="BW235" s="103">
        <v>12.614259597806216</v>
      </c>
      <c r="BX235" s="103">
        <v>16.270566727605118</v>
      </c>
      <c r="BY235" s="103">
        <v>19.652650822669106</v>
      </c>
      <c r="BZ235" s="103">
        <v>16.270566727605118</v>
      </c>
      <c r="CA235" s="103">
        <v>14.259597806215721</v>
      </c>
      <c r="CB235" s="103">
        <v>6.3985374771480803</v>
      </c>
      <c r="CC235" s="42"/>
      <c r="CD235" s="110"/>
      <c r="CE235" s="46" t="s">
        <v>10</v>
      </c>
      <c r="CF235" s="103">
        <v>0.15705388572975901</v>
      </c>
      <c r="CG235" s="103">
        <v>0.95857026807473589</v>
      </c>
      <c r="CH235" s="103">
        <v>2.8648795017600865</v>
      </c>
      <c r="CI235" s="103">
        <v>8.0639046845383167</v>
      </c>
      <c r="CJ235" s="103">
        <v>11.914432710533442</v>
      </c>
      <c r="CK235" s="103">
        <v>17.514216084484161</v>
      </c>
      <c r="CL235" s="103">
        <v>21.088545897644192</v>
      </c>
      <c r="CM235" s="103">
        <v>17.747089087462768</v>
      </c>
      <c r="CN235" s="103">
        <v>13.858651502843216</v>
      </c>
      <c r="CO235" s="103">
        <v>5.832656376929326</v>
      </c>
      <c r="CQ235" s="110"/>
      <c r="CR235" s="46" t="s">
        <v>10</v>
      </c>
      <c r="CS235" s="103">
        <v>9.2535471930906846E-2</v>
      </c>
      <c r="CT235" s="103">
        <v>0.46267735965453427</v>
      </c>
      <c r="CU235" s="103">
        <v>1.974090067859346</v>
      </c>
      <c r="CV235" s="103">
        <v>5.6138186304750155</v>
      </c>
      <c r="CW235" s="103">
        <v>10.795805058605799</v>
      </c>
      <c r="CX235" s="103">
        <v>15.946946329426282</v>
      </c>
      <c r="CY235" s="103">
        <v>22.115977791486738</v>
      </c>
      <c r="CZ235" s="103">
        <v>18.291178285009256</v>
      </c>
      <c r="DA235" s="103">
        <v>16.656384947563232</v>
      </c>
      <c r="DB235" s="103">
        <v>8.0505860579888946</v>
      </c>
      <c r="DC235" s="42"/>
      <c r="DD235" s="110"/>
      <c r="DE235" s="46" t="s">
        <v>10</v>
      </c>
      <c r="DF235" s="103">
        <v>0.19611448182876756</v>
      </c>
      <c r="DG235" s="103">
        <v>1.1031439602868174</v>
      </c>
      <c r="DH235" s="103">
        <v>3.137831709260281</v>
      </c>
      <c r="DI235" s="103">
        <v>8.5493656922228354</v>
      </c>
      <c r="DJ235" s="103">
        <v>12.183612183612183</v>
      </c>
      <c r="DK235" s="103">
        <v>17.742232027946315</v>
      </c>
      <c r="DL235" s="103">
        <v>20.788135073849361</v>
      </c>
      <c r="DM235" s="103">
        <v>17.539988968560397</v>
      </c>
      <c r="DN235" s="103">
        <v>13.329656186799044</v>
      </c>
      <c r="DO235" s="103">
        <v>5.4299197156340009</v>
      </c>
    </row>
    <row r="236" spans="2:119" ht="14.45" customHeight="1" x14ac:dyDescent="0.45">
      <c r="B236" s="99"/>
      <c r="C236" s="42"/>
      <c r="D236" s="111"/>
      <c r="E236" s="47" t="s">
        <v>11</v>
      </c>
      <c r="F236" s="103">
        <v>0</v>
      </c>
      <c r="G236" s="103">
        <v>7.0064809949203014E-2</v>
      </c>
      <c r="H236" s="103">
        <v>0.54300227710632343</v>
      </c>
      <c r="I236" s="103">
        <v>2.1019442984760905</v>
      </c>
      <c r="J236" s="103">
        <v>3.7134349273077598</v>
      </c>
      <c r="K236" s="103">
        <v>8.8281660535995794</v>
      </c>
      <c r="L236" s="103">
        <v>14.555964266946924</v>
      </c>
      <c r="M236" s="103">
        <v>20.581537922578384</v>
      </c>
      <c r="N236" s="103">
        <v>27.009984235417761</v>
      </c>
      <c r="O236" s="103">
        <v>22.59590120861797</v>
      </c>
      <c r="P236" s="42"/>
      <c r="Q236" s="111"/>
      <c r="R236" s="46" t="s">
        <v>11</v>
      </c>
      <c r="S236" s="103">
        <v>0</v>
      </c>
      <c r="T236" s="103">
        <v>6.6666666666666666E-2</v>
      </c>
      <c r="U236" s="103">
        <v>0.46666666666666673</v>
      </c>
      <c r="V236" s="103">
        <v>1.5333333333333332</v>
      </c>
      <c r="W236" s="103">
        <v>2.4666666666666668</v>
      </c>
      <c r="X236" s="103">
        <v>6.2</v>
      </c>
      <c r="Y236" s="103">
        <v>14.333333333333334</v>
      </c>
      <c r="Z236" s="103">
        <v>20.8</v>
      </c>
      <c r="AA236" s="103">
        <v>28.199999999999996</v>
      </c>
      <c r="AB236" s="103">
        <v>25.933333333333337</v>
      </c>
      <c r="AC236" s="42"/>
      <c r="AD236" s="111"/>
      <c r="AE236" s="46" t="s">
        <v>11</v>
      </c>
      <c r="AF236" s="103">
        <v>0</v>
      </c>
      <c r="AG236" s="103">
        <v>7.1275837491090524E-2</v>
      </c>
      <c r="AH236" s="103">
        <v>0.57020669992872419</v>
      </c>
      <c r="AI236" s="103">
        <v>2.3045854122119267</v>
      </c>
      <c r="AJ236" s="103">
        <v>4.1577571869802803</v>
      </c>
      <c r="AK236" s="103">
        <v>9.7647897362794023</v>
      </c>
      <c r="AL236" s="103">
        <v>14.635305298170586</v>
      </c>
      <c r="AM236" s="103">
        <v>20.503682584937039</v>
      </c>
      <c r="AN236" s="103">
        <v>26.585887384176765</v>
      </c>
      <c r="AO236" s="103">
        <v>21.406509859824187</v>
      </c>
      <c r="AP236" s="6"/>
      <c r="AQ236" s="111"/>
      <c r="AR236" s="46" t="s">
        <v>11</v>
      </c>
      <c r="AS236" s="103">
        <v>0</v>
      </c>
      <c r="AT236" s="103">
        <v>0.19193857965451055</v>
      </c>
      <c r="AU236" s="103">
        <v>1.3435700575815739</v>
      </c>
      <c r="AV236" s="103">
        <v>4.7984644913627639</v>
      </c>
      <c r="AW236" s="103">
        <v>7.2936660268714011</v>
      </c>
      <c r="AX236" s="103">
        <v>13.62763915547025</v>
      </c>
      <c r="AY236" s="103">
        <v>17.850287907869479</v>
      </c>
      <c r="AZ236" s="103">
        <v>19.193857965451055</v>
      </c>
      <c r="BA236" s="103">
        <v>19.577735124760075</v>
      </c>
      <c r="BB236" s="103">
        <v>16.122840690978887</v>
      </c>
      <c r="BC236" s="42"/>
      <c r="BD236" s="111"/>
      <c r="BE236" s="46" t="s">
        <v>11</v>
      </c>
      <c r="BF236" s="103">
        <v>0</v>
      </c>
      <c r="BG236" s="103">
        <v>5.782575173477255E-2</v>
      </c>
      <c r="BH236" s="103">
        <v>0.4626060138781804</v>
      </c>
      <c r="BI236" s="103">
        <v>1.831148804934464</v>
      </c>
      <c r="BJ236" s="103">
        <v>3.3538936006168076</v>
      </c>
      <c r="BK236" s="103">
        <v>8.3461835003855054</v>
      </c>
      <c r="BL236" s="103">
        <v>14.225134926754048</v>
      </c>
      <c r="BM236" s="103">
        <v>20.72089437162683</v>
      </c>
      <c r="BN236" s="103">
        <v>27.756360832690824</v>
      </c>
      <c r="BO236" s="103">
        <v>23.245952197378568</v>
      </c>
      <c r="BQ236" s="111"/>
      <c r="BR236" s="46" t="s">
        <v>11</v>
      </c>
      <c r="BS236" s="103">
        <v>0</v>
      </c>
      <c r="BT236" s="103">
        <v>0.41841004184100417</v>
      </c>
      <c r="BU236" s="103">
        <v>0.83682008368200833</v>
      </c>
      <c r="BV236" s="103">
        <v>3.3472803347280333</v>
      </c>
      <c r="BW236" s="103">
        <v>7.5313807531380759</v>
      </c>
      <c r="BX236" s="103">
        <v>10.460251046025103</v>
      </c>
      <c r="BY236" s="103">
        <v>14.225941422594143</v>
      </c>
      <c r="BZ236" s="103">
        <v>18.410041841004183</v>
      </c>
      <c r="CA236" s="103">
        <v>28.03347280334728</v>
      </c>
      <c r="CB236" s="103">
        <v>16.736401673640167</v>
      </c>
      <c r="CC236" s="42"/>
      <c r="CD236" s="111"/>
      <c r="CE236" s="46" t="s">
        <v>11</v>
      </c>
      <c r="CF236" s="103">
        <v>0</v>
      </c>
      <c r="CG236" s="103">
        <v>5.4844606946983544E-2</v>
      </c>
      <c r="CH236" s="103">
        <v>0.53016453382084094</v>
      </c>
      <c r="CI236" s="103">
        <v>2.0475319926873858</v>
      </c>
      <c r="CJ236" s="103">
        <v>3.5466179159049358</v>
      </c>
      <c r="CK236" s="103">
        <v>8.7568555758683733</v>
      </c>
      <c r="CL236" s="103">
        <v>14.57038391224863</v>
      </c>
      <c r="CM236" s="103">
        <v>20.676416819012797</v>
      </c>
      <c r="CN236" s="103">
        <v>26.96526508226691</v>
      </c>
      <c r="CO236" s="103">
        <v>22.851919561243143</v>
      </c>
      <c r="CQ236" s="111"/>
      <c r="CR236" s="46" t="s">
        <v>11</v>
      </c>
      <c r="CS236" s="103">
        <v>0</v>
      </c>
      <c r="CT236" s="103">
        <v>0.12150668286755771</v>
      </c>
      <c r="CU236" s="103">
        <v>0.12150668286755771</v>
      </c>
      <c r="CV236" s="103">
        <v>1.8226002430133657</v>
      </c>
      <c r="CW236" s="103">
        <v>2.3086269744835968</v>
      </c>
      <c r="CX236" s="103">
        <v>7.1688942891859053</v>
      </c>
      <c r="CY236" s="103">
        <v>12.879708383961116</v>
      </c>
      <c r="CZ236" s="103">
        <v>19.927095990279465</v>
      </c>
      <c r="DA236" s="103">
        <v>28.432563791008501</v>
      </c>
      <c r="DB236" s="103">
        <v>27.217496962332927</v>
      </c>
      <c r="DC236" s="42"/>
      <c r="DD236" s="111"/>
      <c r="DE236" s="46" t="s">
        <v>11</v>
      </c>
      <c r="DF236" s="103">
        <v>0</v>
      </c>
      <c r="DG236" s="103">
        <v>6.1399918133442484E-2</v>
      </c>
      <c r="DH236" s="103">
        <v>0.61399918133442488</v>
      </c>
      <c r="DI236" s="103">
        <v>2.1489971346704868</v>
      </c>
      <c r="DJ236" s="103">
        <v>3.9500613999181331</v>
      </c>
      <c r="DK236" s="103">
        <v>9.1076545231273016</v>
      </c>
      <c r="DL236" s="103">
        <v>14.838313548915268</v>
      </c>
      <c r="DM236" s="103">
        <v>20.69177241097012</v>
      </c>
      <c r="DN236" s="103">
        <v>26.770364306180927</v>
      </c>
      <c r="DO236" s="103">
        <v>21.817437576749899</v>
      </c>
    </row>
    <row r="237" spans="2:119" ht="14.45" customHeight="1" x14ac:dyDescent="0.45">
      <c r="B237" s="99"/>
      <c r="C237" s="42"/>
      <c r="D237" s="42"/>
      <c r="E237" s="42"/>
      <c r="F237" s="42"/>
      <c r="G237" s="42"/>
      <c r="H237" s="42"/>
      <c r="I237" s="42"/>
      <c r="J237" s="42"/>
      <c r="K237" s="42"/>
      <c r="L237" s="42"/>
      <c r="M237" s="42"/>
      <c r="N237" s="42"/>
      <c r="O237" s="42"/>
      <c r="P237" s="42"/>
      <c r="Q237" s="42"/>
      <c r="R237" s="42"/>
      <c r="S237" s="42"/>
      <c r="T237" s="42"/>
      <c r="U237" s="42"/>
      <c r="V237" s="42"/>
      <c r="W237" s="42"/>
      <c r="X237" s="42"/>
      <c r="Y237" s="42"/>
      <c r="Z237" s="42"/>
      <c r="AA237" s="42"/>
      <c r="AB237" s="42"/>
      <c r="AC237" s="42"/>
      <c r="AD237" s="42"/>
      <c r="AE237" s="42"/>
      <c r="AF237" s="42"/>
      <c r="AG237" s="42"/>
      <c r="AH237" s="42"/>
      <c r="AI237" s="42"/>
      <c r="AJ237" s="42"/>
      <c r="AK237" s="42"/>
      <c r="AL237" s="42"/>
      <c r="AM237" s="42"/>
      <c r="AN237" s="42"/>
      <c r="AO237" s="42"/>
      <c r="AQ237" s="42"/>
      <c r="AR237" s="42"/>
      <c r="AS237" s="42"/>
      <c r="AT237" s="42"/>
      <c r="AU237" s="42"/>
      <c r="AV237" s="42"/>
      <c r="AW237" s="42"/>
      <c r="AX237" s="42"/>
      <c r="AY237" s="42"/>
      <c r="AZ237" s="42"/>
      <c r="BA237" s="42"/>
      <c r="BB237" s="42"/>
      <c r="BC237" s="42"/>
      <c r="BD237" s="42"/>
      <c r="BE237" s="42"/>
      <c r="BF237" s="42"/>
      <c r="BG237" s="42"/>
      <c r="BH237" s="42"/>
      <c r="BI237" s="42"/>
      <c r="BJ237" s="42"/>
      <c r="BK237" s="42"/>
      <c r="BL237" s="42"/>
      <c r="BM237" s="42"/>
      <c r="BN237" s="42"/>
      <c r="BO237" s="42"/>
      <c r="BQ237" s="42"/>
      <c r="BR237" s="42"/>
      <c r="BS237" s="42"/>
      <c r="BT237" s="42"/>
      <c r="BU237" s="42"/>
      <c r="BV237" s="42"/>
      <c r="BW237" s="42"/>
      <c r="BX237" s="42"/>
      <c r="BY237" s="42"/>
      <c r="BZ237" s="42"/>
      <c r="CA237" s="42"/>
      <c r="CB237" s="42"/>
      <c r="CC237" s="42"/>
      <c r="CD237" s="42"/>
      <c r="CE237" s="42"/>
      <c r="CF237" s="42"/>
      <c r="CG237" s="42"/>
      <c r="CH237" s="42"/>
      <c r="CI237" s="42"/>
      <c r="CJ237" s="42"/>
      <c r="CK237" s="42"/>
      <c r="CL237" s="42"/>
      <c r="CM237" s="42"/>
      <c r="CN237" s="42"/>
      <c r="CO237" s="42"/>
      <c r="CQ237" s="42"/>
      <c r="CR237" s="42"/>
      <c r="CS237" s="42"/>
      <c r="CT237" s="42"/>
      <c r="CU237" s="42"/>
      <c r="CV237" s="42"/>
      <c r="CW237" s="42"/>
      <c r="CX237" s="42"/>
      <c r="CY237" s="42"/>
      <c r="CZ237" s="42"/>
      <c r="DA237" s="42"/>
      <c r="DB237" s="42"/>
      <c r="DC237" s="42"/>
      <c r="DD237" s="42"/>
      <c r="DE237" s="42"/>
      <c r="DF237" s="42"/>
      <c r="DG237" s="42"/>
      <c r="DH237" s="42"/>
      <c r="DI237" s="42"/>
      <c r="DJ237" s="42"/>
      <c r="DK237" s="42"/>
      <c r="DL237" s="42"/>
      <c r="DM237" s="42"/>
      <c r="DN237" s="42"/>
      <c r="DO237" s="42"/>
    </row>
    <row r="238" spans="2:119" ht="14.45" customHeight="1" x14ac:dyDescent="0.45">
      <c r="B238" s="99"/>
      <c r="C238" s="42"/>
      <c r="D238" s="42"/>
      <c r="E238" s="42"/>
      <c r="F238" s="42"/>
      <c r="G238" s="42"/>
      <c r="H238" s="42"/>
      <c r="I238" s="42"/>
      <c r="J238" s="42"/>
      <c r="K238" s="42"/>
      <c r="L238" s="42"/>
      <c r="M238" s="42"/>
      <c r="N238" s="42"/>
      <c r="O238" s="42"/>
      <c r="P238" s="42"/>
      <c r="Q238" s="42"/>
      <c r="R238" s="42"/>
      <c r="S238" s="42"/>
      <c r="T238" s="42"/>
      <c r="U238" s="42"/>
      <c r="V238" s="42"/>
      <c r="W238" s="42"/>
      <c r="X238" s="42"/>
      <c r="Y238" s="42"/>
      <c r="Z238" s="42"/>
      <c r="AA238" s="42"/>
      <c r="AB238" s="42"/>
      <c r="AC238" s="42"/>
      <c r="AD238" s="42"/>
      <c r="AE238" s="42"/>
      <c r="AF238" s="42"/>
      <c r="AG238" s="42"/>
      <c r="AH238" s="42"/>
      <c r="AI238" s="42"/>
      <c r="AJ238" s="42"/>
      <c r="AK238" s="42"/>
      <c r="AL238" s="42"/>
      <c r="AM238" s="42"/>
      <c r="AN238" s="42"/>
      <c r="AO238" s="42"/>
      <c r="AQ238" s="42"/>
      <c r="AR238" s="42"/>
      <c r="AS238" s="42"/>
      <c r="AT238" s="42"/>
      <c r="AU238" s="42"/>
      <c r="AV238" s="42"/>
      <c r="AW238" s="42"/>
      <c r="AX238" s="42"/>
      <c r="AY238" s="42"/>
      <c r="AZ238" s="42"/>
      <c r="BA238" s="42"/>
      <c r="BB238" s="42"/>
      <c r="BC238" s="42"/>
      <c r="BD238" s="42"/>
      <c r="BE238" s="42"/>
      <c r="BF238" s="42"/>
      <c r="BG238" s="42"/>
      <c r="BH238" s="42"/>
      <c r="BI238" s="42"/>
      <c r="BJ238" s="42"/>
      <c r="BK238" s="42"/>
      <c r="BL238" s="42"/>
      <c r="BM238" s="42"/>
      <c r="BN238" s="42"/>
      <c r="BO238" s="42"/>
      <c r="BQ238" s="42"/>
      <c r="BR238" s="42"/>
      <c r="BS238" s="42"/>
      <c r="BT238" s="42"/>
      <c r="BU238" s="42"/>
      <c r="BV238" s="42"/>
      <c r="BW238" s="42"/>
      <c r="BX238" s="42"/>
      <c r="BY238" s="42"/>
      <c r="BZ238" s="42"/>
      <c r="CA238" s="42"/>
      <c r="CB238" s="42"/>
      <c r="CC238" s="42"/>
      <c r="CD238" s="42"/>
      <c r="CE238" s="42"/>
      <c r="CF238" s="42"/>
      <c r="CG238" s="42"/>
      <c r="CH238" s="42"/>
      <c r="CI238" s="42"/>
      <c r="CJ238" s="42"/>
      <c r="CK238" s="42"/>
      <c r="CL238" s="42"/>
      <c r="CM238" s="42"/>
      <c r="CN238" s="42"/>
      <c r="CO238" s="42"/>
      <c r="CQ238" s="42"/>
      <c r="CR238" s="42"/>
      <c r="CS238" s="42"/>
      <c r="CT238" s="42"/>
      <c r="CU238" s="42"/>
      <c r="CV238" s="42"/>
      <c r="CW238" s="42"/>
      <c r="CX238" s="42"/>
      <c r="CY238" s="42"/>
      <c r="CZ238" s="42"/>
      <c r="DA238" s="42"/>
      <c r="DB238" s="42"/>
      <c r="DC238" s="42"/>
      <c r="DD238" s="42"/>
      <c r="DE238" s="42"/>
      <c r="DF238" s="42"/>
      <c r="DG238" s="42"/>
      <c r="DH238" s="42"/>
      <c r="DI238" s="42"/>
      <c r="DJ238" s="42"/>
      <c r="DK238" s="42"/>
      <c r="DL238" s="42"/>
      <c r="DM238" s="42"/>
      <c r="DN238" s="42"/>
      <c r="DO238" s="42"/>
    </row>
    <row r="239" spans="2:119" ht="14.45" customHeight="1" x14ac:dyDescent="0.55000000000000004">
      <c r="B239" s="99"/>
      <c r="C239" s="42"/>
      <c r="D239" s="112" t="s">
        <v>24</v>
      </c>
      <c r="E239" s="112"/>
      <c r="F239" s="45"/>
      <c r="G239" s="45"/>
      <c r="H239" s="45"/>
      <c r="I239" s="45"/>
      <c r="J239" s="45"/>
      <c r="K239" s="45"/>
      <c r="L239" s="45"/>
      <c r="M239" s="45"/>
      <c r="N239" s="45"/>
      <c r="O239" s="45"/>
      <c r="P239" s="42"/>
      <c r="Q239" s="112" t="s">
        <v>24</v>
      </c>
      <c r="R239" s="112"/>
      <c r="S239" s="45"/>
      <c r="T239" s="45"/>
      <c r="U239" s="45"/>
      <c r="V239" s="45"/>
      <c r="W239" s="45"/>
      <c r="X239" s="45"/>
      <c r="Y239" s="45"/>
      <c r="Z239" s="45"/>
      <c r="AA239" s="45"/>
      <c r="AB239" s="45"/>
      <c r="AC239" s="42"/>
      <c r="AD239" s="112" t="s">
        <v>24</v>
      </c>
      <c r="AE239" s="112"/>
      <c r="AF239" s="45"/>
      <c r="AG239" s="45"/>
      <c r="AH239" s="45"/>
      <c r="AI239" s="45"/>
      <c r="AJ239" s="45"/>
      <c r="AK239" s="45"/>
      <c r="AL239" s="45"/>
      <c r="AM239" s="45"/>
      <c r="AN239" s="45"/>
      <c r="AO239" s="45"/>
      <c r="AP239" s="6"/>
      <c r="AQ239" s="112" t="s">
        <v>24</v>
      </c>
      <c r="AR239" s="112"/>
      <c r="AS239" s="45"/>
      <c r="AT239" s="45"/>
      <c r="AU239" s="45"/>
      <c r="AV239" s="45"/>
      <c r="AW239" s="45"/>
      <c r="AX239" s="45"/>
      <c r="AY239" s="45"/>
      <c r="AZ239" s="45"/>
      <c r="BA239" s="45"/>
      <c r="BB239" s="45"/>
      <c r="BC239" s="42"/>
      <c r="BD239" s="112" t="s">
        <v>24</v>
      </c>
      <c r="BE239" s="112"/>
      <c r="BF239" s="45"/>
      <c r="BG239" s="45"/>
      <c r="BH239" s="45"/>
      <c r="BI239" s="45"/>
      <c r="BJ239" s="45"/>
      <c r="BK239" s="45"/>
      <c r="BL239" s="45"/>
      <c r="BM239" s="45"/>
      <c r="BN239" s="45"/>
      <c r="BO239" s="45"/>
      <c r="BQ239" s="112" t="s">
        <v>24</v>
      </c>
      <c r="BR239" s="112"/>
      <c r="BS239" s="45"/>
      <c r="BT239" s="45"/>
      <c r="BU239" s="45"/>
      <c r="BV239" s="45"/>
      <c r="BW239" s="45"/>
      <c r="BX239" s="45"/>
      <c r="BY239" s="45"/>
      <c r="BZ239" s="45"/>
      <c r="CA239" s="45"/>
      <c r="CB239" s="45"/>
      <c r="CC239" s="42"/>
      <c r="CD239" s="112" t="s">
        <v>24</v>
      </c>
      <c r="CE239" s="112"/>
      <c r="CF239" s="45"/>
      <c r="CG239" s="45"/>
      <c r="CH239" s="45"/>
      <c r="CI239" s="45"/>
      <c r="CJ239" s="45"/>
      <c r="CK239" s="45"/>
      <c r="CL239" s="45"/>
      <c r="CM239" s="45"/>
      <c r="CN239" s="45"/>
      <c r="CO239" s="45"/>
      <c r="CQ239" s="112" t="s">
        <v>24</v>
      </c>
      <c r="CR239" s="112"/>
      <c r="CS239" s="45"/>
      <c r="CT239" s="45"/>
      <c r="CU239" s="45"/>
      <c r="CV239" s="45"/>
      <c r="CW239" s="45"/>
      <c r="CX239" s="45"/>
      <c r="CY239" s="45"/>
      <c r="CZ239" s="45"/>
      <c r="DA239" s="45"/>
      <c r="DB239" s="45"/>
      <c r="DC239" s="42"/>
      <c r="DD239" s="112" t="s">
        <v>24</v>
      </c>
      <c r="DE239" s="112"/>
      <c r="DF239" s="45"/>
      <c r="DG239" s="45"/>
      <c r="DH239" s="45"/>
      <c r="DI239" s="45"/>
      <c r="DJ239" s="45"/>
      <c r="DK239" s="45"/>
      <c r="DL239" s="45"/>
      <c r="DM239" s="45"/>
      <c r="DN239" s="45"/>
      <c r="DO239" s="45"/>
    </row>
    <row r="240" spans="2:119" ht="28.9" customHeight="1" x14ac:dyDescent="0.45">
      <c r="B240" s="99"/>
      <c r="C240" s="42"/>
      <c r="D240" s="112"/>
      <c r="E240" s="112"/>
      <c r="F240" s="108" t="s">
        <v>12</v>
      </c>
      <c r="G240" s="108"/>
      <c r="H240" s="108"/>
      <c r="I240" s="108"/>
      <c r="J240" s="108"/>
      <c r="K240" s="108"/>
      <c r="L240" s="108"/>
      <c r="M240" s="108"/>
      <c r="N240" s="108"/>
      <c r="O240" s="108"/>
      <c r="P240" s="42"/>
      <c r="Q240" s="112"/>
      <c r="R240" s="112"/>
      <c r="S240" s="108" t="s">
        <v>12</v>
      </c>
      <c r="T240" s="108"/>
      <c r="U240" s="108"/>
      <c r="V240" s="108"/>
      <c r="W240" s="108"/>
      <c r="X240" s="108"/>
      <c r="Y240" s="108"/>
      <c r="Z240" s="108"/>
      <c r="AA240" s="108"/>
      <c r="AB240" s="108"/>
      <c r="AC240" s="42"/>
      <c r="AD240" s="112"/>
      <c r="AE240" s="112"/>
      <c r="AF240" s="108" t="s">
        <v>12</v>
      </c>
      <c r="AG240" s="108"/>
      <c r="AH240" s="108"/>
      <c r="AI240" s="108"/>
      <c r="AJ240" s="108"/>
      <c r="AK240" s="108"/>
      <c r="AL240" s="108"/>
      <c r="AM240" s="108"/>
      <c r="AN240" s="108"/>
      <c r="AO240" s="108"/>
      <c r="AP240" s="6"/>
      <c r="AQ240" s="112"/>
      <c r="AR240" s="112"/>
      <c r="AS240" s="108" t="s">
        <v>12</v>
      </c>
      <c r="AT240" s="108"/>
      <c r="AU240" s="108"/>
      <c r="AV240" s="108"/>
      <c r="AW240" s="108"/>
      <c r="AX240" s="108"/>
      <c r="AY240" s="108"/>
      <c r="AZ240" s="108"/>
      <c r="BA240" s="108"/>
      <c r="BB240" s="108"/>
      <c r="BC240" s="42"/>
      <c r="BD240" s="112"/>
      <c r="BE240" s="112"/>
      <c r="BF240" s="108" t="s">
        <v>12</v>
      </c>
      <c r="BG240" s="108"/>
      <c r="BH240" s="108"/>
      <c r="BI240" s="108"/>
      <c r="BJ240" s="108"/>
      <c r="BK240" s="108"/>
      <c r="BL240" s="108"/>
      <c r="BM240" s="108"/>
      <c r="BN240" s="108"/>
      <c r="BO240" s="108"/>
      <c r="BQ240" s="112"/>
      <c r="BR240" s="112"/>
      <c r="BS240" s="108" t="s">
        <v>12</v>
      </c>
      <c r="BT240" s="108"/>
      <c r="BU240" s="108"/>
      <c r="BV240" s="108"/>
      <c r="BW240" s="108"/>
      <c r="BX240" s="108"/>
      <c r="BY240" s="108"/>
      <c r="BZ240" s="108"/>
      <c r="CA240" s="108"/>
      <c r="CB240" s="108"/>
      <c r="CC240" s="42"/>
      <c r="CD240" s="112"/>
      <c r="CE240" s="112"/>
      <c r="CF240" s="108" t="s">
        <v>12</v>
      </c>
      <c r="CG240" s="108"/>
      <c r="CH240" s="108"/>
      <c r="CI240" s="108"/>
      <c r="CJ240" s="108"/>
      <c r="CK240" s="108"/>
      <c r="CL240" s="108"/>
      <c r="CM240" s="108"/>
      <c r="CN240" s="108"/>
      <c r="CO240" s="108"/>
      <c r="CQ240" s="112"/>
      <c r="CR240" s="112"/>
      <c r="CS240" s="108" t="s">
        <v>12</v>
      </c>
      <c r="CT240" s="108"/>
      <c r="CU240" s="108"/>
      <c r="CV240" s="108"/>
      <c r="CW240" s="108"/>
      <c r="CX240" s="108"/>
      <c r="CY240" s="108"/>
      <c r="CZ240" s="108"/>
      <c r="DA240" s="108"/>
      <c r="DB240" s="108"/>
      <c r="DC240" s="42"/>
      <c r="DD240" s="112"/>
      <c r="DE240" s="112"/>
      <c r="DF240" s="108" t="s">
        <v>12</v>
      </c>
      <c r="DG240" s="108"/>
      <c r="DH240" s="108"/>
      <c r="DI240" s="108"/>
      <c r="DJ240" s="108"/>
      <c r="DK240" s="108"/>
      <c r="DL240" s="108"/>
      <c r="DM240" s="108"/>
      <c r="DN240" s="108"/>
      <c r="DO240" s="108"/>
    </row>
    <row r="241" spans="2:119" ht="14.45" customHeight="1" x14ac:dyDescent="0.45">
      <c r="B241" s="99"/>
      <c r="C241" s="42"/>
      <c r="D241" s="113"/>
      <c r="E241" s="113"/>
      <c r="F241" s="9" t="s">
        <v>0</v>
      </c>
      <c r="G241" s="9">
        <v>1</v>
      </c>
      <c r="H241" s="9">
        <v>2</v>
      </c>
      <c r="I241" s="9">
        <v>3</v>
      </c>
      <c r="J241" s="9">
        <v>4</v>
      </c>
      <c r="K241" s="9">
        <v>5</v>
      </c>
      <c r="L241" s="9">
        <v>6</v>
      </c>
      <c r="M241" s="9">
        <v>7</v>
      </c>
      <c r="N241" s="9">
        <v>8</v>
      </c>
      <c r="O241" s="9">
        <v>9</v>
      </c>
      <c r="P241" s="42"/>
      <c r="Q241" s="113"/>
      <c r="R241" s="113"/>
      <c r="S241" s="9" t="s">
        <v>0</v>
      </c>
      <c r="T241" s="9">
        <v>1</v>
      </c>
      <c r="U241" s="9">
        <v>2</v>
      </c>
      <c r="V241" s="9">
        <v>3</v>
      </c>
      <c r="W241" s="9">
        <v>4</v>
      </c>
      <c r="X241" s="9">
        <v>5</v>
      </c>
      <c r="Y241" s="9">
        <v>6</v>
      </c>
      <c r="Z241" s="9">
        <v>7</v>
      </c>
      <c r="AA241" s="9">
        <v>8</v>
      </c>
      <c r="AB241" s="9">
        <v>9</v>
      </c>
      <c r="AC241" s="42"/>
      <c r="AD241" s="113"/>
      <c r="AE241" s="113"/>
      <c r="AF241" s="9" t="s">
        <v>0</v>
      </c>
      <c r="AG241" s="9">
        <v>1</v>
      </c>
      <c r="AH241" s="9">
        <v>2</v>
      </c>
      <c r="AI241" s="9">
        <v>3</v>
      </c>
      <c r="AJ241" s="9">
        <v>4</v>
      </c>
      <c r="AK241" s="9">
        <v>5</v>
      </c>
      <c r="AL241" s="9">
        <v>6</v>
      </c>
      <c r="AM241" s="9">
        <v>7</v>
      </c>
      <c r="AN241" s="9">
        <v>8</v>
      </c>
      <c r="AO241" s="9">
        <v>9</v>
      </c>
      <c r="AP241" s="6"/>
      <c r="AQ241" s="113"/>
      <c r="AR241" s="113"/>
      <c r="AS241" s="9" t="s">
        <v>0</v>
      </c>
      <c r="AT241" s="9">
        <v>1</v>
      </c>
      <c r="AU241" s="9">
        <v>2</v>
      </c>
      <c r="AV241" s="9">
        <v>3</v>
      </c>
      <c r="AW241" s="9">
        <v>4</v>
      </c>
      <c r="AX241" s="9">
        <v>5</v>
      </c>
      <c r="AY241" s="9">
        <v>6</v>
      </c>
      <c r="AZ241" s="9">
        <v>7</v>
      </c>
      <c r="BA241" s="9">
        <v>8</v>
      </c>
      <c r="BB241" s="9">
        <v>9</v>
      </c>
      <c r="BC241" s="42"/>
      <c r="BD241" s="113"/>
      <c r="BE241" s="113"/>
      <c r="BF241" s="9" t="s">
        <v>0</v>
      </c>
      <c r="BG241" s="9">
        <v>1</v>
      </c>
      <c r="BH241" s="9">
        <v>2</v>
      </c>
      <c r="BI241" s="9">
        <v>3</v>
      </c>
      <c r="BJ241" s="9">
        <v>4</v>
      </c>
      <c r="BK241" s="9">
        <v>5</v>
      </c>
      <c r="BL241" s="9">
        <v>6</v>
      </c>
      <c r="BM241" s="9">
        <v>7</v>
      </c>
      <c r="BN241" s="9">
        <v>8</v>
      </c>
      <c r="BO241" s="9">
        <v>9</v>
      </c>
      <c r="BQ241" s="113"/>
      <c r="BR241" s="113"/>
      <c r="BS241" s="9" t="s">
        <v>0</v>
      </c>
      <c r="BT241" s="9">
        <v>1</v>
      </c>
      <c r="BU241" s="9">
        <v>2</v>
      </c>
      <c r="BV241" s="9">
        <v>3</v>
      </c>
      <c r="BW241" s="9">
        <v>4</v>
      </c>
      <c r="BX241" s="9">
        <v>5</v>
      </c>
      <c r="BY241" s="9">
        <v>6</v>
      </c>
      <c r="BZ241" s="9">
        <v>7</v>
      </c>
      <c r="CA241" s="9">
        <v>8</v>
      </c>
      <c r="CB241" s="9">
        <v>9</v>
      </c>
      <c r="CC241" s="42"/>
      <c r="CD241" s="113"/>
      <c r="CE241" s="113"/>
      <c r="CF241" s="9" t="s">
        <v>0</v>
      </c>
      <c r="CG241" s="9">
        <v>1</v>
      </c>
      <c r="CH241" s="9">
        <v>2</v>
      </c>
      <c r="CI241" s="9">
        <v>3</v>
      </c>
      <c r="CJ241" s="9">
        <v>4</v>
      </c>
      <c r="CK241" s="9">
        <v>5</v>
      </c>
      <c r="CL241" s="9">
        <v>6</v>
      </c>
      <c r="CM241" s="9">
        <v>7</v>
      </c>
      <c r="CN241" s="9">
        <v>8</v>
      </c>
      <c r="CO241" s="9">
        <v>9</v>
      </c>
      <c r="CQ241" s="113"/>
      <c r="CR241" s="113"/>
      <c r="CS241" s="9" t="s">
        <v>0</v>
      </c>
      <c r="CT241" s="9">
        <v>1</v>
      </c>
      <c r="CU241" s="9">
        <v>2</v>
      </c>
      <c r="CV241" s="9">
        <v>3</v>
      </c>
      <c r="CW241" s="9">
        <v>4</v>
      </c>
      <c r="CX241" s="9">
        <v>5</v>
      </c>
      <c r="CY241" s="9">
        <v>6</v>
      </c>
      <c r="CZ241" s="9">
        <v>7</v>
      </c>
      <c r="DA241" s="9">
        <v>8</v>
      </c>
      <c r="DB241" s="9">
        <v>9</v>
      </c>
      <c r="DC241" s="42"/>
      <c r="DD241" s="113"/>
      <c r="DE241" s="113"/>
      <c r="DF241" s="9" t="s">
        <v>0</v>
      </c>
      <c r="DG241" s="9">
        <v>1</v>
      </c>
      <c r="DH241" s="9">
        <v>2</v>
      </c>
      <c r="DI241" s="9">
        <v>3</v>
      </c>
      <c r="DJ241" s="9">
        <v>4</v>
      </c>
      <c r="DK241" s="9">
        <v>5</v>
      </c>
      <c r="DL241" s="9">
        <v>6</v>
      </c>
      <c r="DM241" s="9">
        <v>7</v>
      </c>
      <c r="DN241" s="9">
        <v>8</v>
      </c>
      <c r="DO241" s="9">
        <v>9</v>
      </c>
    </row>
    <row r="242" spans="2:119" ht="14.45" customHeight="1" x14ac:dyDescent="0.45">
      <c r="B242" s="134" t="s">
        <v>31</v>
      </c>
      <c r="C242" s="42"/>
      <c r="D242" s="109" t="s">
        <v>13</v>
      </c>
      <c r="E242" s="46" t="s">
        <v>1</v>
      </c>
      <c r="F242" s="103" t="s">
        <v>129</v>
      </c>
      <c r="G242" s="103" t="s">
        <v>129</v>
      </c>
      <c r="H242" s="103" t="s">
        <v>129</v>
      </c>
      <c r="I242" s="103" t="s">
        <v>129</v>
      </c>
      <c r="J242" s="103" t="s">
        <v>129</v>
      </c>
      <c r="K242" s="103" t="s">
        <v>129</v>
      </c>
      <c r="L242" s="103" t="s">
        <v>129</v>
      </c>
      <c r="M242" s="103" t="s">
        <v>129</v>
      </c>
      <c r="N242" s="103" t="s">
        <v>129</v>
      </c>
      <c r="O242" s="103" t="s">
        <v>129</v>
      </c>
      <c r="P242" s="42"/>
      <c r="Q242" s="109" t="s">
        <v>13</v>
      </c>
      <c r="R242" s="46" t="s">
        <v>1</v>
      </c>
      <c r="S242" s="103" t="s">
        <v>129</v>
      </c>
      <c r="T242" s="103" t="s">
        <v>129</v>
      </c>
      <c r="U242" s="103" t="s">
        <v>129</v>
      </c>
      <c r="V242" s="103" t="s">
        <v>129</v>
      </c>
      <c r="W242" s="103" t="s">
        <v>129</v>
      </c>
      <c r="X242" s="103" t="s">
        <v>129</v>
      </c>
      <c r="Y242" s="103" t="s">
        <v>129</v>
      </c>
      <c r="Z242" s="103" t="s">
        <v>129</v>
      </c>
      <c r="AA242" s="103" t="s">
        <v>129</v>
      </c>
      <c r="AB242" s="103" t="s">
        <v>129</v>
      </c>
      <c r="AC242" s="42"/>
      <c r="AD242" s="109" t="s">
        <v>13</v>
      </c>
      <c r="AE242" s="46" t="s">
        <v>1</v>
      </c>
      <c r="AF242" s="103" t="s">
        <v>129</v>
      </c>
      <c r="AG242" s="103" t="s">
        <v>129</v>
      </c>
      <c r="AH242" s="103" t="s">
        <v>129</v>
      </c>
      <c r="AI242" s="103" t="s">
        <v>129</v>
      </c>
      <c r="AJ242" s="103" t="s">
        <v>129</v>
      </c>
      <c r="AK242" s="103" t="s">
        <v>129</v>
      </c>
      <c r="AL242" s="103" t="s">
        <v>129</v>
      </c>
      <c r="AM242" s="103" t="s">
        <v>129</v>
      </c>
      <c r="AN242" s="103" t="s">
        <v>129</v>
      </c>
      <c r="AO242" s="103" t="s">
        <v>129</v>
      </c>
      <c r="AP242" s="6"/>
      <c r="AQ242" s="109" t="s">
        <v>13</v>
      </c>
      <c r="AR242" s="46" t="s">
        <v>1</v>
      </c>
      <c r="AS242" s="103" t="s">
        <v>129</v>
      </c>
      <c r="AT242" s="103" t="s">
        <v>129</v>
      </c>
      <c r="AU242" s="103" t="s">
        <v>129</v>
      </c>
      <c r="AV242" s="103" t="s">
        <v>129</v>
      </c>
      <c r="AW242" s="103" t="s">
        <v>129</v>
      </c>
      <c r="AX242" s="103" t="s">
        <v>129</v>
      </c>
      <c r="AY242" s="103" t="s">
        <v>129</v>
      </c>
      <c r="AZ242" s="103" t="s">
        <v>129</v>
      </c>
      <c r="BA242" s="103" t="s">
        <v>129</v>
      </c>
      <c r="BB242" s="103" t="s">
        <v>129</v>
      </c>
      <c r="BC242" s="42"/>
      <c r="BD242" s="109" t="s">
        <v>13</v>
      </c>
      <c r="BE242" s="46" t="s">
        <v>1</v>
      </c>
      <c r="BF242" s="103" t="s">
        <v>129</v>
      </c>
      <c r="BG242" s="103" t="s">
        <v>129</v>
      </c>
      <c r="BH242" s="103" t="s">
        <v>129</v>
      </c>
      <c r="BI242" s="103" t="s">
        <v>129</v>
      </c>
      <c r="BJ242" s="103" t="s">
        <v>129</v>
      </c>
      <c r="BK242" s="103" t="s">
        <v>129</v>
      </c>
      <c r="BL242" s="103" t="s">
        <v>129</v>
      </c>
      <c r="BM242" s="103" t="s">
        <v>129</v>
      </c>
      <c r="BN242" s="103" t="s">
        <v>129</v>
      </c>
      <c r="BO242" s="103" t="s">
        <v>129</v>
      </c>
      <c r="BQ242" s="109" t="s">
        <v>13</v>
      </c>
      <c r="BR242" s="46" t="s">
        <v>1</v>
      </c>
      <c r="BS242" s="103" t="s">
        <v>129</v>
      </c>
      <c r="BT242" s="103" t="s">
        <v>129</v>
      </c>
      <c r="BU242" s="103" t="s">
        <v>129</v>
      </c>
      <c r="BV242" s="103" t="s">
        <v>129</v>
      </c>
      <c r="BW242" s="103" t="s">
        <v>129</v>
      </c>
      <c r="BX242" s="103" t="s">
        <v>129</v>
      </c>
      <c r="BY242" s="103" t="s">
        <v>129</v>
      </c>
      <c r="BZ242" s="103" t="s">
        <v>129</v>
      </c>
      <c r="CA242" s="103" t="s">
        <v>129</v>
      </c>
      <c r="CB242" s="103" t="s">
        <v>129</v>
      </c>
      <c r="CC242" s="42"/>
      <c r="CD242" s="109" t="s">
        <v>13</v>
      </c>
      <c r="CE242" s="46" t="s">
        <v>1</v>
      </c>
      <c r="CF242" s="103" t="s">
        <v>129</v>
      </c>
      <c r="CG242" s="103" t="s">
        <v>129</v>
      </c>
      <c r="CH242" s="103" t="s">
        <v>129</v>
      </c>
      <c r="CI242" s="103" t="s">
        <v>129</v>
      </c>
      <c r="CJ242" s="103" t="s">
        <v>129</v>
      </c>
      <c r="CK242" s="103" t="s">
        <v>129</v>
      </c>
      <c r="CL242" s="103" t="s">
        <v>129</v>
      </c>
      <c r="CM242" s="103" t="s">
        <v>129</v>
      </c>
      <c r="CN242" s="103" t="s">
        <v>129</v>
      </c>
      <c r="CO242" s="103" t="s">
        <v>129</v>
      </c>
      <c r="CQ242" s="109" t="s">
        <v>13</v>
      </c>
      <c r="CR242" s="46" t="s">
        <v>1</v>
      </c>
      <c r="CS242" s="103" t="s">
        <v>129</v>
      </c>
      <c r="CT242" s="103" t="s">
        <v>129</v>
      </c>
      <c r="CU242" s="103" t="s">
        <v>129</v>
      </c>
      <c r="CV242" s="103" t="s">
        <v>129</v>
      </c>
      <c r="CW242" s="103" t="s">
        <v>129</v>
      </c>
      <c r="CX242" s="103" t="s">
        <v>129</v>
      </c>
      <c r="CY242" s="103" t="s">
        <v>129</v>
      </c>
      <c r="CZ242" s="103" t="s">
        <v>129</v>
      </c>
      <c r="DA242" s="103" t="s">
        <v>129</v>
      </c>
      <c r="DB242" s="103" t="s">
        <v>129</v>
      </c>
      <c r="DC242" s="42"/>
      <c r="DD242" s="109" t="s">
        <v>13</v>
      </c>
      <c r="DE242" s="46" t="s">
        <v>1</v>
      </c>
      <c r="DF242" s="103" t="s">
        <v>129</v>
      </c>
      <c r="DG242" s="103" t="s">
        <v>129</v>
      </c>
      <c r="DH242" s="103" t="s">
        <v>129</v>
      </c>
      <c r="DI242" s="103" t="s">
        <v>129</v>
      </c>
      <c r="DJ242" s="103" t="s">
        <v>129</v>
      </c>
      <c r="DK242" s="103" t="s">
        <v>129</v>
      </c>
      <c r="DL242" s="103" t="s">
        <v>129</v>
      </c>
      <c r="DM242" s="103" t="s">
        <v>129</v>
      </c>
      <c r="DN242" s="103" t="s">
        <v>129</v>
      </c>
      <c r="DO242" s="103" t="s">
        <v>129</v>
      </c>
    </row>
    <row r="243" spans="2:119" ht="14.45" customHeight="1" x14ac:dyDescent="0.45">
      <c r="B243" s="134"/>
      <c r="C243" s="42"/>
      <c r="D243" s="110"/>
      <c r="E243" s="46">
        <v>1</v>
      </c>
      <c r="F243" s="103" t="s">
        <v>129</v>
      </c>
      <c r="G243" s="103" t="s">
        <v>129</v>
      </c>
      <c r="H243" s="103" t="s">
        <v>129</v>
      </c>
      <c r="I243" s="103" t="s">
        <v>129</v>
      </c>
      <c r="J243" s="103" t="s">
        <v>129</v>
      </c>
      <c r="K243" s="103" t="s">
        <v>129</v>
      </c>
      <c r="L243" s="103" t="s">
        <v>129</v>
      </c>
      <c r="M243" s="103" t="s">
        <v>129</v>
      </c>
      <c r="N243" s="103" t="s">
        <v>129</v>
      </c>
      <c r="O243" s="103" t="s">
        <v>129</v>
      </c>
      <c r="P243" s="42"/>
      <c r="Q243" s="110"/>
      <c r="R243" s="46">
        <v>1</v>
      </c>
      <c r="S243" s="103" t="s">
        <v>129</v>
      </c>
      <c r="T243" s="103" t="s">
        <v>129</v>
      </c>
      <c r="U243" s="103" t="s">
        <v>129</v>
      </c>
      <c r="V243" s="103" t="s">
        <v>129</v>
      </c>
      <c r="W243" s="103" t="s">
        <v>129</v>
      </c>
      <c r="X243" s="103" t="s">
        <v>129</v>
      </c>
      <c r="Y243" s="103" t="s">
        <v>129</v>
      </c>
      <c r="Z243" s="103" t="s">
        <v>129</v>
      </c>
      <c r="AA243" s="103" t="s">
        <v>129</v>
      </c>
      <c r="AB243" s="103" t="s">
        <v>129</v>
      </c>
      <c r="AC243" s="42"/>
      <c r="AD243" s="110"/>
      <c r="AE243" s="46">
        <v>1</v>
      </c>
      <c r="AF243" s="103" t="s">
        <v>129</v>
      </c>
      <c r="AG243" s="103" t="s">
        <v>129</v>
      </c>
      <c r="AH243" s="103" t="s">
        <v>129</v>
      </c>
      <c r="AI243" s="103" t="s">
        <v>129</v>
      </c>
      <c r="AJ243" s="103" t="s">
        <v>129</v>
      </c>
      <c r="AK243" s="103" t="s">
        <v>129</v>
      </c>
      <c r="AL243" s="103" t="s">
        <v>129</v>
      </c>
      <c r="AM243" s="103" t="s">
        <v>129</v>
      </c>
      <c r="AN243" s="103" t="s">
        <v>129</v>
      </c>
      <c r="AO243" s="103" t="s">
        <v>129</v>
      </c>
      <c r="AP243" s="6"/>
      <c r="AQ243" s="110"/>
      <c r="AR243" s="46">
        <v>1</v>
      </c>
      <c r="AS243" s="103" t="s">
        <v>129</v>
      </c>
      <c r="AT243" s="103" t="s">
        <v>129</v>
      </c>
      <c r="AU243" s="103" t="s">
        <v>129</v>
      </c>
      <c r="AV243" s="103" t="s">
        <v>129</v>
      </c>
      <c r="AW243" s="103" t="s">
        <v>129</v>
      </c>
      <c r="AX243" s="103" t="s">
        <v>129</v>
      </c>
      <c r="AY243" s="103" t="s">
        <v>129</v>
      </c>
      <c r="AZ243" s="103" t="s">
        <v>129</v>
      </c>
      <c r="BA243" s="103" t="s">
        <v>129</v>
      </c>
      <c r="BB243" s="103" t="s">
        <v>129</v>
      </c>
      <c r="BC243" s="42"/>
      <c r="BD243" s="110"/>
      <c r="BE243" s="46">
        <v>1</v>
      </c>
      <c r="BF243" s="103" t="s">
        <v>129</v>
      </c>
      <c r="BG243" s="103" t="s">
        <v>129</v>
      </c>
      <c r="BH243" s="103" t="s">
        <v>129</v>
      </c>
      <c r="BI243" s="103" t="s">
        <v>129</v>
      </c>
      <c r="BJ243" s="103" t="s">
        <v>129</v>
      </c>
      <c r="BK243" s="103" t="s">
        <v>129</v>
      </c>
      <c r="BL243" s="103" t="s">
        <v>129</v>
      </c>
      <c r="BM243" s="103" t="s">
        <v>129</v>
      </c>
      <c r="BN243" s="103" t="s">
        <v>129</v>
      </c>
      <c r="BO243" s="103" t="s">
        <v>129</v>
      </c>
      <c r="BQ243" s="110"/>
      <c r="BR243" s="46">
        <v>1</v>
      </c>
      <c r="BS243" s="103" t="s">
        <v>129</v>
      </c>
      <c r="BT243" s="103" t="s">
        <v>129</v>
      </c>
      <c r="BU243" s="103" t="s">
        <v>129</v>
      </c>
      <c r="BV243" s="103" t="s">
        <v>129</v>
      </c>
      <c r="BW243" s="103" t="s">
        <v>129</v>
      </c>
      <c r="BX243" s="103" t="s">
        <v>129</v>
      </c>
      <c r="BY243" s="103" t="s">
        <v>129</v>
      </c>
      <c r="BZ243" s="103" t="s">
        <v>129</v>
      </c>
      <c r="CA243" s="103" t="s">
        <v>129</v>
      </c>
      <c r="CB243" s="103" t="s">
        <v>129</v>
      </c>
      <c r="CC243" s="42"/>
      <c r="CD243" s="110"/>
      <c r="CE243" s="46">
        <v>1</v>
      </c>
      <c r="CF243" s="103" t="s">
        <v>129</v>
      </c>
      <c r="CG243" s="103" t="s">
        <v>129</v>
      </c>
      <c r="CH243" s="103" t="s">
        <v>129</v>
      </c>
      <c r="CI243" s="103" t="s">
        <v>129</v>
      </c>
      <c r="CJ243" s="103" t="s">
        <v>129</v>
      </c>
      <c r="CK243" s="103" t="s">
        <v>129</v>
      </c>
      <c r="CL243" s="103" t="s">
        <v>129</v>
      </c>
      <c r="CM243" s="103" t="s">
        <v>129</v>
      </c>
      <c r="CN243" s="103" t="s">
        <v>129</v>
      </c>
      <c r="CO243" s="103" t="s">
        <v>129</v>
      </c>
      <c r="CQ243" s="110"/>
      <c r="CR243" s="46">
        <v>1</v>
      </c>
      <c r="CS243" s="103" t="s">
        <v>129</v>
      </c>
      <c r="CT243" s="103" t="s">
        <v>129</v>
      </c>
      <c r="CU243" s="103" t="s">
        <v>129</v>
      </c>
      <c r="CV243" s="103" t="s">
        <v>129</v>
      </c>
      <c r="CW243" s="103" t="s">
        <v>129</v>
      </c>
      <c r="CX243" s="103" t="s">
        <v>129</v>
      </c>
      <c r="CY243" s="103" t="s">
        <v>129</v>
      </c>
      <c r="CZ243" s="103" t="s">
        <v>129</v>
      </c>
      <c r="DA243" s="103" t="s">
        <v>129</v>
      </c>
      <c r="DB243" s="103" t="s">
        <v>129</v>
      </c>
      <c r="DC243" s="42"/>
      <c r="DD243" s="110"/>
      <c r="DE243" s="46">
        <v>1</v>
      </c>
      <c r="DF243" s="103" t="s">
        <v>129</v>
      </c>
      <c r="DG243" s="103" t="s">
        <v>129</v>
      </c>
      <c r="DH243" s="103" t="s">
        <v>129</v>
      </c>
      <c r="DI243" s="103" t="s">
        <v>129</v>
      </c>
      <c r="DJ243" s="103" t="s">
        <v>129</v>
      </c>
      <c r="DK243" s="103" t="s">
        <v>129</v>
      </c>
      <c r="DL243" s="103" t="s">
        <v>129</v>
      </c>
      <c r="DM243" s="103" t="s">
        <v>129</v>
      </c>
      <c r="DN243" s="103" t="s">
        <v>129</v>
      </c>
      <c r="DO243" s="103" t="s">
        <v>129</v>
      </c>
    </row>
    <row r="244" spans="2:119" ht="14.45" customHeight="1" x14ac:dyDescent="0.45">
      <c r="B244" s="134"/>
      <c r="C244" s="42"/>
      <c r="D244" s="110"/>
      <c r="E244" s="46" t="s">
        <v>2</v>
      </c>
      <c r="F244" s="103">
        <v>4</v>
      </c>
      <c r="G244" s="103">
        <v>3</v>
      </c>
      <c r="H244" s="103">
        <v>2</v>
      </c>
      <c r="I244" s="103">
        <v>2</v>
      </c>
      <c r="J244" s="103">
        <v>0</v>
      </c>
      <c r="K244" s="103">
        <v>0</v>
      </c>
      <c r="L244" s="103">
        <v>0</v>
      </c>
      <c r="M244" s="103">
        <v>0</v>
      </c>
      <c r="N244" s="103">
        <v>1</v>
      </c>
      <c r="O244" s="103">
        <v>0</v>
      </c>
      <c r="P244" s="42"/>
      <c r="Q244" s="110"/>
      <c r="R244" s="46" t="s">
        <v>2</v>
      </c>
      <c r="S244" s="103">
        <v>1</v>
      </c>
      <c r="T244" s="103">
        <v>2</v>
      </c>
      <c r="U244" s="103">
        <v>1</v>
      </c>
      <c r="V244" s="103">
        <v>0</v>
      </c>
      <c r="W244" s="103">
        <v>0</v>
      </c>
      <c r="X244" s="103">
        <v>0</v>
      </c>
      <c r="Y244" s="103">
        <v>0</v>
      </c>
      <c r="Z244" s="103">
        <v>0</v>
      </c>
      <c r="AA244" s="103">
        <v>0</v>
      </c>
      <c r="AB244" s="103">
        <v>0</v>
      </c>
      <c r="AC244" s="42"/>
      <c r="AD244" s="110"/>
      <c r="AE244" s="46" t="s">
        <v>2</v>
      </c>
      <c r="AF244" s="103">
        <v>3</v>
      </c>
      <c r="AG244" s="103">
        <v>1</v>
      </c>
      <c r="AH244" s="103">
        <v>1</v>
      </c>
      <c r="AI244" s="103">
        <v>2</v>
      </c>
      <c r="AJ244" s="103">
        <v>0</v>
      </c>
      <c r="AK244" s="103">
        <v>0</v>
      </c>
      <c r="AL244" s="103">
        <v>0</v>
      </c>
      <c r="AM244" s="103">
        <v>0</v>
      </c>
      <c r="AN244" s="103">
        <v>1</v>
      </c>
      <c r="AO244" s="103">
        <v>0</v>
      </c>
      <c r="AP244" s="6"/>
      <c r="AQ244" s="110"/>
      <c r="AR244" s="46" t="s">
        <v>2</v>
      </c>
      <c r="AS244" s="103">
        <v>2</v>
      </c>
      <c r="AT244" s="103">
        <v>2</v>
      </c>
      <c r="AU244" s="103">
        <v>0</v>
      </c>
      <c r="AV244" s="103">
        <v>2</v>
      </c>
      <c r="AW244" s="103">
        <v>0</v>
      </c>
      <c r="AX244" s="103">
        <v>0</v>
      </c>
      <c r="AY244" s="103">
        <v>0</v>
      </c>
      <c r="AZ244" s="103">
        <v>0</v>
      </c>
      <c r="BA244" s="103">
        <v>0</v>
      </c>
      <c r="BB244" s="103">
        <v>0</v>
      </c>
      <c r="BC244" s="42"/>
      <c r="BD244" s="110"/>
      <c r="BE244" s="46" t="s">
        <v>2</v>
      </c>
      <c r="BF244" s="103">
        <v>2</v>
      </c>
      <c r="BG244" s="103">
        <v>1</v>
      </c>
      <c r="BH244" s="103">
        <v>2</v>
      </c>
      <c r="BI244" s="103">
        <v>0</v>
      </c>
      <c r="BJ244" s="103">
        <v>0</v>
      </c>
      <c r="BK244" s="103">
        <v>0</v>
      </c>
      <c r="BL244" s="103">
        <v>0</v>
      </c>
      <c r="BM244" s="103">
        <v>0</v>
      </c>
      <c r="BN244" s="103">
        <v>1</v>
      </c>
      <c r="BO244" s="103">
        <v>0</v>
      </c>
      <c r="BQ244" s="110"/>
      <c r="BR244" s="46" t="s">
        <v>2</v>
      </c>
      <c r="BS244" s="103">
        <v>3</v>
      </c>
      <c r="BT244" s="103">
        <v>3</v>
      </c>
      <c r="BU244" s="103">
        <v>2</v>
      </c>
      <c r="BV244" s="103">
        <v>2</v>
      </c>
      <c r="BW244" s="103">
        <v>0</v>
      </c>
      <c r="BX244" s="103">
        <v>0</v>
      </c>
      <c r="BY244" s="103">
        <v>0</v>
      </c>
      <c r="BZ244" s="103">
        <v>0</v>
      </c>
      <c r="CA244" s="103">
        <v>0</v>
      </c>
      <c r="CB244" s="103">
        <v>0</v>
      </c>
      <c r="CC244" s="42"/>
      <c r="CD244" s="110"/>
      <c r="CE244" s="46" t="s">
        <v>2</v>
      </c>
      <c r="CF244" s="103">
        <v>1</v>
      </c>
      <c r="CG244" s="103">
        <v>0</v>
      </c>
      <c r="CH244" s="103">
        <v>0</v>
      </c>
      <c r="CI244" s="103">
        <v>0</v>
      </c>
      <c r="CJ244" s="103">
        <v>0</v>
      </c>
      <c r="CK244" s="103">
        <v>0</v>
      </c>
      <c r="CL244" s="103">
        <v>0</v>
      </c>
      <c r="CM244" s="103">
        <v>0</v>
      </c>
      <c r="CN244" s="103">
        <v>1</v>
      </c>
      <c r="CO244" s="103">
        <v>0</v>
      </c>
      <c r="CQ244" s="110"/>
      <c r="CR244" s="46" t="s">
        <v>2</v>
      </c>
      <c r="CS244" s="103">
        <v>0</v>
      </c>
      <c r="CT244" s="103">
        <v>0</v>
      </c>
      <c r="CU244" s="103">
        <v>0</v>
      </c>
      <c r="CV244" s="103">
        <v>1</v>
      </c>
      <c r="CW244" s="103">
        <v>0</v>
      </c>
      <c r="CX244" s="103">
        <v>0</v>
      </c>
      <c r="CY244" s="103">
        <v>0</v>
      </c>
      <c r="CZ244" s="103">
        <v>0</v>
      </c>
      <c r="DA244" s="103">
        <v>1</v>
      </c>
      <c r="DB244" s="103">
        <v>0</v>
      </c>
      <c r="DC244" s="42"/>
      <c r="DD244" s="110"/>
      <c r="DE244" s="46" t="s">
        <v>2</v>
      </c>
      <c r="DF244" s="103">
        <v>4</v>
      </c>
      <c r="DG244" s="103">
        <v>3</v>
      </c>
      <c r="DH244" s="103">
        <v>2</v>
      </c>
      <c r="DI244" s="103">
        <v>1</v>
      </c>
      <c r="DJ244" s="103">
        <v>0</v>
      </c>
      <c r="DK244" s="103">
        <v>0</v>
      </c>
      <c r="DL244" s="103">
        <v>0</v>
      </c>
      <c r="DM244" s="103">
        <v>0</v>
      </c>
      <c r="DN244" s="103">
        <v>0</v>
      </c>
      <c r="DO244" s="103">
        <v>0</v>
      </c>
    </row>
    <row r="245" spans="2:119" ht="14.45" customHeight="1" x14ac:dyDescent="0.45">
      <c r="B245" s="134"/>
      <c r="C245" s="42"/>
      <c r="D245" s="110"/>
      <c r="E245" s="46" t="s">
        <v>3</v>
      </c>
      <c r="F245" s="103">
        <v>1</v>
      </c>
      <c r="G245" s="103">
        <v>2</v>
      </c>
      <c r="H245" s="103">
        <v>2</v>
      </c>
      <c r="I245" s="103">
        <v>2</v>
      </c>
      <c r="J245" s="103">
        <v>0</v>
      </c>
      <c r="K245" s="103">
        <v>1</v>
      </c>
      <c r="L245" s="103">
        <v>0</v>
      </c>
      <c r="M245" s="103">
        <v>0</v>
      </c>
      <c r="N245" s="103">
        <v>0</v>
      </c>
      <c r="O245" s="103">
        <v>0</v>
      </c>
      <c r="P245" s="42"/>
      <c r="Q245" s="110"/>
      <c r="R245" s="46" t="s">
        <v>3</v>
      </c>
      <c r="S245" s="103">
        <v>1</v>
      </c>
      <c r="T245" s="103">
        <v>0</v>
      </c>
      <c r="U245" s="103">
        <v>0</v>
      </c>
      <c r="V245" s="103">
        <v>0</v>
      </c>
      <c r="W245" s="103">
        <v>0</v>
      </c>
      <c r="X245" s="103">
        <v>0</v>
      </c>
      <c r="Y245" s="103">
        <v>0</v>
      </c>
      <c r="Z245" s="103">
        <v>0</v>
      </c>
      <c r="AA245" s="103">
        <v>0</v>
      </c>
      <c r="AB245" s="103">
        <v>0</v>
      </c>
      <c r="AC245" s="42"/>
      <c r="AD245" s="110"/>
      <c r="AE245" s="46" t="s">
        <v>3</v>
      </c>
      <c r="AF245" s="103">
        <v>0</v>
      </c>
      <c r="AG245" s="103">
        <v>2</v>
      </c>
      <c r="AH245" s="103">
        <v>2</v>
      </c>
      <c r="AI245" s="103">
        <v>2</v>
      </c>
      <c r="AJ245" s="103">
        <v>0</v>
      </c>
      <c r="AK245" s="103">
        <v>1</v>
      </c>
      <c r="AL245" s="103">
        <v>0</v>
      </c>
      <c r="AM245" s="103">
        <v>0</v>
      </c>
      <c r="AN245" s="103">
        <v>0</v>
      </c>
      <c r="AO245" s="103">
        <v>0</v>
      </c>
      <c r="AP245" s="6"/>
      <c r="AQ245" s="110"/>
      <c r="AR245" s="46" t="s">
        <v>3</v>
      </c>
      <c r="AS245" s="103">
        <v>1</v>
      </c>
      <c r="AT245" s="103">
        <v>1</v>
      </c>
      <c r="AU245" s="103">
        <v>1</v>
      </c>
      <c r="AV245" s="103">
        <v>1</v>
      </c>
      <c r="AW245" s="103">
        <v>0</v>
      </c>
      <c r="AX245" s="103">
        <v>0</v>
      </c>
      <c r="AY245" s="103">
        <v>0</v>
      </c>
      <c r="AZ245" s="103">
        <v>0</v>
      </c>
      <c r="BA245" s="103">
        <v>0</v>
      </c>
      <c r="BB245" s="103">
        <v>0</v>
      </c>
      <c r="BC245" s="42"/>
      <c r="BD245" s="110"/>
      <c r="BE245" s="46" t="s">
        <v>3</v>
      </c>
      <c r="BF245" s="103">
        <v>0</v>
      </c>
      <c r="BG245" s="103">
        <v>1</v>
      </c>
      <c r="BH245" s="103">
        <v>1</v>
      </c>
      <c r="BI245" s="103">
        <v>1</v>
      </c>
      <c r="BJ245" s="103">
        <v>0</v>
      </c>
      <c r="BK245" s="103">
        <v>1</v>
      </c>
      <c r="BL245" s="103">
        <v>0</v>
      </c>
      <c r="BM245" s="103">
        <v>0</v>
      </c>
      <c r="BN245" s="103">
        <v>0</v>
      </c>
      <c r="BO245" s="103">
        <v>0</v>
      </c>
      <c r="BQ245" s="110"/>
      <c r="BR245" s="46" t="s">
        <v>3</v>
      </c>
      <c r="BS245" s="103">
        <v>1</v>
      </c>
      <c r="BT245" s="103">
        <v>1</v>
      </c>
      <c r="BU245" s="103">
        <v>2</v>
      </c>
      <c r="BV245" s="103">
        <v>1</v>
      </c>
      <c r="BW245" s="103">
        <v>0</v>
      </c>
      <c r="BX245" s="103">
        <v>1</v>
      </c>
      <c r="BY245" s="103">
        <v>0</v>
      </c>
      <c r="BZ245" s="103">
        <v>0</v>
      </c>
      <c r="CA245" s="103">
        <v>0</v>
      </c>
      <c r="CB245" s="103">
        <v>0</v>
      </c>
      <c r="CC245" s="42"/>
      <c r="CD245" s="110"/>
      <c r="CE245" s="46" t="s">
        <v>3</v>
      </c>
      <c r="CF245" s="103">
        <v>0</v>
      </c>
      <c r="CG245" s="103">
        <v>1</v>
      </c>
      <c r="CH245" s="103">
        <v>0</v>
      </c>
      <c r="CI245" s="103">
        <v>1</v>
      </c>
      <c r="CJ245" s="103">
        <v>0</v>
      </c>
      <c r="CK245" s="103">
        <v>0</v>
      </c>
      <c r="CL245" s="103">
        <v>0</v>
      </c>
      <c r="CM245" s="103">
        <v>0</v>
      </c>
      <c r="CN245" s="103">
        <v>0</v>
      </c>
      <c r="CO245" s="103">
        <v>0</v>
      </c>
      <c r="CQ245" s="110"/>
      <c r="CR245" s="46" t="s">
        <v>3</v>
      </c>
      <c r="CS245" s="103">
        <v>0</v>
      </c>
      <c r="CT245" s="103">
        <v>0</v>
      </c>
      <c r="CU245" s="103">
        <v>1</v>
      </c>
      <c r="CV245" s="103">
        <v>0</v>
      </c>
      <c r="CW245" s="103">
        <v>0</v>
      </c>
      <c r="CX245" s="103">
        <v>1</v>
      </c>
      <c r="CY245" s="103">
        <v>0</v>
      </c>
      <c r="CZ245" s="103">
        <v>0</v>
      </c>
      <c r="DA245" s="103">
        <v>0</v>
      </c>
      <c r="DB245" s="103">
        <v>0</v>
      </c>
      <c r="DC245" s="42"/>
      <c r="DD245" s="110"/>
      <c r="DE245" s="46" t="s">
        <v>3</v>
      </c>
      <c r="DF245" s="103">
        <v>1</v>
      </c>
      <c r="DG245" s="103">
        <v>2</v>
      </c>
      <c r="DH245" s="103">
        <v>1</v>
      </c>
      <c r="DI245" s="103">
        <v>2</v>
      </c>
      <c r="DJ245" s="103">
        <v>0</v>
      </c>
      <c r="DK245" s="103">
        <v>0</v>
      </c>
      <c r="DL245" s="103">
        <v>0</v>
      </c>
      <c r="DM245" s="103">
        <v>0</v>
      </c>
      <c r="DN245" s="103">
        <v>0</v>
      </c>
      <c r="DO245" s="103">
        <v>0</v>
      </c>
    </row>
    <row r="246" spans="2:119" ht="14.45" customHeight="1" x14ac:dyDescent="0.45">
      <c r="B246" s="134"/>
      <c r="C246" s="42"/>
      <c r="D246" s="110"/>
      <c r="E246" s="46" t="s">
        <v>4</v>
      </c>
      <c r="F246" s="103">
        <v>1</v>
      </c>
      <c r="G246" s="103">
        <v>1</v>
      </c>
      <c r="H246" s="103">
        <v>5</v>
      </c>
      <c r="I246" s="103">
        <v>1</v>
      </c>
      <c r="J246" s="103">
        <v>2</v>
      </c>
      <c r="K246" s="103">
        <v>1</v>
      </c>
      <c r="L246" s="103">
        <v>0</v>
      </c>
      <c r="M246" s="103">
        <v>0</v>
      </c>
      <c r="N246" s="103">
        <v>0</v>
      </c>
      <c r="O246" s="103">
        <v>0</v>
      </c>
      <c r="P246" s="42"/>
      <c r="Q246" s="110"/>
      <c r="R246" s="46" t="s">
        <v>4</v>
      </c>
      <c r="S246" s="103">
        <v>0</v>
      </c>
      <c r="T246" s="103">
        <v>0</v>
      </c>
      <c r="U246" s="103">
        <v>1</v>
      </c>
      <c r="V246" s="103">
        <v>0</v>
      </c>
      <c r="W246" s="103">
        <v>0</v>
      </c>
      <c r="X246" s="103">
        <v>0</v>
      </c>
      <c r="Y246" s="103">
        <v>0</v>
      </c>
      <c r="Z246" s="103">
        <v>0</v>
      </c>
      <c r="AA246" s="103">
        <v>0</v>
      </c>
      <c r="AB246" s="103">
        <v>0</v>
      </c>
      <c r="AC246" s="42"/>
      <c r="AD246" s="110"/>
      <c r="AE246" s="46" t="s">
        <v>4</v>
      </c>
      <c r="AF246" s="103">
        <v>1</v>
      </c>
      <c r="AG246" s="103">
        <v>1</v>
      </c>
      <c r="AH246" s="103">
        <v>4</v>
      </c>
      <c r="AI246" s="103">
        <v>1</v>
      </c>
      <c r="AJ246" s="103">
        <v>2</v>
      </c>
      <c r="AK246" s="103">
        <v>1</v>
      </c>
      <c r="AL246" s="103">
        <v>0</v>
      </c>
      <c r="AM246" s="103">
        <v>0</v>
      </c>
      <c r="AN246" s="103">
        <v>0</v>
      </c>
      <c r="AO246" s="103">
        <v>0</v>
      </c>
      <c r="AP246" s="6"/>
      <c r="AQ246" s="110"/>
      <c r="AR246" s="46" t="s">
        <v>4</v>
      </c>
      <c r="AS246" s="103">
        <v>1</v>
      </c>
      <c r="AT246" s="103">
        <v>0</v>
      </c>
      <c r="AU246" s="103">
        <v>2</v>
      </c>
      <c r="AV246" s="103">
        <v>0</v>
      </c>
      <c r="AW246" s="103">
        <v>2</v>
      </c>
      <c r="AX246" s="103">
        <v>0</v>
      </c>
      <c r="AY246" s="103">
        <v>0</v>
      </c>
      <c r="AZ246" s="103">
        <v>0</v>
      </c>
      <c r="BA246" s="103">
        <v>0</v>
      </c>
      <c r="BB246" s="103">
        <v>0</v>
      </c>
      <c r="BC246" s="42"/>
      <c r="BD246" s="110"/>
      <c r="BE246" s="46" t="s">
        <v>4</v>
      </c>
      <c r="BF246" s="103">
        <v>0</v>
      </c>
      <c r="BG246" s="103">
        <v>1</v>
      </c>
      <c r="BH246" s="103">
        <v>3</v>
      </c>
      <c r="BI246" s="103">
        <v>1</v>
      </c>
      <c r="BJ246" s="103">
        <v>0</v>
      </c>
      <c r="BK246" s="103">
        <v>1</v>
      </c>
      <c r="BL246" s="103">
        <v>0</v>
      </c>
      <c r="BM246" s="103">
        <v>0</v>
      </c>
      <c r="BN246" s="103">
        <v>0</v>
      </c>
      <c r="BO246" s="103">
        <v>0</v>
      </c>
      <c r="BQ246" s="110"/>
      <c r="BR246" s="46" t="s">
        <v>4</v>
      </c>
      <c r="BS246" s="103">
        <v>0</v>
      </c>
      <c r="BT246" s="103">
        <v>1</v>
      </c>
      <c r="BU246" s="103">
        <v>3</v>
      </c>
      <c r="BV246" s="103">
        <v>1</v>
      </c>
      <c r="BW246" s="103">
        <v>1</v>
      </c>
      <c r="BX246" s="103">
        <v>1</v>
      </c>
      <c r="BY246" s="103">
        <v>0</v>
      </c>
      <c r="BZ246" s="103">
        <v>0</v>
      </c>
      <c r="CA246" s="103">
        <v>0</v>
      </c>
      <c r="CB246" s="103">
        <v>0</v>
      </c>
      <c r="CC246" s="42"/>
      <c r="CD246" s="110"/>
      <c r="CE246" s="46" t="s">
        <v>4</v>
      </c>
      <c r="CF246" s="103">
        <v>1</v>
      </c>
      <c r="CG246" s="103">
        <v>0</v>
      </c>
      <c r="CH246" s="103">
        <v>2</v>
      </c>
      <c r="CI246" s="103">
        <v>0</v>
      </c>
      <c r="CJ246" s="103">
        <v>1</v>
      </c>
      <c r="CK246" s="103">
        <v>0</v>
      </c>
      <c r="CL246" s="103">
        <v>0</v>
      </c>
      <c r="CM246" s="103">
        <v>0</v>
      </c>
      <c r="CN246" s="103">
        <v>0</v>
      </c>
      <c r="CO246" s="103">
        <v>0</v>
      </c>
      <c r="CQ246" s="110"/>
      <c r="CR246" s="46" t="s">
        <v>4</v>
      </c>
      <c r="CS246" s="103">
        <v>0</v>
      </c>
      <c r="CT246" s="103">
        <v>0</v>
      </c>
      <c r="CU246" s="103">
        <v>1</v>
      </c>
      <c r="CV246" s="103">
        <v>0</v>
      </c>
      <c r="CW246" s="103">
        <v>2</v>
      </c>
      <c r="CX246" s="103">
        <v>0</v>
      </c>
      <c r="CY246" s="103">
        <v>0</v>
      </c>
      <c r="CZ246" s="103">
        <v>0</v>
      </c>
      <c r="DA246" s="103">
        <v>0</v>
      </c>
      <c r="DB246" s="103">
        <v>0</v>
      </c>
      <c r="DC246" s="42"/>
      <c r="DD246" s="110"/>
      <c r="DE246" s="46" t="s">
        <v>4</v>
      </c>
      <c r="DF246" s="103">
        <v>1</v>
      </c>
      <c r="DG246" s="103">
        <v>1</v>
      </c>
      <c r="DH246" s="103">
        <v>4</v>
      </c>
      <c r="DI246" s="103">
        <v>1</v>
      </c>
      <c r="DJ246" s="103">
        <v>0</v>
      </c>
      <c r="DK246" s="103">
        <v>1</v>
      </c>
      <c r="DL246" s="103">
        <v>0</v>
      </c>
      <c r="DM246" s="103">
        <v>0</v>
      </c>
      <c r="DN246" s="103">
        <v>0</v>
      </c>
      <c r="DO246" s="103">
        <v>0</v>
      </c>
    </row>
    <row r="247" spans="2:119" ht="14.45" customHeight="1" x14ac:dyDescent="0.45">
      <c r="B247" s="134"/>
      <c r="C247" s="42"/>
      <c r="D247" s="110"/>
      <c r="E247" s="46" t="s">
        <v>5</v>
      </c>
      <c r="F247" s="103">
        <v>3</v>
      </c>
      <c r="G247" s="103">
        <v>6</v>
      </c>
      <c r="H247" s="103">
        <v>8</v>
      </c>
      <c r="I247" s="103">
        <v>6</v>
      </c>
      <c r="J247" s="103">
        <v>4</v>
      </c>
      <c r="K247" s="103">
        <v>3</v>
      </c>
      <c r="L247" s="103">
        <v>1</v>
      </c>
      <c r="M247" s="103">
        <v>1</v>
      </c>
      <c r="N247" s="103">
        <v>0</v>
      </c>
      <c r="O247" s="103">
        <v>0</v>
      </c>
      <c r="P247" s="42"/>
      <c r="Q247" s="110"/>
      <c r="R247" s="46" t="s">
        <v>5</v>
      </c>
      <c r="S247" s="103">
        <v>2</v>
      </c>
      <c r="T247" s="103">
        <v>0</v>
      </c>
      <c r="U247" s="103">
        <v>3</v>
      </c>
      <c r="V247" s="103">
        <v>1</v>
      </c>
      <c r="W247" s="103">
        <v>2</v>
      </c>
      <c r="X247" s="103">
        <v>0</v>
      </c>
      <c r="Y247" s="103">
        <v>0</v>
      </c>
      <c r="Z247" s="103">
        <v>0</v>
      </c>
      <c r="AA247" s="103">
        <v>0</v>
      </c>
      <c r="AB247" s="103">
        <v>0</v>
      </c>
      <c r="AC247" s="42"/>
      <c r="AD247" s="110"/>
      <c r="AE247" s="46" t="s">
        <v>5</v>
      </c>
      <c r="AF247" s="103">
        <v>1</v>
      </c>
      <c r="AG247" s="103">
        <v>6</v>
      </c>
      <c r="AH247" s="103">
        <v>5</v>
      </c>
      <c r="AI247" s="103">
        <v>5</v>
      </c>
      <c r="AJ247" s="103">
        <v>2</v>
      </c>
      <c r="AK247" s="103">
        <v>3</v>
      </c>
      <c r="AL247" s="103">
        <v>1</v>
      </c>
      <c r="AM247" s="103">
        <v>1</v>
      </c>
      <c r="AN247" s="103">
        <v>0</v>
      </c>
      <c r="AO247" s="103">
        <v>0</v>
      </c>
      <c r="AP247" s="6"/>
      <c r="AQ247" s="110"/>
      <c r="AR247" s="46" t="s">
        <v>5</v>
      </c>
      <c r="AS247" s="103">
        <v>0</v>
      </c>
      <c r="AT247" s="103">
        <v>2</v>
      </c>
      <c r="AU247" s="103">
        <v>3</v>
      </c>
      <c r="AV247" s="103">
        <v>4</v>
      </c>
      <c r="AW247" s="103">
        <v>1</v>
      </c>
      <c r="AX247" s="103">
        <v>1</v>
      </c>
      <c r="AY247" s="103">
        <v>1</v>
      </c>
      <c r="AZ247" s="103">
        <v>0</v>
      </c>
      <c r="BA247" s="103">
        <v>0</v>
      </c>
      <c r="BB247" s="103">
        <v>0</v>
      </c>
      <c r="BC247" s="42"/>
      <c r="BD247" s="110"/>
      <c r="BE247" s="46" t="s">
        <v>5</v>
      </c>
      <c r="BF247" s="103">
        <v>3</v>
      </c>
      <c r="BG247" s="103">
        <v>4</v>
      </c>
      <c r="BH247" s="103">
        <v>5</v>
      </c>
      <c r="BI247" s="103">
        <v>2</v>
      </c>
      <c r="BJ247" s="103">
        <v>3</v>
      </c>
      <c r="BK247" s="103">
        <v>2</v>
      </c>
      <c r="BL247" s="103">
        <v>0</v>
      </c>
      <c r="BM247" s="103">
        <v>1</v>
      </c>
      <c r="BN247" s="103">
        <v>0</v>
      </c>
      <c r="BO247" s="103">
        <v>0</v>
      </c>
      <c r="BQ247" s="110"/>
      <c r="BR247" s="46" t="s">
        <v>5</v>
      </c>
      <c r="BS247" s="103">
        <v>0</v>
      </c>
      <c r="BT247" s="103">
        <v>4</v>
      </c>
      <c r="BU247" s="103">
        <v>2</v>
      </c>
      <c r="BV247" s="103">
        <v>2</v>
      </c>
      <c r="BW247" s="103">
        <v>0</v>
      </c>
      <c r="BX247" s="103">
        <v>0</v>
      </c>
      <c r="BY247" s="103">
        <v>1</v>
      </c>
      <c r="BZ247" s="103">
        <v>1</v>
      </c>
      <c r="CA247" s="103">
        <v>0</v>
      </c>
      <c r="CB247" s="103">
        <v>0</v>
      </c>
      <c r="CC247" s="42"/>
      <c r="CD247" s="110"/>
      <c r="CE247" s="46" t="s">
        <v>5</v>
      </c>
      <c r="CF247" s="103">
        <v>3</v>
      </c>
      <c r="CG247" s="103">
        <v>2</v>
      </c>
      <c r="CH247" s="103">
        <v>6</v>
      </c>
      <c r="CI247" s="103">
        <v>4</v>
      </c>
      <c r="CJ247" s="103">
        <v>4</v>
      </c>
      <c r="CK247" s="103">
        <v>3</v>
      </c>
      <c r="CL247" s="103">
        <v>0</v>
      </c>
      <c r="CM247" s="103">
        <v>0</v>
      </c>
      <c r="CN247" s="103">
        <v>0</v>
      </c>
      <c r="CO247" s="103">
        <v>0</v>
      </c>
      <c r="CQ247" s="110"/>
      <c r="CR247" s="46" t="s">
        <v>5</v>
      </c>
      <c r="CS247" s="103">
        <v>0</v>
      </c>
      <c r="CT247" s="103">
        <v>1</v>
      </c>
      <c r="CU247" s="103">
        <v>2</v>
      </c>
      <c r="CV247" s="103">
        <v>1</v>
      </c>
      <c r="CW247" s="103">
        <v>0</v>
      </c>
      <c r="CX247" s="103">
        <v>1</v>
      </c>
      <c r="CY247" s="103">
        <v>0</v>
      </c>
      <c r="CZ247" s="103">
        <v>0</v>
      </c>
      <c r="DA247" s="103">
        <v>0</v>
      </c>
      <c r="DB247" s="103">
        <v>0</v>
      </c>
      <c r="DC247" s="42"/>
      <c r="DD247" s="110"/>
      <c r="DE247" s="46" t="s">
        <v>5</v>
      </c>
      <c r="DF247" s="103">
        <v>3</v>
      </c>
      <c r="DG247" s="103">
        <v>5</v>
      </c>
      <c r="DH247" s="103">
        <v>6</v>
      </c>
      <c r="DI247" s="103">
        <v>5</v>
      </c>
      <c r="DJ247" s="103">
        <v>4</v>
      </c>
      <c r="DK247" s="103">
        <v>2</v>
      </c>
      <c r="DL247" s="103">
        <v>1</v>
      </c>
      <c r="DM247" s="103">
        <v>1</v>
      </c>
      <c r="DN247" s="103">
        <v>0</v>
      </c>
      <c r="DO247" s="103">
        <v>0</v>
      </c>
    </row>
    <row r="248" spans="2:119" ht="14.45" customHeight="1" x14ac:dyDescent="0.45">
      <c r="B248" s="134"/>
      <c r="C248" s="42"/>
      <c r="D248" s="110"/>
      <c r="E248" s="46" t="s">
        <v>6</v>
      </c>
      <c r="F248" s="103">
        <v>6</v>
      </c>
      <c r="G248" s="103">
        <v>6</v>
      </c>
      <c r="H248" s="103">
        <v>7</v>
      </c>
      <c r="I248" s="103">
        <v>8</v>
      </c>
      <c r="J248" s="103">
        <v>13</v>
      </c>
      <c r="K248" s="103">
        <v>4</v>
      </c>
      <c r="L248" s="103">
        <v>2</v>
      </c>
      <c r="M248" s="103">
        <v>0</v>
      </c>
      <c r="N248" s="103">
        <v>2</v>
      </c>
      <c r="O248" s="103">
        <v>0</v>
      </c>
      <c r="P248" s="42"/>
      <c r="Q248" s="110"/>
      <c r="R248" s="46" t="s">
        <v>6</v>
      </c>
      <c r="S248" s="103">
        <v>1</v>
      </c>
      <c r="T248" s="103">
        <v>0</v>
      </c>
      <c r="U248" s="103">
        <v>0</v>
      </c>
      <c r="V248" s="103">
        <v>0</v>
      </c>
      <c r="W248" s="103">
        <v>5</v>
      </c>
      <c r="X248" s="103">
        <v>0</v>
      </c>
      <c r="Y248" s="103">
        <v>0</v>
      </c>
      <c r="Z248" s="103">
        <v>0</v>
      </c>
      <c r="AA248" s="103">
        <v>0</v>
      </c>
      <c r="AB248" s="103">
        <v>0</v>
      </c>
      <c r="AC248" s="42"/>
      <c r="AD248" s="110"/>
      <c r="AE248" s="46" t="s">
        <v>6</v>
      </c>
      <c r="AF248" s="103">
        <v>5</v>
      </c>
      <c r="AG248" s="103">
        <v>6</v>
      </c>
      <c r="AH248" s="103">
        <v>7</v>
      </c>
      <c r="AI248" s="103">
        <v>8</v>
      </c>
      <c r="AJ248" s="103">
        <v>8</v>
      </c>
      <c r="AK248" s="103">
        <v>4</v>
      </c>
      <c r="AL248" s="103">
        <v>2</v>
      </c>
      <c r="AM248" s="103">
        <v>0</v>
      </c>
      <c r="AN248" s="103">
        <v>2</v>
      </c>
      <c r="AO248" s="103">
        <v>0</v>
      </c>
      <c r="AP248" s="6"/>
      <c r="AQ248" s="110"/>
      <c r="AR248" s="46" t="s">
        <v>6</v>
      </c>
      <c r="AS248" s="103">
        <v>1</v>
      </c>
      <c r="AT248" s="103">
        <v>2</v>
      </c>
      <c r="AU248" s="103">
        <v>2</v>
      </c>
      <c r="AV248" s="103">
        <v>1</v>
      </c>
      <c r="AW248" s="103">
        <v>2</v>
      </c>
      <c r="AX248" s="103">
        <v>0</v>
      </c>
      <c r="AY248" s="103">
        <v>0</v>
      </c>
      <c r="AZ248" s="103">
        <v>0</v>
      </c>
      <c r="BA248" s="103">
        <v>1</v>
      </c>
      <c r="BB248" s="103">
        <v>0</v>
      </c>
      <c r="BC248" s="42"/>
      <c r="BD248" s="110"/>
      <c r="BE248" s="46" t="s">
        <v>6</v>
      </c>
      <c r="BF248" s="103">
        <v>5</v>
      </c>
      <c r="BG248" s="103">
        <v>4</v>
      </c>
      <c r="BH248" s="103">
        <v>5</v>
      </c>
      <c r="BI248" s="103">
        <v>7</v>
      </c>
      <c r="BJ248" s="103">
        <v>11</v>
      </c>
      <c r="BK248" s="103">
        <v>4</v>
      </c>
      <c r="BL248" s="103">
        <v>2</v>
      </c>
      <c r="BM248" s="103">
        <v>0</v>
      </c>
      <c r="BN248" s="103">
        <v>1</v>
      </c>
      <c r="BO248" s="103">
        <v>0</v>
      </c>
      <c r="BQ248" s="110"/>
      <c r="BR248" s="46" t="s">
        <v>6</v>
      </c>
      <c r="BS248" s="103">
        <v>1</v>
      </c>
      <c r="BT248" s="103">
        <v>1</v>
      </c>
      <c r="BU248" s="103">
        <v>2</v>
      </c>
      <c r="BV248" s="103">
        <v>0</v>
      </c>
      <c r="BW248" s="103">
        <v>4</v>
      </c>
      <c r="BX248" s="103">
        <v>0</v>
      </c>
      <c r="BY248" s="103">
        <v>0</v>
      </c>
      <c r="BZ248" s="103">
        <v>0</v>
      </c>
      <c r="CA248" s="103">
        <v>1</v>
      </c>
      <c r="CB248" s="103">
        <v>0</v>
      </c>
      <c r="CC248" s="42"/>
      <c r="CD248" s="110"/>
      <c r="CE248" s="46" t="s">
        <v>6</v>
      </c>
      <c r="CF248" s="103">
        <v>5</v>
      </c>
      <c r="CG248" s="103">
        <v>5</v>
      </c>
      <c r="CH248" s="103">
        <v>5</v>
      </c>
      <c r="CI248" s="103">
        <v>8</v>
      </c>
      <c r="CJ248" s="103">
        <v>9</v>
      </c>
      <c r="CK248" s="103">
        <v>4</v>
      </c>
      <c r="CL248" s="103">
        <v>2</v>
      </c>
      <c r="CM248" s="103">
        <v>0</v>
      </c>
      <c r="CN248" s="103">
        <v>1</v>
      </c>
      <c r="CO248" s="103">
        <v>0</v>
      </c>
      <c r="CQ248" s="110"/>
      <c r="CR248" s="46" t="s">
        <v>6</v>
      </c>
      <c r="CS248" s="103">
        <v>0</v>
      </c>
      <c r="CT248" s="103">
        <v>0</v>
      </c>
      <c r="CU248" s="103">
        <v>1</v>
      </c>
      <c r="CV248" s="103">
        <v>0</v>
      </c>
      <c r="CW248" s="103">
        <v>2</v>
      </c>
      <c r="CX248" s="103">
        <v>0</v>
      </c>
      <c r="CY248" s="103">
        <v>0</v>
      </c>
      <c r="CZ248" s="103">
        <v>0</v>
      </c>
      <c r="DA248" s="103">
        <v>1</v>
      </c>
      <c r="DB248" s="103">
        <v>0</v>
      </c>
      <c r="DC248" s="42"/>
      <c r="DD248" s="110"/>
      <c r="DE248" s="46" t="s">
        <v>6</v>
      </c>
      <c r="DF248" s="103">
        <v>6</v>
      </c>
      <c r="DG248" s="103">
        <v>6</v>
      </c>
      <c r="DH248" s="103">
        <v>6</v>
      </c>
      <c r="DI248" s="103">
        <v>8</v>
      </c>
      <c r="DJ248" s="103">
        <v>11</v>
      </c>
      <c r="DK248" s="103">
        <v>4</v>
      </c>
      <c r="DL248" s="103">
        <v>2</v>
      </c>
      <c r="DM248" s="103">
        <v>0</v>
      </c>
      <c r="DN248" s="103">
        <v>1</v>
      </c>
      <c r="DO248" s="103">
        <v>0</v>
      </c>
    </row>
    <row r="249" spans="2:119" ht="14.45" customHeight="1" x14ac:dyDescent="0.45">
      <c r="B249" s="134"/>
      <c r="C249" s="42"/>
      <c r="D249" s="110"/>
      <c r="E249" s="46" t="s">
        <v>7</v>
      </c>
      <c r="F249" s="103">
        <v>2</v>
      </c>
      <c r="G249" s="103">
        <v>10</v>
      </c>
      <c r="H249" s="103">
        <v>17</v>
      </c>
      <c r="I249" s="103">
        <v>26</v>
      </c>
      <c r="J249" s="103">
        <v>12</v>
      </c>
      <c r="K249" s="103">
        <v>16</v>
      </c>
      <c r="L249" s="103">
        <v>14</v>
      </c>
      <c r="M249" s="103">
        <v>2</v>
      </c>
      <c r="N249" s="103">
        <v>0</v>
      </c>
      <c r="O249" s="103">
        <v>1</v>
      </c>
      <c r="P249" s="42"/>
      <c r="Q249" s="110"/>
      <c r="R249" s="46" t="s">
        <v>7</v>
      </c>
      <c r="S249" s="103">
        <v>0</v>
      </c>
      <c r="T249" s="103">
        <v>2</v>
      </c>
      <c r="U249" s="103">
        <v>0</v>
      </c>
      <c r="V249" s="103">
        <v>4</v>
      </c>
      <c r="W249" s="103">
        <v>0</v>
      </c>
      <c r="X249" s="103">
        <v>1</v>
      </c>
      <c r="Y249" s="103">
        <v>0</v>
      </c>
      <c r="Z249" s="103">
        <v>0</v>
      </c>
      <c r="AA249" s="103">
        <v>0</v>
      </c>
      <c r="AB249" s="103">
        <v>0</v>
      </c>
      <c r="AC249" s="42"/>
      <c r="AD249" s="110"/>
      <c r="AE249" s="46" t="s">
        <v>7</v>
      </c>
      <c r="AF249" s="103">
        <v>2</v>
      </c>
      <c r="AG249" s="103">
        <v>8</v>
      </c>
      <c r="AH249" s="103">
        <v>17</v>
      </c>
      <c r="AI249" s="103">
        <v>22</v>
      </c>
      <c r="AJ249" s="103">
        <v>12</v>
      </c>
      <c r="AK249" s="103">
        <v>15</v>
      </c>
      <c r="AL249" s="103">
        <v>14</v>
      </c>
      <c r="AM249" s="103">
        <v>2</v>
      </c>
      <c r="AN249" s="103">
        <v>0</v>
      </c>
      <c r="AO249" s="103">
        <v>1</v>
      </c>
      <c r="AP249" s="6"/>
      <c r="AQ249" s="110"/>
      <c r="AR249" s="46" t="s">
        <v>7</v>
      </c>
      <c r="AS249" s="103">
        <v>0</v>
      </c>
      <c r="AT249" s="103">
        <v>1</v>
      </c>
      <c r="AU249" s="103">
        <v>3</v>
      </c>
      <c r="AV249" s="103">
        <v>7</v>
      </c>
      <c r="AW249" s="103">
        <v>2</v>
      </c>
      <c r="AX249" s="103">
        <v>3</v>
      </c>
      <c r="AY249" s="103">
        <v>0</v>
      </c>
      <c r="AZ249" s="103">
        <v>0</v>
      </c>
      <c r="BA249" s="103">
        <v>0</v>
      </c>
      <c r="BB249" s="103">
        <v>0</v>
      </c>
      <c r="BC249" s="42"/>
      <c r="BD249" s="110"/>
      <c r="BE249" s="46" t="s">
        <v>7</v>
      </c>
      <c r="BF249" s="103">
        <v>2</v>
      </c>
      <c r="BG249" s="103">
        <v>9</v>
      </c>
      <c r="BH249" s="103">
        <v>14</v>
      </c>
      <c r="BI249" s="103">
        <v>19</v>
      </c>
      <c r="BJ249" s="103">
        <v>10</v>
      </c>
      <c r="BK249" s="103">
        <v>13</v>
      </c>
      <c r="BL249" s="103">
        <v>14</v>
      </c>
      <c r="BM249" s="103">
        <v>2</v>
      </c>
      <c r="BN249" s="103">
        <v>0</v>
      </c>
      <c r="BO249" s="103">
        <v>1</v>
      </c>
      <c r="BQ249" s="110"/>
      <c r="BR249" s="46" t="s">
        <v>7</v>
      </c>
      <c r="BS249" s="103">
        <v>1</v>
      </c>
      <c r="BT249" s="103">
        <v>0</v>
      </c>
      <c r="BU249" s="103">
        <v>2</v>
      </c>
      <c r="BV249" s="103">
        <v>4</v>
      </c>
      <c r="BW249" s="103">
        <v>1</v>
      </c>
      <c r="BX249" s="103">
        <v>3</v>
      </c>
      <c r="BY249" s="103">
        <v>4</v>
      </c>
      <c r="BZ249" s="103">
        <v>0</v>
      </c>
      <c r="CA249" s="103">
        <v>0</v>
      </c>
      <c r="CB249" s="103">
        <v>1</v>
      </c>
      <c r="CC249" s="42"/>
      <c r="CD249" s="110"/>
      <c r="CE249" s="46" t="s">
        <v>7</v>
      </c>
      <c r="CF249" s="103">
        <v>1</v>
      </c>
      <c r="CG249" s="103">
        <v>10</v>
      </c>
      <c r="CH249" s="103">
        <v>15</v>
      </c>
      <c r="CI249" s="103">
        <v>22</v>
      </c>
      <c r="CJ249" s="103">
        <v>11</v>
      </c>
      <c r="CK249" s="103">
        <v>13</v>
      </c>
      <c r="CL249" s="103">
        <v>10</v>
      </c>
      <c r="CM249" s="103">
        <v>2</v>
      </c>
      <c r="CN249" s="103">
        <v>0</v>
      </c>
      <c r="CO249" s="103">
        <v>0</v>
      </c>
      <c r="CQ249" s="110"/>
      <c r="CR249" s="46" t="s">
        <v>7</v>
      </c>
      <c r="CS249" s="103">
        <v>0</v>
      </c>
      <c r="CT249" s="103">
        <v>3</v>
      </c>
      <c r="CU249" s="103">
        <v>5</v>
      </c>
      <c r="CV249" s="103">
        <v>4</v>
      </c>
      <c r="CW249" s="103">
        <v>1</v>
      </c>
      <c r="CX249" s="103">
        <v>2</v>
      </c>
      <c r="CY249" s="103">
        <v>2</v>
      </c>
      <c r="CZ249" s="103">
        <v>2</v>
      </c>
      <c r="DA249" s="103">
        <v>0</v>
      </c>
      <c r="DB249" s="103">
        <v>0</v>
      </c>
      <c r="DC249" s="42"/>
      <c r="DD249" s="110"/>
      <c r="DE249" s="46" t="s">
        <v>7</v>
      </c>
      <c r="DF249" s="103">
        <v>2</v>
      </c>
      <c r="DG249" s="103">
        <v>7</v>
      </c>
      <c r="DH249" s="103">
        <v>12</v>
      </c>
      <c r="DI249" s="103">
        <v>22</v>
      </c>
      <c r="DJ249" s="103">
        <v>11</v>
      </c>
      <c r="DK249" s="103">
        <v>14</v>
      </c>
      <c r="DL249" s="103">
        <v>12</v>
      </c>
      <c r="DM249" s="103">
        <v>0</v>
      </c>
      <c r="DN249" s="103">
        <v>0</v>
      </c>
      <c r="DO249" s="103">
        <v>1</v>
      </c>
    </row>
    <row r="250" spans="2:119" ht="14.45" customHeight="1" x14ac:dyDescent="0.45">
      <c r="B250" s="134"/>
      <c r="C250" s="42"/>
      <c r="D250" s="110"/>
      <c r="E250" s="46" t="s">
        <v>8</v>
      </c>
      <c r="F250" s="103">
        <v>5</v>
      </c>
      <c r="G250" s="103">
        <v>12</v>
      </c>
      <c r="H250" s="103">
        <v>20</v>
      </c>
      <c r="I250" s="103">
        <v>29</v>
      </c>
      <c r="J250" s="103">
        <v>40</v>
      </c>
      <c r="K250" s="103">
        <v>32</v>
      </c>
      <c r="L250" s="103">
        <v>30</v>
      </c>
      <c r="M250" s="103">
        <v>16</v>
      </c>
      <c r="N250" s="103">
        <v>4</v>
      </c>
      <c r="O250" s="103">
        <v>0</v>
      </c>
      <c r="P250" s="42"/>
      <c r="Q250" s="110"/>
      <c r="R250" s="46" t="s">
        <v>8</v>
      </c>
      <c r="S250" s="103">
        <v>1</v>
      </c>
      <c r="T250" s="103">
        <v>1</v>
      </c>
      <c r="U250" s="103">
        <v>3</v>
      </c>
      <c r="V250" s="103">
        <v>6</v>
      </c>
      <c r="W250" s="103">
        <v>3</v>
      </c>
      <c r="X250" s="103">
        <v>4</v>
      </c>
      <c r="Y250" s="103">
        <v>8</v>
      </c>
      <c r="Z250" s="103">
        <v>0</v>
      </c>
      <c r="AA250" s="103">
        <v>0</v>
      </c>
      <c r="AB250" s="103">
        <v>0</v>
      </c>
      <c r="AC250" s="42"/>
      <c r="AD250" s="110"/>
      <c r="AE250" s="46" t="s">
        <v>8</v>
      </c>
      <c r="AF250" s="103">
        <v>4</v>
      </c>
      <c r="AG250" s="103">
        <v>11</v>
      </c>
      <c r="AH250" s="103">
        <v>17</v>
      </c>
      <c r="AI250" s="103">
        <v>23</v>
      </c>
      <c r="AJ250" s="103">
        <v>37</v>
      </c>
      <c r="AK250" s="103">
        <v>28</v>
      </c>
      <c r="AL250" s="103">
        <v>22</v>
      </c>
      <c r="AM250" s="103">
        <v>16</v>
      </c>
      <c r="AN250" s="103">
        <v>4</v>
      </c>
      <c r="AO250" s="103">
        <v>0</v>
      </c>
      <c r="AP250" s="6"/>
      <c r="AQ250" s="110"/>
      <c r="AR250" s="46" t="s">
        <v>8</v>
      </c>
      <c r="AS250" s="103">
        <v>2</v>
      </c>
      <c r="AT250" s="103">
        <v>1</v>
      </c>
      <c r="AU250" s="103">
        <v>7</v>
      </c>
      <c r="AV250" s="103">
        <v>7</v>
      </c>
      <c r="AW250" s="103">
        <v>9</v>
      </c>
      <c r="AX250" s="103">
        <v>4</v>
      </c>
      <c r="AY250" s="103">
        <v>2</v>
      </c>
      <c r="AZ250" s="103">
        <v>2</v>
      </c>
      <c r="BA250" s="103">
        <v>1</v>
      </c>
      <c r="BB250" s="103">
        <v>0</v>
      </c>
      <c r="BC250" s="42"/>
      <c r="BD250" s="110"/>
      <c r="BE250" s="46" t="s">
        <v>8</v>
      </c>
      <c r="BF250" s="103">
        <v>3</v>
      </c>
      <c r="BG250" s="103">
        <v>11</v>
      </c>
      <c r="BH250" s="103">
        <v>13</v>
      </c>
      <c r="BI250" s="103">
        <v>22</v>
      </c>
      <c r="BJ250" s="103">
        <v>31</v>
      </c>
      <c r="BK250" s="103">
        <v>28</v>
      </c>
      <c r="BL250" s="103">
        <v>28</v>
      </c>
      <c r="BM250" s="103">
        <v>14</v>
      </c>
      <c r="BN250" s="103">
        <v>3</v>
      </c>
      <c r="BO250" s="103">
        <v>0</v>
      </c>
      <c r="BQ250" s="110"/>
      <c r="BR250" s="46" t="s">
        <v>8</v>
      </c>
      <c r="BS250" s="103">
        <v>2</v>
      </c>
      <c r="BT250" s="103">
        <v>2</v>
      </c>
      <c r="BU250" s="103">
        <v>7</v>
      </c>
      <c r="BV250" s="103">
        <v>7</v>
      </c>
      <c r="BW250" s="103">
        <v>3</v>
      </c>
      <c r="BX250" s="103">
        <v>3</v>
      </c>
      <c r="BY250" s="103">
        <v>4</v>
      </c>
      <c r="BZ250" s="103">
        <v>4</v>
      </c>
      <c r="CA250" s="103">
        <v>2</v>
      </c>
      <c r="CB250" s="103">
        <v>0</v>
      </c>
      <c r="CC250" s="42"/>
      <c r="CD250" s="110"/>
      <c r="CE250" s="46" t="s">
        <v>8</v>
      </c>
      <c r="CF250" s="103">
        <v>3</v>
      </c>
      <c r="CG250" s="103">
        <v>10</v>
      </c>
      <c r="CH250" s="103">
        <v>13</v>
      </c>
      <c r="CI250" s="103">
        <v>22</v>
      </c>
      <c r="CJ250" s="103">
        <v>37</v>
      </c>
      <c r="CK250" s="103">
        <v>29</v>
      </c>
      <c r="CL250" s="103">
        <v>26</v>
      </c>
      <c r="CM250" s="103">
        <v>12</v>
      </c>
      <c r="CN250" s="103">
        <v>2</v>
      </c>
      <c r="CO250" s="103">
        <v>0</v>
      </c>
      <c r="CQ250" s="110"/>
      <c r="CR250" s="46" t="s">
        <v>8</v>
      </c>
      <c r="CS250" s="103">
        <v>0</v>
      </c>
      <c r="CT250" s="103">
        <v>0</v>
      </c>
      <c r="CU250" s="103">
        <v>1</v>
      </c>
      <c r="CV250" s="103">
        <v>3</v>
      </c>
      <c r="CW250" s="103">
        <v>1</v>
      </c>
      <c r="CX250" s="103">
        <v>6</v>
      </c>
      <c r="CY250" s="103">
        <v>5</v>
      </c>
      <c r="CZ250" s="103">
        <v>2</v>
      </c>
      <c r="DA250" s="103">
        <v>0</v>
      </c>
      <c r="DB250" s="103">
        <v>0</v>
      </c>
      <c r="DC250" s="42"/>
      <c r="DD250" s="110"/>
      <c r="DE250" s="46" t="s">
        <v>8</v>
      </c>
      <c r="DF250" s="103">
        <v>5</v>
      </c>
      <c r="DG250" s="103">
        <v>12</v>
      </c>
      <c r="DH250" s="103">
        <v>19</v>
      </c>
      <c r="DI250" s="103">
        <v>26</v>
      </c>
      <c r="DJ250" s="103">
        <v>39</v>
      </c>
      <c r="DK250" s="103">
        <v>26</v>
      </c>
      <c r="DL250" s="103">
        <v>25</v>
      </c>
      <c r="DM250" s="103">
        <v>14</v>
      </c>
      <c r="DN250" s="103">
        <v>4</v>
      </c>
      <c r="DO250" s="103">
        <v>0</v>
      </c>
    </row>
    <row r="251" spans="2:119" ht="14.45" customHeight="1" x14ac:dyDescent="0.45">
      <c r="B251" s="134"/>
      <c r="C251" s="42"/>
      <c r="D251" s="110"/>
      <c r="E251" s="46" t="s">
        <v>9</v>
      </c>
      <c r="F251" s="103">
        <v>2</v>
      </c>
      <c r="G251" s="103">
        <v>10</v>
      </c>
      <c r="H251" s="103">
        <v>10</v>
      </c>
      <c r="I251" s="103">
        <v>29</v>
      </c>
      <c r="J251" s="103">
        <v>48</v>
      </c>
      <c r="K251" s="103">
        <v>37</v>
      </c>
      <c r="L251" s="103">
        <v>55</v>
      </c>
      <c r="M251" s="103">
        <v>44</v>
      </c>
      <c r="N251" s="103">
        <v>26</v>
      </c>
      <c r="O251" s="103">
        <v>6</v>
      </c>
      <c r="P251" s="42"/>
      <c r="Q251" s="110"/>
      <c r="R251" s="46" t="s">
        <v>9</v>
      </c>
      <c r="S251" s="103">
        <v>1</v>
      </c>
      <c r="T251" s="103">
        <v>6</v>
      </c>
      <c r="U251" s="103">
        <v>2</v>
      </c>
      <c r="V251" s="103">
        <v>10</v>
      </c>
      <c r="W251" s="103">
        <v>9</v>
      </c>
      <c r="X251" s="103">
        <v>6</v>
      </c>
      <c r="Y251" s="103">
        <v>11</v>
      </c>
      <c r="Z251" s="103">
        <v>4</v>
      </c>
      <c r="AA251" s="103">
        <v>3</v>
      </c>
      <c r="AB251" s="103">
        <v>0</v>
      </c>
      <c r="AC251" s="42"/>
      <c r="AD251" s="110"/>
      <c r="AE251" s="46" t="s">
        <v>9</v>
      </c>
      <c r="AF251" s="103">
        <v>1</v>
      </c>
      <c r="AG251" s="103">
        <v>4</v>
      </c>
      <c r="AH251" s="103">
        <v>8</v>
      </c>
      <c r="AI251" s="103">
        <v>19</v>
      </c>
      <c r="AJ251" s="103">
        <v>39</v>
      </c>
      <c r="AK251" s="103">
        <v>31</v>
      </c>
      <c r="AL251" s="103">
        <v>44</v>
      </c>
      <c r="AM251" s="103">
        <v>40</v>
      </c>
      <c r="AN251" s="103">
        <v>23</v>
      </c>
      <c r="AO251" s="103">
        <v>6</v>
      </c>
      <c r="AP251" s="6"/>
      <c r="AQ251" s="110"/>
      <c r="AR251" s="46" t="s">
        <v>9</v>
      </c>
      <c r="AS251" s="103">
        <v>1</v>
      </c>
      <c r="AT251" s="103">
        <v>3</v>
      </c>
      <c r="AU251" s="103">
        <v>2</v>
      </c>
      <c r="AV251" s="103">
        <v>8</v>
      </c>
      <c r="AW251" s="103">
        <v>8</v>
      </c>
      <c r="AX251" s="103">
        <v>8</v>
      </c>
      <c r="AY251" s="103">
        <v>4</v>
      </c>
      <c r="AZ251" s="103">
        <v>5</v>
      </c>
      <c r="BA251" s="103">
        <v>3</v>
      </c>
      <c r="BB251" s="103">
        <v>0</v>
      </c>
      <c r="BC251" s="42"/>
      <c r="BD251" s="110"/>
      <c r="BE251" s="46" t="s">
        <v>9</v>
      </c>
      <c r="BF251" s="103">
        <v>1</v>
      </c>
      <c r="BG251" s="103">
        <v>7</v>
      </c>
      <c r="BH251" s="103">
        <v>8</v>
      </c>
      <c r="BI251" s="103">
        <v>21</v>
      </c>
      <c r="BJ251" s="103">
        <v>40</v>
      </c>
      <c r="BK251" s="103">
        <v>29</v>
      </c>
      <c r="BL251" s="103">
        <v>51</v>
      </c>
      <c r="BM251" s="103">
        <v>39</v>
      </c>
      <c r="BN251" s="103">
        <v>23</v>
      </c>
      <c r="BO251" s="103">
        <v>6</v>
      </c>
      <c r="BQ251" s="110"/>
      <c r="BR251" s="46" t="s">
        <v>9</v>
      </c>
      <c r="BS251" s="103">
        <v>0</v>
      </c>
      <c r="BT251" s="103">
        <v>1</v>
      </c>
      <c r="BU251" s="103">
        <v>0</v>
      </c>
      <c r="BV251" s="103">
        <v>4</v>
      </c>
      <c r="BW251" s="103">
        <v>3</v>
      </c>
      <c r="BX251" s="103">
        <v>6</v>
      </c>
      <c r="BY251" s="103">
        <v>5</v>
      </c>
      <c r="BZ251" s="103">
        <v>8</v>
      </c>
      <c r="CA251" s="103">
        <v>3</v>
      </c>
      <c r="CB251" s="103">
        <v>0</v>
      </c>
      <c r="CC251" s="42"/>
      <c r="CD251" s="110"/>
      <c r="CE251" s="46" t="s">
        <v>9</v>
      </c>
      <c r="CF251" s="103">
        <v>2</v>
      </c>
      <c r="CG251" s="103">
        <v>9</v>
      </c>
      <c r="CH251" s="103">
        <v>10</v>
      </c>
      <c r="CI251" s="103">
        <v>25</v>
      </c>
      <c r="CJ251" s="103">
        <v>45</v>
      </c>
      <c r="CK251" s="103">
        <v>31</v>
      </c>
      <c r="CL251" s="103">
        <v>50</v>
      </c>
      <c r="CM251" s="103">
        <v>36</v>
      </c>
      <c r="CN251" s="103">
        <v>23</v>
      </c>
      <c r="CO251" s="103">
        <v>6</v>
      </c>
      <c r="CQ251" s="110"/>
      <c r="CR251" s="46" t="s">
        <v>9</v>
      </c>
      <c r="CS251" s="103">
        <v>0</v>
      </c>
      <c r="CT251" s="103">
        <v>0</v>
      </c>
      <c r="CU251" s="103">
        <v>0</v>
      </c>
      <c r="CV251" s="103">
        <v>4</v>
      </c>
      <c r="CW251" s="103">
        <v>6</v>
      </c>
      <c r="CX251" s="103">
        <v>2</v>
      </c>
      <c r="CY251" s="103">
        <v>3</v>
      </c>
      <c r="CZ251" s="103">
        <v>3</v>
      </c>
      <c r="DA251" s="103">
        <v>1</v>
      </c>
      <c r="DB251" s="103">
        <v>0</v>
      </c>
      <c r="DC251" s="42"/>
      <c r="DD251" s="110"/>
      <c r="DE251" s="46" t="s">
        <v>9</v>
      </c>
      <c r="DF251" s="103">
        <v>2</v>
      </c>
      <c r="DG251" s="103">
        <v>10</v>
      </c>
      <c r="DH251" s="103">
        <v>10</v>
      </c>
      <c r="DI251" s="103">
        <v>25</v>
      </c>
      <c r="DJ251" s="103">
        <v>42</v>
      </c>
      <c r="DK251" s="103">
        <v>35</v>
      </c>
      <c r="DL251" s="103">
        <v>52</v>
      </c>
      <c r="DM251" s="103">
        <v>41</v>
      </c>
      <c r="DN251" s="103">
        <v>25</v>
      </c>
      <c r="DO251" s="103">
        <v>6</v>
      </c>
    </row>
    <row r="252" spans="2:119" ht="14.45" customHeight="1" x14ac:dyDescent="0.45">
      <c r="B252" s="134"/>
      <c r="C252" s="42"/>
      <c r="D252" s="110"/>
      <c r="E252" s="46" t="s">
        <v>10</v>
      </c>
      <c r="F252" s="103">
        <v>1</v>
      </c>
      <c r="G252" s="103">
        <v>0</v>
      </c>
      <c r="H252" s="103">
        <v>12</v>
      </c>
      <c r="I252" s="103">
        <v>18</v>
      </c>
      <c r="J252" s="103">
        <v>41</v>
      </c>
      <c r="K252" s="103">
        <v>56</v>
      </c>
      <c r="L252" s="103">
        <v>77</v>
      </c>
      <c r="M252" s="103">
        <v>65</v>
      </c>
      <c r="N252" s="103">
        <v>93</v>
      </c>
      <c r="O252" s="103">
        <v>60</v>
      </c>
      <c r="P252" s="42"/>
      <c r="Q252" s="110"/>
      <c r="R252" s="46" t="s">
        <v>10</v>
      </c>
      <c r="S252" s="103">
        <v>0</v>
      </c>
      <c r="T252" s="103">
        <v>0</v>
      </c>
      <c r="U252" s="103">
        <v>5</v>
      </c>
      <c r="V252" s="103">
        <v>8</v>
      </c>
      <c r="W252" s="103">
        <v>12</v>
      </c>
      <c r="X252" s="103">
        <v>12</v>
      </c>
      <c r="Y252" s="103">
        <v>17</v>
      </c>
      <c r="Z252" s="103">
        <v>17</v>
      </c>
      <c r="AA252" s="103">
        <v>9</v>
      </c>
      <c r="AB252" s="103">
        <v>6</v>
      </c>
      <c r="AC252" s="42"/>
      <c r="AD252" s="110"/>
      <c r="AE252" s="46" t="s">
        <v>10</v>
      </c>
      <c r="AF252" s="103">
        <v>1</v>
      </c>
      <c r="AG252" s="103">
        <v>0</v>
      </c>
      <c r="AH252" s="103">
        <v>7</v>
      </c>
      <c r="AI252" s="103">
        <v>10</v>
      </c>
      <c r="AJ252" s="103">
        <v>29</v>
      </c>
      <c r="AK252" s="103">
        <v>44</v>
      </c>
      <c r="AL252" s="103">
        <v>60</v>
      </c>
      <c r="AM252" s="103">
        <v>48</v>
      </c>
      <c r="AN252" s="103">
        <v>84</v>
      </c>
      <c r="AO252" s="103">
        <v>54</v>
      </c>
      <c r="AP252" s="6"/>
      <c r="AQ252" s="110"/>
      <c r="AR252" s="46" t="s">
        <v>10</v>
      </c>
      <c r="AS252" s="103">
        <v>0</v>
      </c>
      <c r="AT252" s="103">
        <v>0</v>
      </c>
      <c r="AU252" s="103">
        <v>4</v>
      </c>
      <c r="AV252" s="103">
        <v>4</v>
      </c>
      <c r="AW252" s="103">
        <v>5</v>
      </c>
      <c r="AX252" s="103">
        <v>5</v>
      </c>
      <c r="AY252" s="103">
        <v>6</v>
      </c>
      <c r="AZ252" s="103">
        <v>5</v>
      </c>
      <c r="BA252" s="103">
        <v>6</v>
      </c>
      <c r="BB252" s="103">
        <v>2</v>
      </c>
      <c r="BC252" s="42"/>
      <c r="BD252" s="110"/>
      <c r="BE252" s="46" t="s">
        <v>10</v>
      </c>
      <c r="BF252" s="103">
        <v>1</v>
      </c>
      <c r="BG252" s="103">
        <v>0</v>
      </c>
      <c r="BH252" s="103">
        <v>8</v>
      </c>
      <c r="BI252" s="103">
        <v>14</v>
      </c>
      <c r="BJ252" s="103">
        <v>36</v>
      </c>
      <c r="BK252" s="103">
        <v>51</v>
      </c>
      <c r="BL252" s="103">
        <v>71</v>
      </c>
      <c r="BM252" s="103">
        <v>60</v>
      </c>
      <c r="BN252" s="103">
        <v>87</v>
      </c>
      <c r="BO252" s="103">
        <v>58</v>
      </c>
      <c r="BQ252" s="110"/>
      <c r="BR252" s="46" t="s">
        <v>10</v>
      </c>
      <c r="BS252" s="103">
        <v>0</v>
      </c>
      <c r="BT252" s="103">
        <v>0</v>
      </c>
      <c r="BU252" s="103">
        <v>1</v>
      </c>
      <c r="BV252" s="103">
        <v>3</v>
      </c>
      <c r="BW252" s="103">
        <v>5</v>
      </c>
      <c r="BX252" s="103">
        <v>5</v>
      </c>
      <c r="BY252" s="103">
        <v>4</v>
      </c>
      <c r="BZ252" s="103">
        <v>3</v>
      </c>
      <c r="CA252" s="103">
        <v>9</v>
      </c>
      <c r="CB252" s="103">
        <v>7</v>
      </c>
      <c r="CC252" s="42"/>
      <c r="CD252" s="110"/>
      <c r="CE252" s="46" t="s">
        <v>10</v>
      </c>
      <c r="CF252" s="103">
        <v>1</v>
      </c>
      <c r="CG252" s="103">
        <v>0</v>
      </c>
      <c r="CH252" s="103">
        <v>11</v>
      </c>
      <c r="CI252" s="103">
        <v>15</v>
      </c>
      <c r="CJ252" s="103">
        <v>36</v>
      </c>
      <c r="CK252" s="103">
        <v>51</v>
      </c>
      <c r="CL252" s="103">
        <v>73</v>
      </c>
      <c r="CM252" s="103">
        <v>62</v>
      </c>
      <c r="CN252" s="103">
        <v>84</v>
      </c>
      <c r="CO252" s="103">
        <v>53</v>
      </c>
      <c r="CQ252" s="110"/>
      <c r="CR252" s="46" t="s">
        <v>10</v>
      </c>
      <c r="CS252" s="103">
        <v>0</v>
      </c>
      <c r="CT252" s="103">
        <v>0</v>
      </c>
      <c r="CU252" s="103">
        <v>1</v>
      </c>
      <c r="CV252" s="103">
        <v>2</v>
      </c>
      <c r="CW252" s="103">
        <v>0</v>
      </c>
      <c r="CX252" s="103">
        <v>4</v>
      </c>
      <c r="CY252" s="103">
        <v>8</v>
      </c>
      <c r="CZ252" s="103">
        <v>8</v>
      </c>
      <c r="DA252" s="103">
        <v>9</v>
      </c>
      <c r="DB252" s="103">
        <v>4</v>
      </c>
      <c r="DC252" s="42"/>
      <c r="DD252" s="110"/>
      <c r="DE252" s="46" t="s">
        <v>10</v>
      </c>
      <c r="DF252" s="103">
        <v>1</v>
      </c>
      <c r="DG252" s="103">
        <v>0</v>
      </c>
      <c r="DH252" s="103">
        <v>11</v>
      </c>
      <c r="DI252" s="103">
        <v>16</v>
      </c>
      <c r="DJ252" s="103">
        <v>41</v>
      </c>
      <c r="DK252" s="103">
        <v>52</v>
      </c>
      <c r="DL252" s="103">
        <v>69</v>
      </c>
      <c r="DM252" s="103">
        <v>57</v>
      </c>
      <c r="DN252" s="103">
        <v>84</v>
      </c>
      <c r="DO252" s="103">
        <v>56</v>
      </c>
    </row>
    <row r="253" spans="2:119" ht="14.45" customHeight="1" x14ac:dyDescent="0.45">
      <c r="B253" s="134"/>
      <c r="C253" s="42"/>
      <c r="D253" s="111"/>
      <c r="E253" s="46" t="s">
        <v>11</v>
      </c>
      <c r="F253" s="103">
        <v>0</v>
      </c>
      <c r="G253" s="103">
        <v>0</v>
      </c>
      <c r="H253" s="103">
        <v>4</v>
      </c>
      <c r="I253" s="103">
        <v>6</v>
      </c>
      <c r="J253" s="103">
        <v>9</v>
      </c>
      <c r="K253" s="103">
        <v>10</v>
      </c>
      <c r="L253" s="103">
        <v>28</v>
      </c>
      <c r="M253" s="103">
        <v>26</v>
      </c>
      <c r="N253" s="103">
        <v>55</v>
      </c>
      <c r="O253" s="103">
        <v>67</v>
      </c>
      <c r="P253" s="42"/>
      <c r="Q253" s="111"/>
      <c r="R253" s="46" t="s">
        <v>11</v>
      </c>
      <c r="S253" s="103">
        <v>0</v>
      </c>
      <c r="T253" s="103">
        <v>0</v>
      </c>
      <c r="U253" s="103">
        <v>2</v>
      </c>
      <c r="V253" s="103">
        <v>1</v>
      </c>
      <c r="W253" s="103">
        <v>6</v>
      </c>
      <c r="X253" s="103">
        <v>3</v>
      </c>
      <c r="Y253" s="103">
        <v>13</v>
      </c>
      <c r="Z253" s="103">
        <v>9</v>
      </c>
      <c r="AA253" s="103">
        <v>17</v>
      </c>
      <c r="AB253" s="103">
        <v>10</v>
      </c>
      <c r="AC253" s="42"/>
      <c r="AD253" s="111"/>
      <c r="AE253" s="46" t="s">
        <v>11</v>
      </c>
      <c r="AF253" s="103">
        <v>0</v>
      </c>
      <c r="AG253" s="103">
        <v>0</v>
      </c>
      <c r="AH253" s="103">
        <v>2</v>
      </c>
      <c r="AI253" s="103">
        <v>5</v>
      </c>
      <c r="AJ253" s="103">
        <v>3</v>
      </c>
      <c r="AK253" s="103">
        <v>7</v>
      </c>
      <c r="AL253" s="103">
        <v>15</v>
      </c>
      <c r="AM253" s="103">
        <v>17</v>
      </c>
      <c r="AN253" s="103">
        <v>38</v>
      </c>
      <c r="AO253" s="103">
        <v>57</v>
      </c>
      <c r="AP253" s="6"/>
      <c r="AQ253" s="111"/>
      <c r="AR253" s="46" t="s">
        <v>11</v>
      </c>
      <c r="AS253" s="103">
        <v>0</v>
      </c>
      <c r="AT253" s="103">
        <v>0</v>
      </c>
      <c r="AU253" s="103">
        <v>0</v>
      </c>
      <c r="AV253" s="103">
        <v>0</v>
      </c>
      <c r="AW253" s="103">
        <v>1</v>
      </c>
      <c r="AX253" s="103">
        <v>0</v>
      </c>
      <c r="AY253" s="103">
        <v>0</v>
      </c>
      <c r="AZ253" s="103">
        <v>2</v>
      </c>
      <c r="BA253" s="103">
        <v>1</v>
      </c>
      <c r="BB253" s="103">
        <v>1</v>
      </c>
      <c r="BC253" s="42"/>
      <c r="BD253" s="111"/>
      <c r="BE253" s="46" t="s">
        <v>11</v>
      </c>
      <c r="BF253" s="103">
        <v>0</v>
      </c>
      <c r="BG253" s="103">
        <v>0</v>
      </c>
      <c r="BH253" s="103">
        <v>4</v>
      </c>
      <c r="BI253" s="103">
        <v>6</v>
      </c>
      <c r="BJ253" s="103">
        <v>8</v>
      </c>
      <c r="BK253" s="103">
        <v>10</v>
      </c>
      <c r="BL253" s="103">
        <v>28</v>
      </c>
      <c r="BM253" s="103">
        <v>24</v>
      </c>
      <c r="BN253" s="103">
        <v>54</v>
      </c>
      <c r="BO253" s="103">
        <v>66</v>
      </c>
      <c r="BQ253" s="111"/>
      <c r="BR253" s="46" t="s">
        <v>11</v>
      </c>
      <c r="BS253" s="103">
        <v>0</v>
      </c>
      <c r="BT253" s="103">
        <v>0</v>
      </c>
      <c r="BU253" s="103">
        <v>0</v>
      </c>
      <c r="BV253" s="103">
        <v>0</v>
      </c>
      <c r="BW253" s="103">
        <v>1</v>
      </c>
      <c r="BX253" s="103">
        <v>1</v>
      </c>
      <c r="BY253" s="103">
        <v>3</v>
      </c>
      <c r="BZ253" s="103">
        <v>2</v>
      </c>
      <c r="CA253" s="103">
        <v>1</v>
      </c>
      <c r="CB253" s="103">
        <v>1</v>
      </c>
      <c r="CC253" s="42"/>
      <c r="CD253" s="111"/>
      <c r="CE253" s="46" t="s">
        <v>11</v>
      </c>
      <c r="CF253" s="103">
        <v>0</v>
      </c>
      <c r="CG253" s="103">
        <v>0</v>
      </c>
      <c r="CH253" s="103">
        <v>4</v>
      </c>
      <c r="CI253" s="103">
        <v>6</v>
      </c>
      <c r="CJ253" s="103">
        <v>8</v>
      </c>
      <c r="CK253" s="103">
        <v>9</v>
      </c>
      <c r="CL253" s="103">
        <v>25</v>
      </c>
      <c r="CM253" s="103">
        <v>24</v>
      </c>
      <c r="CN253" s="103">
        <v>54</v>
      </c>
      <c r="CO253" s="103">
        <v>66</v>
      </c>
      <c r="CQ253" s="111"/>
      <c r="CR253" s="46" t="s">
        <v>11</v>
      </c>
      <c r="CS253" s="103">
        <v>0</v>
      </c>
      <c r="CT253" s="103">
        <v>0</v>
      </c>
      <c r="CU253" s="103">
        <v>0</v>
      </c>
      <c r="CV253" s="103">
        <v>0</v>
      </c>
      <c r="CW253" s="103">
        <v>2</v>
      </c>
      <c r="CX253" s="103">
        <v>0</v>
      </c>
      <c r="CY253" s="103">
        <v>2</v>
      </c>
      <c r="CZ253" s="103">
        <v>4</v>
      </c>
      <c r="DA253" s="103">
        <v>3</v>
      </c>
      <c r="DB253" s="103">
        <v>7</v>
      </c>
      <c r="DC253" s="42"/>
      <c r="DD253" s="111"/>
      <c r="DE253" s="46" t="s">
        <v>11</v>
      </c>
      <c r="DF253" s="103">
        <v>0</v>
      </c>
      <c r="DG253" s="103">
        <v>0</v>
      </c>
      <c r="DH253" s="103">
        <v>4</v>
      </c>
      <c r="DI253" s="103">
        <v>6</v>
      </c>
      <c r="DJ253" s="103">
        <v>7</v>
      </c>
      <c r="DK253" s="103">
        <v>10</v>
      </c>
      <c r="DL253" s="103">
        <v>26</v>
      </c>
      <c r="DM253" s="103">
        <v>22</v>
      </c>
      <c r="DN253" s="103">
        <v>52</v>
      </c>
      <c r="DO253" s="103">
        <v>60</v>
      </c>
    </row>
    <row r="254" spans="2:119" ht="14.45" customHeight="1" x14ac:dyDescent="0.45">
      <c r="B254" s="99"/>
      <c r="C254" s="42"/>
      <c r="D254" s="42"/>
      <c r="E254" s="42"/>
      <c r="F254" s="42"/>
      <c r="G254" s="42"/>
      <c r="H254" s="42"/>
      <c r="I254" s="42"/>
      <c r="J254" s="42"/>
      <c r="K254" s="42"/>
      <c r="L254" s="42"/>
      <c r="M254" s="42"/>
      <c r="N254" s="42"/>
      <c r="O254" s="42"/>
      <c r="P254" s="42"/>
      <c r="Q254" s="42"/>
      <c r="R254" s="42"/>
      <c r="S254" s="42"/>
      <c r="T254" s="42"/>
      <c r="U254" s="42"/>
      <c r="V254" s="42"/>
      <c r="W254" s="42"/>
      <c r="X254" s="42"/>
      <c r="Y254" s="42"/>
      <c r="Z254" s="42"/>
      <c r="AA254" s="42"/>
      <c r="AB254" s="42"/>
      <c r="AC254" s="42"/>
      <c r="AD254" s="42"/>
      <c r="AE254" s="42"/>
      <c r="AF254" s="42"/>
      <c r="AG254" s="42"/>
      <c r="AH254" s="42"/>
      <c r="AI254" s="42"/>
      <c r="AJ254" s="42"/>
      <c r="AK254" s="42"/>
      <c r="AL254" s="42"/>
      <c r="AM254" s="42"/>
      <c r="AN254" s="42"/>
      <c r="AO254" s="42"/>
      <c r="AP254" s="6"/>
      <c r="AQ254" s="42"/>
      <c r="AR254" s="42"/>
      <c r="AS254" s="42"/>
      <c r="AT254" s="42"/>
      <c r="AU254" s="42"/>
      <c r="AV254" s="42"/>
      <c r="AW254" s="42"/>
      <c r="AX254" s="42"/>
      <c r="AY254" s="42"/>
      <c r="AZ254" s="42"/>
      <c r="BA254" s="42"/>
      <c r="BB254" s="42"/>
      <c r="BC254" s="42"/>
      <c r="BD254" s="42"/>
      <c r="BE254" s="42"/>
      <c r="BF254" s="42"/>
      <c r="BG254" s="42"/>
      <c r="BH254" s="42"/>
      <c r="BI254" s="42"/>
      <c r="BJ254" s="42"/>
      <c r="BK254" s="42"/>
      <c r="BL254" s="42"/>
      <c r="BM254" s="42"/>
      <c r="BN254" s="42"/>
      <c r="BO254" s="42"/>
      <c r="BQ254" s="42"/>
      <c r="BR254" s="42"/>
      <c r="BS254" s="42"/>
      <c r="BT254" s="42"/>
      <c r="BU254" s="42"/>
      <c r="BV254" s="42"/>
      <c r="BW254" s="42"/>
      <c r="BX254" s="42"/>
      <c r="BY254" s="42"/>
      <c r="BZ254" s="42"/>
      <c r="CA254" s="42"/>
      <c r="CB254" s="42"/>
      <c r="CC254" s="42"/>
      <c r="CD254" s="42"/>
      <c r="CE254" s="42"/>
      <c r="CF254" s="42"/>
      <c r="CG254" s="42"/>
      <c r="CH254" s="42"/>
      <c r="CI254" s="42"/>
      <c r="CJ254" s="42"/>
      <c r="CK254" s="42"/>
      <c r="CL254" s="42"/>
      <c r="CM254" s="42"/>
      <c r="CN254" s="42"/>
      <c r="CO254" s="42"/>
      <c r="CQ254" s="42"/>
      <c r="CR254" s="42"/>
      <c r="CS254" s="42"/>
      <c r="CT254" s="42"/>
      <c r="CU254" s="42"/>
      <c r="CV254" s="42"/>
      <c r="CW254" s="42"/>
      <c r="CX254" s="42"/>
      <c r="CY254" s="42"/>
      <c r="CZ254" s="42"/>
      <c r="DA254" s="42"/>
      <c r="DB254" s="42"/>
      <c r="DC254" s="42"/>
      <c r="DD254" s="42"/>
      <c r="DE254" s="42"/>
      <c r="DF254" s="42"/>
      <c r="DG254" s="42"/>
      <c r="DH254" s="42"/>
      <c r="DI254" s="42"/>
      <c r="DJ254" s="42"/>
      <c r="DK254" s="42"/>
      <c r="DL254" s="42"/>
      <c r="DM254" s="42"/>
      <c r="DN254" s="42"/>
      <c r="DO254" s="42"/>
    </row>
    <row r="255" spans="2:119" ht="14.45" customHeight="1" x14ac:dyDescent="0.55000000000000004">
      <c r="B255" s="99"/>
      <c r="C255" s="42"/>
      <c r="D255" s="112" t="s">
        <v>16</v>
      </c>
      <c r="E255" s="112"/>
      <c r="F255" s="45"/>
      <c r="G255" s="45"/>
      <c r="H255" s="45"/>
      <c r="I255" s="45"/>
      <c r="J255" s="45"/>
      <c r="K255" s="45"/>
      <c r="L255" s="45"/>
      <c r="M255" s="45"/>
      <c r="N255" s="45"/>
      <c r="O255" s="45"/>
      <c r="P255" s="42"/>
      <c r="Q255" s="112" t="s">
        <v>16</v>
      </c>
      <c r="R255" s="112"/>
      <c r="S255" s="45"/>
      <c r="T255" s="45"/>
      <c r="U255" s="45"/>
      <c r="V255" s="45"/>
      <c r="W255" s="45"/>
      <c r="X255" s="45"/>
      <c r="Y255" s="45"/>
      <c r="Z255" s="45"/>
      <c r="AA255" s="45"/>
      <c r="AB255" s="45"/>
      <c r="AC255" s="42"/>
      <c r="AD255" s="112" t="s">
        <v>16</v>
      </c>
      <c r="AE255" s="112"/>
      <c r="AF255" s="45"/>
      <c r="AG255" s="45"/>
      <c r="AH255" s="45"/>
      <c r="AI255" s="45"/>
      <c r="AJ255" s="45"/>
      <c r="AK255" s="45"/>
      <c r="AL255" s="45"/>
      <c r="AM255" s="45"/>
      <c r="AN255" s="45"/>
      <c r="AO255" s="45"/>
      <c r="AP255" s="6"/>
      <c r="AQ255" s="112" t="s">
        <v>16</v>
      </c>
      <c r="AR255" s="112"/>
      <c r="AS255" s="45"/>
      <c r="AT255" s="45"/>
      <c r="AU255" s="45"/>
      <c r="AV255" s="45"/>
      <c r="AW255" s="45"/>
      <c r="AX255" s="45"/>
      <c r="AY255" s="45"/>
      <c r="AZ255" s="45"/>
      <c r="BA255" s="45"/>
      <c r="BB255" s="45"/>
      <c r="BC255" s="42"/>
      <c r="BD255" s="112" t="s">
        <v>16</v>
      </c>
      <c r="BE255" s="112"/>
      <c r="BF255" s="45"/>
      <c r="BG255" s="45"/>
      <c r="BH255" s="45"/>
      <c r="BI255" s="45"/>
      <c r="BJ255" s="45"/>
      <c r="BK255" s="45"/>
      <c r="BL255" s="45"/>
      <c r="BM255" s="45"/>
      <c r="BN255" s="45"/>
      <c r="BO255" s="45"/>
      <c r="BQ255" s="112" t="s">
        <v>16</v>
      </c>
      <c r="BR255" s="112"/>
      <c r="BS255" s="45"/>
      <c r="BT255" s="45"/>
      <c r="BU255" s="45"/>
      <c r="BV255" s="45"/>
      <c r="BW255" s="45"/>
      <c r="BX255" s="45"/>
      <c r="BY255" s="45"/>
      <c r="BZ255" s="45"/>
      <c r="CA255" s="45"/>
      <c r="CB255" s="45"/>
      <c r="CC255" s="42"/>
      <c r="CD255" s="112" t="s">
        <v>16</v>
      </c>
      <c r="CE255" s="112"/>
      <c r="CF255" s="45"/>
      <c r="CG255" s="45"/>
      <c r="CH255" s="45"/>
      <c r="CI255" s="45"/>
      <c r="CJ255" s="45"/>
      <c r="CK255" s="45"/>
      <c r="CL255" s="45"/>
      <c r="CM255" s="45"/>
      <c r="CN255" s="45"/>
      <c r="CO255" s="45"/>
      <c r="CQ255" s="112" t="s">
        <v>16</v>
      </c>
      <c r="CR255" s="112"/>
      <c r="CS255" s="45"/>
      <c r="CT255" s="45"/>
      <c r="CU255" s="45"/>
      <c r="CV255" s="45"/>
      <c r="CW255" s="45"/>
      <c r="CX255" s="45"/>
      <c r="CY255" s="45"/>
      <c r="CZ255" s="45"/>
      <c r="DA255" s="45"/>
      <c r="DB255" s="45"/>
      <c r="DC255" s="42"/>
      <c r="DD255" s="112" t="s">
        <v>16</v>
      </c>
      <c r="DE255" s="112"/>
      <c r="DF255" s="45"/>
      <c r="DG255" s="45"/>
      <c r="DH255" s="45"/>
      <c r="DI255" s="45"/>
      <c r="DJ255" s="45"/>
      <c r="DK255" s="45"/>
      <c r="DL255" s="45"/>
      <c r="DM255" s="45"/>
      <c r="DN255" s="45"/>
      <c r="DO255" s="45"/>
    </row>
    <row r="256" spans="2:119" ht="28.9" customHeight="1" x14ac:dyDescent="0.45">
      <c r="B256" s="99"/>
      <c r="C256" s="42"/>
      <c r="D256" s="112"/>
      <c r="E256" s="112"/>
      <c r="F256" s="108" t="s">
        <v>12</v>
      </c>
      <c r="G256" s="108"/>
      <c r="H256" s="108"/>
      <c r="I256" s="108"/>
      <c r="J256" s="108"/>
      <c r="K256" s="108"/>
      <c r="L256" s="108"/>
      <c r="M256" s="108"/>
      <c r="N256" s="108"/>
      <c r="O256" s="108"/>
      <c r="P256" s="42"/>
      <c r="Q256" s="112"/>
      <c r="R256" s="112"/>
      <c r="S256" s="108" t="s">
        <v>12</v>
      </c>
      <c r="T256" s="108"/>
      <c r="U256" s="108"/>
      <c r="V256" s="108"/>
      <c r="W256" s="108"/>
      <c r="X256" s="108"/>
      <c r="Y256" s="108"/>
      <c r="Z256" s="108"/>
      <c r="AA256" s="108"/>
      <c r="AB256" s="108"/>
      <c r="AC256" s="42"/>
      <c r="AD256" s="112"/>
      <c r="AE256" s="112"/>
      <c r="AF256" s="131" t="s">
        <v>12</v>
      </c>
      <c r="AG256" s="132"/>
      <c r="AH256" s="132"/>
      <c r="AI256" s="132"/>
      <c r="AJ256" s="132"/>
      <c r="AK256" s="132"/>
      <c r="AL256" s="132"/>
      <c r="AM256" s="132"/>
      <c r="AN256" s="132"/>
      <c r="AO256" s="133"/>
      <c r="AP256" s="6"/>
      <c r="AQ256" s="112"/>
      <c r="AR256" s="112"/>
      <c r="AS256" s="108" t="s">
        <v>12</v>
      </c>
      <c r="AT256" s="108"/>
      <c r="AU256" s="108"/>
      <c r="AV256" s="108"/>
      <c r="AW256" s="108"/>
      <c r="AX256" s="108"/>
      <c r="AY256" s="108"/>
      <c r="AZ256" s="108"/>
      <c r="BA256" s="108"/>
      <c r="BB256" s="108"/>
      <c r="BC256" s="42"/>
      <c r="BD256" s="112"/>
      <c r="BE256" s="112"/>
      <c r="BF256" s="108" t="s">
        <v>12</v>
      </c>
      <c r="BG256" s="108"/>
      <c r="BH256" s="108"/>
      <c r="BI256" s="108"/>
      <c r="BJ256" s="108"/>
      <c r="BK256" s="108"/>
      <c r="BL256" s="108"/>
      <c r="BM256" s="108"/>
      <c r="BN256" s="108"/>
      <c r="BO256" s="108"/>
      <c r="BQ256" s="112"/>
      <c r="BR256" s="112"/>
      <c r="BS256" s="108" t="s">
        <v>12</v>
      </c>
      <c r="BT256" s="108"/>
      <c r="BU256" s="108"/>
      <c r="BV256" s="108"/>
      <c r="BW256" s="108"/>
      <c r="BX256" s="108"/>
      <c r="BY256" s="108"/>
      <c r="BZ256" s="108"/>
      <c r="CA256" s="108"/>
      <c r="CB256" s="108"/>
      <c r="CC256" s="42"/>
      <c r="CD256" s="112"/>
      <c r="CE256" s="112"/>
      <c r="CF256" s="108" t="s">
        <v>12</v>
      </c>
      <c r="CG256" s="108"/>
      <c r="CH256" s="108"/>
      <c r="CI256" s="108"/>
      <c r="CJ256" s="108"/>
      <c r="CK256" s="108"/>
      <c r="CL256" s="108"/>
      <c r="CM256" s="108"/>
      <c r="CN256" s="108"/>
      <c r="CO256" s="108"/>
      <c r="CQ256" s="112"/>
      <c r="CR256" s="112"/>
      <c r="CS256" s="108" t="s">
        <v>12</v>
      </c>
      <c r="CT256" s="108"/>
      <c r="CU256" s="108"/>
      <c r="CV256" s="108"/>
      <c r="CW256" s="108"/>
      <c r="CX256" s="108"/>
      <c r="CY256" s="108"/>
      <c r="CZ256" s="108"/>
      <c r="DA256" s="108"/>
      <c r="DB256" s="108"/>
      <c r="DC256" s="42"/>
      <c r="DD256" s="112"/>
      <c r="DE256" s="112"/>
      <c r="DF256" s="108" t="s">
        <v>12</v>
      </c>
      <c r="DG256" s="108"/>
      <c r="DH256" s="108"/>
      <c r="DI256" s="108"/>
      <c r="DJ256" s="108"/>
      <c r="DK256" s="108"/>
      <c r="DL256" s="108"/>
      <c r="DM256" s="108"/>
      <c r="DN256" s="108"/>
      <c r="DO256" s="108"/>
    </row>
    <row r="257" spans="2:119" ht="14.45" customHeight="1" x14ac:dyDescent="0.45">
      <c r="B257" s="99"/>
      <c r="C257" s="42"/>
      <c r="D257" s="113"/>
      <c r="E257" s="113"/>
      <c r="F257" s="9" t="s">
        <v>0</v>
      </c>
      <c r="G257" s="9">
        <v>1</v>
      </c>
      <c r="H257" s="9">
        <v>2</v>
      </c>
      <c r="I257" s="9">
        <v>3</v>
      </c>
      <c r="J257" s="9">
        <v>4</v>
      </c>
      <c r="K257" s="9">
        <v>5</v>
      </c>
      <c r="L257" s="9">
        <v>6</v>
      </c>
      <c r="M257" s="9">
        <v>7</v>
      </c>
      <c r="N257" s="9">
        <v>8</v>
      </c>
      <c r="O257" s="9">
        <v>9</v>
      </c>
      <c r="P257" s="42"/>
      <c r="Q257" s="113"/>
      <c r="R257" s="113"/>
      <c r="S257" s="9" t="s">
        <v>0</v>
      </c>
      <c r="T257" s="9">
        <v>1</v>
      </c>
      <c r="U257" s="9">
        <v>2</v>
      </c>
      <c r="V257" s="9">
        <v>3</v>
      </c>
      <c r="W257" s="9">
        <v>4</v>
      </c>
      <c r="X257" s="9">
        <v>5</v>
      </c>
      <c r="Y257" s="9">
        <v>6</v>
      </c>
      <c r="Z257" s="9">
        <v>7</v>
      </c>
      <c r="AA257" s="9">
        <v>8</v>
      </c>
      <c r="AB257" s="9">
        <v>9</v>
      </c>
      <c r="AC257" s="42"/>
      <c r="AD257" s="113"/>
      <c r="AE257" s="113"/>
      <c r="AF257" s="9" t="s">
        <v>0</v>
      </c>
      <c r="AG257" s="9">
        <v>1</v>
      </c>
      <c r="AH257" s="9">
        <v>2</v>
      </c>
      <c r="AI257" s="9">
        <v>3</v>
      </c>
      <c r="AJ257" s="9">
        <v>4</v>
      </c>
      <c r="AK257" s="9">
        <v>5</v>
      </c>
      <c r="AL257" s="9">
        <v>6</v>
      </c>
      <c r="AM257" s="9">
        <v>7</v>
      </c>
      <c r="AN257" s="9">
        <v>8</v>
      </c>
      <c r="AO257" s="9">
        <v>9</v>
      </c>
      <c r="AP257" s="6"/>
      <c r="AQ257" s="113"/>
      <c r="AR257" s="113"/>
      <c r="AS257" s="9" t="s">
        <v>0</v>
      </c>
      <c r="AT257" s="9">
        <v>1</v>
      </c>
      <c r="AU257" s="9">
        <v>2</v>
      </c>
      <c r="AV257" s="9">
        <v>3</v>
      </c>
      <c r="AW257" s="9">
        <v>4</v>
      </c>
      <c r="AX257" s="9">
        <v>5</v>
      </c>
      <c r="AY257" s="9">
        <v>6</v>
      </c>
      <c r="AZ257" s="9">
        <v>7</v>
      </c>
      <c r="BA257" s="9">
        <v>8</v>
      </c>
      <c r="BB257" s="9">
        <v>9</v>
      </c>
      <c r="BC257" s="42"/>
      <c r="BD257" s="113"/>
      <c r="BE257" s="113"/>
      <c r="BF257" s="9" t="s">
        <v>0</v>
      </c>
      <c r="BG257" s="9">
        <v>1</v>
      </c>
      <c r="BH257" s="9">
        <v>2</v>
      </c>
      <c r="BI257" s="9">
        <v>3</v>
      </c>
      <c r="BJ257" s="9">
        <v>4</v>
      </c>
      <c r="BK257" s="9">
        <v>5</v>
      </c>
      <c r="BL257" s="9">
        <v>6</v>
      </c>
      <c r="BM257" s="9">
        <v>7</v>
      </c>
      <c r="BN257" s="9">
        <v>8</v>
      </c>
      <c r="BO257" s="9">
        <v>9</v>
      </c>
      <c r="BQ257" s="113"/>
      <c r="BR257" s="113"/>
      <c r="BS257" s="9" t="s">
        <v>0</v>
      </c>
      <c r="BT257" s="9">
        <v>1</v>
      </c>
      <c r="BU257" s="9">
        <v>2</v>
      </c>
      <c r="BV257" s="9">
        <v>3</v>
      </c>
      <c r="BW257" s="9">
        <v>4</v>
      </c>
      <c r="BX257" s="9">
        <v>5</v>
      </c>
      <c r="BY257" s="9">
        <v>6</v>
      </c>
      <c r="BZ257" s="9">
        <v>7</v>
      </c>
      <c r="CA257" s="9">
        <v>8</v>
      </c>
      <c r="CB257" s="9">
        <v>9</v>
      </c>
      <c r="CC257" s="42"/>
      <c r="CD257" s="113"/>
      <c r="CE257" s="113"/>
      <c r="CF257" s="9" t="s">
        <v>0</v>
      </c>
      <c r="CG257" s="9">
        <v>1</v>
      </c>
      <c r="CH257" s="9">
        <v>2</v>
      </c>
      <c r="CI257" s="9">
        <v>3</v>
      </c>
      <c r="CJ257" s="9">
        <v>4</v>
      </c>
      <c r="CK257" s="9">
        <v>5</v>
      </c>
      <c r="CL257" s="9">
        <v>6</v>
      </c>
      <c r="CM257" s="9">
        <v>7</v>
      </c>
      <c r="CN257" s="9">
        <v>8</v>
      </c>
      <c r="CO257" s="9">
        <v>9</v>
      </c>
      <c r="CQ257" s="113"/>
      <c r="CR257" s="113"/>
      <c r="CS257" s="9" t="s">
        <v>0</v>
      </c>
      <c r="CT257" s="9">
        <v>1</v>
      </c>
      <c r="CU257" s="9">
        <v>2</v>
      </c>
      <c r="CV257" s="9">
        <v>3</v>
      </c>
      <c r="CW257" s="9">
        <v>4</v>
      </c>
      <c r="CX257" s="9">
        <v>5</v>
      </c>
      <c r="CY257" s="9">
        <v>6</v>
      </c>
      <c r="CZ257" s="9">
        <v>7</v>
      </c>
      <c r="DA257" s="9">
        <v>8</v>
      </c>
      <c r="DB257" s="9">
        <v>9</v>
      </c>
      <c r="DC257" s="42"/>
      <c r="DD257" s="113"/>
      <c r="DE257" s="113"/>
      <c r="DF257" s="9" t="s">
        <v>0</v>
      </c>
      <c r="DG257" s="9">
        <v>1</v>
      </c>
      <c r="DH257" s="9">
        <v>2</v>
      </c>
      <c r="DI257" s="9">
        <v>3</v>
      </c>
      <c r="DJ257" s="9">
        <v>4</v>
      </c>
      <c r="DK257" s="9">
        <v>5</v>
      </c>
      <c r="DL257" s="9">
        <v>6</v>
      </c>
      <c r="DM257" s="9">
        <v>7</v>
      </c>
      <c r="DN257" s="9">
        <v>8</v>
      </c>
      <c r="DO257" s="9">
        <v>9</v>
      </c>
    </row>
    <row r="258" spans="2:119" ht="14.45" customHeight="1" x14ac:dyDescent="0.45">
      <c r="B258" s="99"/>
      <c r="C258" s="42"/>
      <c r="D258" s="109" t="s">
        <v>13</v>
      </c>
      <c r="E258" s="47" t="s">
        <v>1</v>
      </c>
      <c r="F258" s="103" t="s">
        <v>128</v>
      </c>
      <c r="G258" s="103" t="s">
        <v>128</v>
      </c>
      <c r="H258" s="103" t="s">
        <v>128</v>
      </c>
      <c r="I258" s="103" t="s">
        <v>128</v>
      </c>
      <c r="J258" s="103" t="s">
        <v>128</v>
      </c>
      <c r="K258" s="103" t="s">
        <v>128</v>
      </c>
      <c r="L258" s="103" t="s">
        <v>128</v>
      </c>
      <c r="M258" s="103" t="s">
        <v>128</v>
      </c>
      <c r="N258" s="103" t="s">
        <v>128</v>
      </c>
      <c r="O258" s="17" t="s">
        <v>128</v>
      </c>
      <c r="P258" s="42"/>
      <c r="Q258" s="109" t="s">
        <v>13</v>
      </c>
      <c r="R258" s="46" t="s">
        <v>1</v>
      </c>
      <c r="S258" s="103" t="s">
        <v>128</v>
      </c>
      <c r="T258" s="103" t="s">
        <v>128</v>
      </c>
      <c r="U258" s="103" t="s">
        <v>128</v>
      </c>
      <c r="V258" s="103" t="s">
        <v>128</v>
      </c>
      <c r="W258" s="103" t="s">
        <v>128</v>
      </c>
      <c r="X258" s="103" t="s">
        <v>128</v>
      </c>
      <c r="Y258" s="103" t="s">
        <v>128</v>
      </c>
      <c r="Z258" s="103" t="s">
        <v>128</v>
      </c>
      <c r="AA258" s="103" t="s">
        <v>128</v>
      </c>
      <c r="AB258" s="17" t="s">
        <v>128</v>
      </c>
      <c r="AC258" s="42"/>
      <c r="AD258" s="109" t="s">
        <v>13</v>
      </c>
      <c r="AE258" s="46" t="s">
        <v>1</v>
      </c>
      <c r="AF258" s="103" t="s">
        <v>128</v>
      </c>
      <c r="AG258" s="103" t="s">
        <v>128</v>
      </c>
      <c r="AH258" s="103" t="s">
        <v>128</v>
      </c>
      <c r="AI258" s="103" t="s">
        <v>128</v>
      </c>
      <c r="AJ258" s="103" t="s">
        <v>128</v>
      </c>
      <c r="AK258" s="103" t="s">
        <v>128</v>
      </c>
      <c r="AL258" s="103" t="s">
        <v>128</v>
      </c>
      <c r="AM258" s="103" t="s">
        <v>128</v>
      </c>
      <c r="AN258" s="103" t="s">
        <v>128</v>
      </c>
      <c r="AO258" s="17" t="s">
        <v>128</v>
      </c>
      <c r="AP258" s="6"/>
      <c r="AQ258" s="109" t="s">
        <v>13</v>
      </c>
      <c r="AR258" s="46" t="s">
        <v>1</v>
      </c>
      <c r="AS258" s="103" t="s">
        <v>128</v>
      </c>
      <c r="AT258" s="103" t="s">
        <v>128</v>
      </c>
      <c r="AU258" s="103" t="s">
        <v>128</v>
      </c>
      <c r="AV258" s="103" t="s">
        <v>128</v>
      </c>
      <c r="AW258" s="103" t="s">
        <v>128</v>
      </c>
      <c r="AX258" s="103" t="s">
        <v>128</v>
      </c>
      <c r="AY258" s="103" t="s">
        <v>128</v>
      </c>
      <c r="AZ258" s="103" t="s">
        <v>128</v>
      </c>
      <c r="BA258" s="103" t="s">
        <v>128</v>
      </c>
      <c r="BB258" s="17" t="s">
        <v>128</v>
      </c>
      <c r="BC258" s="42"/>
      <c r="BD258" s="109" t="s">
        <v>13</v>
      </c>
      <c r="BE258" s="46" t="s">
        <v>1</v>
      </c>
      <c r="BF258" s="103" t="s">
        <v>128</v>
      </c>
      <c r="BG258" s="103" t="s">
        <v>128</v>
      </c>
      <c r="BH258" s="103" t="s">
        <v>128</v>
      </c>
      <c r="BI258" s="103" t="s">
        <v>128</v>
      </c>
      <c r="BJ258" s="103" t="s">
        <v>128</v>
      </c>
      <c r="BK258" s="103" t="s">
        <v>128</v>
      </c>
      <c r="BL258" s="103" t="s">
        <v>128</v>
      </c>
      <c r="BM258" s="103" t="s">
        <v>128</v>
      </c>
      <c r="BN258" s="103" t="s">
        <v>128</v>
      </c>
      <c r="BO258" s="17" t="s">
        <v>128</v>
      </c>
      <c r="BQ258" s="109" t="s">
        <v>13</v>
      </c>
      <c r="BR258" s="46" t="s">
        <v>1</v>
      </c>
      <c r="BS258" s="103" t="s">
        <v>128</v>
      </c>
      <c r="BT258" s="103" t="s">
        <v>128</v>
      </c>
      <c r="BU258" s="103" t="s">
        <v>128</v>
      </c>
      <c r="BV258" s="103" t="s">
        <v>128</v>
      </c>
      <c r="BW258" s="103" t="s">
        <v>128</v>
      </c>
      <c r="BX258" s="103" t="s">
        <v>128</v>
      </c>
      <c r="BY258" s="103" t="s">
        <v>128</v>
      </c>
      <c r="BZ258" s="103" t="s">
        <v>128</v>
      </c>
      <c r="CA258" s="103" t="s">
        <v>128</v>
      </c>
      <c r="CB258" s="17" t="s">
        <v>128</v>
      </c>
      <c r="CC258" s="42"/>
      <c r="CD258" s="109" t="s">
        <v>13</v>
      </c>
      <c r="CE258" s="46" t="s">
        <v>1</v>
      </c>
      <c r="CF258" s="103" t="s">
        <v>128</v>
      </c>
      <c r="CG258" s="103" t="s">
        <v>128</v>
      </c>
      <c r="CH258" s="103" t="s">
        <v>128</v>
      </c>
      <c r="CI258" s="103" t="s">
        <v>128</v>
      </c>
      <c r="CJ258" s="103" t="s">
        <v>128</v>
      </c>
      <c r="CK258" s="103" t="s">
        <v>128</v>
      </c>
      <c r="CL258" s="103" t="s">
        <v>128</v>
      </c>
      <c r="CM258" s="103" t="s">
        <v>128</v>
      </c>
      <c r="CN258" s="103" t="s">
        <v>128</v>
      </c>
      <c r="CO258" s="17" t="s">
        <v>128</v>
      </c>
      <c r="CQ258" s="109" t="s">
        <v>13</v>
      </c>
      <c r="CR258" s="46" t="s">
        <v>1</v>
      </c>
      <c r="CS258" s="103" t="s">
        <v>128</v>
      </c>
      <c r="CT258" s="103" t="s">
        <v>128</v>
      </c>
      <c r="CU258" s="103" t="s">
        <v>128</v>
      </c>
      <c r="CV258" s="103" t="s">
        <v>128</v>
      </c>
      <c r="CW258" s="103" t="s">
        <v>128</v>
      </c>
      <c r="CX258" s="103" t="s">
        <v>128</v>
      </c>
      <c r="CY258" s="103" t="s">
        <v>128</v>
      </c>
      <c r="CZ258" s="103" t="s">
        <v>128</v>
      </c>
      <c r="DA258" s="103" t="s">
        <v>128</v>
      </c>
      <c r="DB258" s="17" t="s">
        <v>128</v>
      </c>
      <c r="DC258" s="42"/>
      <c r="DD258" s="109" t="s">
        <v>13</v>
      </c>
      <c r="DE258" s="46" t="s">
        <v>1</v>
      </c>
      <c r="DF258" s="103" t="s">
        <v>128</v>
      </c>
      <c r="DG258" s="103" t="s">
        <v>128</v>
      </c>
      <c r="DH258" s="103" t="s">
        <v>128</v>
      </c>
      <c r="DI258" s="103" t="s">
        <v>128</v>
      </c>
      <c r="DJ258" s="103" t="s">
        <v>128</v>
      </c>
      <c r="DK258" s="103" t="s">
        <v>128</v>
      </c>
      <c r="DL258" s="103" t="s">
        <v>128</v>
      </c>
      <c r="DM258" s="103" t="s">
        <v>128</v>
      </c>
      <c r="DN258" s="103" t="s">
        <v>128</v>
      </c>
      <c r="DO258" s="17" t="s">
        <v>128</v>
      </c>
    </row>
    <row r="259" spans="2:119" ht="14.45" customHeight="1" x14ac:dyDescent="0.45">
      <c r="B259" s="99"/>
      <c r="C259" s="42"/>
      <c r="D259" s="110"/>
      <c r="E259" s="47">
        <v>1</v>
      </c>
      <c r="F259" s="103" t="s">
        <v>128</v>
      </c>
      <c r="G259" s="103" t="s">
        <v>128</v>
      </c>
      <c r="H259" s="103" t="s">
        <v>128</v>
      </c>
      <c r="I259" s="103" t="s">
        <v>128</v>
      </c>
      <c r="J259" s="103" t="s">
        <v>128</v>
      </c>
      <c r="K259" s="103" t="s">
        <v>128</v>
      </c>
      <c r="L259" s="103" t="s">
        <v>128</v>
      </c>
      <c r="M259" s="103" t="s">
        <v>128</v>
      </c>
      <c r="N259" s="103" t="s">
        <v>128</v>
      </c>
      <c r="O259" s="103" t="s">
        <v>128</v>
      </c>
      <c r="P259" s="42"/>
      <c r="Q259" s="110"/>
      <c r="R259" s="46">
        <v>1</v>
      </c>
      <c r="S259" s="103" t="s">
        <v>128</v>
      </c>
      <c r="T259" s="103" t="s">
        <v>128</v>
      </c>
      <c r="U259" s="103" t="s">
        <v>128</v>
      </c>
      <c r="V259" s="103" t="s">
        <v>128</v>
      </c>
      <c r="W259" s="103" t="s">
        <v>128</v>
      </c>
      <c r="X259" s="103" t="s">
        <v>128</v>
      </c>
      <c r="Y259" s="103" t="s">
        <v>128</v>
      </c>
      <c r="Z259" s="103" t="s">
        <v>128</v>
      </c>
      <c r="AA259" s="103" t="s">
        <v>128</v>
      </c>
      <c r="AB259" s="103" t="s">
        <v>128</v>
      </c>
      <c r="AC259" s="42"/>
      <c r="AD259" s="110"/>
      <c r="AE259" s="46">
        <v>1</v>
      </c>
      <c r="AF259" s="103" t="s">
        <v>128</v>
      </c>
      <c r="AG259" s="103" t="s">
        <v>128</v>
      </c>
      <c r="AH259" s="103" t="s">
        <v>128</v>
      </c>
      <c r="AI259" s="103" t="s">
        <v>128</v>
      </c>
      <c r="AJ259" s="103" t="s">
        <v>128</v>
      </c>
      <c r="AK259" s="103" t="s">
        <v>128</v>
      </c>
      <c r="AL259" s="103" t="s">
        <v>128</v>
      </c>
      <c r="AM259" s="103" t="s">
        <v>128</v>
      </c>
      <c r="AN259" s="103" t="s">
        <v>128</v>
      </c>
      <c r="AO259" s="103" t="s">
        <v>128</v>
      </c>
      <c r="AP259" s="6"/>
      <c r="AQ259" s="110"/>
      <c r="AR259" s="46">
        <v>1</v>
      </c>
      <c r="AS259" s="103" t="s">
        <v>128</v>
      </c>
      <c r="AT259" s="103" t="s">
        <v>128</v>
      </c>
      <c r="AU259" s="103" t="s">
        <v>128</v>
      </c>
      <c r="AV259" s="103" t="s">
        <v>128</v>
      </c>
      <c r="AW259" s="103" t="s">
        <v>128</v>
      </c>
      <c r="AX259" s="103" t="s">
        <v>128</v>
      </c>
      <c r="AY259" s="103" t="s">
        <v>128</v>
      </c>
      <c r="AZ259" s="103" t="s">
        <v>128</v>
      </c>
      <c r="BA259" s="103" t="s">
        <v>128</v>
      </c>
      <c r="BB259" s="103" t="s">
        <v>128</v>
      </c>
      <c r="BC259" s="42"/>
      <c r="BD259" s="110"/>
      <c r="BE259" s="46">
        <v>1</v>
      </c>
      <c r="BF259" s="103" t="s">
        <v>128</v>
      </c>
      <c r="BG259" s="103" t="s">
        <v>128</v>
      </c>
      <c r="BH259" s="103" t="s">
        <v>128</v>
      </c>
      <c r="BI259" s="103" t="s">
        <v>128</v>
      </c>
      <c r="BJ259" s="103" t="s">
        <v>128</v>
      </c>
      <c r="BK259" s="103" t="s">
        <v>128</v>
      </c>
      <c r="BL259" s="103" t="s">
        <v>128</v>
      </c>
      <c r="BM259" s="103" t="s">
        <v>128</v>
      </c>
      <c r="BN259" s="103" t="s">
        <v>128</v>
      </c>
      <c r="BO259" s="103" t="s">
        <v>128</v>
      </c>
      <c r="BQ259" s="110"/>
      <c r="BR259" s="46">
        <v>1</v>
      </c>
      <c r="BS259" s="103" t="s">
        <v>128</v>
      </c>
      <c r="BT259" s="103" t="s">
        <v>128</v>
      </c>
      <c r="BU259" s="103" t="s">
        <v>128</v>
      </c>
      <c r="BV259" s="103" t="s">
        <v>128</v>
      </c>
      <c r="BW259" s="103" t="s">
        <v>128</v>
      </c>
      <c r="BX259" s="103" t="s">
        <v>128</v>
      </c>
      <c r="BY259" s="103" t="s">
        <v>128</v>
      </c>
      <c r="BZ259" s="103" t="s">
        <v>128</v>
      </c>
      <c r="CA259" s="103" t="s">
        <v>128</v>
      </c>
      <c r="CB259" s="103" t="s">
        <v>128</v>
      </c>
      <c r="CC259" s="42"/>
      <c r="CD259" s="110"/>
      <c r="CE259" s="46">
        <v>1</v>
      </c>
      <c r="CF259" s="103" t="s">
        <v>128</v>
      </c>
      <c r="CG259" s="103" t="s">
        <v>128</v>
      </c>
      <c r="CH259" s="103" t="s">
        <v>128</v>
      </c>
      <c r="CI259" s="103" t="s">
        <v>128</v>
      </c>
      <c r="CJ259" s="103" t="s">
        <v>128</v>
      </c>
      <c r="CK259" s="103" t="s">
        <v>128</v>
      </c>
      <c r="CL259" s="103" t="s">
        <v>128</v>
      </c>
      <c r="CM259" s="103" t="s">
        <v>128</v>
      </c>
      <c r="CN259" s="103" t="s">
        <v>128</v>
      </c>
      <c r="CO259" s="103" t="s">
        <v>128</v>
      </c>
      <c r="CQ259" s="110"/>
      <c r="CR259" s="46">
        <v>1</v>
      </c>
      <c r="CS259" s="103" t="s">
        <v>128</v>
      </c>
      <c r="CT259" s="103" t="s">
        <v>128</v>
      </c>
      <c r="CU259" s="103" t="s">
        <v>128</v>
      </c>
      <c r="CV259" s="103" t="s">
        <v>128</v>
      </c>
      <c r="CW259" s="103" t="s">
        <v>128</v>
      </c>
      <c r="CX259" s="103" t="s">
        <v>128</v>
      </c>
      <c r="CY259" s="103" t="s">
        <v>128</v>
      </c>
      <c r="CZ259" s="103" t="s">
        <v>128</v>
      </c>
      <c r="DA259" s="103" t="s">
        <v>128</v>
      </c>
      <c r="DB259" s="103" t="s">
        <v>128</v>
      </c>
      <c r="DC259" s="42"/>
      <c r="DD259" s="110"/>
      <c r="DE259" s="46">
        <v>1</v>
      </c>
      <c r="DF259" s="103" t="s">
        <v>128</v>
      </c>
      <c r="DG259" s="103" t="s">
        <v>128</v>
      </c>
      <c r="DH259" s="103" t="s">
        <v>128</v>
      </c>
      <c r="DI259" s="103" t="s">
        <v>128</v>
      </c>
      <c r="DJ259" s="103" t="s">
        <v>128</v>
      </c>
      <c r="DK259" s="103" t="s">
        <v>128</v>
      </c>
      <c r="DL259" s="103" t="s">
        <v>128</v>
      </c>
      <c r="DM259" s="103" t="s">
        <v>128</v>
      </c>
      <c r="DN259" s="103" t="s">
        <v>128</v>
      </c>
      <c r="DO259" s="103" t="s">
        <v>128</v>
      </c>
    </row>
    <row r="260" spans="2:119" ht="14.45" customHeight="1" x14ac:dyDescent="0.45">
      <c r="B260" s="99"/>
      <c r="C260" s="42"/>
      <c r="D260" s="110"/>
      <c r="E260" s="47" t="s">
        <v>2</v>
      </c>
      <c r="F260" s="103">
        <v>33.333333333333329</v>
      </c>
      <c r="G260" s="103">
        <v>25</v>
      </c>
      <c r="H260" s="103">
        <v>16.666666666666664</v>
      </c>
      <c r="I260" s="103">
        <v>16.666666666666664</v>
      </c>
      <c r="J260" s="103">
        <v>0</v>
      </c>
      <c r="K260" s="103">
        <v>0</v>
      </c>
      <c r="L260" s="103">
        <v>0</v>
      </c>
      <c r="M260" s="103">
        <v>0</v>
      </c>
      <c r="N260" s="103">
        <v>8.3333333333333321</v>
      </c>
      <c r="O260" s="103">
        <v>0</v>
      </c>
      <c r="P260" s="42"/>
      <c r="Q260" s="110"/>
      <c r="R260" s="46" t="s">
        <v>2</v>
      </c>
      <c r="S260" s="103">
        <v>25</v>
      </c>
      <c r="T260" s="103">
        <v>50</v>
      </c>
      <c r="U260" s="103">
        <v>25</v>
      </c>
      <c r="V260" s="103">
        <v>0</v>
      </c>
      <c r="W260" s="103">
        <v>0</v>
      </c>
      <c r="X260" s="103">
        <v>0</v>
      </c>
      <c r="Y260" s="103">
        <v>0</v>
      </c>
      <c r="Z260" s="103">
        <v>0</v>
      </c>
      <c r="AA260" s="103">
        <v>0</v>
      </c>
      <c r="AB260" s="103">
        <v>0</v>
      </c>
      <c r="AC260" s="42"/>
      <c r="AD260" s="110"/>
      <c r="AE260" s="46" t="s">
        <v>2</v>
      </c>
      <c r="AF260" s="103">
        <v>37.5</v>
      </c>
      <c r="AG260" s="103">
        <v>12.5</v>
      </c>
      <c r="AH260" s="103">
        <v>12.5</v>
      </c>
      <c r="AI260" s="103">
        <v>25</v>
      </c>
      <c r="AJ260" s="103">
        <v>0</v>
      </c>
      <c r="AK260" s="103">
        <v>0</v>
      </c>
      <c r="AL260" s="103">
        <v>0</v>
      </c>
      <c r="AM260" s="103">
        <v>0</v>
      </c>
      <c r="AN260" s="103">
        <v>12.5</v>
      </c>
      <c r="AO260" s="103">
        <v>0</v>
      </c>
      <c r="AP260" s="6"/>
      <c r="AQ260" s="110"/>
      <c r="AR260" s="46" t="s">
        <v>2</v>
      </c>
      <c r="AS260" s="103">
        <v>33.333333333333329</v>
      </c>
      <c r="AT260" s="103">
        <v>33.333333333333329</v>
      </c>
      <c r="AU260" s="103">
        <v>0</v>
      </c>
      <c r="AV260" s="103">
        <v>33.333333333333329</v>
      </c>
      <c r="AW260" s="103">
        <v>0</v>
      </c>
      <c r="AX260" s="103">
        <v>0</v>
      </c>
      <c r="AY260" s="103">
        <v>0</v>
      </c>
      <c r="AZ260" s="103">
        <v>0</v>
      </c>
      <c r="BA260" s="103">
        <v>0</v>
      </c>
      <c r="BB260" s="103">
        <v>0</v>
      </c>
      <c r="BC260" s="42"/>
      <c r="BD260" s="110"/>
      <c r="BE260" s="46" t="s">
        <v>2</v>
      </c>
      <c r="BF260" s="103">
        <v>33.333333333333329</v>
      </c>
      <c r="BG260" s="103">
        <v>16.666666666666664</v>
      </c>
      <c r="BH260" s="103">
        <v>33.333333333333329</v>
      </c>
      <c r="BI260" s="103">
        <v>0</v>
      </c>
      <c r="BJ260" s="103">
        <v>0</v>
      </c>
      <c r="BK260" s="103">
        <v>0</v>
      </c>
      <c r="BL260" s="103">
        <v>0</v>
      </c>
      <c r="BM260" s="103">
        <v>0</v>
      </c>
      <c r="BN260" s="103">
        <v>16.666666666666664</v>
      </c>
      <c r="BO260" s="103">
        <v>0</v>
      </c>
      <c r="BQ260" s="110"/>
      <c r="BR260" s="46" t="s">
        <v>2</v>
      </c>
      <c r="BS260" s="103">
        <v>30</v>
      </c>
      <c r="BT260" s="103">
        <v>30</v>
      </c>
      <c r="BU260" s="103">
        <v>20</v>
      </c>
      <c r="BV260" s="103">
        <v>20</v>
      </c>
      <c r="BW260" s="103">
        <v>0</v>
      </c>
      <c r="BX260" s="103">
        <v>0</v>
      </c>
      <c r="BY260" s="103">
        <v>0</v>
      </c>
      <c r="BZ260" s="103">
        <v>0</v>
      </c>
      <c r="CA260" s="103">
        <v>0</v>
      </c>
      <c r="CB260" s="103">
        <v>0</v>
      </c>
      <c r="CC260" s="42"/>
      <c r="CD260" s="110"/>
      <c r="CE260" s="46" t="s">
        <v>2</v>
      </c>
      <c r="CF260" s="103">
        <v>50</v>
      </c>
      <c r="CG260" s="103">
        <v>0</v>
      </c>
      <c r="CH260" s="103">
        <v>0</v>
      </c>
      <c r="CI260" s="103">
        <v>0</v>
      </c>
      <c r="CJ260" s="103">
        <v>0</v>
      </c>
      <c r="CK260" s="103">
        <v>0</v>
      </c>
      <c r="CL260" s="103">
        <v>0</v>
      </c>
      <c r="CM260" s="103">
        <v>0</v>
      </c>
      <c r="CN260" s="103">
        <v>50</v>
      </c>
      <c r="CO260" s="103">
        <v>0</v>
      </c>
      <c r="CQ260" s="110"/>
      <c r="CR260" s="46" t="s">
        <v>2</v>
      </c>
      <c r="CS260" s="103">
        <v>0</v>
      </c>
      <c r="CT260" s="103">
        <v>0</v>
      </c>
      <c r="CU260" s="103">
        <v>0</v>
      </c>
      <c r="CV260" s="103">
        <v>50</v>
      </c>
      <c r="CW260" s="103">
        <v>0</v>
      </c>
      <c r="CX260" s="103">
        <v>0</v>
      </c>
      <c r="CY260" s="103">
        <v>0</v>
      </c>
      <c r="CZ260" s="103">
        <v>0</v>
      </c>
      <c r="DA260" s="103">
        <v>50</v>
      </c>
      <c r="DB260" s="103">
        <v>0</v>
      </c>
      <c r="DC260" s="42"/>
      <c r="DD260" s="110"/>
      <c r="DE260" s="46" t="s">
        <v>2</v>
      </c>
      <c r="DF260" s="103">
        <v>40</v>
      </c>
      <c r="DG260" s="103">
        <v>30</v>
      </c>
      <c r="DH260" s="103">
        <v>20</v>
      </c>
      <c r="DI260" s="103">
        <v>10</v>
      </c>
      <c r="DJ260" s="103">
        <v>0</v>
      </c>
      <c r="DK260" s="103">
        <v>0</v>
      </c>
      <c r="DL260" s="103">
        <v>0</v>
      </c>
      <c r="DM260" s="103">
        <v>0</v>
      </c>
      <c r="DN260" s="103">
        <v>0</v>
      </c>
      <c r="DO260" s="103">
        <v>0</v>
      </c>
    </row>
    <row r="261" spans="2:119" ht="14.45" customHeight="1" x14ac:dyDescent="0.45">
      <c r="B261" s="99"/>
      <c r="C261" s="42"/>
      <c r="D261" s="110"/>
      <c r="E261" s="47" t="s">
        <v>3</v>
      </c>
      <c r="F261" s="103">
        <v>12.5</v>
      </c>
      <c r="G261" s="103">
        <v>25</v>
      </c>
      <c r="H261" s="103">
        <v>25</v>
      </c>
      <c r="I261" s="103">
        <v>25</v>
      </c>
      <c r="J261" s="103">
        <v>0</v>
      </c>
      <c r="K261" s="103">
        <v>12.5</v>
      </c>
      <c r="L261" s="103">
        <v>0</v>
      </c>
      <c r="M261" s="103">
        <v>0</v>
      </c>
      <c r="N261" s="103">
        <v>0</v>
      </c>
      <c r="O261" s="103">
        <v>0</v>
      </c>
      <c r="P261" s="42"/>
      <c r="Q261" s="110"/>
      <c r="R261" s="46" t="s">
        <v>3</v>
      </c>
      <c r="S261" s="103">
        <v>100</v>
      </c>
      <c r="T261" s="103">
        <v>0</v>
      </c>
      <c r="U261" s="103">
        <v>0</v>
      </c>
      <c r="V261" s="103">
        <v>0</v>
      </c>
      <c r="W261" s="103">
        <v>0</v>
      </c>
      <c r="X261" s="103">
        <v>0</v>
      </c>
      <c r="Y261" s="103">
        <v>0</v>
      </c>
      <c r="Z261" s="103">
        <v>0</v>
      </c>
      <c r="AA261" s="103">
        <v>0</v>
      </c>
      <c r="AB261" s="103">
        <v>0</v>
      </c>
      <c r="AC261" s="42"/>
      <c r="AD261" s="110"/>
      <c r="AE261" s="46" t="s">
        <v>3</v>
      </c>
      <c r="AF261" s="103">
        <v>0</v>
      </c>
      <c r="AG261" s="103">
        <v>28.571428571428569</v>
      </c>
      <c r="AH261" s="103">
        <v>28.571428571428569</v>
      </c>
      <c r="AI261" s="103">
        <v>28.571428571428569</v>
      </c>
      <c r="AJ261" s="103">
        <v>0</v>
      </c>
      <c r="AK261" s="103">
        <v>14.285714285714285</v>
      </c>
      <c r="AL261" s="103">
        <v>0</v>
      </c>
      <c r="AM261" s="103">
        <v>0</v>
      </c>
      <c r="AN261" s="103">
        <v>0</v>
      </c>
      <c r="AO261" s="103">
        <v>0</v>
      </c>
      <c r="AP261" s="6"/>
      <c r="AQ261" s="110"/>
      <c r="AR261" s="46" t="s">
        <v>3</v>
      </c>
      <c r="AS261" s="103">
        <v>25</v>
      </c>
      <c r="AT261" s="103">
        <v>25</v>
      </c>
      <c r="AU261" s="103">
        <v>25</v>
      </c>
      <c r="AV261" s="103">
        <v>25</v>
      </c>
      <c r="AW261" s="103">
        <v>0</v>
      </c>
      <c r="AX261" s="103">
        <v>0</v>
      </c>
      <c r="AY261" s="103">
        <v>0</v>
      </c>
      <c r="AZ261" s="103">
        <v>0</v>
      </c>
      <c r="BA261" s="103">
        <v>0</v>
      </c>
      <c r="BB261" s="103">
        <v>0</v>
      </c>
      <c r="BC261" s="42"/>
      <c r="BD261" s="110"/>
      <c r="BE261" s="46" t="s">
        <v>3</v>
      </c>
      <c r="BF261" s="103">
        <v>0</v>
      </c>
      <c r="BG261" s="103">
        <v>25</v>
      </c>
      <c r="BH261" s="103">
        <v>25</v>
      </c>
      <c r="BI261" s="103">
        <v>25</v>
      </c>
      <c r="BJ261" s="103">
        <v>0</v>
      </c>
      <c r="BK261" s="103">
        <v>25</v>
      </c>
      <c r="BL261" s="103">
        <v>0</v>
      </c>
      <c r="BM261" s="103">
        <v>0</v>
      </c>
      <c r="BN261" s="103">
        <v>0</v>
      </c>
      <c r="BO261" s="103">
        <v>0</v>
      </c>
      <c r="BQ261" s="110"/>
      <c r="BR261" s="46" t="s">
        <v>3</v>
      </c>
      <c r="BS261" s="103">
        <v>16.666666666666664</v>
      </c>
      <c r="BT261" s="103">
        <v>16.666666666666664</v>
      </c>
      <c r="BU261" s="103">
        <v>33.333333333333329</v>
      </c>
      <c r="BV261" s="103">
        <v>16.666666666666664</v>
      </c>
      <c r="BW261" s="103">
        <v>0</v>
      </c>
      <c r="BX261" s="103">
        <v>16.666666666666664</v>
      </c>
      <c r="BY261" s="103">
        <v>0</v>
      </c>
      <c r="BZ261" s="103">
        <v>0</v>
      </c>
      <c r="CA261" s="103">
        <v>0</v>
      </c>
      <c r="CB261" s="103">
        <v>0</v>
      </c>
      <c r="CC261" s="42"/>
      <c r="CD261" s="110"/>
      <c r="CE261" s="46" t="s">
        <v>3</v>
      </c>
      <c r="CF261" s="103">
        <v>0</v>
      </c>
      <c r="CG261" s="103">
        <v>50</v>
      </c>
      <c r="CH261" s="103">
        <v>0</v>
      </c>
      <c r="CI261" s="103">
        <v>50</v>
      </c>
      <c r="CJ261" s="103">
        <v>0</v>
      </c>
      <c r="CK261" s="103">
        <v>0</v>
      </c>
      <c r="CL261" s="103">
        <v>0</v>
      </c>
      <c r="CM261" s="103">
        <v>0</v>
      </c>
      <c r="CN261" s="103">
        <v>0</v>
      </c>
      <c r="CO261" s="103">
        <v>0</v>
      </c>
      <c r="CQ261" s="110"/>
      <c r="CR261" s="46" t="s">
        <v>3</v>
      </c>
      <c r="CS261" s="103">
        <v>0</v>
      </c>
      <c r="CT261" s="103">
        <v>0</v>
      </c>
      <c r="CU261" s="103">
        <v>50</v>
      </c>
      <c r="CV261" s="103">
        <v>0</v>
      </c>
      <c r="CW261" s="103">
        <v>0</v>
      </c>
      <c r="CX261" s="103">
        <v>50</v>
      </c>
      <c r="CY261" s="103">
        <v>0</v>
      </c>
      <c r="CZ261" s="103">
        <v>0</v>
      </c>
      <c r="DA261" s="103">
        <v>0</v>
      </c>
      <c r="DB261" s="103">
        <v>0</v>
      </c>
      <c r="DC261" s="42"/>
      <c r="DD261" s="110"/>
      <c r="DE261" s="46" t="s">
        <v>3</v>
      </c>
      <c r="DF261" s="103">
        <v>16.666666666666664</v>
      </c>
      <c r="DG261" s="103">
        <v>33.333333333333329</v>
      </c>
      <c r="DH261" s="103">
        <v>16.666666666666664</v>
      </c>
      <c r="DI261" s="103">
        <v>33.333333333333329</v>
      </c>
      <c r="DJ261" s="103">
        <v>0</v>
      </c>
      <c r="DK261" s="103">
        <v>0</v>
      </c>
      <c r="DL261" s="103">
        <v>0</v>
      </c>
      <c r="DM261" s="103">
        <v>0</v>
      </c>
      <c r="DN261" s="103">
        <v>0</v>
      </c>
      <c r="DO261" s="103">
        <v>0</v>
      </c>
    </row>
    <row r="262" spans="2:119" ht="14.45" customHeight="1" x14ac:dyDescent="0.45">
      <c r="B262" s="99"/>
      <c r="C262" s="42"/>
      <c r="D262" s="110"/>
      <c r="E262" s="47" t="s">
        <v>4</v>
      </c>
      <c r="F262" s="103">
        <v>9.0909090909090917</v>
      </c>
      <c r="G262" s="103">
        <v>9.0909090909090917</v>
      </c>
      <c r="H262" s="103">
        <v>45.454545454545453</v>
      </c>
      <c r="I262" s="103">
        <v>9.0909090909090917</v>
      </c>
      <c r="J262" s="103">
        <v>18.181818181818183</v>
      </c>
      <c r="K262" s="103">
        <v>9.0909090909090917</v>
      </c>
      <c r="L262" s="103">
        <v>0</v>
      </c>
      <c r="M262" s="103">
        <v>0</v>
      </c>
      <c r="N262" s="103">
        <v>0</v>
      </c>
      <c r="O262" s="103">
        <v>0</v>
      </c>
      <c r="P262" s="42"/>
      <c r="Q262" s="110"/>
      <c r="R262" s="46" t="s">
        <v>4</v>
      </c>
      <c r="S262" s="103">
        <v>0</v>
      </c>
      <c r="T262" s="103">
        <v>0</v>
      </c>
      <c r="U262" s="103">
        <v>100</v>
      </c>
      <c r="V262" s="103">
        <v>0</v>
      </c>
      <c r="W262" s="103">
        <v>0</v>
      </c>
      <c r="X262" s="103">
        <v>0</v>
      </c>
      <c r="Y262" s="103">
        <v>0</v>
      </c>
      <c r="Z262" s="103">
        <v>0</v>
      </c>
      <c r="AA262" s="103">
        <v>0</v>
      </c>
      <c r="AB262" s="103">
        <v>0</v>
      </c>
      <c r="AC262" s="42"/>
      <c r="AD262" s="110"/>
      <c r="AE262" s="46" t="s">
        <v>4</v>
      </c>
      <c r="AF262" s="103">
        <v>10</v>
      </c>
      <c r="AG262" s="103">
        <v>10</v>
      </c>
      <c r="AH262" s="103">
        <v>40</v>
      </c>
      <c r="AI262" s="103">
        <v>10</v>
      </c>
      <c r="AJ262" s="103">
        <v>20</v>
      </c>
      <c r="AK262" s="103">
        <v>10</v>
      </c>
      <c r="AL262" s="103">
        <v>0</v>
      </c>
      <c r="AM262" s="103">
        <v>0</v>
      </c>
      <c r="AN262" s="103">
        <v>0</v>
      </c>
      <c r="AO262" s="103">
        <v>0</v>
      </c>
      <c r="AP262" s="6"/>
      <c r="AQ262" s="110"/>
      <c r="AR262" s="46" t="s">
        <v>4</v>
      </c>
      <c r="AS262" s="103">
        <v>20</v>
      </c>
      <c r="AT262" s="103">
        <v>0</v>
      </c>
      <c r="AU262" s="103">
        <v>40</v>
      </c>
      <c r="AV262" s="103">
        <v>0</v>
      </c>
      <c r="AW262" s="103">
        <v>40</v>
      </c>
      <c r="AX262" s="103">
        <v>0</v>
      </c>
      <c r="AY262" s="103">
        <v>0</v>
      </c>
      <c r="AZ262" s="103">
        <v>0</v>
      </c>
      <c r="BA262" s="103">
        <v>0</v>
      </c>
      <c r="BB262" s="103">
        <v>0</v>
      </c>
      <c r="BC262" s="42"/>
      <c r="BD262" s="110"/>
      <c r="BE262" s="46" t="s">
        <v>4</v>
      </c>
      <c r="BF262" s="103">
        <v>0</v>
      </c>
      <c r="BG262" s="103">
        <v>16.666666666666664</v>
      </c>
      <c r="BH262" s="103">
        <v>50</v>
      </c>
      <c r="BI262" s="103">
        <v>16.666666666666664</v>
      </c>
      <c r="BJ262" s="103">
        <v>0</v>
      </c>
      <c r="BK262" s="103">
        <v>16.666666666666664</v>
      </c>
      <c r="BL262" s="103">
        <v>0</v>
      </c>
      <c r="BM262" s="103">
        <v>0</v>
      </c>
      <c r="BN262" s="103">
        <v>0</v>
      </c>
      <c r="BO262" s="103">
        <v>0</v>
      </c>
      <c r="BQ262" s="110"/>
      <c r="BR262" s="46" t="s">
        <v>4</v>
      </c>
      <c r="BS262" s="103">
        <v>0</v>
      </c>
      <c r="BT262" s="103">
        <v>14.285714285714285</v>
      </c>
      <c r="BU262" s="103">
        <v>42.857142857142854</v>
      </c>
      <c r="BV262" s="103">
        <v>14.285714285714285</v>
      </c>
      <c r="BW262" s="103">
        <v>14.285714285714285</v>
      </c>
      <c r="BX262" s="103">
        <v>14.285714285714285</v>
      </c>
      <c r="BY262" s="103">
        <v>0</v>
      </c>
      <c r="BZ262" s="103">
        <v>0</v>
      </c>
      <c r="CA262" s="103">
        <v>0</v>
      </c>
      <c r="CB262" s="103">
        <v>0</v>
      </c>
      <c r="CC262" s="42"/>
      <c r="CD262" s="110"/>
      <c r="CE262" s="46" t="s">
        <v>4</v>
      </c>
      <c r="CF262" s="103">
        <v>25</v>
      </c>
      <c r="CG262" s="103">
        <v>0</v>
      </c>
      <c r="CH262" s="103">
        <v>50</v>
      </c>
      <c r="CI262" s="103">
        <v>0</v>
      </c>
      <c r="CJ262" s="103">
        <v>25</v>
      </c>
      <c r="CK262" s="103">
        <v>0</v>
      </c>
      <c r="CL262" s="103">
        <v>0</v>
      </c>
      <c r="CM262" s="103">
        <v>0</v>
      </c>
      <c r="CN262" s="103">
        <v>0</v>
      </c>
      <c r="CO262" s="103">
        <v>0</v>
      </c>
      <c r="CQ262" s="110"/>
      <c r="CR262" s="46" t="s">
        <v>4</v>
      </c>
      <c r="CS262" s="103">
        <v>0</v>
      </c>
      <c r="CT262" s="103">
        <v>0</v>
      </c>
      <c r="CU262" s="103">
        <v>33.333333333333329</v>
      </c>
      <c r="CV262" s="103">
        <v>0</v>
      </c>
      <c r="CW262" s="103">
        <v>66.666666666666657</v>
      </c>
      <c r="CX262" s="103">
        <v>0</v>
      </c>
      <c r="CY262" s="103">
        <v>0</v>
      </c>
      <c r="CZ262" s="103">
        <v>0</v>
      </c>
      <c r="DA262" s="103">
        <v>0</v>
      </c>
      <c r="DB262" s="103">
        <v>0</v>
      </c>
      <c r="DC262" s="42"/>
      <c r="DD262" s="110"/>
      <c r="DE262" s="46" t="s">
        <v>4</v>
      </c>
      <c r="DF262" s="103">
        <v>12.5</v>
      </c>
      <c r="DG262" s="103">
        <v>12.5</v>
      </c>
      <c r="DH262" s="103">
        <v>50</v>
      </c>
      <c r="DI262" s="103">
        <v>12.5</v>
      </c>
      <c r="DJ262" s="103">
        <v>0</v>
      </c>
      <c r="DK262" s="103">
        <v>12.5</v>
      </c>
      <c r="DL262" s="103">
        <v>0</v>
      </c>
      <c r="DM262" s="103">
        <v>0</v>
      </c>
      <c r="DN262" s="103">
        <v>0</v>
      </c>
      <c r="DO262" s="103">
        <v>0</v>
      </c>
    </row>
    <row r="263" spans="2:119" ht="14.45" customHeight="1" x14ac:dyDescent="0.45">
      <c r="B263" s="99"/>
      <c r="C263" s="42"/>
      <c r="D263" s="110"/>
      <c r="E263" s="47" t="s">
        <v>5</v>
      </c>
      <c r="F263" s="103">
        <v>9.375</v>
      </c>
      <c r="G263" s="103">
        <v>18.75</v>
      </c>
      <c r="H263" s="103">
        <v>25</v>
      </c>
      <c r="I263" s="103">
        <v>18.75</v>
      </c>
      <c r="J263" s="103">
        <v>12.5</v>
      </c>
      <c r="K263" s="103">
        <v>9.375</v>
      </c>
      <c r="L263" s="103">
        <v>3.125</v>
      </c>
      <c r="M263" s="103">
        <v>3.125</v>
      </c>
      <c r="N263" s="103">
        <v>0</v>
      </c>
      <c r="O263" s="103">
        <v>0</v>
      </c>
      <c r="P263" s="42"/>
      <c r="Q263" s="110"/>
      <c r="R263" s="46" t="s">
        <v>5</v>
      </c>
      <c r="S263" s="103">
        <v>25</v>
      </c>
      <c r="T263" s="103">
        <v>0</v>
      </c>
      <c r="U263" s="103">
        <v>37.5</v>
      </c>
      <c r="V263" s="103">
        <v>12.5</v>
      </c>
      <c r="W263" s="103">
        <v>25</v>
      </c>
      <c r="X263" s="103">
        <v>0</v>
      </c>
      <c r="Y263" s="103">
        <v>0</v>
      </c>
      <c r="Z263" s="103">
        <v>0</v>
      </c>
      <c r="AA263" s="103">
        <v>0</v>
      </c>
      <c r="AB263" s="103">
        <v>0</v>
      </c>
      <c r="AC263" s="42"/>
      <c r="AD263" s="110"/>
      <c r="AE263" s="46" t="s">
        <v>5</v>
      </c>
      <c r="AF263" s="103">
        <v>4.1666666666666661</v>
      </c>
      <c r="AG263" s="103">
        <v>25</v>
      </c>
      <c r="AH263" s="103">
        <v>20.833333333333336</v>
      </c>
      <c r="AI263" s="103">
        <v>20.833333333333336</v>
      </c>
      <c r="AJ263" s="103">
        <v>8.3333333333333321</v>
      </c>
      <c r="AK263" s="103">
        <v>12.5</v>
      </c>
      <c r="AL263" s="103">
        <v>4.1666666666666661</v>
      </c>
      <c r="AM263" s="103">
        <v>4.1666666666666661</v>
      </c>
      <c r="AN263" s="103">
        <v>0</v>
      </c>
      <c r="AO263" s="103">
        <v>0</v>
      </c>
      <c r="AP263" s="6"/>
      <c r="AQ263" s="110"/>
      <c r="AR263" s="46" t="s">
        <v>5</v>
      </c>
      <c r="AS263" s="103">
        <v>0</v>
      </c>
      <c r="AT263" s="103">
        <v>16.666666666666664</v>
      </c>
      <c r="AU263" s="103">
        <v>25</v>
      </c>
      <c r="AV263" s="103">
        <v>33.333333333333329</v>
      </c>
      <c r="AW263" s="103">
        <v>8.3333333333333321</v>
      </c>
      <c r="AX263" s="103">
        <v>8.3333333333333321</v>
      </c>
      <c r="AY263" s="103">
        <v>8.3333333333333321</v>
      </c>
      <c r="AZ263" s="103">
        <v>0</v>
      </c>
      <c r="BA263" s="103">
        <v>0</v>
      </c>
      <c r="BB263" s="103">
        <v>0</v>
      </c>
      <c r="BC263" s="42"/>
      <c r="BD263" s="110"/>
      <c r="BE263" s="46" t="s">
        <v>5</v>
      </c>
      <c r="BF263" s="103">
        <v>15</v>
      </c>
      <c r="BG263" s="103">
        <v>20</v>
      </c>
      <c r="BH263" s="103">
        <v>25</v>
      </c>
      <c r="BI263" s="103">
        <v>10</v>
      </c>
      <c r="BJ263" s="103">
        <v>15</v>
      </c>
      <c r="BK263" s="103">
        <v>10</v>
      </c>
      <c r="BL263" s="103">
        <v>0</v>
      </c>
      <c r="BM263" s="103">
        <v>5</v>
      </c>
      <c r="BN263" s="103">
        <v>0</v>
      </c>
      <c r="BO263" s="103">
        <v>0</v>
      </c>
      <c r="BQ263" s="110"/>
      <c r="BR263" s="46" t="s">
        <v>5</v>
      </c>
      <c r="BS263" s="103">
        <v>0</v>
      </c>
      <c r="BT263" s="103">
        <v>40</v>
      </c>
      <c r="BU263" s="103">
        <v>20</v>
      </c>
      <c r="BV263" s="103">
        <v>20</v>
      </c>
      <c r="BW263" s="103">
        <v>0</v>
      </c>
      <c r="BX263" s="103">
        <v>0</v>
      </c>
      <c r="BY263" s="103">
        <v>10</v>
      </c>
      <c r="BZ263" s="103">
        <v>10</v>
      </c>
      <c r="CA263" s="103">
        <v>0</v>
      </c>
      <c r="CB263" s="103">
        <v>0</v>
      </c>
      <c r="CC263" s="42"/>
      <c r="CD263" s="110"/>
      <c r="CE263" s="46" t="s">
        <v>5</v>
      </c>
      <c r="CF263" s="103">
        <v>13.636363636363635</v>
      </c>
      <c r="CG263" s="103">
        <v>9.0909090909090917</v>
      </c>
      <c r="CH263" s="103">
        <v>27.27272727272727</v>
      </c>
      <c r="CI263" s="103">
        <v>18.181818181818183</v>
      </c>
      <c r="CJ263" s="103">
        <v>18.181818181818183</v>
      </c>
      <c r="CK263" s="103">
        <v>13.636363636363635</v>
      </c>
      <c r="CL263" s="103">
        <v>0</v>
      </c>
      <c r="CM263" s="103">
        <v>0</v>
      </c>
      <c r="CN263" s="103">
        <v>0</v>
      </c>
      <c r="CO263" s="103">
        <v>0</v>
      </c>
      <c r="CQ263" s="110"/>
      <c r="CR263" s="46" t="s">
        <v>5</v>
      </c>
      <c r="CS263" s="103">
        <v>0</v>
      </c>
      <c r="CT263" s="103">
        <v>20</v>
      </c>
      <c r="CU263" s="103">
        <v>40</v>
      </c>
      <c r="CV263" s="103">
        <v>20</v>
      </c>
      <c r="CW263" s="103">
        <v>0</v>
      </c>
      <c r="CX263" s="103">
        <v>20</v>
      </c>
      <c r="CY263" s="103">
        <v>0</v>
      </c>
      <c r="CZ263" s="103">
        <v>0</v>
      </c>
      <c r="DA263" s="103">
        <v>0</v>
      </c>
      <c r="DB263" s="103">
        <v>0</v>
      </c>
      <c r="DC263" s="42"/>
      <c r="DD263" s="110"/>
      <c r="DE263" s="46" t="s">
        <v>5</v>
      </c>
      <c r="DF263" s="103">
        <v>11.111111111111111</v>
      </c>
      <c r="DG263" s="103">
        <v>18.518518518518519</v>
      </c>
      <c r="DH263" s="103">
        <v>22.222222222222221</v>
      </c>
      <c r="DI263" s="103">
        <v>18.518518518518519</v>
      </c>
      <c r="DJ263" s="103">
        <v>14.814814814814813</v>
      </c>
      <c r="DK263" s="103">
        <v>7.4074074074074066</v>
      </c>
      <c r="DL263" s="103">
        <v>3.7037037037037033</v>
      </c>
      <c r="DM263" s="103">
        <v>3.7037037037037033</v>
      </c>
      <c r="DN263" s="103">
        <v>0</v>
      </c>
      <c r="DO263" s="103">
        <v>0</v>
      </c>
    </row>
    <row r="264" spans="2:119" ht="14.45" customHeight="1" x14ac:dyDescent="0.45">
      <c r="B264" s="99"/>
      <c r="C264" s="42"/>
      <c r="D264" s="110"/>
      <c r="E264" s="47" t="s">
        <v>6</v>
      </c>
      <c r="F264" s="103">
        <v>12.5</v>
      </c>
      <c r="G264" s="103">
        <v>12.5</v>
      </c>
      <c r="H264" s="103">
        <v>14.583333333333334</v>
      </c>
      <c r="I264" s="103">
        <v>16.666666666666664</v>
      </c>
      <c r="J264" s="103">
        <v>27.083333333333332</v>
      </c>
      <c r="K264" s="103">
        <v>8.3333333333333321</v>
      </c>
      <c r="L264" s="103">
        <v>4.1666666666666661</v>
      </c>
      <c r="M264" s="103">
        <v>0</v>
      </c>
      <c r="N264" s="103">
        <v>4.1666666666666661</v>
      </c>
      <c r="O264" s="103">
        <v>0</v>
      </c>
      <c r="P264" s="42"/>
      <c r="Q264" s="110"/>
      <c r="R264" s="46" t="s">
        <v>6</v>
      </c>
      <c r="S264" s="103">
        <v>16.666666666666664</v>
      </c>
      <c r="T264" s="103">
        <v>0</v>
      </c>
      <c r="U264" s="103">
        <v>0</v>
      </c>
      <c r="V264" s="103">
        <v>0</v>
      </c>
      <c r="W264" s="103">
        <v>83.333333333333343</v>
      </c>
      <c r="X264" s="103">
        <v>0</v>
      </c>
      <c r="Y264" s="103">
        <v>0</v>
      </c>
      <c r="Z264" s="103">
        <v>0</v>
      </c>
      <c r="AA264" s="103">
        <v>0</v>
      </c>
      <c r="AB264" s="103">
        <v>0</v>
      </c>
      <c r="AC264" s="42"/>
      <c r="AD264" s="110"/>
      <c r="AE264" s="46" t="s">
        <v>6</v>
      </c>
      <c r="AF264" s="103">
        <v>11.904761904761903</v>
      </c>
      <c r="AG264" s="103">
        <v>14.285714285714285</v>
      </c>
      <c r="AH264" s="103">
        <v>16.666666666666664</v>
      </c>
      <c r="AI264" s="103">
        <v>19.047619047619047</v>
      </c>
      <c r="AJ264" s="103">
        <v>19.047619047619047</v>
      </c>
      <c r="AK264" s="103">
        <v>9.5238095238095237</v>
      </c>
      <c r="AL264" s="103">
        <v>4.7619047619047619</v>
      </c>
      <c r="AM264" s="103">
        <v>0</v>
      </c>
      <c r="AN264" s="103">
        <v>4.7619047619047619</v>
      </c>
      <c r="AO264" s="103">
        <v>0</v>
      </c>
      <c r="AP264" s="6"/>
      <c r="AQ264" s="110"/>
      <c r="AR264" s="46" t="s">
        <v>6</v>
      </c>
      <c r="AS264" s="103">
        <v>11.111111111111111</v>
      </c>
      <c r="AT264" s="103">
        <v>22.222222222222221</v>
      </c>
      <c r="AU264" s="103">
        <v>22.222222222222221</v>
      </c>
      <c r="AV264" s="103">
        <v>11.111111111111111</v>
      </c>
      <c r="AW264" s="103">
        <v>22.222222222222221</v>
      </c>
      <c r="AX264" s="103">
        <v>0</v>
      </c>
      <c r="AY264" s="103">
        <v>0</v>
      </c>
      <c r="AZ264" s="103">
        <v>0</v>
      </c>
      <c r="BA264" s="103">
        <v>11.111111111111111</v>
      </c>
      <c r="BB264" s="103">
        <v>0</v>
      </c>
      <c r="BC264" s="42"/>
      <c r="BD264" s="110"/>
      <c r="BE264" s="46" t="s">
        <v>6</v>
      </c>
      <c r="BF264" s="103">
        <v>12.820512820512819</v>
      </c>
      <c r="BG264" s="103">
        <v>10.256410256410255</v>
      </c>
      <c r="BH264" s="103">
        <v>12.820512820512819</v>
      </c>
      <c r="BI264" s="103">
        <v>17.948717948717949</v>
      </c>
      <c r="BJ264" s="103">
        <v>28.205128205128204</v>
      </c>
      <c r="BK264" s="103">
        <v>10.256410256410255</v>
      </c>
      <c r="BL264" s="103">
        <v>5.1282051282051277</v>
      </c>
      <c r="BM264" s="103">
        <v>0</v>
      </c>
      <c r="BN264" s="103">
        <v>2.5641025641025639</v>
      </c>
      <c r="BO264" s="103">
        <v>0</v>
      </c>
      <c r="BQ264" s="110"/>
      <c r="BR264" s="46" t="s">
        <v>6</v>
      </c>
      <c r="BS264" s="103">
        <v>11.111111111111111</v>
      </c>
      <c r="BT264" s="103">
        <v>11.111111111111111</v>
      </c>
      <c r="BU264" s="103">
        <v>22.222222222222221</v>
      </c>
      <c r="BV264" s="103">
        <v>0</v>
      </c>
      <c r="BW264" s="103">
        <v>44.444444444444443</v>
      </c>
      <c r="BX264" s="103">
        <v>0</v>
      </c>
      <c r="BY264" s="103">
        <v>0</v>
      </c>
      <c r="BZ264" s="103">
        <v>0</v>
      </c>
      <c r="CA264" s="103">
        <v>11.111111111111111</v>
      </c>
      <c r="CB264" s="103">
        <v>0</v>
      </c>
      <c r="CC264" s="42"/>
      <c r="CD264" s="110"/>
      <c r="CE264" s="46" t="s">
        <v>6</v>
      </c>
      <c r="CF264" s="103">
        <v>12.820512820512819</v>
      </c>
      <c r="CG264" s="103">
        <v>12.820512820512819</v>
      </c>
      <c r="CH264" s="103">
        <v>12.820512820512819</v>
      </c>
      <c r="CI264" s="103">
        <v>20.512820512820511</v>
      </c>
      <c r="CJ264" s="103">
        <v>23.076923076923077</v>
      </c>
      <c r="CK264" s="103">
        <v>10.256410256410255</v>
      </c>
      <c r="CL264" s="103">
        <v>5.1282051282051277</v>
      </c>
      <c r="CM264" s="103">
        <v>0</v>
      </c>
      <c r="CN264" s="103">
        <v>2.5641025641025639</v>
      </c>
      <c r="CO264" s="103">
        <v>0</v>
      </c>
      <c r="CQ264" s="110"/>
      <c r="CR264" s="46" t="s">
        <v>6</v>
      </c>
      <c r="CS264" s="103">
        <v>0</v>
      </c>
      <c r="CT264" s="103">
        <v>0</v>
      </c>
      <c r="CU264" s="103">
        <v>25</v>
      </c>
      <c r="CV264" s="103">
        <v>0</v>
      </c>
      <c r="CW264" s="103">
        <v>50</v>
      </c>
      <c r="CX264" s="103">
        <v>0</v>
      </c>
      <c r="CY264" s="103">
        <v>0</v>
      </c>
      <c r="CZ264" s="103">
        <v>0</v>
      </c>
      <c r="DA264" s="103">
        <v>25</v>
      </c>
      <c r="DB264" s="103">
        <v>0</v>
      </c>
      <c r="DC264" s="42"/>
      <c r="DD264" s="110"/>
      <c r="DE264" s="46" t="s">
        <v>6</v>
      </c>
      <c r="DF264" s="103">
        <v>13.636363636363635</v>
      </c>
      <c r="DG264" s="103">
        <v>13.636363636363635</v>
      </c>
      <c r="DH264" s="103">
        <v>13.636363636363635</v>
      </c>
      <c r="DI264" s="103">
        <v>18.181818181818183</v>
      </c>
      <c r="DJ264" s="103">
        <v>25</v>
      </c>
      <c r="DK264" s="103">
        <v>9.0909090909090917</v>
      </c>
      <c r="DL264" s="103">
        <v>4.5454545454545459</v>
      </c>
      <c r="DM264" s="103">
        <v>0</v>
      </c>
      <c r="DN264" s="103">
        <v>2.2727272727272729</v>
      </c>
      <c r="DO264" s="103">
        <v>0</v>
      </c>
    </row>
    <row r="265" spans="2:119" ht="14.45" customHeight="1" x14ac:dyDescent="0.45">
      <c r="B265" s="99"/>
      <c r="C265" s="42"/>
      <c r="D265" s="110"/>
      <c r="E265" s="47" t="s">
        <v>7</v>
      </c>
      <c r="F265" s="103">
        <v>2</v>
      </c>
      <c r="G265" s="103">
        <v>10</v>
      </c>
      <c r="H265" s="103">
        <v>17</v>
      </c>
      <c r="I265" s="103">
        <v>26</v>
      </c>
      <c r="J265" s="103">
        <v>12</v>
      </c>
      <c r="K265" s="103">
        <v>16</v>
      </c>
      <c r="L265" s="103">
        <v>14.000000000000002</v>
      </c>
      <c r="M265" s="103">
        <v>2</v>
      </c>
      <c r="N265" s="103">
        <v>0</v>
      </c>
      <c r="O265" s="103">
        <v>1</v>
      </c>
      <c r="P265" s="42"/>
      <c r="Q265" s="110"/>
      <c r="R265" s="46" t="s">
        <v>7</v>
      </c>
      <c r="S265" s="103">
        <v>0</v>
      </c>
      <c r="T265" s="103">
        <v>28.571428571428569</v>
      </c>
      <c r="U265" s="103">
        <v>0</v>
      </c>
      <c r="V265" s="103">
        <v>57.142857142857139</v>
      </c>
      <c r="W265" s="103">
        <v>0</v>
      </c>
      <c r="X265" s="103">
        <v>14.285714285714285</v>
      </c>
      <c r="Y265" s="103">
        <v>0</v>
      </c>
      <c r="Z265" s="103">
        <v>0</v>
      </c>
      <c r="AA265" s="103">
        <v>0</v>
      </c>
      <c r="AB265" s="103">
        <v>0</v>
      </c>
      <c r="AC265" s="42"/>
      <c r="AD265" s="110"/>
      <c r="AE265" s="46" t="s">
        <v>7</v>
      </c>
      <c r="AF265" s="103">
        <v>2.1505376344086025</v>
      </c>
      <c r="AG265" s="103">
        <v>8.6021505376344098</v>
      </c>
      <c r="AH265" s="103">
        <v>18.27956989247312</v>
      </c>
      <c r="AI265" s="103">
        <v>23.655913978494624</v>
      </c>
      <c r="AJ265" s="103">
        <v>12.903225806451612</v>
      </c>
      <c r="AK265" s="103">
        <v>16.129032258064516</v>
      </c>
      <c r="AL265" s="103">
        <v>15.053763440860216</v>
      </c>
      <c r="AM265" s="103">
        <v>2.1505376344086025</v>
      </c>
      <c r="AN265" s="103">
        <v>0</v>
      </c>
      <c r="AO265" s="103">
        <v>1.0752688172043012</v>
      </c>
      <c r="AP265" s="6"/>
      <c r="AQ265" s="110"/>
      <c r="AR265" s="46" t="s">
        <v>7</v>
      </c>
      <c r="AS265" s="103">
        <v>0</v>
      </c>
      <c r="AT265" s="103">
        <v>6.25</v>
      </c>
      <c r="AU265" s="103">
        <v>18.75</v>
      </c>
      <c r="AV265" s="103">
        <v>43.75</v>
      </c>
      <c r="AW265" s="103">
        <v>12.5</v>
      </c>
      <c r="AX265" s="103">
        <v>18.75</v>
      </c>
      <c r="AY265" s="103">
        <v>0</v>
      </c>
      <c r="AZ265" s="103">
        <v>0</v>
      </c>
      <c r="BA265" s="103">
        <v>0</v>
      </c>
      <c r="BB265" s="103">
        <v>0</v>
      </c>
      <c r="BC265" s="42"/>
      <c r="BD265" s="110"/>
      <c r="BE265" s="46" t="s">
        <v>7</v>
      </c>
      <c r="BF265" s="103">
        <v>2.3809523809523809</v>
      </c>
      <c r="BG265" s="103">
        <v>10.714285714285714</v>
      </c>
      <c r="BH265" s="103">
        <v>16.666666666666664</v>
      </c>
      <c r="BI265" s="103">
        <v>22.61904761904762</v>
      </c>
      <c r="BJ265" s="103">
        <v>11.904761904761903</v>
      </c>
      <c r="BK265" s="103">
        <v>15.476190476190476</v>
      </c>
      <c r="BL265" s="103">
        <v>16.666666666666664</v>
      </c>
      <c r="BM265" s="103">
        <v>2.3809523809523809</v>
      </c>
      <c r="BN265" s="103">
        <v>0</v>
      </c>
      <c r="BO265" s="103">
        <v>1.1904761904761905</v>
      </c>
      <c r="BQ265" s="110"/>
      <c r="BR265" s="46" t="s">
        <v>7</v>
      </c>
      <c r="BS265" s="103">
        <v>6.25</v>
      </c>
      <c r="BT265" s="103">
        <v>0</v>
      </c>
      <c r="BU265" s="103">
        <v>12.5</v>
      </c>
      <c r="BV265" s="103">
        <v>25</v>
      </c>
      <c r="BW265" s="103">
        <v>6.25</v>
      </c>
      <c r="BX265" s="103">
        <v>18.75</v>
      </c>
      <c r="BY265" s="103">
        <v>25</v>
      </c>
      <c r="BZ265" s="103">
        <v>0</v>
      </c>
      <c r="CA265" s="103">
        <v>0</v>
      </c>
      <c r="CB265" s="103">
        <v>6.25</v>
      </c>
      <c r="CC265" s="42"/>
      <c r="CD265" s="110"/>
      <c r="CE265" s="46" t="s">
        <v>7</v>
      </c>
      <c r="CF265" s="103">
        <v>1.1904761904761905</v>
      </c>
      <c r="CG265" s="103">
        <v>11.904761904761903</v>
      </c>
      <c r="CH265" s="103">
        <v>17.857142857142858</v>
      </c>
      <c r="CI265" s="103">
        <v>26.190476190476193</v>
      </c>
      <c r="CJ265" s="103">
        <v>13.095238095238097</v>
      </c>
      <c r="CK265" s="103">
        <v>15.476190476190476</v>
      </c>
      <c r="CL265" s="103">
        <v>11.904761904761903</v>
      </c>
      <c r="CM265" s="103">
        <v>2.3809523809523809</v>
      </c>
      <c r="CN265" s="103">
        <v>0</v>
      </c>
      <c r="CO265" s="103">
        <v>0</v>
      </c>
      <c r="CQ265" s="110"/>
      <c r="CR265" s="46" t="s">
        <v>7</v>
      </c>
      <c r="CS265" s="103">
        <v>0</v>
      </c>
      <c r="CT265" s="103">
        <v>15.789473684210526</v>
      </c>
      <c r="CU265" s="103">
        <v>26.315789473684209</v>
      </c>
      <c r="CV265" s="103">
        <v>21.052631578947366</v>
      </c>
      <c r="CW265" s="103">
        <v>5.2631578947368416</v>
      </c>
      <c r="CX265" s="103">
        <v>10.526315789473683</v>
      </c>
      <c r="CY265" s="103">
        <v>10.526315789473683</v>
      </c>
      <c r="CZ265" s="103">
        <v>10.526315789473683</v>
      </c>
      <c r="DA265" s="103">
        <v>0</v>
      </c>
      <c r="DB265" s="103">
        <v>0</v>
      </c>
      <c r="DC265" s="42"/>
      <c r="DD265" s="110"/>
      <c r="DE265" s="46" t="s">
        <v>7</v>
      </c>
      <c r="DF265" s="103">
        <v>2.4691358024691357</v>
      </c>
      <c r="DG265" s="103">
        <v>8.6419753086419746</v>
      </c>
      <c r="DH265" s="103">
        <v>14.814814814814813</v>
      </c>
      <c r="DI265" s="103">
        <v>27.160493827160494</v>
      </c>
      <c r="DJ265" s="103">
        <v>13.580246913580247</v>
      </c>
      <c r="DK265" s="103">
        <v>17.283950617283949</v>
      </c>
      <c r="DL265" s="103">
        <v>14.814814814814813</v>
      </c>
      <c r="DM265" s="103">
        <v>0</v>
      </c>
      <c r="DN265" s="103">
        <v>0</v>
      </c>
      <c r="DO265" s="103">
        <v>1.2345679012345678</v>
      </c>
    </row>
    <row r="266" spans="2:119" ht="14.45" customHeight="1" x14ac:dyDescent="0.45">
      <c r="B266" s="99"/>
      <c r="C266" s="42"/>
      <c r="D266" s="110"/>
      <c r="E266" s="47" t="s">
        <v>8</v>
      </c>
      <c r="F266" s="103">
        <v>2.6595744680851063</v>
      </c>
      <c r="G266" s="103">
        <v>6.3829787234042552</v>
      </c>
      <c r="H266" s="103">
        <v>10.638297872340425</v>
      </c>
      <c r="I266" s="103">
        <v>15.425531914893616</v>
      </c>
      <c r="J266" s="103">
        <v>21.276595744680851</v>
      </c>
      <c r="K266" s="103">
        <v>17.021276595744681</v>
      </c>
      <c r="L266" s="103">
        <v>15.957446808510639</v>
      </c>
      <c r="M266" s="103">
        <v>8.5106382978723403</v>
      </c>
      <c r="N266" s="103">
        <v>2.1276595744680851</v>
      </c>
      <c r="O266" s="103">
        <v>0</v>
      </c>
      <c r="P266" s="42"/>
      <c r="Q266" s="110"/>
      <c r="R266" s="46" t="s">
        <v>8</v>
      </c>
      <c r="S266" s="103">
        <v>3.8461538461538463</v>
      </c>
      <c r="T266" s="103">
        <v>3.8461538461538463</v>
      </c>
      <c r="U266" s="103">
        <v>11.538461538461538</v>
      </c>
      <c r="V266" s="103">
        <v>23.076923076923077</v>
      </c>
      <c r="W266" s="103">
        <v>11.538461538461538</v>
      </c>
      <c r="X266" s="103">
        <v>15.384615384615385</v>
      </c>
      <c r="Y266" s="103">
        <v>30.76923076923077</v>
      </c>
      <c r="Z266" s="103">
        <v>0</v>
      </c>
      <c r="AA266" s="103">
        <v>0</v>
      </c>
      <c r="AB266" s="103">
        <v>0</v>
      </c>
      <c r="AC266" s="42"/>
      <c r="AD266" s="110"/>
      <c r="AE266" s="46" t="s">
        <v>8</v>
      </c>
      <c r="AF266" s="103">
        <v>2.4691358024691357</v>
      </c>
      <c r="AG266" s="103">
        <v>6.7901234567901234</v>
      </c>
      <c r="AH266" s="103">
        <v>10.493827160493826</v>
      </c>
      <c r="AI266" s="103">
        <v>14.19753086419753</v>
      </c>
      <c r="AJ266" s="103">
        <v>22.839506172839506</v>
      </c>
      <c r="AK266" s="103">
        <v>17.283950617283949</v>
      </c>
      <c r="AL266" s="103">
        <v>13.580246913580247</v>
      </c>
      <c r="AM266" s="103">
        <v>9.8765432098765427</v>
      </c>
      <c r="AN266" s="103">
        <v>2.4691358024691357</v>
      </c>
      <c r="AO266" s="103">
        <v>0</v>
      </c>
      <c r="AP266" s="6"/>
      <c r="AQ266" s="110"/>
      <c r="AR266" s="46" t="s">
        <v>8</v>
      </c>
      <c r="AS266" s="103">
        <v>5.7142857142857144</v>
      </c>
      <c r="AT266" s="103">
        <v>2.8571428571428572</v>
      </c>
      <c r="AU266" s="103">
        <v>20</v>
      </c>
      <c r="AV266" s="103">
        <v>20</v>
      </c>
      <c r="AW266" s="103">
        <v>25.714285714285712</v>
      </c>
      <c r="AX266" s="103">
        <v>11.428571428571429</v>
      </c>
      <c r="AY266" s="103">
        <v>5.7142857142857144</v>
      </c>
      <c r="AZ266" s="103">
        <v>5.7142857142857144</v>
      </c>
      <c r="BA266" s="103">
        <v>2.8571428571428572</v>
      </c>
      <c r="BB266" s="103">
        <v>0</v>
      </c>
      <c r="BC266" s="42"/>
      <c r="BD266" s="110"/>
      <c r="BE266" s="46" t="s">
        <v>8</v>
      </c>
      <c r="BF266" s="103">
        <v>1.9607843137254901</v>
      </c>
      <c r="BG266" s="103">
        <v>7.18954248366013</v>
      </c>
      <c r="BH266" s="103">
        <v>8.4967320261437909</v>
      </c>
      <c r="BI266" s="103">
        <v>14.37908496732026</v>
      </c>
      <c r="BJ266" s="103">
        <v>20.261437908496731</v>
      </c>
      <c r="BK266" s="103">
        <v>18.300653594771241</v>
      </c>
      <c r="BL266" s="103">
        <v>18.300653594771241</v>
      </c>
      <c r="BM266" s="103">
        <v>9.1503267973856204</v>
      </c>
      <c r="BN266" s="103">
        <v>1.9607843137254901</v>
      </c>
      <c r="BO266" s="103">
        <v>0</v>
      </c>
      <c r="BQ266" s="110"/>
      <c r="BR266" s="46" t="s">
        <v>8</v>
      </c>
      <c r="BS266" s="103">
        <v>5.8823529411764701</v>
      </c>
      <c r="BT266" s="103">
        <v>5.8823529411764701</v>
      </c>
      <c r="BU266" s="103">
        <v>20.588235294117645</v>
      </c>
      <c r="BV266" s="103">
        <v>20.588235294117645</v>
      </c>
      <c r="BW266" s="103">
        <v>8.8235294117647065</v>
      </c>
      <c r="BX266" s="103">
        <v>8.8235294117647065</v>
      </c>
      <c r="BY266" s="103">
        <v>11.76470588235294</v>
      </c>
      <c r="BZ266" s="103">
        <v>11.76470588235294</v>
      </c>
      <c r="CA266" s="103">
        <v>5.8823529411764701</v>
      </c>
      <c r="CB266" s="103">
        <v>0</v>
      </c>
      <c r="CC266" s="42"/>
      <c r="CD266" s="110"/>
      <c r="CE266" s="46" t="s">
        <v>8</v>
      </c>
      <c r="CF266" s="103">
        <v>1.948051948051948</v>
      </c>
      <c r="CG266" s="103">
        <v>6.4935064935064926</v>
      </c>
      <c r="CH266" s="103">
        <v>8.4415584415584419</v>
      </c>
      <c r="CI266" s="103">
        <v>14.285714285714285</v>
      </c>
      <c r="CJ266" s="103">
        <v>24.025974025974026</v>
      </c>
      <c r="CK266" s="103">
        <v>18.831168831168831</v>
      </c>
      <c r="CL266" s="103">
        <v>16.883116883116884</v>
      </c>
      <c r="CM266" s="103">
        <v>7.7922077922077921</v>
      </c>
      <c r="CN266" s="103">
        <v>1.2987012987012987</v>
      </c>
      <c r="CO266" s="103">
        <v>0</v>
      </c>
      <c r="CQ266" s="110"/>
      <c r="CR266" s="46" t="s">
        <v>8</v>
      </c>
      <c r="CS266" s="103">
        <v>0</v>
      </c>
      <c r="CT266" s="103">
        <v>0</v>
      </c>
      <c r="CU266" s="103">
        <v>5.5555555555555554</v>
      </c>
      <c r="CV266" s="103">
        <v>16.666666666666664</v>
      </c>
      <c r="CW266" s="103">
        <v>5.5555555555555554</v>
      </c>
      <c r="CX266" s="103">
        <v>33.333333333333329</v>
      </c>
      <c r="CY266" s="103">
        <v>27.777777777777779</v>
      </c>
      <c r="CZ266" s="103">
        <v>11.111111111111111</v>
      </c>
      <c r="DA266" s="103">
        <v>0</v>
      </c>
      <c r="DB266" s="103">
        <v>0</v>
      </c>
      <c r="DC266" s="42"/>
      <c r="DD266" s="110"/>
      <c r="DE266" s="46" t="s">
        <v>8</v>
      </c>
      <c r="DF266" s="103">
        <v>2.9411764705882351</v>
      </c>
      <c r="DG266" s="103">
        <v>7.0588235294117645</v>
      </c>
      <c r="DH266" s="103">
        <v>11.176470588235295</v>
      </c>
      <c r="DI266" s="103">
        <v>15.294117647058824</v>
      </c>
      <c r="DJ266" s="103">
        <v>22.941176470588236</v>
      </c>
      <c r="DK266" s="103">
        <v>15.294117647058824</v>
      </c>
      <c r="DL266" s="103">
        <v>14.705882352941178</v>
      </c>
      <c r="DM266" s="103">
        <v>8.235294117647058</v>
      </c>
      <c r="DN266" s="103">
        <v>2.3529411764705883</v>
      </c>
      <c r="DO266" s="103">
        <v>0</v>
      </c>
    </row>
    <row r="267" spans="2:119" ht="14.45" customHeight="1" x14ac:dyDescent="0.45">
      <c r="B267" s="99"/>
      <c r="C267" s="42"/>
      <c r="D267" s="110"/>
      <c r="E267" s="47" t="s">
        <v>9</v>
      </c>
      <c r="F267" s="103">
        <v>0.74906367041198507</v>
      </c>
      <c r="G267" s="103">
        <v>3.7453183520599254</v>
      </c>
      <c r="H267" s="103">
        <v>3.7453183520599254</v>
      </c>
      <c r="I267" s="103">
        <v>10.861423220973784</v>
      </c>
      <c r="J267" s="103">
        <v>17.977528089887642</v>
      </c>
      <c r="K267" s="103">
        <v>13.857677902621724</v>
      </c>
      <c r="L267" s="103">
        <v>20.599250936329589</v>
      </c>
      <c r="M267" s="103">
        <v>16.479400749063668</v>
      </c>
      <c r="N267" s="103">
        <v>9.7378277153558059</v>
      </c>
      <c r="O267" s="103">
        <v>2.2471910112359552</v>
      </c>
      <c r="P267" s="42"/>
      <c r="Q267" s="110"/>
      <c r="R267" s="46" t="s">
        <v>9</v>
      </c>
      <c r="S267" s="103">
        <v>1.9230769230769231</v>
      </c>
      <c r="T267" s="103">
        <v>11.538461538461538</v>
      </c>
      <c r="U267" s="103">
        <v>3.8461538461538463</v>
      </c>
      <c r="V267" s="103">
        <v>19.230769230769234</v>
      </c>
      <c r="W267" s="103">
        <v>17.307692307692307</v>
      </c>
      <c r="X267" s="103">
        <v>11.538461538461538</v>
      </c>
      <c r="Y267" s="103">
        <v>21.153846153846153</v>
      </c>
      <c r="Z267" s="103">
        <v>7.6923076923076925</v>
      </c>
      <c r="AA267" s="103">
        <v>5.7692307692307692</v>
      </c>
      <c r="AB267" s="103">
        <v>0</v>
      </c>
      <c r="AC267" s="42"/>
      <c r="AD267" s="110"/>
      <c r="AE267" s="46" t="s">
        <v>9</v>
      </c>
      <c r="AF267" s="103">
        <v>0.46511627906976744</v>
      </c>
      <c r="AG267" s="103">
        <v>1.8604651162790697</v>
      </c>
      <c r="AH267" s="103">
        <v>3.7209302325581395</v>
      </c>
      <c r="AI267" s="103">
        <v>8.8372093023255811</v>
      </c>
      <c r="AJ267" s="103">
        <v>18.13953488372093</v>
      </c>
      <c r="AK267" s="103">
        <v>14.418604651162791</v>
      </c>
      <c r="AL267" s="103">
        <v>20.465116279069768</v>
      </c>
      <c r="AM267" s="103">
        <v>18.604651162790699</v>
      </c>
      <c r="AN267" s="103">
        <v>10.697674418604651</v>
      </c>
      <c r="AO267" s="103">
        <v>2.7906976744186047</v>
      </c>
      <c r="AP267" s="6"/>
      <c r="AQ267" s="110"/>
      <c r="AR267" s="46" t="s">
        <v>9</v>
      </c>
      <c r="AS267" s="103">
        <v>2.3809523809523809</v>
      </c>
      <c r="AT267" s="103">
        <v>7.1428571428571423</v>
      </c>
      <c r="AU267" s="103">
        <v>4.7619047619047619</v>
      </c>
      <c r="AV267" s="103">
        <v>19.047619047619047</v>
      </c>
      <c r="AW267" s="103">
        <v>19.047619047619047</v>
      </c>
      <c r="AX267" s="103">
        <v>19.047619047619047</v>
      </c>
      <c r="AY267" s="103">
        <v>9.5238095238095237</v>
      </c>
      <c r="AZ267" s="103">
        <v>11.904761904761903</v>
      </c>
      <c r="BA267" s="103">
        <v>7.1428571428571423</v>
      </c>
      <c r="BB267" s="103">
        <v>0</v>
      </c>
      <c r="BC267" s="42"/>
      <c r="BD267" s="110"/>
      <c r="BE267" s="46" t="s">
        <v>9</v>
      </c>
      <c r="BF267" s="103">
        <v>0.44444444444444442</v>
      </c>
      <c r="BG267" s="103">
        <v>3.1111111111111112</v>
      </c>
      <c r="BH267" s="103">
        <v>3.5555555555555554</v>
      </c>
      <c r="BI267" s="103">
        <v>9.3333333333333339</v>
      </c>
      <c r="BJ267" s="103">
        <v>17.777777777777779</v>
      </c>
      <c r="BK267" s="103">
        <v>12.888888888888889</v>
      </c>
      <c r="BL267" s="103">
        <v>22.666666666666664</v>
      </c>
      <c r="BM267" s="103">
        <v>17.333333333333336</v>
      </c>
      <c r="BN267" s="103">
        <v>10.222222222222223</v>
      </c>
      <c r="BO267" s="103">
        <v>2.666666666666667</v>
      </c>
      <c r="BQ267" s="110"/>
      <c r="BR267" s="46" t="s">
        <v>9</v>
      </c>
      <c r="BS267" s="103">
        <v>0</v>
      </c>
      <c r="BT267" s="103">
        <v>3.3333333333333335</v>
      </c>
      <c r="BU267" s="103">
        <v>0</v>
      </c>
      <c r="BV267" s="103">
        <v>13.333333333333334</v>
      </c>
      <c r="BW267" s="103">
        <v>10</v>
      </c>
      <c r="BX267" s="103">
        <v>20</v>
      </c>
      <c r="BY267" s="103">
        <v>16.666666666666664</v>
      </c>
      <c r="BZ267" s="103">
        <v>26.666666666666668</v>
      </c>
      <c r="CA267" s="103">
        <v>10</v>
      </c>
      <c r="CB267" s="103">
        <v>0</v>
      </c>
      <c r="CC267" s="42"/>
      <c r="CD267" s="110"/>
      <c r="CE267" s="46" t="s">
        <v>9</v>
      </c>
      <c r="CF267" s="103">
        <v>0.8438818565400843</v>
      </c>
      <c r="CG267" s="103">
        <v>3.79746835443038</v>
      </c>
      <c r="CH267" s="103">
        <v>4.2194092827004219</v>
      </c>
      <c r="CI267" s="103">
        <v>10.548523206751055</v>
      </c>
      <c r="CJ267" s="103">
        <v>18.9873417721519</v>
      </c>
      <c r="CK267" s="103">
        <v>13.080168776371309</v>
      </c>
      <c r="CL267" s="103">
        <v>21.09704641350211</v>
      </c>
      <c r="CM267" s="103">
        <v>15.18987341772152</v>
      </c>
      <c r="CN267" s="103">
        <v>9.7046413502109701</v>
      </c>
      <c r="CO267" s="103">
        <v>2.5316455696202533</v>
      </c>
      <c r="CQ267" s="110"/>
      <c r="CR267" s="46" t="s">
        <v>9</v>
      </c>
      <c r="CS267" s="103">
        <v>0</v>
      </c>
      <c r="CT267" s="103">
        <v>0</v>
      </c>
      <c r="CU267" s="103">
        <v>0</v>
      </c>
      <c r="CV267" s="103">
        <v>21.052631578947366</v>
      </c>
      <c r="CW267" s="103">
        <v>31.578947368421051</v>
      </c>
      <c r="CX267" s="103">
        <v>10.526315789473683</v>
      </c>
      <c r="CY267" s="103">
        <v>15.789473684210526</v>
      </c>
      <c r="CZ267" s="103">
        <v>15.789473684210526</v>
      </c>
      <c r="DA267" s="103">
        <v>5.2631578947368416</v>
      </c>
      <c r="DB267" s="103">
        <v>0</v>
      </c>
      <c r="DC267" s="42"/>
      <c r="DD267" s="110"/>
      <c r="DE267" s="46" t="s">
        <v>9</v>
      </c>
      <c r="DF267" s="103">
        <v>0.80645161290322576</v>
      </c>
      <c r="DG267" s="103">
        <v>4.032258064516129</v>
      </c>
      <c r="DH267" s="103">
        <v>4.032258064516129</v>
      </c>
      <c r="DI267" s="103">
        <v>10.080645161290322</v>
      </c>
      <c r="DJ267" s="103">
        <v>16.93548387096774</v>
      </c>
      <c r="DK267" s="103">
        <v>14.112903225806454</v>
      </c>
      <c r="DL267" s="103">
        <v>20.967741935483872</v>
      </c>
      <c r="DM267" s="103">
        <v>16.532258064516128</v>
      </c>
      <c r="DN267" s="103">
        <v>10.080645161290322</v>
      </c>
      <c r="DO267" s="103">
        <v>2.4193548387096775</v>
      </c>
    </row>
    <row r="268" spans="2:119" ht="14.45" customHeight="1" x14ac:dyDescent="0.45">
      <c r="B268" s="99"/>
      <c r="C268" s="42"/>
      <c r="D268" s="110"/>
      <c r="E268" s="47" t="s">
        <v>10</v>
      </c>
      <c r="F268" s="103">
        <v>0.2364066193853428</v>
      </c>
      <c r="G268" s="103">
        <v>0</v>
      </c>
      <c r="H268" s="103">
        <v>2.8368794326241136</v>
      </c>
      <c r="I268" s="103">
        <v>4.2553191489361701</v>
      </c>
      <c r="J268" s="103">
        <v>9.6926713947990546</v>
      </c>
      <c r="K268" s="103">
        <v>13.238770685579196</v>
      </c>
      <c r="L268" s="103">
        <v>18.203309692671397</v>
      </c>
      <c r="M268" s="103">
        <v>15.366430260047281</v>
      </c>
      <c r="N268" s="103">
        <v>21.98581560283688</v>
      </c>
      <c r="O268" s="103">
        <v>14.184397163120568</v>
      </c>
      <c r="P268" s="42"/>
      <c r="Q268" s="110"/>
      <c r="R268" s="46" t="s">
        <v>10</v>
      </c>
      <c r="S268" s="103">
        <v>0</v>
      </c>
      <c r="T268" s="103">
        <v>0</v>
      </c>
      <c r="U268" s="103">
        <v>5.8139534883720927</v>
      </c>
      <c r="V268" s="103">
        <v>9.3023255813953494</v>
      </c>
      <c r="W268" s="103">
        <v>13.953488372093023</v>
      </c>
      <c r="X268" s="103">
        <v>13.953488372093023</v>
      </c>
      <c r="Y268" s="103">
        <v>19.767441860465116</v>
      </c>
      <c r="Z268" s="103">
        <v>19.767441860465116</v>
      </c>
      <c r="AA268" s="103">
        <v>10.465116279069768</v>
      </c>
      <c r="AB268" s="103">
        <v>6.9767441860465116</v>
      </c>
      <c r="AC268" s="42"/>
      <c r="AD268" s="110"/>
      <c r="AE268" s="46" t="s">
        <v>10</v>
      </c>
      <c r="AF268" s="103">
        <v>0.29673590504451042</v>
      </c>
      <c r="AG268" s="103">
        <v>0</v>
      </c>
      <c r="AH268" s="103">
        <v>2.0771513353115725</v>
      </c>
      <c r="AI268" s="103">
        <v>2.9673590504451042</v>
      </c>
      <c r="AJ268" s="103">
        <v>8.6053412462908021</v>
      </c>
      <c r="AK268" s="103">
        <v>13.056379821958458</v>
      </c>
      <c r="AL268" s="103">
        <v>17.804154302670625</v>
      </c>
      <c r="AM268" s="103">
        <v>14.243323442136498</v>
      </c>
      <c r="AN268" s="103">
        <v>24.925816023738872</v>
      </c>
      <c r="AO268" s="103">
        <v>16.023738872403563</v>
      </c>
      <c r="AP268" s="6"/>
      <c r="AQ268" s="110"/>
      <c r="AR268" s="46" t="s">
        <v>10</v>
      </c>
      <c r="AS268" s="103">
        <v>0</v>
      </c>
      <c r="AT268" s="103">
        <v>0</v>
      </c>
      <c r="AU268" s="103">
        <v>10.810810810810811</v>
      </c>
      <c r="AV268" s="103">
        <v>10.810810810810811</v>
      </c>
      <c r="AW268" s="103">
        <v>13.513513513513514</v>
      </c>
      <c r="AX268" s="103">
        <v>13.513513513513514</v>
      </c>
      <c r="AY268" s="103">
        <v>16.216216216216218</v>
      </c>
      <c r="AZ268" s="103">
        <v>13.513513513513514</v>
      </c>
      <c r="BA268" s="103">
        <v>16.216216216216218</v>
      </c>
      <c r="BB268" s="103">
        <v>5.4054054054054053</v>
      </c>
      <c r="BC268" s="42"/>
      <c r="BD268" s="110"/>
      <c r="BE268" s="46" t="s">
        <v>10</v>
      </c>
      <c r="BF268" s="103">
        <v>0.2590673575129534</v>
      </c>
      <c r="BG268" s="103">
        <v>0</v>
      </c>
      <c r="BH268" s="103">
        <v>2.0725388601036272</v>
      </c>
      <c r="BI268" s="103">
        <v>3.6269430051813467</v>
      </c>
      <c r="BJ268" s="103">
        <v>9.3264248704663206</v>
      </c>
      <c r="BK268" s="103">
        <v>13.212435233160621</v>
      </c>
      <c r="BL268" s="103">
        <v>18.393782383419687</v>
      </c>
      <c r="BM268" s="103">
        <v>15.544041450777202</v>
      </c>
      <c r="BN268" s="103">
        <v>22.538860103626941</v>
      </c>
      <c r="BO268" s="103">
        <v>15.025906735751295</v>
      </c>
      <c r="BQ268" s="110"/>
      <c r="BR268" s="46" t="s">
        <v>10</v>
      </c>
      <c r="BS268" s="103">
        <v>0</v>
      </c>
      <c r="BT268" s="103">
        <v>0</v>
      </c>
      <c r="BU268" s="103">
        <v>2.7027027027027026</v>
      </c>
      <c r="BV268" s="103">
        <v>8.1081081081081088</v>
      </c>
      <c r="BW268" s="103">
        <v>13.513513513513514</v>
      </c>
      <c r="BX268" s="103">
        <v>13.513513513513514</v>
      </c>
      <c r="BY268" s="103">
        <v>10.810810810810811</v>
      </c>
      <c r="BZ268" s="103">
        <v>8.1081081081081088</v>
      </c>
      <c r="CA268" s="103">
        <v>24.324324324324326</v>
      </c>
      <c r="CB268" s="103">
        <v>18.918918918918919</v>
      </c>
      <c r="CC268" s="42"/>
      <c r="CD268" s="110"/>
      <c r="CE268" s="46" t="s">
        <v>10</v>
      </c>
      <c r="CF268" s="103">
        <v>0.2590673575129534</v>
      </c>
      <c r="CG268" s="103">
        <v>0</v>
      </c>
      <c r="CH268" s="103">
        <v>2.849740932642487</v>
      </c>
      <c r="CI268" s="103">
        <v>3.8860103626943006</v>
      </c>
      <c r="CJ268" s="103">
        <v>9.3264248704663206</v>
      </c>
      <c r="CK268" s="103">
        <v>13.212435233160621</v>
      </c>
      <c r="CL268" s="103">
        <v>18.911917098445596</v>
      </c>
      <c r="CM268" s="103">
        <v>16.062176165803109</v>
      </c>
      <c r="CN268" s="103">
        <v>21.761658031088082</v>
      </c>
      <c r="CO268" s="103">
        <v>13.730569948186528</v>
      </c>
      <c r="CQ268" s="110"/>
      <c r="CR268" s="46" t="s">
        <v>10</v>
      </c>
      <c r="CS268" s="103">
        <v>0</v>
      </c>
      <c r="CT268" s="103">
        <v>0</v>
      </c>
      <c r="CU268" s="103">
        <v>2.7777777777777777</v>
      </c>
      <c r="CV268" s="103">
        <v>5.5555555555555554</v>
      </c>
      <c r="CW268" s="103">
        <v>0</v>
      </c>
      <c r="CX268" s="103">
        <v>11.111111111111111</v>
      </c>
      <c r="CY268" s="103">
        <v>22.222222222222221</v>
      </c>
      <c r="CZ268" s="103">
        <v>22.222222222222221</v>
      </c>
      <c r="DA268" s="103">
        <v>25</v>
      </c>
      <c r="DB268" s="103">
        <v>11.111111111111111</v>
      </c>
      <c r="DC268" s="42"/>
      <c r="DD268" s="110"/>
      <c r="DE268" s="46" t="s">
        <v>10</v>
      </c>
      <c r="DF268" s="103">
        <v>0.2583979328165375</v>
      </c>
      <c r="DG268" s="103">
        <v>0</v>
      </c>
      <c r="DH268" s="103">
        <v>2.842377260981912</v>
      </c>
      <c r="DI268" s="103">
        <v>4.1343669250646</v>
      </c>
      <c r="DJ268" s="103">
        <v>10.594315245478036</v>
      </c>
      <c r="DK268" s="103">
        <v>13.436692506459949</v>
      </c>
      <c r="DL268" s="103">
        <v>17.829457364341085</v>
      </c>
      <c r="DM268" s="103">
        <v>14.728682170542637</v>
      </c>
      <c r="DN268" s="103">
        <v>21.705426356589147</v>
      </c>
      <c r="DO268" s="103">
        <v>14.470284237726098</v>
      </c>
    </row>
    <row r="269" spans="2:119" ht="14.45" customHeight="1" x14ac:dyDescent="0.45">
      <c r="B269" s="99"/>
      <c r="C269" s="42"/>
      <c r="D269" s="111"/>
      <c r="E269" s="47" t="s">
        <v>11</v>
      </c>
      <c r="F269" s="103">
        <v>0</v>
      </c>
      <c r="G269" s="103">
        <v>0</v>
      </c>
      <c r="H269" s="103">
        <v>1.9512195121951219</v>
      </c>
      <c r="I269" s="103">
        <v>2.9268292682926833</v>
      </c>
      <c r="J269" s="103">
        <v>4.3902439024390238</v>
      </c>
      <c r="K269" s="103">
        <v>4.8780487804878048</v>
      </c>
      <c r="L269" s="103">
        <v>13.658536585365855</v>
      </c>
      <c r="M269" s="103">
        <v>12.682926829268293</v>
      </c>
      <c r="N269" s="103">
        <v>26.829268292682929</v>
      </c>
      <c r="O269" s="103">
        <v>32.682926829268297</v>
      </c>
      <c r="P269" s="42"/>
      <c r="Q269" s="111"/>
      <c r="R269" s="46" t="s">
        <v>11</v>
      </c>
      <c r="S269" s="103">
        <v>0</v>
      </c>
      <c r="T269" s="103">
        <v>0</v>
      </c>
      <c r="U269" s="103">
        <v>3.278688524590164</v>
      </c>
      <c r="V269" s="103">
        <v>1.639344262295082</v>
      </c>
      <c r="W269" s="103">
        <v>9.8360655737704921</v>
      </c>
      <c r="X269" s="103">
        <v>4.918032786885246</v>
      </c>
      <c r="Y269" s="103">
        <v>21.311475409836063</v>
      </c>
      <c r="Z269" s="103">
        <v>14.754098360655737</v>
      </c>
      <c r="AA269" s="103">
        <v>27.868852459016392</v>
      </c>
      <c r="AB269" s="103">
        <v>16.393442622950818</v>
      </c>
      <c r="AC269" s="42"/>
      <c r="AD269" s="111"/>
      <c r="AE269" s="46" t="s">
        <v>11</v>
      </c>
      <c r="AF269" s="103">
        <v>0</v>
      </c>
      <c r="AG269" s="103">
        <v>0</v>
      </c>
      <c r="AH269" s="103">
        <v>1.3888888888888888</v>
      </c>
      <c r="AI269" s="103">
        <v>3.4722222222222223</v>
      </c>
      <c r="AJ269" s="103">
        <v>2.083333333333333</v>
      </c>
      <c r="AK269" s="103">
        <v>4.8611111111111116</v>
      </c>
      <c r="AL269" s="103">
        <v>10.416666666666668</v>
      </c>
      <c r="AM269" s="103">
        <v>11.805555555555555</v>
      </c>
      <c r="AN269" s="103">
        <v>26.388888888888889</v>
      </c>
      <c r="AO269" s="103">
        <v>39.583333333333329</v>
      </c>
      <c r="AP269" s="6"/>
      <c r="AQ269" s="111"/>
      <c r="AR269" s="46" t="s">
        <v>11</v>
      </c>
      <c r="AS269" s="103">
        <v>0</v>
      </c>
      <c r="AT269" s="103">
        <v>0</v>
      </c>
      <c r="AU269" s="103">
        <v>0</v>
      </c>
      <c r="AV269" s="103">
        <v>0</v>
      </c>
      <c r="AW269" s="103">
        <v>20</v>
      </c>
      <c r="AX269" s="103">
        <v>0</v>
      </c>
      <c r="AY269" s="103">
        <v>0</v>
      </c>
      <c r="AZ269" s="103">
        <v>40</v>
      </c>
      <c r="BA269" s="103">
        <v>20</v>
      </c>
      <c r="BB269" s="103">
        <v>20</v>
      </c>
      <c r="BC269" s="42"/>
      <c r="BD269" s="111"/>
      <c r="BE269" s="46" t="s">
        <v>11</v>
      </c>
      <c r="BF269" s="103">
        <v>0</v>
      </c>
      <c r="BG269" s="103">
        <v>0</v>
      </c>
      <c r="BH269" s="103">
        <v>2</v>
      </c>
      <c r="BI269" s="103">
        <v>3</v>
      </c>
      <c r="BJ269" s="103">
        <v>4</v>
      </c>
      <c r="BK269" s="103">
        <v>5</v>
      </c>
      <c r="BL269" s="103">
        <v>14.000000000000002</v>
      </c>
      <c r="BM269" s="103">
        <v>12</v>
      </c>
      <c r="BN269" s="103">
        <v>27</v>
      </c>
      <c r="BO269" s="103">
        <v>33</v>
      </c>
      <c r="BQ269" s="111"/>
      <c r="BR269" s="46" t="s">
        <v>11</v>
      </c>
      <c r="BS269" s="103">
        <v>0</v>
      </c>
      <c r="BT269" s="103">
        <v>0</v>
      </c>
      <c r="BU269" s="103">
        <v>0</v>
      </c>
      <c r="BV269" s="103">
        <v>0</v>
      </c>
      <c r="BW269" s="103">
        <v>11.111111111111111</v>
      </c>
      <c r="BX269" s="103">
        <v>11.111111111111111</v>
      </c>
      <c r="BY269" s="103">
        <v>33.333333333333329</v>
      </c>
      <c r="BZ269" s="103">
        <v>22.222222222222221</v>
      </c>
      <c r="CA269" s="103">
        <v>11.111111111111111</v>
      </c>
      <c r="CB269" s="103">
        <v>11.111111111111111</v>
      </c>
      <c r="CC269" s="42"/>
      <c r="CD269" s="111"/>
      <c r="CE269" s="46" t="s">
        <v>11</v>
      </c>
      <c r="CF269" s="103">
        <v>0</v>
      </c>
      <c r="CG269" s="103">
        <v>0</v>
      </c>
      <c r="CH269" s="103">
        <v>2.0408163265306123</v>
      </c>
      <c r="CI269" s="103">
        <v>3.0612244897959182</v>
      </c>
      <c r="CJ269" s="103">
        <v>4.0816326530612246</v>
      </c>
      <c r="CK269" s="103">
        <v>4.591836734693878</v>
      </c>
      <c r="CL269" s="103">
        <v>12.755102040816327</v>
      </c>
      <c r="CM269" s="103">
        <v>12.244897959183673</v>
      </c>
      <c r="CN269" s="103">
        <v>27.551020408163261</v>
      </c>
      <c r="CO269" s="103">
        <v>33.673469387755098</v>
      </c>
      <c r="CQ269" s="111"/>
      <c r="CR269" s="46" t="s">
        <v>11</v>
      </c>
      <c r="CS269" s="103">
        <v>0</v>
      </c>
      <c r="CT269" s="103">
        <v>0</v>
      </c>
      <c r="CU269" s="103">
        <v>0</v>
      </c>
      <c r="CV269" s="103">
        <v>0</v>
      </c>
      <c r="CW269" s="103">
        <v>11.111111111111111</v>
      </c>
      <c r="CX269" s="103">
        <v>0</v>
      </c>
      <c r="CY269" s="103">
        <v>11.111111111111111</v>
      </c>
      <c r="CZ269" s="103">
        <v>22.222222222222221</v>
      </c>
      <c r="DA269" s="103">
        <v>16.666666666666664</v>
      </c>
      <c r="DB269" s="103">
        <v>38.888888888888893</v>
      </c>
      <c r="DC269" s="42"/>
      <c r="DD269" s="111"/>
      <c r="DE269" s="46" t="s">
        <v>11</v>
      </c>
      <c r="DF269" s="103">
        <v>0</v>
      </c>
      <c r="DG269" s="103">
        <v>0</v>
      </c>
      <c r="DH269" s="103">
        <v>2.1390374331550799</v>
      </c>
      <c r="DI269" s="103">
        <v>3.2085561497326207</v>
      </c>
      <c r="DJ269" s="103">
        <v>3.7433155080213902</v>
      </c>
      <c r="DK269" s="103">
        <v>5.3475935828877006</v>
      </c>
      <c r="DL269" s="103">
        <v>13.903743315508022</v>
      </c>
      <c r="DM269" s="103">
        <v>11.76470588235294</v>
      </c>
      <c r="DN269" s="103">
        <v>27.807486631016044</v>
      </c>
      <c r="DO269" s="103">
        <v>32.085561497326204</v>
      </c>
    </row>
    <row r="270" spans="2:119" ht="14.45" customHeight="1" x14ac:dyDescent="0.45">
      <c r="B270" s="99"/>
      <c r="C270" s="42"/>
      <c r="D270" s="42"/>
      <c r="E270" s="42"/>
      <c r="F270" s="42"/>
      <c r="G270" s="42"/>
      <c r="H270" s="42"/>
      <c r="I270" s="42"/>
      <c r="J270" s="42"/>
      <c r="K270" s="42"/>
      <c r="L270" s="42"/>
      <c r="M270" s="42"/>
      <c r="N270" s="42"/>
      <c r="O270" s="42"/>
      <c r="P270" s="42"/>
      <c r="Q270" s="42"/>
      <c r="R270" s="42"/>
      <c r="S270" s="42"/>
      <c r="T270" s="42"/>
      <c r="U270" s="42"/>
      <c r="V270" s="42"/>
      <c r="W270" s="42"/>
      <c r="X270" s="42"/>
      <c r="Y270" s="42"/>
      <c r="Z270" s="42"/>
      <c r="AA270" s="42"/>
      <c r="AB270" s="42"/>
      <c r="AC270" s="42"/>
      <c r="AD270" s="42"/>
      <c r="AE270" s="42"/>
      <c r="AF270" s="42"/>
      <c r="AG270" s="42"/>
      <c r="AH270" s="42"/>
      <c r="AI270" s="42"/>
      <c r="AJ270" s="42"/>
      <c r="AK270" s="42"/>
      <c r="AL270" s="42"/>
      <c r="AM270" s="42"/>
      <c r="AN270" s="42"/>
      <c r="AO270" s="42"/>
      <c r="AQ270" s="42"/>
      <c r="AR270" s="42"/>
      <c r="AS270" s="42"/>
      <c r="AT270" s="42"/>
      <c r="AU270" s="42"/>
      <c r="AV270" s="42"/>
      <c r="AW270" s="42"/>
      <c r="AX270" s="42"/>
      <c r="AY270" s="42"/>
      <c r="AZ270" s="42"/>
      <c r="BA270" s="42"/>
      <c r="BB270" s="42"/>
      <c r="BC270" s="42"/>
      <c r="BD270" s="42"/>
      <c r="BE270" s="42"/>
      <c r="BF270" s="42"/>
      <c r="BG270" s="42"/>
      <c r="BH270" s="42"/>
      <c r="BI270" s="42"/>
      <c r="BJ270" s="42"/>
      <c r="BK270" s="42"/>
      <c r="BL270" s="42"/>
      <c r="BM270" s="42"/>
      <c r="BN270" s="42"/>
      <c r="BO270" s="42"/>
      <c r="BQ270" s="42"/>
      <c r="BR270" s="42"/>
      <c r="BS270" s="42"/>
      <c r="BT270" s="42"/>
      <c r="BU270" s="42"/>
      <c r="BV270" s="42"/>
      <c r="BW270" s="42"/>
      <c r="BX270" s="42"/>
      <c r="BY270" s="42"/>
      <c r="BZ270" s="42"/>
      <c r="CA270" s="42"/>
      <c r="CB270" s="42"/>
      <c r="CC270" s="42"/>
      <c r="CD270" s="42"/>
      <c r="CE270" s="42"/>
      <c r="CF270" s="42"/>
      <c r="CG270" s="42"/>
      <c r="CH270" s="42"/>
      <c r="CI270" s="42"/>
      <c r="CJ270" s="42"/>
      <c r="CK270" s="42"/>
      <c r="CL270" s="42"/>
      <c r="CM270" s="42"/>
      <c r="CN270" s="42"/>
      <c r="CO270" s="42"/>
      <c r="CQ270" s="42"/>
      <c r="CR270" s="42"/>
      <c r="CS270" s="42"/>
      <c r="CT270" s="42"/>
      <c r="CU270" s="42"/>
      <c r="CV270" s="42"/>
      <c r="CW270" s="42"/>
      <c r="CX270" s="42"/>
      <c r="CY270" s="42"/>
      <c r="CZ270" s="42"/>
      <c r="DA270" s="42"/>
      <c r="DB270" s="42"/>
      <c r="DC270" s="42"/>
      <c r="DD270" s="42"/>
      <c r="DE270" s="42"/>
      <c r="DF270" s="42"/>
      <c r="DG270" s="42"/>
      <c r="DH270" s="42"/>
      <c r="DI270" s="42"/>
      <c r="DJ270" s="42"/>
      <c r="DK270" s="42"/>
      <c r="DL270" s="42"/>
      <c r="DM270" s="42"/>
      <c r="DN270" s="42"/>
      <c r="DO270" s="42"/>
    </row>
    <row r="271" spans="2:119" ht="14.45" customHeight="1" x14ac:dyDescent="0.45">
      <c r="B271" s="99"/>
      <c r="C271" s="42"/>
      <c r="D271" s="42"/>
      <c r="E271" s="42"/>
      <c r="F271" s="42"/>
      <c r="G271" s="42"/>
      <c r="H271" s="42"/>
      <c r="I271" s="42"/>
      <c r="J271" s="42"/>
      <c r="K271" s="42"/>
      <c r="L271" s="42"/>
      <c r="M271" s="42"/>
      <c r="N271" s="42"/>
      <c r="O271" s="42"/>
      <c r="P271" s="42"/>
      <c r="Q271" s="42"/>
      <c r="R271" s="42"/>
      <c r="S271" s="42"/>
      <c r="T271" s="42"/>
      <c r="U271" s="42"/>
      <c r="V271" s="42"/>
      <c r="W271" s="42"/>
      <c r="X271" s="42"/>
      <c r="Y271" s="42"/>
      <c r="Z271" s="42"/>
      <c r="AA271" s="42"/>
      <c r="AB271" s="42"/>
      <c r="AC271" s="42"/>
      <c r="AD271" s="42"/>
      <c r="AE271" s="42"/>
      <c r="AF271" s="42"/>
      <c r="AG271" s="42"/>
      <c r="AH271" s="42"/>
      <c r="AI271" s="42"/>
      <c r="AJ271" s="42"/>
      <c r="AK271" s="42"/>
      <c r="AL271" s="42"/>
      <c r="AM271" s="42"/>
      <c r="AN271" s="42"/>
      <c r="AO271" s="42"/>
      <c r="AQ271" s="42"/>
      <c r="AR271" s="42"/>
      <c r="AS271" s="42"/>
      <c r="AT271" s="42"/>
      <c r="AU271" s="42"/>
      <c r="AV271" s="42"/>
      <c r="AW271" s="42"/>
      <c r="AX271" s="42"/>
      <c r="AY271" s="42"/>
      <c r="AZ271" s="42"/>
      <c r="BA271" s="42"/>
      <c r="BB271" s="42"/>
      <c r="BC271" s="42"/>
      <c r="BD271" s="42"/>
      <c r="BE271" s="42"/>
      <c r="BF271" s="42"/>
      <c r="BG271" s="42"/>
      <c r="BH271" s="42"/>
      <c r="BI271" s="42"/>
      <c r="BJ271" s="42"/>
      <c r="BK271" s="42"/>
      <c r="BL271" s="42"/>
      <c r="BM271" s="42"/>
      <c r="BN271" s="42"/>
      <c r="BO271" s="42"/>
      <c r="BQ271" s="42"/>
      <c r="BR271" s="42"/>
      <c r="BS271" s="42"/>
      <c r="BT271" s="42"/>
      <c r="BU271" s="42"/>
      <c r="BV271" s="42"/>
      <c r="BW271" s="42"/>
      <c r="BX271" s="42"/>
      <c r="BY271" s="42"/>
      <c r="BZ271" s="42"/>
      <c r="CA271" s="42"/>
      <c r="CB271" s="42"/>
      <c r="CC271" s="42"/>
      <c r="CD271" s="42"/>
      <c r="CE271" s="42"/>
      <c r="CF271" s="42"/>
      <c r="CG271" s="42"/>
      <c r="CH271" s="42"/>
      <c r="CI271" s="42"/>
      <c r="CJ271" s="42"/>
      <c r="CK271" s="42"/>
      <c r="CL271" s="42"/>
      <c r="CM271" s="42"/>
      <c r="CN271" s="42"/>
      <c r="CO271" s="42"/>
      <c r="CQ271" s="42"/>
      <c r="CR271" s="42"/>
      <c r="CS271" s="42"/>
      <c r="CT271" s="42"/>
      <c r="CU271" s="42"/>
      <c r="CV271" s="42"/>
      <c r="CW271" s="42"/>
      <c r="CX271" s="42"/>
      <c r="CY271" s="42"/>
      <c r="CZ271" s="42"/>
      <c r="DA271" s="42"/>
      <c r="DB271" s="42"/>
      <c r="DC271" s="42"/>
      <c r="DD271" s="42"/>
      <c r="DE271" s="42"/>
      <c r="DF271" s="42"/>
      <c r="DG271" s="42"/>
      <c r="DH271" s="42"/>
      <c r="DI271" s="42"/>
      <c r="DJ271" s="42"/>
      <c r="DK271" s="42"/>
      <c r="DL271" s="42"/>
      <c r="DM271" s="42"/>
      <c r="DN271" s="42"/>
      <c r="DO271" s="42"/>
    </row>
    <row r="272" spans="2:119" ht="14.45" customHeight="1" x14ac:dyDescent="0.55000000000000004">
      <c r="B272" s="99"/>
      <c r="C272" s="42"/>
      <c r="D272" s="112" t="s">
        <v>24</v>
      </c>
      <c r="E272" s="112"/>
      <c r="F272" s="45"/>
      <c r="G272" s="45"/>
      <c r="H272" s="45"/>
      <c r="I272" s="45"/>
      <c r="J272" s="45"/>
      <c r="K272" s="45"/>
      <c r="L272" s="45"/>
      <c r="M272" s="45"/>
      <c r="N272" s="45"/>
      <c r="O272" s="45"/>
      <c r="P272" s="42"/>
      <c r="Q272" s="112" t="s">
        <v>24</v>
      </c>
      <c r="R272" s="112"/>
      <c r="S272" s="45"/>
      <c r="T272" s="45"/>
      <c r="U272" s="45"/>
      <c r="V272" s="45"/>
      <c r="W272" s="45"/>
      <c r="X272" s="45"/>
      <c r="Y272" s="45"/>
      <c r="Z272" s="45"/>
      <c r="AA272" s="45"/>
      <c r="AB272" s="45"/>
      <c r="AC272" s="42"/>
      <c r="AD272" s="112" t="s">
        <v>24</v>
      </c>
      <c r="AE272" s="112"/>
      <c r="AF272" s="45"/>
      <c r="AG272" s="45"/>
      <c r="AH272" s="45"/>
      <c r="AI272" s="45"/>
      <c r="AJ272" s="45"/>
      <c r="AK272" s="45"/>
      <c r="AL272" s="45"/>
      <c r="AM272" s="45"/>
      <c r="AN272" s="45"/>
      <c r="AO272" s="45"/>
      <c r="AP272" s="6"/>
      <c r="AQ272" s="112" t="s">
        <v>24</v>
      </c>
      <c r="AR272" s="112"/>
      <c r="AS272" s="45"/>
      <c r="AT272" s="45"/>
      <c r="AU272" s="45"/>
      <c r="AV272" s="45"/>
      <c r="AW272" s="45"/>
      <c r="AX272" s="45"/>
      <c r="AY272" s="45"/>
      <c r="AZ272" s="45"/>
      <c r="BA272" s="45"/>
      <c r="BB272" s="45"/>
      <c r="BC272" s="42"/>
      <c r="BD272" s="112" t="s">
        <v>24</v>
      </c>
      <c r="BE272" s="112"/>
      <c r="BF272" s="45"/>
      <c r="BG272" s="45"/>
      <c r="BH272" s="45"/>
      <c r="BI272" s="45"/>
      <c r="BJ272" s="45"/>
      <c r="BK272" s="45"/>
      <c r="BL272" s="45"/>
      <c r="BM272" s="45"/>
      <c r="BN272" s="45"/>
      <c r="BO272" s="45"/>
      <c r="BQ272" s="112" t="s">
        <v>24</v>
      </c>
      <c r="BR272" s="112"/>
      <c r="BS272" s="45"/>
      <c r="BT272" s="45"/>
      <c r="BU272" s="45"/>
      <c r="BV272" s="45"/>
      <c r="BW272" s="45"/>
      <c r="BX272" s="45"/>
      <c r="BY272" s="45"/>
      <c r="BZ272" s="45"/>
      <c r="CA272" s="45"/>
      <c r="CB272" s="45"/>
      <c r="CC272" s="42"/>
      <c r="CD272" s="112" t="s">
        <v>24</v>
      </c>
      <c r="CE272" s="112"/>
      <c r="CF272" s="45"/>
      <c r="CG272" s="45"/>
      <c r="CH272" s="45"/>
      <c r="CI272" s="45"/>
      <c r="CJ272" s="45"/>
      <c r="CK272" s="45"/>
      <c r="CL272" s="45"/>
      <c r="CM272" s="45"/>
      <c r="CN272" s="45"/>
      <c r="CO272" s="45"/>
      <c r="CQ272" s="112" t="s">
        <v>24</v>
      </c>
      <c r="CR272" s="112"/>
      <c r="CS272" s="45"/>
      <c r="CT272" s="45"/>
      <c r="CU272" s="45"/>
      <c r="CV272" s="45"/>
      <c r="CW272" s="45"/>
      <c r="CX272" s="45"/>
      <c r="CY272" s="45"/>
      <c r="CZ272" s="45"/>
      <c r="DA272" s="45"/>
      <c r="DB272" s="45"/>
      <c r="DC272" s="42"/>
      <c r="DD272" s="112" t="s">
        <v>24</v>
      </c>
      <c r="DE272" s="112"/>
      <c r="DF272" s="45"/>
      <c r="DG272" s="45"/>
      <c r="DH272" s="45"/>
      <c r="DI272" s="45"/>
      <c r="DJ272" s="45"/>
      <c r="DK272" s="45"/>
      <c r="DL272" s="45"/>
      <c r="DM272" s="45"/>
      <c r="DN272" s="45"/>
      <c r="DO272" s="45"/>
    </row>
    <row r="273" spans="2:119" ht="28.9" customHeight="1" x14ac:dyDescent="0.45">
      <c r="B273" s="99"/>
      <c r="C273" s="42"/>
      <c r="D273" s="112"/>
      <c r="E273" s="112"/>
      <c r="F273" s="108" t="s">
        <v>12</v>
      </c>
      <c r="G273" s="108"/>
      <c r="H273" s="108"/>
      <c r="I273" s="108"/>
      <c r="J273" s="108"/>
      <c r="K273" s="108"/>
      <c r="L273" s="108"/>
      <c r="M273" s="108"/>
      <c r="N273" s="108"/>
      <c r="O273" s="108"/>
      <c r="P273" s="42"/>
      <c r="Q273" s="112"/>
      <c r="R273" s="112"/>
      <c r="S273" s="108" t="s">
        <v>12</v>
      </c>
      <c r="T273" s="108"/>
      <c r="U273" s="108"/>
      <c r="V273" s="108"/>
      <c r="W273" s="108"/>
      <c r="X273" s="108"/>
      <c r="Y273" s="108"/>
      <c r="Z273" s="108"/>
      <c r="AA273" s="108"/>
      <c r="AB273" s="108"/>
      <c r="AC273" s="42"/>
      <c r="AD273" s="112"/>
      <c r="AE273" s="112"/>
      <c r="AF273" s="108" t="s">
        <v>12</v>
      </c>
      <c r="AG273" s="108"/>
      <c r="AH273" s="108"/>
      <c r="AI273" s="108"/>
      <c r="AJ273" s="108"/>
      <c r="AK273" s="108"/>
      <c r="AL273" s="108"/>
      <c r="AM273" s="108"/>
      <c r="AN273" s="108"/>
      <c r="AO273" s="108"/>
      <c r="AP273" s="6"/>
      <c r="AQ273" s="112"/>
      <c r="AR273" s="112"/>
      <c r="AS273" s="108" t="s">
        <v>12</v>
      </c>
      <c r="AT273" s="108"/>
      <c r="AU273" s="108"/>
      <c r="AV273" s="108"/>
      <c r="AW273" s="108"/>
      <c r="AX273" s="108"/>
      <c r="AY273" s="108"/>
      <c r="AZ273" s="108"/>
      <c r="BA273" s="108"/>
      <c r="BB273" s="108"/>
      <c r="BC273" s="42"/>
      <c r="BD273" s="112"/>
      <c r="BE273" s="112"/>
      <c r="BF273" s="108" t="s">
        <v>12</v>
      </c>
      <c r="BG273" s="108"/>
      <c r="BH273" s="108"/>
      <c r="BI273" s="108"/>
      <c r="BJ273" s="108"/>
      <c r="BK273" s="108"/>
      <c r="BL273" s="108"/>
      <c r="BM273" s="108"/>
      <c r="BN273" s="108"/>
      <c r="BO273" s="108"/>
      <c r="BQ273" s="112"/>
      <c r="BR273" s="112"/>
      <c r="BS273" s="108" t="s">
        <v>12</v>
      </c>
      <c r="BT273" s="108"/>
      <c r="BU273" s="108"/>
      <c r="BV273" s="108"/>
      <c r="BW273" s="108"/>
      <c r="BX273" s="108"/>
      <c r="BY273" s="108"/>
      <c r="BZ273" s="108"/>
      <c r="CA273" s="108"/>
      <c r="CB273" s="108"/>
      <c r="CC273" s="42"/>
      <c r="CD273" s="112"/>
      <c r="CE273" s="112"/>
      <c r="CF273" s="108" t="s">
        <v>12</v>
      </c>
      <c r="CG273" s="108"/>
      <c r="CH273" s="108"/>
      <c r="CI273" s="108"/>
      <c r="CJ273" s="108"/>
      <c r="CK273" s="108"/>
      <c r="CL273" s="108"/>
      <c r="CM273" s="108"/>
      <c r="CN273" s="108"/>
      <c r="CO273" s="108"/>
      <c r="CQ273" s="112"/>
      <c r="CR273" s="112"/>
      <c r="CS273" s="108" t="s">
        <v>12</v>
      </c>
      <c r="CT273" s="108"/>
      <c r="CU273" s="108"/>
      <c r="CV273" s="108"/>
      <c r="CW273" s="108"/>
      <c r="CX273" s="108"/>
      <c r="CY273" s="108"/>
      <c r="CZ273" s="108"/>
      <c r="DA273" s="108"/>
      <c r="DB273" s="108"/>
      <c r="DC273" s="42"/>
      <c r="DD273" s="112"/>
      <c r="DE273" s="112"/>
      <c r="DF273" s="108" t="s">
        <v>12</v>
      </c>
      <c r="DG273" s="108"/>
      <c r="DH273" s="108"/>
      <c r="DI273" s="108"/>
      <c r="DJ273" s="108"/>
      <c r="DK273" s="108"/>
      <c r="DL273" s="108"/>
      <c r="DM273" s="108"/>
      <c r="DN273" s="108"/>
      <c r="DO273" s="108"/>
    </row>
    <row r="274" spans="2:119" ht="14.45" customHeight="1" x14ac:dyDescent="0.45">
      <c r="B274" s="99"/>
      <c r="C274" s="42"/>
      <c r="D274" s="113"/>
      <c r="E274" s="113"/>
      <c r="F274" s="9" t="s">
        <v>0</v>
      </c>
      <c r="G274" s="9">
        <v>1</v>
      </c>
      <c r="H274" s="9">
        <v>2</v>
      </c>
      <c r="I274" s="9">
        <v>3</v>
      </c>
      <c r="J274" s="9">
        <v>4</v>
      </c>
      <c r="K274" s="9">
        <v>5</v>
      </c>
      <c r="L274" s="9">
        <v>6</v>
      </c>
      <c r="M274" s="9">
        <v>7</v>
      </c>
      <c r="N274" s="9">
        <v>8</v>
      </c>
      <c r="O274" s="9">
        <v>9</v>
      </c>
      <c r="P274" s="42"/>
      <c r="Q274" s="113"/>
      <c r="R274" s="113"/>
      <c r="S274" s="9" t="s">
        <v>0</v>
      </c>
      <c r="T274" s="9">
        <v>1</v>
      </c>
      <c r="U274" s="9">
        <v>2</v>
      </c>
      <c r="V274" s="9">
        <v>3</v>
      </c>
      <c r="W274" s="9">
        <v>4</v>
      </c>
      <c r="X274" s="9">
        <v>5</v>
      </c>
      <c r="Y274" s="9">
        <v>6</v>
      </c>
      <c r="Z274" s="9">
        <v>7</v>
      </c>
      <c r="AA274" s="9">
        <v>8</v>
      </c>
      <c r="AB274" s="9">
        <v>9</v>
      </c>
      <c r="AC274" s="42"/>
      <c r="AD274" s="113"/>
      <c r="AE274" s="113"/>
      <c r="AF274" s="9" t="s">
        <v>0</v>
      </c>
      <c r="AG274" s="9">
        <v>1</v>
      </c>
      <c r="AH274" s="9">
        <v>2</v>
      </c>
      <c r="AI274" s="9">
        <v>3</v>
      </c>
      <c r="AJ274" s="9">
        <v>4</v>
      </c>
      <c r="AK274" s="9">
        <v>5</v>
      </c>
      <c r="AL274" s="9">
        <v>6</v>
      </c>
      <c r="AM274" s="9">
        <v>7</v>
      </c>
      <c r="AN274" s="9">
        <v>8</v>
      </c>
      <c r="AO274" s="9">
        <v>9</v>
      </c>
      <c r="AP274" s="6"/>
      <c r="AQ274" s="113"/>
      <c r="AR274" s="113"/>
      <c r="AS274" s="9" t="s">
        <v>0</v>
      </c>
      <c r="AT274" s="9">
        <v>1</v>
      </c>
      <c r="AU274" s="9">
        <v>2</v>
      </c>
      <c r="AV274" s="9">
        <v>3</v>
      </c>
      <c r="AW274" s="9">
        <v>4</v>
      </c>
      <c r="AX274" s="9">
        <v>5</v>
      </c>
      <c r="AY274" s="9">
        <v>6</v>
      </c>
      <c r="AZ274" s="9">
        <v>7</v>
      </c>
      <c r="BA274" s="9">
        <v>8</v>
      </c>
      <c r="BB274" s="9">
        <v>9</v>
      </c>
      <c r="BC274" s="42"/>
      <c r="BD274" s="113"/>
      <c r="BE274" s="113"/>
      <c r="BF274" s="9" t="s">
        <v>0</v>
      </c>
      <c r="BG274" s="9">
        <v>1</v>
      </c>
      <c r="BH274" s="9">
        <v>2</v>
      </c>
      <c r="BI274" s="9">
        <v>3</v>
      </c>
      <c r="BJ274" s="9">
        <v>4</v>
      </c>
      <c r="BK274" s="9">
        <v>5</v>
      </c>
      <c r="BL274" s="9">
        <v>6</v>
      </c>
      <c r="BM274" s="9">
        <v>7</v>
      </c>
      <c r="BN274" s="9">
        <v>8</v>
      </c>
      <c r="BO274" s="9">
        <v>9</v>
      </c>
      <c r="BQ274" s="113"/>
      <c r="BR274" s="113"/>
      <c r="BS274" s="9" t="s">
        <v>0</v>
      </c>
      <c r="BT274" s="9">
        <v>1</v>
      </c>
      <c r="BU274" s="9">
        <v>2</v>
      </c>
      <c r="BV274" s="9">
        <v>3</v>
      </c>
      <c r="BW274" s="9">
        <v>4</v>
      </c>
      <c r="BX274" s="9">
        <v>5</v>
      </c>
      <c r="BY274" s="9">
        <v>6</v>
      </c>
      <c r="BZ274" s="9">
        <v>7</v>
      </c>
      <c r="CA274" s="9">
        <v>8</v>
      </c>
      <c r="CB274" s="9">
        <v>9</v>
      </c>
      <c r="CC274" s="42"/>
      <c r="CD274" s="113"/>
      <c r="CE274" s="113"/>
      <c r="CF274" s="9" t="s">
        <v>0</v>
      </c>
      <c r="CG274" s="9">
        <v>1</v>
      </c>
      <c r="CH274" s="9">
        <v>2</v>
      </c>
      <c r="CI274" s="9">
        <v>3</v>
      </c>
      <c r="CJ274" s="9">
        <v>4</v>
      </c>
      <c r="CK274" s="9">
        <v>5</v>
      </c>
      <c r="CL274" s="9">
        <v>6</v>
      </c>
      <c r="CM274" s="9">
        <v>7</v>
      </c>
      <c r="CN274" s="9">
        <v>8</v>
      </c>
      <c r="CO274" s="9">
        <v>9</v>
      </c>
      <c r="CQ274" s="113"/>
      <c r="CR274" s="113"/>
      <c r="CS274" s="9" t="s">
        <v>0</v>
      </c>
      <c r="CT274" s="9">
        <v>1</v>
      </c>
      <c r="CU274" s="9">
        <v>2</v>
      </c>
      <c r="CV274" s="9">
        <v>3</v>
      </c>
      <c r="CW274" s="9">
        <v>4</v>
      </c>
      <c r="CX274" s="9">
        <v>5</v>
      </c>
      <c r="CY274" s="9">
        <v>6</v>
      </c>
      <c r="CZ274" s="9">
        <v>7</v>
      </c>
      <c r="DA274" s="9">
        <v>8</v>
      </c>
      <c r="DB274" s="9">
        <v>9</v>
      </c>
      <c r="DC274" s="42"/>
      <c r="DD274" s="113"/>
      <c r="DE274" s="113"/>
      <c r="DF274" s="9" t="s">
        <v>0</v>
      </c>
      <c r="DG274" s="9">
        <v>1</v>
      </c>
      <c r="DH274" s="9">
        <v>2</v>
      </c>
      <c r="DI274" s="9">
        <v>3</v>
      </c>
      <c r="DJ274" s="9">
        <v>4</v>
      </c>
      <c r="DK274" s="9">
        <v>5</v>
      </c>
      <c r="DL274" s="9">
        <v>6</v>
      </c>
      <c r="DM274" s="9">
        <v>7</v>
      </c>
      <c r="DN274" s="9">
        <v>8</v>
      </c>
      <c r="DO274" s="9">
        <v>9</v>
      </c>
    </row>
    <row r="275" spans="2:119" ht="14.45" customHeight="1" x14ac:dyDescent="0.45">
      <c r="B275" s="134" t="s">
        <v>104</v>
      </c>
      <c r="C275" s="42"/>
      <c r="D275" s="109" t="s">
        <v>13</v>
      </c>
      <c r="E275" s="46" t="s">
        <v>1</v>
      </c>
      <c r="F275" s="103">
        <v>0</v>
      </c>
      <c r="G275" s="103">
        <v>3</v>
      </c>
      <c r="H275" s="103">
        <v>1</v>
      </c>
      <c r="I275" s="103">
        <v>1</v>
      </c>
      <c r="J275" s="103">
        <v>0</v>
      </c>
      <c r="K275" s="103">
        <v>0</v>
      </c>
      <c r="L275" s="103">
        <v>0</v>
      </c>
      <c r="M275" s="103">
        <v>0</v>
      </c>
      <c r="N275" s="103">
        <v>0</v>
      </c>
      <c r="O275" s="17">
        <v>0</v>
      </c>
      <c r="P275" s="42"/>
      <c r="Q275" s="109" t="s">
        <v>13</v>
      </c>
      <c r="R275" s="46" t="s">
        <v>1</v>
      </c>
      <c r="S275" s="103">
        <v>0</v>
      </c>
      <c r="T275" s="103">
        <v>1</v>
      </c>
      <c r="U275" s="103">
        <v>0</v>
      </c>
      <c r="V275" s="103">
        <v>1</v>
      </c>
      <c r="W275" s="103">
        <v>0</v>
      </c>
      <c r="X275" s="103">
        <v>0</v>
      </c>
      <c r="Y275" s="103">
        <v>0</v>
      </c>
      <c r="Z275" s="103">
        <v>0</v>
      </c>
      <c r="AA275" s="103">
        <v>0</v>
      </c>
      <c r="AB275" s="17">
        <v>0</v>
      </c>
      <c r="AC275" s="42"/>
      <c r="AD275" s="109" t="s">
        <v>13</v>
      </c>
      <c r="AE275" s="46" t="s">
        <v>1</v>
      </c>
      <c r="AF275" s="103">
        <v>0</v>
      </c>
      <c r="AG275" s="103">
        <v>2</v>
      </c>
      <c r="AH275" s="103">
        <v>1</v>
      </c>
      <c r="AI275" s="103">
        <v>0</v>
      </c>
      <c r="AJ275" s="103">
        <v>0</v>
      </c>
      <c r="AK275" s="103">
        <v>0</v>
      </c>
      <c r="AL275" s="103">
        <v>0</v>
      </c>
      <c r="AM275" s="103">
        <v>0</v>
      </c>
      <c r="AN275" s="103">
        <v>0</v>
      </c>
      <c r="AO275" s="17">
        <v>0</v>
      </c>
      <c r="AP275" s="6"/>
      <c r="AQ275" s="109" t="s">
        <v>13</v>
      </c>
      <c r="AR275" s="46" t="s">
        <v>1</v>
      </c>
      <c r="AS275" s="103">
        <v>0</v>
      </c>
      <c r="AT275" s="103">
        <v>0</v>
      </c>
      <c r="AU275" s="103">
        <v>0</v>
      </c>
      <c r="AV275" s="103">
        <v>1</v>
      </c>
      <c r="AW275" s="103">
        <v>0</v>
      </c>
      <c r="AX275" s="103">
        <v>0</v>
      </c>
      <c r="AY275" s="103">
        <v>0</v>
      </c>
      <c r="AZ275" s="103">
        <v>0</v>
      </c>
      <c r="BA275" s="103">
        <v>0</v>
      </c>
      <c r="BB275" s="17">
        <v>0</v>
      </c>
      <c r="BC275" s="42"/>
      <c r="BD275" s="109" t="s">
        <v>13</v>
      </c>
      <c r="BE275" s="46" t="s">
        <v>1</v>
      </c>
      <c r="BF275" s="103">
        <v>0</v>
      </c>
      <c r="BG275" s="103">
        <v>3</v>
      </c>
      <c r="BH275" s="103">
        <v>1</v>
      </c>
      <c r="BI275" s="103">
        <v>0</v>
      </c>
      <c r="BJ275" s="103">
        <v>0</v>
      </c>
      <c r="BK275" s="103">
        <v>0</v>
      </c>
      <c r="BL275" s="103">
        <v>0</v>
      </c>
      <c r="BM275" s="103">
        <v>0</v>
      </c>
      <c r="BN275" s="103">
        <v>0</v>
      </c>
      <c r="BO275" s="17">
        <v>0</v>
      </c>
      <c r="BQ275" s="109" t="s">
        <v>13</v>
      </c>
      <c r="BR275" s="46" t="s">
        <v>1</v>
      </c>
      <c r="BS275" s="103">
        <v>0</v>
      </c>
      <c r="BT275" s="103">
        <v>2</v>
      </c>
      <c r="BU275" s="103">
        <v>0</v>
      </c>
      <c r="BV275" s="103">
        <v>0</v>
      </c>
      <c r="BW275" s="103">
        <v>0</v>
      </c>
      <c r="BX275" s="103">
        <v>0</v>
      </c>
      <c r="BY275" s="103">
        <v>0</v>
      </c>
      <c r="BZ275" s="103">
        <v>0</v>
      </c>
      <c r="CA275" s="103">
        <v>0</v>
      </c>
      <c r="CB275" s="17">
        <v>0</v>
      </c>
      <c r="CC275" s="42"/>
      <c r="CD275" s="109" t="s">
        <v>13</v>
      </c>
      <c r="CE275" s="46" t="s">
        <v>1</v>
      </c>
      <c r="CF275" s="103">
        <v>0</v>
      </c>
      <c r="CG275" s="103">
        <v>1</v>
      </c>
      <c r="CH275" s="103">
        <v>1</v>
      </c>
      <c r="CI275" s="103">
        <v>1</v>
      </c>
      <c r="CJ275" s="103">
        <v>0</v>
      </c>
      <c r="CK275" s="103">
        <v>0</v>
      </c>
      <c r="CL275" s="103">
        <v>0</v>
      </c>
      <c r="CM275" s="103">
        <v>0</v>
      </c>
      <c r="CN275" s="103">
        <v>0</v>
      </c>
      <c r="CO275" s="17">
        <v>0</v>
      </c>
      <c r="CQ275" s="109" t="s">
        <v>13</v>
      </c>
      <c r="CR275" s="46" t="s">
        <v>1</v>
      </c>
      <c r="CS275" s="103">
        <v>0</v>
      </c>
      <c r="CT275" s="103">
        <v>3</v>
      </c>
      <c r="CU275" s="103">
        <v>1</v>
      </c>
      <c r="CV275" s="103">
        <v>1</v>
      </c>
      <c r="CW275" s="103">
        <v>0</v>
      </c>
      <c r="CX275" s="103">
        <v>0</v>
      </c>
      <c r="CY275" s="103">
        <v>0</v>
      </c>
      <c r="CZ275" s="103">
        <v>0</v>
      </c>
      <c r="DA275" s="103">
        <v>0</v>
      </c>
      <c r="DB275" s="17">
        <v>0</v>
      </c>
      <c r="DC275" s="42"/>
      <c r="DD275" s="109" t="s">
        <v>13</v>
      </c>
      <c r="DE275" s="46" t="s">
        <v>1</v>
      </c>
      <c r="DF275" s="103">
        <v>0</v>
      </c>
      <c r="DG275" s="103">
        <v>0</v>
      </c>
      <c r="DH275" s="103">
        <v>0</v>
      </c>
      <c r="DI275" s="103">
        <v>0</v>
      </c>
      <c r="DJ275" s="103">
        <v>0</v>
      </c>
      <c r="DK275" s="103">
        <v>0</v>
      </c>
      <c r="DL275" s="103">
        <v>0</v>
      </c>
      <c r="DM275" s="103">
        <v>0</v>
      </c>
      <c r="DN275" s="103">
        <v>0</v>
      </c>
      <c r="DO275" s="17">
        <v>0</v>
      </c>
    </row>
    <row r="276" spans="2:119" ht="14.45" customHeight="1" x14ac:dyDescent="0.45">
      <c r="B276" s="134"/>
      <c r="C276" s="42"/>
      <c r="D276" s="110"/>
      <c r="E276" s="46">
        <v>1</v>
      </c>
      <c r="F276" s="103">
        <v>1</v>
      </c>
      <c r="G276" s="103">
        <v>11</v>
      </c>
      <c r="H276" s="103">
        <v>15</v>
      </c>
      <c r="I276" s="103">
        <v>7</v>
      </c>
      <c r="J276" s="103">
        <v>1</v>
      </c>
      <c r="K276" s="103">
        <v>0</v>
      </c>
      <c r="L276" s="103">
        <v>3</v>
      </c>
      <c r="M276" s="103">
        <v>0</v>
      </c>
      <c r="N276" s="103">
        <v>1</v>
      </c>
      <c r="O276" s="103">
        <v>0</v>
      </c>
      <c r="P276" s="42"/>
      <c r="Q276" s="110"/>
      <c r="R276" s="46">
        <v>1</v>
      </c>
      <c r="S276" s="103">
        <v>1</v>
      </c>
      <c r="T276" s="103">
        <v>7</v>
      </c>
      <c r="U276" s="103">
        <v>11</v>
      </c>
      <c r="V276" s="103">
        <v>4</v>
      </c>
      <c r="W276" s="103">
        <v>0</v>
      </c>
      <c r="X276" s="103">
        <v>0</v>
      </c>
      <c r="Y276" s="103">
        <v>2</v>
      </c>
      <c r="Z276" s="103">
        <v>0</v>
      </c>
      <c r="AA276" s="103">
        <v>0</v>
      </c>
      <c r="AB276" s="103">
        <v>0</v>
      </c>
      <c r="AC276" s="42"/>
      <c r="AD276" s="110"/>
      <c r="AE276" s="46">
        <v>1</v>
      </c>
      <c r="AF276" s="103">
        <v>0</v>
      </c>
      <c r="AG276" s="103">
        <v>4</v>
      </c>
      <c r="AH276" s="103">
        <v>4</v>
      </c>
      <c r="AI276" s="103">
        <v>3</v>
      </c>
      <c r="AJ276" s="103">
        <v>1</v>
      </c>
      <c r="AK276" s="103">
        <v>0</v>
      </c>
      <c r="AL276" s="103">
        <v>1</v>
      </c>
      <c r="AM276" s="103">
        <v>0</v>
      </c>
      <c r="AN276" s="103">
        <v>1</v>
      </c>
      <c r="AO276" s="103">
        <v>0</v>
      </c>
      <c r="AP276" s="6"/>
      <c r="AQ276" s="110"/>
      <c r="AR276" s="46">
        <v>1</v>
      </c>
      <c r="AS276" s="103">
        <v>0</v>
      </c>
      <c r="AT276" s="103">
        <v>9</v>
      </c>
      <c r="AU276" s="103">
        <v>7</v>
      </c>
      <c r="AV276" s="103">
        <v>4</v>
      </c>
      <c r="AW276" s="103">
        <v>0</v>
      </c>
      <c r="AX276" s="103">
        <v>0</v>
      </c>
      <c r="AY276" s="103">
        <v>2</v>
      </c>
      <c r="AZ276" s="103">
        <v>0</v>
      </c>
      <c r="BA276" s="103">
        <v>0</v>
      </c>
      <c r="BB276" s="103">
        <v>0</v>
      </c>
      <c r="BC276" s="42"/>
      <c r="BD276" s="110"/>
      <c r="BE276" s="46">
        <v>1</v>
      </c>
      <c r="BF276" s="103">
        <v>1</v>
      </c>
      <c r="BG276" s="103">
        <v>2</v>
      </c>
      <c r="BH276" s="103">
        <v>8</v>
      </c>
      <c r="BI276" s="103">
        <v>3</v>
      </c>
      <c r="BJ276" s="103">
        <v>1</v>
      </c>
      <c r="BK276" s="103">
        <v>0</v>
      </c>
      <c r="BL276" s="103">
        <v>1</v>
      </c>
      <c r="BM276" s="103">
        <v>0</v>
      </c>
      <c r="BN276" s="103">
        <v>1</v>
      </c>
      <c r="BO276" s="103">
        <v>0</v>
      </c>
      <c r="BQ276" s="110"/>
      <c r="BR276" s="46">
        <v>1</v>
      </c>
      <c r="BS276" s="103">
        <v>0</v>
      </c>
      <c r="BT276" s="103">
        <v>7</v>
      </c>
      <c r="BU276" s="103">
        <v>11</v>
      </c>
      <c r="BV276" s="103">
        <v>4</v>
      </c>
      <c r="BW276" s="103">
        <v>1</v>
      </c>
      <c r="BX276" s="103">
        <v>0</v>
      </c>
      <c r="BY276" s="103">
        <v>2</v>
      </c>
      <c r="BZ276" s="103">
        <v>0</v>
      </c>
      <c r="CA276" s="103">
        <v>0</v>
      </c>
      <c r="CB276" s="103">
        <v>0</v>
      </c>
      <c r="CC276" s="42"/>
      <c r="CD276" s="110"/>
      <c r="CE276" s="46">
        <v>1</v>
      </c>
      <c r="CF276" s="103">
        <v>1</v>
      </c>
      <c r="CG276" s="103">
        <v>4</v>
      </c>
      <c r="CH276" s="103">
        <v>4</v>
      </c>
      <c r="CI276" s="103">
        <v>3</v>
      </c>
      <c r="CJ276" s="103">
        <v>0</v>
      </c>
      <c r="CK276" s="103">
        <v>0</v>
      </c>
      <c r="CL276" s="103">
        <v>1</v>
      </c>
      <c r="CM276" s="103">
        <v>0</v>
      </c>
      <c r="CN276" s="103">
        <v>1</v>
      </c>
      <c r="CO276" s="103">
        <v>0</v>
      </c>
      <c r="CQ276" s="110"/>
      <c r="CR276" s="46">
        <v>1</v>
      </c>
      <c r="CS276" s="103">
        <v>1</v>
      </c>
      <c r="CT276" s="103">
        <v>7</v>
      </c>
      <c r="CU276" s="103">
        <v>6</v>
      </c>
      <c r="CV276" s="103">
        <v>6</v>
      </c>
      <c r="CW276" s="103">
        <v>0</v>
      </c>
      <c r="CX276" s="103">
        <v>0</v>
      </c>
      <c r="CY276" s="103">
        <v>1</v>
      </c>
      <c r="CZ276" s="103">
        <v>0</v>
      </c>
      <c r="DA276" s="103">
        <v>1</v>
      </c>
      <c r="DB276" s="103">
        <v>0</v>
      </c>
      <c r="DC276" s="42"/>
      <c r="DD276" s="110"/>
      <c r="DE276" s="46">
        <v>1</v>
      </c>
      <c r="DF276" s="103">
        <v>0</v>
      </c>
      <c r="DG276" s="103">
        <v>4</v>
      </c>
      <c r="DH276" s="103">
        <v>9</v>
      </c>
      <c r="DI276" s="103">
        <v>1</v>
      </c>
      <c r="DJ276" s="103">
        <v>1</v>
      </c>
      <c r="DK276" s="103">
        <v>0</v>
      </c>
      <c r="DL276" s="103">
        <v>2</v>
      </c>
      <c r="DM276" s="103">
        <v>0</v>
      </c>
      <c r="DN276" s="103">
        <v>0</v>
      </c>
      <c r="DO276" s="103">
        <v>0</v>
      </c>
    </row>
    <row r="277" spans="2:119" ht="14.45" customHeight="1" x14ac:dyDescent="0.45">
      <c r="B277" s="134"/>
      <c r="C277" s="42"/>
      <c r="D277" s="110"/>
      <c r="E277" s="46" t="s">
        <v>2</v>
      </c>
      <c r="F277" s="103">
        <v>30</v>
      </c>
      <c r="G277" s="103">
        <v>211</v>
      </c>
      <c r="H277" s="103">
        <v>525</v>
      </c>
      <c r="I277" s="103">
        <v>378</v>
      </c>
      <c r="J277" s="103">
        <v>100</v>
      </c>
      <c r="K277" s="103">
        <v>43</v>
      </c>
      <c r="L277" s="103">
        <v>6</v>
      </c>
      <c r="M277" s="103">
        <v>2</v>
      </c>
      <c r="N277" s="103">
        <v>1</v>
      </c>
      <c r="O277" s="103">
        <v>0</v>
      </c>
      <c r="P277" s="42"/>
      <c r="Q277" s="110"/>
      <c r="R277" s="46" t="s">
        <v>2</v>
      </c>
      <c r="S277" s="103">
        <v>11</v>
      </c>
      <c r="T277" s="103">
        <v>92</v>
      </c>
      <c r="U277" s="103">
        <v>256</v>
      </c>
      <c r="V277" s="103">
        <v>219</v>
      </c>
      <c r="W277" s="103">
        <v>64</v>
      </c>
      <c r="X277" s="103">
        <v>29</v>
      </c>
      <c r="Y277" s="103">
        <v>5</v>
      </c>
      <c r="Z277" s="103">
        <v>0</v>
      </c>
      <c r="AA277" s="103">
        <v>1</v>
      </c>
      <c r="AB277" s="103">
        <v>0</v>
      </c>
      <c r="AC277" s="42"/>
      <c r="AD277" s="110"/>
      <c r="AE277" s="46" t="s">
        <v>2</v>
      </c>
      <c r="AF277" s="103">
        <v>19</v>
      </c>
      <c r="AG277" s="103">
        <v>119</v>
      </c>
      <c r="AH277" s="103">
        <v>269</v>
      </c>
      <c r="AI277" s="103">
        <v>159</v>
      </c>
      <c r="AJ277" s="103">
        <v>36</v>
      </c>
      <c r="AK277" s="103">
        <v>14</v>
      </c>
      <c r="AL277" s="103">
        <v>1</v>
      </c>
      <c r="AM277" s="103">
        <v>2</v>
      </c>
      <c r="AN277" s="103">
        <v>0</v>
      </c>
      <c r="AO277" s="103">
        <v>0</v>
      </c>
      <c r="AP277" s="6"/>
      <c r="AQ277" s="110"/>
      <c r="AR277" s="46" t="s">
        <v>2</v>
      </c>
      <c r="AS277" s="103">
        <v>16</v>
      </c>
      <c r="AT277" s="103">
        <v>128</v>
      </c>
      <c r="AU277" s="103">
        <v>269</v>
      </c>
      <c r="AV277" s="103">
        <v>170</v>
      </c>
      <c r="AW277" s="103">
        <v>35</v>
      </c>
      <c r="AX277" s="103">
        <v>14</v>
      </c>
      <c r="AY277" s="103">
        <v>2</v>
      </c>
      <c r="AZ277" s="103">
        <v>1</v>
      </c>
      <c r="BA277" s="103">
        <v>0</v>
      </c>
      <c r="BB277" s="103">
        <v>0</v>
      </c>
      <c r="BC277" s="42"/>
      <c r="BD277" s="110"/>
      <c r="BE277" s="46" t="s">
        <v>2</v>
      </c>
      <c r="BF277" s="103">
        <v>14</v>
      </c>
      <c r="BG277" s="103">
        <v>83</v>
      </c>
      <c r="BH277" s="103">
        <v>256</v>
      </c>
      <c r="BI277" s="103">
        <v>208</v>
      </c>
      <c r="BJ277" s="103">
        <v>65</v>
      </c>
      <c r="BK277" s="103">
        <v>29</v>
      </c>
      <c r="BL277" s="103">
        <v>4</v>
      </c>
      <c r="BM277" s="103">
        <v>1</v>
      </c>
      <c r="BN277" s="103">
        <v>1</v>
      </c>
      <c r="BO277" s="103">
        <v>0</v>
      </c>
      <c r="BQ277" s="110"/>
      <c r="BR277" s="46" t="s">
        <v>2</v>
      </c>
      <c r="BS277" s="103">
        <v>19</v>
      </c>
      <c r="BT277" s="103">
        <v>167</v>
      </c>
      <c r="BU277" s="103">
        <v>415</v>
      </c>
      <c r="BV277" s="103">
        <v>294</v>
      </c>
      <c r="BW277" s="103">
        <v>79</v>
      </c>
      <c r="BX277" s="103">
        <v>27</v>
      </c>
      <c r="BY277" s="103">
        <v>3</v>
      </c>
      <c r="BZ277" s="103">
        <v>2</v>
      </c>
      <c r="CA277" s="103">
        <v>0</v>
      </c>
      <c r="CB277" s="103">
        <v>0</v>
      </c>
      <c r="CC277" s="42"/>
      <c r="CD277" s="110"/>
      <c r="CE277" s="46" t="s">
        <v>2</v>
      </c>
      <c r="CF277" s="103">
        <v>11</v>
      </c>
      <c r="CG277" s="103">
        <v>44</v>
      </c>
      <c r="CH277" s="103">
        <v>110</v>
      </c>
      <c r="CI277" s="103">
        <v>84</v>
      </c>
      <c r="CJ277" s="103">
        <v>21</v>
      </c>
      <c r="CK277" s="103">
        <v>16</v>
      </c>
      <c r="CL277" s="103">
        <v>3</v>
      </c>
      <c r="CM277" s="103">
        <v>0</v>
      </c>
      <c r="CN277" s="103">
        <v>1</v>
      </c>
      <c r="CO277" s="103">
        <v>0</v>
      </c>
      <c r="CQ277" s="110"/>
      <c r="CR277" s="46" t="s">
        <v>2</v>
      </c>
      <c r="CS277" s="103">
        <v>10</v>
      </c>
      <c r="CT277" s="103">
        <v>28</v>
      </c>
      <c r="CU277" s="103">
        <v>81</v>
      </c>
      <c r="CV277" s="103">
        <v>61</v>
      </c>
      <c r="CW277" s="103">
        <v>20</v>
      </c>
      <c r="CX277" s="103">
        <v>14</v>
      </c>
      <c r="CY277" s="103">
        <v>1</v>
      </c>
      <c r="CZ277" s="103">
        <v>1</v>
      </c>
      <c r="DA277" s="103">
        <v>1</v>
      </c>
      <c r="DB277" s="103">
        <v>0</v>
      </c>
      <c r="DC277" s="42"/>
      <c r="DD277" s="110"/>
      <c r="DE277" s="46" t="s">
        <v>2</v>
      </c>
      <c r="DF277" s="103">
        <v>20</v>
      </c>
      <c r="DG277" s="103">
        <v>183</v>
      </c>
      <c r="DH277" s="103">
        <v>444</v>
      </c>
      <c r="DI277" s="103">
        <v>317</v>
      </c>
      <c r="DJ277" s="103">
        <v>80</v>
      </c>
      <c r="DK277" s="103">
        <v>29</v>
      </c>
      <c r="DL277" s="103">
        <v>5</v>
      </c>
      <c r="DM277" s="103">
        <v>1</v>
      </c>
      <c r="DN277" s="103">
        <v>0</v>
      </c>
      <c r="DO277" s="103">
        <v>0</v>
      </c>
    </row>
    <row r="278" spans="2:119" ht="14.45" customHeight="1" x14ac:dyDescent="0.45">
      <c r="B278" s="134"/>
      <c r="C278" s="42"/>
      <c r="D278" s="110"/>
      <c r="E278" s="46" t="s">
        <v>3</v>
      </c>
      <c r="F278" s="103">
        <v>19</v>
      </c>
      <c r="G278" s="103">
        <v>126</v>
      </c>
      <c r="H278" s="103">
        <v>318</v>
      </c>
      <c r="I278" s="103">
        <v>360</v>
      </c>
      <c r="J278" s="103">
        <v>94</v>
      </c>
      <c r="K278" s="103">
        <v>61</v>
      </c>
      <c r="L278" s="103">
        <v>9</v>
      </c>
      <c r="M278" s="103">
        <v>3</v>
      </c>
      <c r="N278" s="103">
        <v>1</v>
      </c>
      <c r="O278" s="103">
        <v>0</v>
      </c>
      <c r="P278" s="42"/>
      <c r="Q278" s="110"/>
      <c r="R278" s="46" t="s">
        <v>3</v>
      </c>
      <c r="S278" s="103">
        <v>8</v>
      </c>
      <c r="T278" s="103">
        <v>55</v>
      </c>
      <c r="U278" s="103">
        <v>145</v>
      </c>
      <c r="V278" s="103">
        <v>222</v>
      </c>
      <c r="W278" s="103">
        <v>60</v>
      </c>
      <c r="X278" s="103">
        <v>42</v>
      </c>
      <c r="Y278" s="103">
        <v>3</v>
      </c>
      <c r="Z278" s="103">
        <v>0</v>
      </c>
      <c r="AA278" s="103">
        <v>1</v>
      </c>
      <c r="AB278" s="103">
        <v>0</v>
      </c>
      <c r="AC278" s="42"/>
      <c r="AD278" s="110"/>
      <c r="AE278" s="46" t="s">
        <v>3</v>
      </c>
      <c r="AF278" s="103">
        <v>11</v>
      </c>
      <c r="AG278" s="103">
        <v>71</v>
      </c>
      <c r="AH278" s="103">
        <v>173</v>
      </c>
      <c r="AI278" s="103">
        <v>138</v>
      </c>
      <c r="AJ278" s="103">
        <v>34</v>
      </c>
      <c r="AK278" s="103">
        <v>19</v>
      </c>
      <c r="AL278" s="103">
        <v>6</v>
      </c>
      <c r="AM278" s="103">
        <v>3</v>
      </c>
      <c r="AN278" s="103">
        <v>0</v>
      </c>
      <c r="AO278" s="103">
        <v>0</v>
      </c>
      <c r="AP278" s="6"/>
      <c r="AQ278" s="110"/>
      <c r="AR278" s="46" t="s">
        <v>3</v>
      </c>
      <c r="AS278" s="103">
        <v>14</v>
      </c>
      <c r="AT278" s="103">
        <v>65</v>
      </c>
      <c r="AU278" s="103">
        <v>150</v>
      </c>
      <c r="AV278" s="103">
        <v>139</v>
      </c>
      <c r="AW278" s="103">
        <v>37</v>
      </c>
      <c r="AX278" s="103">
        <v>16</v>
      </c>
      <c r="AY278" s="103">
        <v>1</v>
      </c>
      <c r="AZ278" s="103">
        <v>0</v>
      </c>
      <c r="BA278" s="103">
        <v>0</v>
      </c>
      <c r="BB278" s="103">
        <v>0</v>
      </c>
      <c r="BC278" s="42"/>
      <c r="BD278" s="110"/>
      <c r="BE278" s="46" t="s">
        <v>3</v>
      </c>
      <c r="BF278" s="103">
        <v>5</v>
      </c>
      <c r="BG278" s="103">
        <v>61</v>
      </c>
      <c r="BH278" s="103">
        <v>168</v>
      </c>
      <c r="BI278" s="103">
        <v>221</v>
      </c>
      <c r="BJ278" s="103">
        <v>57</v>
      </c>
      <c r="BK278" s="103">
        <v>45</v>
      </c>
      <c r="BL278" s="103">
        <v>8</v>
      </c>
      <c r="BM278" s="103">
        <v>3</v>
      </c>
      <c r="BN278" s="103">
        <v>1</v>
      </c>
      <c r="BO278" s="103">
        <v>0</v>
      </c>
      <c r="BQ278" s="110"/>
      <c r="BR278" s="46" t="s">
        <v>3</v>
      </c>
      <c r="BS278" s="103">
        <v>10</v>
      </c>
      <c r="BT278" s="103">
        <v>71</v>
      </c>
      <c r="BU278" s="103">
        <v>193</v>
      </c>
      <c r="BV278" s="103">
        <v>204</v>
      </c>
      <c r="BW278" s="103">
        <v>54</v>
      </c>
      <c r="BX278" s="103">
        <v>33</v>
      </c>
      <c r="BY278" s="103">
        <v>3</v>
      </c>
      <c r="BZ278" s="103">
        <v>2</v>
      </c>
      <c r="CA278" s="103">
        <v>1</v>
      </c>
      <c r="CB278" s="103">
        <v>0</v>
      </c>
      <c r="CC278" s="42"/>
      <c r="CD278" s="110"/>
      <c r="CE278" s="46" t="s">
        <v>3</v>
      </c>
      <c r="CF278" s="103">
        <v>9</v>
      </c>
      <c r="CG278" s="103">
        <v>55</v>
      </c>
      <c r="CH278" s="103">
        <v>125</v>
      </c>
      <c r="CI278" s="103">
        <v>156</v>
      </c>
      <c r="CJ278" s="103">
        <v>40</v>
      </c>
      <c r="CK278" s="103">
        <v>28</v>
      </c>
      <c r="CL278" s="103">
        <v>6</v>
      </c>
      <c r="CM278" s="103">
        <v>1</v>
      </c>
      <c r="CN278" s="103">
        <v>0</v>
      </c>
      <c r="CO278" s="103">
        <v>0</v>
      </c>
      <c r="CQ278" s="110"/>
      <c r="CR278" s="46" t="s">
        <v>3</v>
      </c>
      <c r="CS278" s="103">
        <v>2</v>
      </c>
      <c r="CT278" s="103">
        <v>17</v>
      </c>
      <c r="CU278" s="103">
        <v>38</v>
      </c>
      <c r="CV278" s="103">
        <v>45</v>
      </c>
      <c r="CW278" s="103">
        <v>13</v>
      </c>
      <c r="CX278" s="103">
        <v>14</v>
      </c>
      <c r="CY278" s="103">
        <v>3</v>
      </c>
      <c r="CZ278" s="103">
        <v>0</v>
      </c>
      <c r="DA278" s="103">
        <v>0</v>
      </c>
      <c r="DB278" s="103">
        <v>0</v>
      </c>
      <c r="DC278" s="42"/>
      <c r="DD278" s="110"/>
      <c r="DE278" s="46" t="s">
        <v>3</v>
      </c>
      <c r="DF278" s="103">
        <v>17</v>
      </c>
      <c r="DG278" s="103">
        <v>109</v>
      </c>
      <c r="DH278" s="103">
        <v>280</v>
      </c>
      <c r="DI278" s="103">
        <v>315</v>
      </c>
      <c r="DJ278" s="103">
        <v>81</v>
      </c>
      <c r="DK278" s="103">
        <v>47</v>
      </c>
      <c r="DL278" s="103">
        <v>6</v>
      </c>
      <c r="DM278" s="103">
        <v>3</v>
      </c>
      <c r="DN278" s="103">
        <v>1</v>
      </c>
      <c r="DO278" s="103">
        <v>0</v>
      </c>
    </row>
    <row r="279" spans="2:119" ht="14.45" customHeight="1" x14ac:dyDescent="0.45">
      <c r="B279" s="134"/>
      <c r="C279" s="42"/>
      <c r="D279" s="110"/>
      <c r="E279" s="46" t="s">
        <v>4</v>
      </c>
      <c r="F279" s="103">
        <v>15</v>
      </c>
      <c r="G279" s="103">
        <v>133</v>
      </c>
      <c r="H279" s="103">
        <v>416</v>
      </c>
      <c r="I279" s="103">
        <v>475</v>
      </c>
      <c r="J279" s="103">
        <v>171</v>
      </c>
      <c r="K279" s="103">
        <v>95</v>
      </c>
      <c r="L279" s="103">
        <v>44</v>
      </c>
      <c r="M279" s="103">
        <v>6</v>
      </c>
      <c r="N279" s="103">
        <v>2</v>
      </c>
      <c r="O279" s="103">
        <v>1</v>
      </c>
      <c r="P279" s="42"/>
      <c r="Q279" s="110"/>
      <c r="R279" s="46" t="s">
        <v>4</v>
      </c>
      <c r="S279" s="103">
        <v>5</v>
      </c>
      <c r="T279" s="103">
        <v>48</v>
      </c>
      <c r="U279" s="103">
        <v>210</v>
      </c>
      <c r="V279" s="103">
        <v>281</v>
      </c>
      <c r="W279" s="103">
        <v>117</v>
      </c>
      <c r="X279" s="103">
        <v>71</v>
      </c>
      <c r="Y279" s="103">
        <v>36</v>
      </c>
      <c r="Z279" s="103">
        <v>5</v>
      </c>
      <c r="AA279" s="103">
        <v>2</v>
      </c>
      <c r="AB279" s="103">
        <v>1</v>
      </c>
      <c r="AC279" s="42"/>
      <c r="AD279" s="110"/>
      <c r="AE279" s="46" t="s">
        <v>4</v>
      </c>
      <c r="AF279" s="103">
        <v>10</v>
      </c>
      <c r="AG279" s="103">
        <v>85</v>
      </c>
      <c r="AH279" s="103">
        <v>206</v>
      </c>
      <c r="AI279" s="103">
        <v>194</v>
      </c>
      <c r="AJ279" s="103">
        <v>54</v>
      </c>
      <c r="AK279" s="103">
        <v>24</v>
      </c>
      <c r="AL279" s="103">
        <v>8</v>
      </c>
      <c r="AM279" s="103">
        <v>1</v>
      </c>
      <c r="AN279" s="103">
        <v>0</v>
      </c>
      <c r="AO279" s="103">
        <v>0</v>
      </c>
      <c r="AP279" s="6"/>
      <c r="AQ279" s="110"/>
      <c r="AR279" s="46" t="s">
        <v>4</v>
      </c>
      <c r="AS279" s="103">
        <v>12</v>
      </c>
      <c r="AT279" s="103">
        <v>74</v>
      </c>
      <c r="AU279" s="103">
        <v>182</v>
      </c>
      <c r="AV279" s="103">
        <v>205</v>
      </c>
      <c r="AW279" s="103">
        <v>68</v>
      </c>
      <c r="AX279" s="103">
        <v>40</v>
      </c>
      <c r="AY279" s="103">
        <v>10</v>
      </c>
      <c r="AZ279" s="103">
        <v>2</v>
      </c>
      <c r="BA279" s="103">
        <v>0</v>
      </c>
      <c r="BB279" s="103">
        <v>0</v>
      </c>
      <c r="BC279" s="42"/>
      <c r="BD279" s="110"/>
      <c r="BE279" s="46" t="s">
        <v>4</v>
      </c>
      <c r="BF279" s="103">
        <v>3</v>
      </c>
      <c r="BG279" s="103">
        <v>59</v>
      </c>
      <c r="BH279" s="103">
        <v>234</v>
      </c>
      <c r="BI279" s="103">
        <v>270</v>
      </c>
      <c r="BJ279" s="103">
        <v>103</v>
      </c>
      <c r="BK279" s="103">
        <v>55</v>
      </c>
      <c r="BL279" s="103">
        <v>34</v>
      </c>
      <c r="BM279" s="103">
        <v>4</v>
      </c>
      <c r="BN279" s="103">
        <v>2</v>
      </c>
      <c r="BO279" s="103">
        <v>1</v>
      </c>
      <c r="BQ279" s="110"/>
      <c r="BR279" s="46" t="s">
        <v>4</v>
      </c>
      <c r="BS279" s="103">
        <v>9</v>
      </c>
      <c r="BT279" s="103">
        <v>69</v>
      </c>
      <c r="BU279" s="103">
        <v>211</v>
      </c>
      <c r="BV279" s="103">
        <v>216</v>
      </c>
      <c r="BW279" s="103">
        <v>61</v>
      </c>
      <c r="BX279" s="103">
        <v>35</v>
      </c>
      <c r="BY279" s="103">
        <v>16</v>
      </c>
      <c r="BZ279" s="103">
        <v>2</v>
      </c>
      <c r="CA279" s="103">
        <v>0</v>
      </c>
      <c r="CB279" s="103">
        <v>0</v>
      </c>
      <c r="CC279" s="42"/>
      <c r="CD279" s="110"/>
      <c r="CE279" s="46" t="s">
        <v>4</v>
      </c>
      <c r="CF279" s="103">
        <v>6</v>
      </c>
      <c r="CG279" s="103">
        <v>64</v>
      </c>
      <c r="CH279" s="103">
        <v>205</v>
      </c>
      <c r="CI279" s="103">
        <v>259</v>
      </c>
      <c r="CJ279" s="103">
        <v>110</v>
      </c>
      <c r="CK279" s="103">
        <v>60</v>
      </c>
      <c r="CL279" s="103">
        <v>28</v>
      </c>
      <c r="CM279" s="103">
        <v>4</v>
      </c>
      <c r="CN279" s="103">
        <v>2</v>
      </c>
      <c r="CO279" s="103">
        <v>1</v>
      </c>
      <c r="CQ279" s="110"/>
      <c r="CR279" s="46" t="s">
        <v>4</v>
      </c>
      <c r="CS279" s="103">
        <v>1</v>
      </c>
      <c r="CT279" s="103">
        <v>10</v>
      </c>
      <c r="CU279" s="103">
        <v>42</v>
      </c>
      <c r="CV279" s="103">
        <v>50</v>
      </c>
      <c r="CW279" s="103">
        <v>17</v>
      </c>
      <c r="CX279" s="103">
        <v>18</v>
      </c>
      <c r="CY279" s="103">
        <v>10</v>
      </c>
      <c r="CZ279" s="103">
        <v>2</v>
      </c>
      <c r="DA279" s="103">
        <v>1</v>
      </c>
      <c r="DB279" s="103">
        <v>0</v>
      </c>
      <c r="DC279" s="42"/>
      <c r="DD279" s="110"/>
      <c r="DE279" s="46" t="s">
        <v>4</v>
      </c>
      <c r="DF279" s="103">
        <v>14</v>
      </c>
      <c r="DG279" s="103">
        <v>123</v>
      </c>
      <c r="DH279" s="103">
        <v>374</v>
      </c>
      <c r="DI279" s="103">
        <v>425</v>
      </c>
      <c r="DJ279" s="103">
        <v>154</v>
      </c>
      <c r="DK279" s="103">
        <v>77</v>
      </c>
      <c r="DL279" s="103">
        <v>34</v>
      </c>
      <c r="DM279" s="103">
        <v>4</v>
      </c>
      <c r="DN279" s="103">
        <v>1</v>
      </c>
      <c r="DO279" s="103">
        <v>1</v>
      </c>
    </row>
    <row r="280" spans="2:119" ht="14.45" customHeight="1" x14ac:dyDescent="0.45">
      <c r="B280" s="134"/>
      <c r="C280" s="42"/>
      <c r="D280" s="110"/>
      <c r="E280" s="46" t="s">
        <v>5</v>
      </c>
      <c r="F280" s="103">
        <v>29</v>
      </c>
      <c r="G280" s="103">
        <v>152</v>
      </c>
      <c r="H280" s="103">
        <v>557</v>
      </c>
      <c r="I280" s="103">
        <v>918</v>
      </c>
      <c r="J280" s="103">
        <v>429</v>
      </c>
      <c r="K280" s="103">
        <v>251</v>
      </c>
      <c r="L280" s="103">
        <v>73</v>
      </c>
      <c r="M280" s="103">
        <v>17</v>
      </c>
      <c r="N280" s="103">
        <v>5</v>
      </c>
      <c r="O280" s="103">
        <v>4</v>
      </c>
      <c r="P280" s="42"/>
      <c r="Q280" s="110"/>
      <c r="R280" s="46" t="s">
        <v>5</v>
      </c>
      <c r="S280" s="103">
        <v>10</v>
      </c>
      <c r="T280" s="103">
        <v>65</v>
      </c>
      <c r="U280" s="103">
        <v>263</v>
      </c>
      <c r="V280" s="103">
        <v>552</v>
      </c>
      <c r="W280" s="103">
        <v>304</v>
      </c>
      <c r="X280" s="103">
        <v>205</v>
      </c>
      <c r="Y280" s="103">
        <v>60</v>
      </c>
      <c r="Z280" s="103">
        <v>15</v>
      </c>
      <c r="AA280" s="103">
        <v>5</v>
      </c>
      <c r="AB280" s="103">
        <v>4</v>
      </c>
      <c r="AC280" s="42"/>
      <c r="AD280" s="110"/>
      <c r="AE280" s="46" t="s">
        <v>5</v>
      </c>
      <c r="AF280" s="103">
        <v>19</v>
      </c>
      <c r="AG280" s="103">
        <v>87</v>
      </c>
      <c r="AH280" s="103">
        <v>294</v>
      </c>
      <c r="AI280" s="103">
        <v>366</v>
      </c>
      <c r="AJ280" s="103">
        <v>125</v>
      </c>
      <c r="AK280" s="103">
        <v>46</v>
      </c>
      <c r="AL280" s="103">
        <v>13</v>
      </c>
      <c r="AM280" s="103">
        <v>2</v>
      </c>
      <c r="AN280" s="103">
        <v>0</v>
      </c>
      <c r="AO280" s="103">
        <v>0</v>
      </c>
      <c r="AP280" s="6"/>
      <c r="AQ280" s="110"/>
      <c r="AR280" s="46" t="s">
        <v>5</v>
      </c>
      <c r="AS280" s="103">
        <v>15</v>
      </c>
      <c r="AT280" s="103">
        <v>71</v>
      </c>
      <c r="AU280" s="103">
        <v>266</v>
      </c>
      <c r="AV280" s="103">
        <v>348</v>
      </c>
      <c r="AW280" s="103">
        <v>128</v>
      </c>
      <c r="AX280" s="103">
        <v>51</v>
      </c>
      <c r="AY280" s="103">
        <v>11</v>
      </c>
      <c r="AZ280" s="103">
        <v>6</v>
      </c>
      <c r="BA280" s="103">
        <v>0</v>
      </c>
      <c r="BB280" s="103">
        <v>0</v>
      </c>
      <c r="BC280" s="42"/>
      <c r="BD280" s="110"/>
      <c r="BE280" s="46" t="s">
        <v>5</v>
      </c>
      <c r="BF280" s="103">
        <v>14</v>
      </c>
      <c r="BG280" s="103">
        <v>81</v>
      </c>
      <c r="BH280" s="103">
        <v>291</v>
      </c>
      <c r="BI280" s="103">
        <v>570</v>
      </c>
      <c r="BJ280" s="103">
        <v>301</v>
      </c>
      <c r="BK280" s="103">
        <v>200</v>
      </c>
      <c r="BL280" s="103">
        <v>62</v>
      </c>
      <c r="BM280" s="103">
        <v>11</v>
      </c>
      <c r="BN280" s="103">
        <v>5</v>
      </c>
      <c r="BO280" s="103">
        <v>4</v>
      </c>
      <c r="BQ280" s="110"/>
      <c r="BR280" s="46" t="s">
        <v>5</v>
      </c>
      <c r="BS280" s="103">
        <v>11</v>
      </c>
      <c r="BT280" s="103">
        <v>45</v>
      </c>
      <c r="BU280" s="103">
        <v>238</v>
      </c>
      <c r="BV280" s="103">
        <v>308</v>
      </c>
      <c r="BW280" s="103">
        <v>134</v>
      </c>
      <c r="BX280" s="103">
        <v>64</v>
      </c>
      <c r="BY280" s="103">
        <v>18</v>
      </c>
      <c r="BZ280" s="103">
        <v>5</v>
      </c>
      <c r="CA280" s="103">
        <v>1</v>
      </c>
      <c r="CB280" s="103">
        <v>3</v>
      </c>
      <c r="CC280" s="42"/>
      <c r="CD280" s="110"/>
      <c r="CE280" s="46" t="s">
        <v>5</v>
      </c>
      <c r="CF280" s="103">
        <v>18</v>
      </c>
      <c r="CG280" s="103">
        <v>107</v>
      </c>
      <c r="CH280" s="103">
        <v>319</v>
      </c>
      <c r="CI280" s="103">
        <v>610</v>
      </c>
      <c r="CJ280" s="103">
        <v>295</v>
      </c>
      <c r="CK280" s="103">
        <v>187</v>
      </c>
      <c r="CL280" s="103">
        <v>55</v>
      </c>
      <c r="CM280" s="103">
        <v>12</v>
      </c>
      <c r="CN280" s="103">
        <v>4</v>
      </c>
      <c r="CO280" s="103">
        <v>1</v>
      </c>
      <c r="CQ280" s="110"/>
      <c r="CR280" s="46" t="s">
        <v>5</v>
      </c>
      <c r="CS280" s="103">
        <v>6</v>
      </c>
      <c r="CT280" s="103">
        <v>13</v>
      </c>
      <c r="CU280" s="103">
        <v>51</v>
      </c>
      <c r="CV280" s="103">
        <v>69</v>
      </c>
      <c r="CW280" s="103">
        <v>42</v>
      </c>
      <c r="CX280" s="103">
        <v>24</v>
      </c>
      <c r="CY280" s="103">
        <v>10</v>
      </c>
      <c r="CZ280" s="103">
        <v>4</v>
      </c>
      <c r="DA280" s="103">
        <v>2</v>
      </c>
      <c r="DB280" s="103">
        <v>0</v>
      </c>
      <c r="DC280" s="42"/>
      <c r="DD280" s="110"/>
      <c r="DE280" s="46" t="s">
        <v>5</v>
      </c>
      <c r="DF280" s="103">
        <v>23</v>
      </c>
      <c r="DG280" s="103">
        <v>139</v>
      </c>
      <c r="DH280" s="103">
        <v>506</v>
      </c>
      <c r="DI280" s="103">
        <v>849</v>
      </c>
      <c r="DJ280" s="103">
        <v>387</v>
      </c>
      <c r="DK280" s="103">
        <v>227</v>
      </c>
      <c r="DL280" s="103">
        <v>63</v>
      </c>
      <c r="DM280" s="103">
        <v>13</v>
      </c>
      <c r="DN280" s="103">
        <v>3</v>
      </c>
      <c r="DO280" s="103">
        <v>4</v>
      </c>
    </row>
    <row r="281" spans="2:119" ht="14.45" customHeight="1" x14ac:dyDescent="0.45">
      <c r="B281" s="134"/>
      <c r="C281" s="42"/>
      <c r="D281" s="110"/>
      <c r="E281" s="46" t="s">
        <v>6</v>
      </c>
      <c r="F281" s="103">
        <v>42</v>
      </c>
      <c r="G281" s="103">
        <v>201</v>
      </c>
      <c r="H281" s="103">
        <v>832</v>
      </c>
      <c r="I281" s="103">
        <v>1462</v>
      </c>
      <c r="J281" s="103">
        <v>998</v>
      </c>
      <c r="K281" s="103">
        <v>679</v>
      </c>
      <c r="L281" s="103">
        <v>313</v>
      </c>
      <c r="M281" s="103">
        <v>92</v>
      </c>
      <c r="N281" s="103">
        <v>21</v>
      </c>
      <c r="O281" s="103">
        <v>3</v>
      </c>
      <c r="P281" s="42"/>
      <c r="Q281" s="110"/>
      <c r="R281" s="46" t="s">
        <v>6</v>
      </c>
      <c r="S281" s="103">
        <v>13</v>
      </c>
      <c r="T281" s="103">
        <v>64</v>
      </c>
      <c r="U281" s="103">
        <v>355</v>
      </c>
      <c r="V281" s="103">
        <v>837</v>
      </c>
      <c r="W281" s="103">
        <v>681</v>
      </c>
      <c r="X281" s="103">
        <v>500</v>
      </c>
      <c r="Y281" s="103">
        <v>270</v>
      </c>
      <c r="Z281" s="103">
        <v>72</v>
      </c>
      <c r="AA281" s="103">
        <v>19</v>
      </c>
      <c r="AB281" s="103">
        <v>2</v>
      </c>
      <c r="AC281" s="42"/>
      <c r="AD281" s="110"/>
      <c r="AE281" s="46" t="s">
        <v>6</v>
      </c>
      <c r="AF281" s="103">
        <v>29</v>
      </c>
      <c r="AG281" s="103">
        <v>137</v>
      </c>
      <c r="AH281" s="103">
        <v>477</v>
      </c>
      <c r="AI281" s="103">
        <v>625</v>
      </c>
      <c r="AJ281" s="103">
        <v>317</v>
      </c>
      <c r="AK281" s="103">
        <v>179</v>
      </c>
      <c r="AL281" s="103">
        <v>43</v>
      </c>
      <c r="AM281" s="103">
        <v>20</v>
      </c>
      <c r="AN281" s="103">
        <v>2</v>
      </c>
      <c r="AO281" s="103">
        <v>1</v>
      </c>
      <c r="AP281" s="6"/>
      <c r="AQ281" s="110"/>
      <c r="AR281" s="46" t="s">
        <v>6</v>
      </c>
      <c r="AS281" s="103">
        <v>26</v>
      </c>
      <c r="AT281" s="103">
        <v>115</v>
      </c>
      <c r="AU281" s="103">
        <v>334</v>
      </c>
      <c r="AV281" s="103">
        <v>526</v>
      </c>
      <c r="AW281" s="103">
        <v>285</v>
      </c>
      <c r="AX281" s="103">
        <v>157</v>
      </c>
      <c r="AY281" s="103">
        <v>65</v>
      </c>
      <c r="AZ281" s="103">
        <v>14</v>
      </c>
      <c r="BA281" s="103">
        <v>0</v>
      </c>
      <c r="BB281" s="103">
        <v>1</v>
      </c>
      <c r="BC281" s="42"/>
      <c r="BD281" s="110"/>
      <c r="BE281" s="46" t="s">
        <v>6</v>
      </c>
      <c r="BF281" s="103">
        <v>16</v>
      </c>
      <c r="BG281" s="103">
        <v>86</v>
      </c>
      <c r="BH281" s="103">
        <v>498</v>
      </c>
      <c r="BI281" s="103">
        <v>936</v>
      </c>
      <c r="BJ281" s="103">
        <v>713</v>
      </c>
      <c r="BK281" s="103">
        <v>522</v>
      </c>
      <c r="BL281" s="103">
        <v>248</v>
      </c>
      <c r="BM281" s="103">
        <v>78</v>
      </c>
      <c r="BN281" s="103">
        <v>21</v>
      </c>
      <c r="BO281" s="103">
        <v>2</v>
      </c>
      <c r="BQ281" s="110"/>
      <c r="BR281" s="46" t="s">
        <v>6</v>
      </c>
      <c r="BS281" s="103">
        <v>17</v>
      </c>
      <c r="BT281" s="103">
        <v>60</v>
      </c>
      <c r="BU281" s="103">
        <v>232</v>
      </c>
      <c r="BV281" s="103">
        <v>320</v>
      </c>
      <c r="BW281" s="103">
        <v>200</v>
      </c>
      <c r="BX281" s="103">
        <v>93</v>
      </c>
      <c r="BY281" s="103">
        <v>49</v>
      </c>
      <c r="BZ281" s="103">
        <v>24</v>
      </c>
      <c r="CA281" s="103">
        <v>2</v>
      </c>
      <c r="CB281" s="103">
        <v>2</v>
      </c>
      <c r="CC281" s="42"/>
      <c r="CD281" s="110"/>
      <c r="CE281" s="46" t="s">
        <v>6</v>
      </c>
      <c r="CF281" s="103">
        <v>25</v>
      </c>
      <c r="CG281" s="103">
        <v>141</v>
      </c>
      <c r="CH281" s="103">
        <v>600</v>
      </c>
      <c r="CI281" s="103">
        <v>1142</v>
      </c>
      <c r="CJ281" s="103">
        <v>798</v>
      </c>
      <c r="CK281" s="103">
        <v>586</v>
      </c>
      <c r="CL281" s="103">
        <v>264</v>
      </c>
      <c r="CM281" s="103">
        <v>68</v>
      </c>
      <c r="CN281" s="103">
        <v>19</v>
      </c>
      <c r="CO281" s="103">
        <v>1</v>
      </c>
      <c r="CQ281" s="110"/>
      <c r="CR281" s="46" t="s">
        <v>6</v>
      </c>
      <c r="CS281" s="103">
        <v>3</v>
      </c>
      <c r="CT281" s="103">
        <v>18</v>
      </c>
      <c r="CU281" s="103">
        <v>55</v>
      </c>
      <c r="CV281" s="103">
        <v>122</v>
      </c>
      <c r="CW281" s="103">
        <v>99</v>
      </c>
      <c r="CX281" s="103">
        <v>63</v>
      </c>
      <c r="CY281" s="103">
        <v>30</v>
      </c>
      <c r="CZ281" s="103">
        <v>8</v>
      </c>
      <c r="DA281" s="103">
        <v>3</v>
      </c>
      <c r="DB281" s="103">
        <v>0</v>
      </c>
      <c r="DC281" s="42"/>
      <c r="DD281" s="110"/>
      <c r="DE281" s="46" t="s">
        <v>6</v>
      </c>
      <c r="DF281" s="103">
        <v>39</v>
      </c>
      <c r="DG281" s="103">
        <v>183</v>
      </c>
      <c r="DH281" s="103">
        <v>777</v>
      </c>
      <c r="DI281" s="103">
        <v>1340</v>
      </c>
      <c r="DJ281" s="103">
        <v>899</v>
      </c>
      <c r="DK281" s="103">
        <v>616</v>
      </c>
      <c r="DL281" s="103">
        <v>283</v>
      </c>
      <c r="DM281" s="103">
        <v>84</v>
      </c>
      <c r="DN281" s="103">
        <v>18</v>
      </c>
      <c r="DO281" s="103">
        <v>3</v>
      </c>
    </row>
    <row r="282" spans="2:119" ht="14.45" customHeight="1" x14ac:dyDescent="0.45">
      <c r="B282" s="134"/>
      <c r="C282" s="42"/>
      <c r="D282" s="110"/>
      <c r="E282" s="46" t="s">
        <v>7</v>
      </c>
      <c r="F282" s="103">
        <v>56</v>
      </c>
      <c r="G282" s="103">
        <v>253</v>
      </c>
      <c r="H282" s="103">
        <v>958</v>
      </c>
      <c r="I282" s="103">
        <v>2119</v>
      </c>
      <c r="J282" s="103">
        <v>1653</v>
      </c>
      <c r="K282" s="103">
        <v>1478</v>
      </c>
      <c r="L282" s="103">
        <v>838</v>
      </c>
      <c r="M282" s="103">
        <v>293</v>
      </c>
      <c r="N282" s="103">
        <v>95</v>
      </c>
      <c r="O282" s="103">
        <v>12</v>
      </c>
      <c r="P282" s="42"/>
      <c r="Q282" s="110"/>
      <c r="R282" s="46" t="s">
        <v>7</v>
      </c>
      <c r="S282" s="103">
        <v>23</v>
      </c>
      <c r="T282" s="103">
        <v>75</v>
      </c>
      <c r="U282" s="103">
        <v>361</v>
      </c>
      <c r="V282" s="103">
        <v>1139</v>
      </c>
      <c r="W282" s="103">
        <v>1073</v>
      </c>
      <c r="X282" s="103">
        <v>1127</v>
      </c>
      <c r="Y282" s="103">
        <v>671</v>
      </c>
      <c r="Z282" s="103">
        <v>255</v>
      </c>
      <c r="AA282" s="103">
        <v>88</v>
      </c>
      <c r="AB282" s="103">
        <v>10</v>
      </c>
      <c r="AC282" s="42"/>
      <c r="AD282" s="110"/>
      <c r="AE282" s="46" t="s">
        <v>7</v>
      </c>
      <c r="AF282" s="103">
        <v>33</v>
      </c>
      <c r="AG282" s="103">
        <v>178</v>
      </c>
      <c r="AH282" s="103">
        <v>597</v>
      </c>
      <c r="AI282" s="103">
        <v>980</v>
      </c>
      <c r="AJ282" s="103">
        <v>580</v>
      </c>
      <c r="AK282" s="103">
        <v>351</v>
      </c>
      <c r="AL282" s="103">
        <v>167</v>
      </c>
      <c r="AM282" s="103">
        <v>38</v>
      </c>
      <c r="AN282" s="103">
        <v>7</v>
      </c>
      <c r="AO282" s="103">
        <v>2</v>
      </c>
      <c r="AP282" s="6"/>
      <c r="AQ282" s="110"/>
      <c r="AR282" s="46" t="s">
        <v>7</v>
      </c>
      <c r="AS282" s="103">
        <v>32</v>
      </c>
      <c r="AT282" s="103">
        <v>125</v>
      </c>
      <c r="AU282" s="103">
        <v>406</v>
      </c>
      <c r="AV282" s="103">
        <v>704</v>
      </c>
      <c r="AW282" s="103">
        <v>468</v>
      </c>
      <c r="AX282" s="103">
        <v>356</v>
      </c>
      <c r="AY282" s="103">
        <v>134</v>
      </c>
      <c r="AZ282" s="103">
        <v>42</v>
      </c>
      <c r="BA282" s="103">
        <v>11</v>
      </c>
      <c r="BB282" s="103">
        <v>3</v>
      </c>
      <c r="BC282" s="42"/>
      <c r="BD282" s="110"/>
      <c r="BE282" s="46" t="s">
        <v>7</v>
      </c>
      <c r="BF282" s="103">
        <v>24</v>
      </c>
      <c r="BG282" s="103">
        <v>128</v>
      </c>
      <c r="BH282" s="103">
        <v>552</v>
      </c>
      <c r="BI282" s="103">
        <v>1415</v>
      </c>
      <c r="BJ282" s="103">
        <v>1185</v>
      </c>
      <c r="BK282" s="103">
        <v>1122</v>
      </c>
      <c r="BL282" s="103">
        <v>704</v>
      </c>
      <c r="BM282" s="103">
        <v>251</v>
      </c>
      <c r="BN282" s="103">
        <v>84</v>
      </c>
      <c r="BO282" s="103">
        <v>9</v>
      </c>
      <c r="BQ282" s="110"/>
      <c r="BR282" s="46" t="s">
        <v>7</v>
      </c>
      <c r="BS282" s="103">
        <v>10</v>
      </c>
      <c r="BT282" s="103">
        <v>72</v>
      </c>
      <c r="BU282" s="103">
        <v>193</v>
      </c>
      <c r="BV282" s="103">
        <v>332</v>
      </c>
      <c r="BW282" s="103">
        <v>207</v>
      </c>
      <c r="BX282" s="103">
        <v>144</v>
      </c>
      <c r="BY282" s="103">
        <v>79</v>
      </c>
      <c r="BZ282" s="103">
        <v>23</v>
      </c>
      <c r="CA282" s="103">
        <v>8</v>
      </c>
      <c r="CB282" s="103">
        <v>0</v>
      </c>
      <c r="CC282" s="42"/>
      <c r="CD282" s="110"/>
      <c r="CE282" s="46" t="s">
        <v>7</v>
      </c>
      <c r="CF282" s="103">
        <v>46</v>
      </c>
      <c r="CG282" s="103">
        <v>181</v>
      </c>
      <c r="CH282" s="103">
        <v>765</v>
      </c>
      <c r="CI282" s="103">
        <v>1787</v>
      </c>
      <c r="CJ282" s="103">
        <v>1446</v>
      </c>
      <c r="CK282" s="103">
        <v>1334</v>
      </c>
      <c r="CL282" s="103">
        <v>759</v>
      </c>
      <c r="CM282" s="103">
        <v>270</v>
      </c>
      <c r="CN282" s="103">
        <v>87</v>
      </c>
      <c r="CO282" s="103">
        <v>12</v>
      </c>
      <c r="CQ282" s="110"/>
      <c r="CR282" s="46" t="s">
        <v>7</v>
      </c>
      <c r="CS282" s="103">
        <v>8</v>
      </c>
      <c r="CT282" s="103">
        <v>15</v>
      </c>
      <c r="CU282" s="103">
        <v>73</v>
      </c>
      <c r="CV282" s="103">
        <v>135</v>
      </c>
      <c r="CW282" s="103">
        <v>130</v>
      </c>
      <c r="CX282" s="103">
        <v>141</v>
      </c>
      <c r="CY282" s="103">
        <v>87</v>
      </c>
      <c r="CZ282" s="103">
        <v>30</v>
      </c>
      <c r="DA282" s="103">
        <v>20</v>
      </c>
      <c r="DB282" s="103">
        <v>3</v>
      </c>
      <c r="DC282" s="42"/>
      <c r="DD282" s="110"/>
      <c r="DE282" s="46" t="s">
        <v>7</v>
      </c>
      <c r="DF282" s="103">
        <v>48</v>
      </c>
      <c r="DG282" s="103">
        <v>238</v>
      </c>
      <c r="DH282" s="103">
        <v>885</v>
      </c>
      <c r="DI282" s="103">
        <v>1984</v>
      </c>
      <c r="DJ282" s="103">
        <v>1523</v>
      </c>
      <c r="DK282" s="103">
        <v>1337</v>
      </c>
      <c r="DL282" s="103">
        <v>751</v>
      </c>
      <c r="DM282" s="103">
        <v>263</v>
      </c>
      <c r="DN282" s="103">
        <v>75</v>
      </c>
      <c r="DO282" s="103">
        <v>9</v>
      </c>
    </row>
    <row r="283" spans="2:119" ht="14.45" customHeight="1" x14ac:dyDescent="0.45">
      <c r="B283" s="134"/>
      <c r="C283" s="42"/>
      <c r="D283" s="110"/>
      <c r="E283" s="46" t="s">
        <v>8</v>
      </c>
      <c r="F283" s="103">
        <v>34</v>
      </c>
      <c r="G283" s="103">
        <v>190</v>
      </c>
      <c r="H283" s="103">
        <v>632</v>
      </c>
      <c r="I283" s="103">
        <v>1702</v>
      </c>
      <c r="J283" s="103">
        <v>1707</v>
      </c>
      <c r="K283" s="103">
        <v>1920</v>
      </c>
      <c r="L283" s="103">
        <v>1468</v>
      </c>
      <c r="M283" s="103">
        <v>699</v>
      </c>
      <c r="N283" s="103">
        <v>311</v>
      </c>
      <c r="O283" s="103">
        <v>67</v>
      </c>
      <c r="P283" s="42"/>
      <c r="Q283" s="110"/>
      <c r="R283" s="46" t="s">
        <v>8</v>
      </c>
      <c r="S283" s="103">
        <v>12</v>
      </c>
      <c r="T283" s="103">
        <v>45</v>
      </c>
      <c r="U283" s="103">
        <v>203</v>
      </c>
      <c r="V283" s="103">
        <v>741</v>
      </c>
      <c r="W283" s="103">
        <v>946</v>
      </c>
      <c r="X283" s="103">
        <v>1385</v>
      </c>
      <c r="Y283" s="103">
        <v>1179</v>
      </c>
      <c r="Z283" s="103">
        <v>598</v>
      </c>
      <c r="AA283" s="103">
        <v>280</v>
      </c>
      <c r="AB283" s="103">
        <v>61</v>
      </c>
      <c r="AC283" s="42"/>
      <c r="AD283" s="110"/>
      <c r="AE283" s="46" t="s">
        <v>8</v>
      </c>
      <c r="AF283" s="103">
        <v>22</v>
      </c>
      <c r="AG283" s="103">
        <v>145</v>
      </c>
      <c r="AH283" s="103">
        <v>429</v>
      </c>
      <c r="AI283" s="103">
        <v>961</v>
      </c>
      <c r="AJ283" s="103">
        <v>761</v>
      </c>
      <c r="AK283" s="103">
        <v>535</v>
      </c>
      <c r="AL283" s="103">
        <v>289</v>
      </c>
      <c r="AM283" s="103">
        <v>101</v>
      </c>
      <c r="AN283" s="103">
        <v>31</v>
      </c>
      <c r="AO283" s="103">
        <v>6</v>
      </c>
      <c r="AP283" s="6"/>
      <c r="AQ283" s="110"/>
      <c r="AR283" s="46" t="s">
        <v>8</v>
      </c>
      <c r="AS283" s="103">
        <v>23</v>
      </c>
      <c r="AT283" s="103">
        <v>76</v>
      </c>
      <c r="AU283" s="103">
        <v>262</v>
      </c>
      <c r="AV283" s="103">
        <v>520</v>
      </c>
      <c r="AW283" s="103">
        <v>422</v>
      </c>
      <c r="AX283" s="103">
        <v>401</v>
      </c>
      <c r="AY283" s="103">
        <v>259</v>
      </c>
      <c r="AZ283" s="103">
        <v>97</v>
      </c>
      <c r="BA283" s="103">
        <v>23</v>
      </c>
      <c r="BB283" s="103">
        <v>9</v>
      </c>
      <c r="BC283" s="42"/>
      <c r="BD283" s="110"/>
      <c r="BE283" s="46" t="s">
        <v>8</v>
      </c>
      <c r="BF283" s="103">
        <v>11</v>
      </c>
      <c r="BG283" s="103">
        <v>114</v>
      </c>
      <c r="BH283" s="103">
        <v>370</v>
      </c>
      <c r="BI283" s="103">
        <v>1182</v>
      </c>
      <c r="BJ283" s="103">
        <v>1285</v>
      </c>
      <c r="BK283" s="103">
        <v>1519</v>
      </c>
      <c r="BL283" s="103">
        <v>1209</v>
      </c>
      <c r="BM283" s="103">
        <v>602</v>
      </c>
      <c r="BN283" s="103">
        <v>288</v>
      </c>
      <c r="BO283" s="103">
        <v>58</v>
      </c>
      <c r="BQ283" s="110"/>
      <c r="BR283" s="46" t="s">
        <v>8</v>
      </c>
      <c r="BS283" s="103">
        <v>5</v>
      </c>
      <c r="BT283" s="103">
        <v>35</v>
      </c>
      <c r="BU283" s="103">
        <v>95</v>
      </c>
      <c r="BV283" s="103">
        <v>219</v>
      </c>
      <c r="BW283" s="103">
        <v>178</v>
      </c>
      <c r="BX283" s="103">
        <v>130</v>
      </c>
      <c r="BY283" s="103">
        <v>84</v>
      </c>
      <c r="BZ283" s="103">
        <v>32</v>
      </c>
      <c r="CA283" s="103">
        <v>11</v>
      </c>
      <c r="CB283" s="103">
        <v>3</v>
      </c>
      <c r="CC283" s="42"/>
      <c r="CD283" s="110"/>
      <c r="CE283" s="46" t="s">
        <v>8</v>
      </c>
      <c r="CF283" s="103">
        <v>29</v>
      </c>
      <c r="CG283" s="103">
        <v>155</v>
      </c>
      <c r="CH283" s="103">
        <v>537</v>
      </c>
      <c r="CI283" s="103">
        <v>1483</v>
      </c>
      <c r="CJ283" s="103">
        <v>1529</v>
      </c>
      <c r="CK283" s="103">
        <v>1790</v>
      </c>
      <c r="CL283" s="103">
        <v>1384</v>
      </c>
      <c r="CM283" s="103">
        <v>667</v>
      </c>
      <c r="CN283" s="103">
        <v>300</v>
      </c>
      <c r="CO283" s="103">
        <v>64</v>
      </c>
      <c r="CQ283" s="110"/>
      <c r="CR283" s="46" t="s">
        <v>8</v>
      </c>
      <c r="CS283" s="103">
        <v>4</v>
      </c>
      <c r="CT283" s="103">
        <v>7</v>
      </c>
      <c r="CU283" s="103">
        <v>41</v>
      </c>
      <c r="CV283" s="103">
        <v>130</v>
      </c>
      <c r="CW283" s="103">
        <v>114</v>
      </c>
      <c r="CX283" s="103">
        <v>129</v>
      </c>
      <c r="CY283" s="103">
        <v>135</v>
      </c>
      <c r="CZ283" s="103">
        <v>48</v>
      </c>
      <c r="DA283" s="103">
        <v>36</v>
      </c>
      <c r="DB283" s="103">
        <v>9</v>
      </c>
      <c r="DC283" s="42"/>
      <c r="DD283" s="110"/>
      <c r="DE283" s="46" t="s">
        <v>8</v>
      </c>
      <c r="DF283" s="103">
        <v>30</v>
      </c>
      <c r="DG283" s="103">
        <v>183</v>
      </c>
      <c r="DH283" s="103">
        <v>591</v>
      </c>
      <c r="DI283" s="103">
        <v>1572</v>
      </c>
      <c r="DJ283" s="103">
        <v>1593</v>
      </c>
      <c r="DK283" s="103">
        <v>1791</v>
      </c>
      <c r="DL283" s="103">
        <v>1333</v>
      </c>
      <c r="DM283" s="103">
        <v>651</v>
      </c>
      <c r="DN283" s="103">
        <v>275</v>
      </c>
      <c r="DO283" s="103">
        <v>58</v>
      </c>
    </row>
    <row r="284" spans="2:119" ht="14.45" customHeight="1" x14ac:dyDescent="0.45">
      <c r="B284" s="134"/>
      <c r="C284" s="42"/>
      <c r="D284" s="110"/>
      <c r="E284" s="46" t="s">
        <v>9</v>
      </c>
      <c r="F284" s="103">
        <v>15</v>
      </c>
      <c r="G284" s="103">
        <v>72</v>
      </c>
      <c r="H284" s="103">
        <v>286</v>
      </c>
      <c r="I284" s="103">
        <v>944</v>
      </c>
      <c r="J284" s="103">
        <v>1044</v>
      </c>
      <c r="K284" s="103">
        <v>1553</v>
      </c>
      <c r="L284" s="103">
        <v>1729</v>
      </c>
      <c r="M284" s="103">
        <v>1086</v>
      </c>
      <c r="N284" s="103">
        <v>635</v>
      </c>
      <c r="O284" s="103">
        <v>248</v>
      </c>
      <c r="P284" s="42"/>
      <c r="Q284" s="110"/>
      <c r="R284" s="46" t="s">
        <v>9</v>
      </c>
      <c r="S284" s="103">
        <v>3</v>
      </c>
      <c r="T284" s="103">
        <v>19</v>
      </c>
      <c r="U284" s="103">
        <v>70</v>
      </c>
      <c r="V284" s="103">
        <v>331</v>
      </c>
      <c r="W284" s="103">
        <v>505</v>
      </c>
      <c r="X284" s="103">
        <v>926</v>
      </c>
      <c r="Y284" s="103">
        <v>1273</v>
      </c>
      <c r="Z284" s="103">
        <v>896</v>
      </c>
      <c r="AA284" s="103">
        <v>552</v>
      </c>
      <c r="AB284" s="103">
        <v>221</v>
      </c>
      <c r="AC284" s="42"/>
      <c r="AD284" s="110"/>
      <c r="AE284" s="46" t="s">
        <v>9</v>
      </c>
      <c r="AF284" s="103">
        <v>12</v>
      </c>
      <c r="AG284" s="103">
        <v>53</v>
      </c>
      <c r="AH284" s="103">
        <v>216</v>
      </c>
      <c r="AI284" s="103">
        <v>613</v>
      </c>
      <c r="AJ284" s="103">
        <v>539</v>
      </c>
      <c r="AK284" s="103">
        <v>627</v>
      </c>
      <c r="AL284" s="103">
        <v>456</v>
      </c>
      <c r="AM284" s="103">
        <v>190</v>
      </c>
      <c r="AN284" s="103">
        <v>83</v>
      </c>
      <c r="AO284" s="103">
        <v>27</v>
      </c>
      <c r="AP284" s="6"/>
      <c r="AQ284" s="110"/>
      <c r="AR284" s="46" t="s">
        <v>9</v>
      </c>
      <c r="AS284" s="103">
        <v>9</v>
      </c>
      <c r="AT284" s="103">
        <v>34</v>
      </c>
      <c r="AU284" s="103">
        <v>98</v>
      </c>
      <c r="AV284" s="103">
        <v>265</v>
      </c>
      <c r="AW284" s="103">
        <v>241</v>
      </c>
      <c r="AX284" s="103">
        <v>268</v>
      </c>
      <c r="AY284" s="103">
        <v>254</v>
      </c>
      <c r="AZ284" s="103">
        <v>133</v>
      </c>
      <c r="BA284" s="103">
        <v>60</v>
      </c>
      <c r="BB284" s="103">
        <v>17</v>
      </c>
      <c r="BC284" s="42"/>
      <c r="BD284" s="110"/>
      <c r="BE284" s="46" t="s">
        <v>9</v>
      </c>
      <c r="BF284" s="103">
        <v>6</v>
      </c>
      <c r="BG284" s="103">
        <v>38</v>
      </c>
      <c r="BH284" s="103">
        <v>188</v>
      </c>
      <c r="BI284" s="103">
        <v>679</v>
      </c>
      <c r="BJ284" s="103">
        <v>803</v>
      </c>
      <c r="BK284" s="103">
        <v>1285</v>
      </c>
      <c r="BL284" s="103">
        <v>1475</v>
      </c>
      <c r="BM284" s="103">
        <v>953</v>
      </c>
      <c r="BN284" s="103">
        <v>575</v>
      </c>
      <c r="BO284" s="103">
        <v>231</v>
      </c>
      <c r="BQ284" s="110"/>
      <c r="BR284" s="46" t="s">
        <v>9</v>
      </c>
      <c r="BS284" s="103">
        <v>2</v>
      </c>
      <c r="BT284" s="103">
        <v>12</v>
      </c>
      <c r="BU284" s="103">
        <v>38</v>
      </c>
      <c r="BV284" s="103">
        <v>91</v>
      </c>
      <c r="BW284" s="103">
        <v>69</v>
      </c>
      <c r="BX284" s="103">
        <v>106</v>
      </c>
      <c r="BY284" s="103">
        <v>82</v>
      </c>
      <c r="BZ284" s="103">
        <v>42</v>
      </c>
      <c r="CA284" s="103">
        <v>27</v>
      </c>
      <c r="CB284" s="103">
        <v>10</v>
      </c>
      <c r="CC284" s="42"/>
      <c r="CD284" s="110"/>
      <c r="CE284" s="46" t="s">
        <v>9</v>
      </c>
      <c r="CF284" s="103">
        <v>13</v>
      </c>
      <c r="CG284" s="103">
        <v>60</v>
      </c>
      <c r="CH284" s="103">
        <v>248</v>
      </c>
      <c r="CI284" s="103">
        <v>853</v>
      </c>
      <c r="CJ284" s="103">
        <v>975</v>
      </c>
      <c r="CK284" s="103">
        <v>1447</v>
      </c>
      <c r="CL284" s="103">
        <v>1647</v>
      </c>
      <c r="CM284" s="103">
        <v>1044</v>
      </c>
      <c r="CN284" s="103">
        <v>608</v>
      </c>
      <c r="CO284" s="103">
        <v>238</v>
      </c>
      <c r="CQ284" s="110"/>
      <c r="CR284" s="46" t="s">
        <v>9</v>
      </c>
      <c r="CS284" s="103">
        <v>1</v>
      </c>
      <c r="CT284" s="103">
        <v>3</v>
      </c>
      <c r="CU284" s="103">
        <v>25</v>
      </c>
      <c r="CV284" s="103">
        <v>70</v>
      </c>
      <c r="CW284" s="103">
        <v>56</v>
      </c>
      <c r="CX284" s="103">
        <v>78</v>
      </c>
      <c r="CY284" s="103">
        <v>126</v>
      </c>
      <c r="CZ284" s="103">
        <v>77</v>
      </c>
      <c r="DA284" s="103">
        <v>60</v>
      </c>
      <c r="DB284" s="103">
        <v>28</v>
      </c>
      <c r="DC284" s="42"/>
      <c r="DD284" s="110"/>
      <c r="DE284" s="46" t="s">
        <v>9</v>
      </c>
      <c r="DF284" s="103">
        <v>14</v>
      </c>
      <c r="DG284" s="103">
        <v>69</v>
      </c>
      <c r="DH284" s="103">
        <v>261</v>
      </c>
      <c r="DI284" s="103">
        <v>874</v>
      </c>
      <c r="DJ284" s="103">
        <v>988</v>
      </c>
      <c r="DK284" s="103">
        <v>1475</v>
      </c>
      <c r="DL284" s="103">
        <v>1603</v>
      </c>
      <c r="DM284" s="103">
        <v>1009</v>
      </c>
      <c r="DN284" s="103">
        <v>575</v>
      </c>
      <c r="DO284" s="103">
        <v>220</v>
      </c>
    </row>
    <row r="285" spans="2:119" ht="14.45" customHeight="1" x14ac:dyDescent="0.45">
      <c r="B285" s="134"/>
      <c r="C285" s="42"/>
      <c r="D285" s="110"/>
      <c r="E285" s="46" t="s">
        <v>10</v>
      </c>
      <c r="F285" s="103">
        <v>6</v>
      </c>
      <c r="G285" s="103">
        <v>26</v>
      </c>
      <c r="H285" s="103">
        <v>86</v>
      </c>
      <c r="I285" s="103">
        <v>290</v>
      </c>
      <c r="J285" s="103">
        <v>405</v>
      </c>
      <c r="K285" s="103">
        <v>855</v>
      </c>
      <c r="L285" s="103">
        <v>1129</v>
      </c>
      <c r="M285" s="103">
        <v>1053</v>
      </c>
      <c r="N285" s="103">
        <v>911</v>
      </c>
      <c r="O285" s="103">
        <v>531</v>
      </c>
      <c r="P285" s="42"/>
      <c r="Q285" s="110"/>
      <c r="R285" s="46" t="s">
        <v>10</v>
      </c>
      <c r="S285" s="103">
        <v>1</v>
      </c>
      <c r="T285" s="103">
        <v>6</v>
      </c>
      <c r="U285" s="103">
        <v>14</v>
      </c>
      <c r="V285" s="103">
        <v>91</v>
      </c>
      <c r="W285" s="103">
        <v>129</v>
      </c>
      <c r="X285" s="103">
        <v>401</v>
      </c>
      <c r="Y285" s="103">
        <v>698</v>
      </c>
      <c r="Z285" s="103">
        <v>783</v>
      </c>
      <c r="AA285" s="103">
        <v>742</v>
      </c>
      <c r="AB285" s="103">
        <v>475</v>
      </c>
      <c r="AC285" s="42"/>
      <c r="AD285" s="110"/>
      <c r="AE285" s="46" t="s">
        <v>10</v>
      </c>
      <c r="AF285" s="103">
        <v>5</v>
      </c>
      <c r="AG285" s="103">
        <v>20</v>
      </c>
      <c r="AH285" s="103">
        <v>72</v>
      </c>
      <c r="AI285" s="103">
        <v>199</v>
      </c>
      <c r="AJ285" s="103">
        <v>276</v>
      </c>
      <c r="AK285" s="103">
        <v>454</v>
      </c>
      <c r="AL285" s="103">
        <v>431</v>
      </c>
      <c r="AM285" s="103">
        <v>270</v>
      </c>
      <c r="AN285" s="103">
        <v>169</v>
      </c>
      <c r="AO285" s="103">
        <v>56</v>
      </c>
      <c r="AP285" s="6"/>
      <c r="AQ285" s="110"/>
      <c r="AR285" s="46" t="s">
        <v>10</v>
      </c>
      <c r="AS285" s="103">
        <v>2</v>
      </c>
      <c r="AT285" s="103">
        <v>12</v>
      </c>
      <c r="AU285" s="103">
        <v>26</v>
      </c>
      <c r="AV285" s="103">
        <v>67</v>
      </c>
      <c r="AW285" s="103">
        <v>82</v>
      </c>
      <c r="AX285" s="103">
        <v>138</v>
      </c>
      <c r="AY285" s="103">
        <v>149</v>
      </c>
      <c r="AZ285" s="103">
        <v>101</v>
      </c>
      <c r="BA285" s="103">
        <v>75</v>
      </c>
      <c r="BB285" s="103">
        <v>24</v>
      </c>
      <c r="BC285" s="42"/>
      <c r="BD285" s="110"/>
      <c r="BE285" s="46" t="s">
        <v>10</v>
      </c>
      <c r="BF285" s="103">
        <v>4</v>
      </c>
      <c r="BG285" s="103">
        <v>14</v>
      </c>
      <c r="BH285" s="103">
        <v>60</v>
      </c>
      <c r="BI285" s="103">
        <v>223</v>
      </c>
      <c r="BJ285" s="103">
        <v>323</v>
      </c>
      <c r="BK285" s="103">
        <v>717</v>
      </c>
      <c r="BL285" s="103">
        <v>980</v>
      </c>
      <c r="BM285" s="103">
        <v>952</v>
      </c>
      <c r="BN285" s="103">
        <v>836</v>
      </c>
      <c r="BO285" s="103">
        <v>507</v>
      </c>
      <c r="BQ285" s="110"/>
      <c r="BR285" s="46" t="s">
        <v>10</v>
      </c>
      <c r="BS285" s="103">
        <v>0</v>
      </c>
      <c r="BT285" s="103">
        <v>2</v>
      </c>
      <c r="BU285" s="103">
        <v>11</v>
      </c>
      <c r="BV285" s="103">
        <v>31</v>
      </c>
      <c r="BW285" s="103">
        <v>29</v>
      </c>
      <c r="BX285" s="103">
        <v>45</v>
      </c>
      <c r="BY285" s="103">
        <v>46</v>
      </c>
      <c r="BZ285" s="103">
        <v>38</v>
      </c>
      <c r="CA285" s="103">
        <v>24</v>
      </c>
      <c r="CB285" s="103">
        <v>14</v>
      </c>
      <c r="CC285" s="42"/>
      <c r="CD285" s="110"/>
      <c r="CE285" s="46" t="s">
        <v>10</v>
      </c>
      <c r="CF285" s="103">
        <v>6</v>
      </c>
      <c r="CG285" s="103">
        <v>24</v>
      </c>
      <c r="CH285" s="103">
        <v>75</v>
      </c>
      <c r="CI285" s="103">
        <v>259</v>
      </c>
      <c r="CJ285" s="103">
        <v>376</v>
      </c>
      <c r="CK285" s="103">
        <v>810</v>
      </c>
      <c r="CL285" s="103">
        <v>1083</v>
      </c>
      <c r="CM285" s="103">
        <v>1015</v>
      </c>
      <c r="CN285" s="103">
        <v>887</v>
      </c>
      <c r="CO285" s="103">
        <v>517</v>
      </c>
      <c r="CQ285" s="110"/>
      <c r="CR285" s="46" t="s">
        <v>10</v>
      </c>
      <c r="CS285" s="103">
        <v>0</v>
      </c>
      <c r="CT285" s="103">
        <v>2</v>
      </c>
      <c r="CU285" s="103">
        <v>3</v>
      </c>
      <c r="CV285" s="103">
        <v>18</v>
      </c>
      <c r="CW285" s="103">
        <v>23</v>
      </c>
      <c r="CX285" s="103">
        <v>54</v>
      </c>
      <c r="CY285" s="103">
        <v>73</v>
      </c>
      <c r="CZ285" s="103">
        <v>61</v>
      </c>
      <c r="DA285" s="103">
        <v>78</v>
      </c>
      <c r="DB285" s="103">
        <v>57</v>
      </c>
      <c r="DC285" s="42"/>
      <c r="DD285" s="110"/>
      <c r="DE285" s="46" t="s">
        <v>10</v>
      </c>
      <c r="DF285" s="103">
        <v>6</v>
      </c>
      <c r="DG285" s="103">
        <v>24</v>
      </c>
      <c r="DH285" s="103">
        <v>83</v>
      </c>
      <c r="DI285" s="103">
        <v>272</v>
      </c>
      <c r="DJ285" s="103">
        <v>382</v>
      </c>
      <c r="DK285" s="103">
        <v>801</v>
      </c>
      <c r="DL285" s="103">
        <v>1056</v>
      </c>
      <c r="DM285" s="103">
        <v>992</v>
      </c>
      <c r="DN285" s="103">
        <v>833</v>
      </c>
      <c r="DO285" s="103">
        <v>474</v>
      </c>
    </row>
    <row r="286" spans="2:119" ht="14.45" customHeight="1" x14ac:dyDescent="0.45">
      <c r="B286" s="134"/>
      <c r="C286" s="42"/>
      <c r="D286" s="111"/>
      <c r="E286" s="46" t="s">
        <v>11</v>
      </c>
      <c r="F286" s="103">
        <v>0</v>
      </c>
      <c r="G286" s="103">
        <v>0</v>
      </c>
      <c r="H286" s="103">
        <v>2</v>
      </c>
      <c r="I286" s="103">
        <v>17</v>
      </c>
      <c r="J286" s="103">
        <v>21</v>
      </c>
      <c r="K286" s="103">
        <v>76</v>
      </c>
      <c r="L286" s="103">
        <v>149</v>
      </c>
      <c r="M286" s="103">
        <v>210</v>
      </c>
      <c r="N286" s="103">
        <v>209</v>
      </c>
      <c r="O286" s="103">
        <v>267</v>
      </c>
      <c r="P286" s="42"/>
      <c r="Q286" s="111"/>
      <c r="R286" s="46" t="s">
        <v>11</v>
      </c>
      <c r="S286" s="103">
        <v>0</v>
      </c>
      <c r="T286" s="103">
        <v>0</v>
      </c>
      <c r="U286" s="103">
        <v>0</v>
      </c>
      <c r="V286" s="103">
        <v>6</v>
      </c>
      <c r="W286" s="103">
        <v>1</v>
      </c>
      <c r="X286" s="103">
        <v>33</v>
      </c>
      <c r="Y286" s="103">
        <v>82</v>
      </c>
      <c r="Z286" s="103">
        <v>131</v>
      </c>
      <c r="AA286" s="103">
        <v>164</v>
      </c>
      <c r="AB286" s="103">
        <v>237</v>
      </c>
      <c r="AC286" s="42"/>
      <c r="AD286" s="111"/>
      <c r="AE286" s="46" t="s">
        <v>11</v>
      </c>
      <c r="AF286" s="103">
        <v>0</v>
      </c>
      <c r="AG286" s="103">
        <v>0</v>
      </c>
      <c r="AH286" s="103">
        <v>2</v>
      </c>
      <c r="AI286" s="103">
        <v>11</v>
      </c>
      <c r="AJ286" s="103">
        <v>20</v>
      </c>
      <c r="AK286" s="103">
        <v>43</v>
      </c>
      <c r="AL286" s="103">
        <v>67</v>
      </c>
      <c r="AM286" s="103">
        <v>79</v>
      </c>
      <c r="AN286" s="103">
        <v>45</v>
      </c>
      <c r="AO286" s="103">
        <v>30</v>
      </c>
      <c r="AP286" s="6"/>
      <c r="AQ286" s="111"/>
      <c r="AR286" s="46" t="s">
        <v>11</v>
      </c>
      <c r="AS286" s="103">
        <v>0</v>
      </c>
      <c r="AT286" s="103">
        <v>0</v>
      </c>
      <c r="AU286" s="103">
        <v>0</v>
      </c>
      <c r="AV286" s="103">
        <v>5</v>
      </c>
      <c r="AW286" s="103">
        <v>2</v>
      </c>
      <c r="AX286" s="103">
        <v>14</v>
      </c>
      <c r="AY286" s="103">
        <v>16</v>
      </c>
      <c r="AZ286" s="103">
        <v>15</v>
      </c>
      <c r="BA286" s="103">
        <v>14</v>
      </c>
      <c r="BB286" s="103">
        <v>7</v>
      </c>
      <c r="BC286" s="42"/>
      <c r="BD286" s="111"/>
      <c r="BE286" s="46" t="s">
        <v>11</v>
      </c>
      <c r="BF286" s="103">
        <v>0</v>
      </c>
      <c r="BG286" s="103">
        <v>0</v>
      </c>
      <c r="BH286" s="103">
        <v>2</v>
      </c>
      <c r="BI286" s="103">
        <v>12</v>
      </c>
      <c r="BJ286" s="103">
        <v>19</v>
      </c>
      <c r="BK286" s="103">
        <v>62</v>
      </c>
      <c r="BL286" s="103">
        <v>133</v>
      </c>
      <c r="BM286" s="103">
        <v>195</v>
      </c>
      <c r="BN286" s="103">
        <v>195</v>
      </c>
      <c r="BO286" s="103">
        <v>260</v>
      </c>
      <c r="BQ286" s="111"/>
      <c r="BR286" s="46" t="s">
        <v>11</v>
      </c>
      <c r="BS286" s="103">
        <v>0</v>
      </c>
      <c r="BT286" s="103">
        <v>0</v>
      </c>
      <c r="BU286" s="103">
        <v>0</v>
      </c>
      <c r="BV286" s="103">
        <v>1</v>
      </c>
      <c r="BW286" s="103">
        <v>0</v>
      </c>
      <c r="BX286" s="103">
        <v>6</v>
      </c>
      <c r="BY286" s="103">
        <v>6</v>
      </c>
      <c r="BZ286" s="103">
        <v>5</v>
      </c>
      <c r="CA286" s="103">
        <v>7</v>
      </c>
      <c r="CB286" s="103">
        <v>7</v>
      </c>
      <c r="CC286" s="42"/>
      <c r="CD286" s="111"/>
      <c r="CE286" s="46" t="s">
        <v>11</v>
      </c>
      <c r="CF286" s="103">
        <v>0</v>
      </c>
      <c r="CG286" s="103">
        <v>0</v>
      </c>
      <c r="CH286" s="103">
        <v>2</v>
      </c>
      <c r="CI286" s="103">
        <v>16</v>
      </c>
      <c r="CJ286" s="103">
        <v>21</v>
      </c>
      <c r="CK286" s="103">
        <v>70</v>
      </c>
      <c r="CL286" s="103">
        <v>143</v>
      </c>
      <c r="CM286" s="103">
        <v>205</v>
      </c>
      <c r="CN286" s="103">
        <v>202</v>
      </c>
      <c r="CO286" s="103">
        <v>260</v>
      </c>
      <c r="CQ286" s="111"/>
      <c r="CR286" s="46" t="s">
        <v>11</v>
      </c>
      <c r="CS286" s="103">
        <v>0</v>
      </c>
      <c r="CT286" s="103">
        <v>0</v>
      </c>
      <c r="CU286" s="103">
        <v>0</v>
      </c>
      <c r="CV286" s="103">
        <v>1</v>
      </c>
      <c r="CW286" s="103">
        <v>1</v>
      </c>
      <c r="CX286" s="103">
        <v>2</v>
      </c>
      <c r="CY286" s="103">
        <v>11</v>
      </c>
      <c r="CZ286" s="103">
        <v>18</v>
      </c>
      <c r="DA286" s="103">
        <v>17</v>
      </c>
      <c r="DB286" s="103">
        <v>16</v>
      </c>
      <c r="DC286" s="42"/>
      <c r="DD286" s="111"/>
      <c r="DE286" s="46" t="s">
        <v>11</v>
      </c>
      <c r="DF286" s="103">
        <v>0</v>
      </c>
      <c r="DG286" s="103">
        <v>0</v>
      </c>
      <c r="DH286" s="103">
        <v>2</v>
      </c>
      <c r="DI286" s="103">
        <v>16</v>
      </c>
      <c r="DJ286" s="103">
        <v>20</v>
      </c>
      <c r="DK286" s="103">
        <v>74</v>
      </c>
      <c r="DL286" s="103">
        <v>138</v>
      </c>
      <c r="DM286" s="103">
        <v>192</v>
      </c>
      <c r="DN286" s="103">
        <v>192</v>
      </c>
      <c r="DO286" s="103">
        <v>251</v>
      </c>
    </row>
    <row r="287" spans="2:119" ht="14.45" customHeight="1" x14ac:dyDescent="0.45">
      <c r="B287" s="99"/>
      <c r="C287" s="42"/>
      <c r="D287" s="42"/>
      <c r="E287" s="42"/>
      <c r="F287" s="42"/>
      <c r="G287" s="42"/>
      <c r="H287" s="42"/>
      <c r="I287" s="42"/>
      <c r="J287" s="42"/>
      <c r="K287" s="42"/>
      <c r="L287" s="42"/>
      <c r="M287" s="42"/>
      <c r="N287" s="42"/>
      <c r="O287" s="42"/>
      <c r="P287" s="42"/>
      <c r="Q287" s="42"/>
      <c r="R287" s="42"/>
      <c r="S287" s="42"/>
      <c r="T287" s="42"/>
      <c r="U287" s="42"/>
      <c r="V287" s="42"/>
      <c r="W287" s="42"/>
      <c r="X287" s="42"/>
      <c r="Y287" s="42"/>
      <c r="Z287" s="42"/>
      <c r="AA287" s="42"/>
      <c r="AB287" s="42"/>
      <c r="AC287" s="42"/>
      <c r="AD287" s="42"/>
      <c r="AE287" s="42"/>
      <c r="AF287" s="42"/>
      <c r="AG287" s="42"/>
      <c r="AH287" s="42"/>
      <c r="AI287" s="42"/>
      <c r="AJ287" s="42"/>
      <c r="AK287" s="42"/>
      <c r="AL287" s="42"/>
      <c r="AM287" s="42"/>
      <c r="AN287" s="42"/>
      <c r="AO287" s="42"/>
      <c r="AP287" s="6"/>
      <c r="AQ287" s="42"/>
      <c r="AR287" s="42"/>
      <c r="AS287" s="42"/>
      <c r="AT287" s="42"/>
      <c r="AU287" s="42"/>
      <c r="AV287" s="42"/>
      <c r="AW287" s="42"/>
      <c r="AX287" s="42"/>
      <c r="AY287" s="42"/>
      <c r="AZ287" s="42"/>
      <c r="BA287" s="42"/>
      <c r="BB287" s="42"/>
      <c r="BC287" s="42"/>
      <c r="BD287" s="42"/>
      <c r="BE287" s="42"/>
      <c r="BF287" s="42"/>
      <c r="BG287" s="42"/>
      <c r="BH287" s="42"/>
      <c r="BI287" s="42"/>
      <c r="BJ287" s="42"/>
      <c r="BK287" s="42"/>
      <c r="BL287" s="42"/>
      <c r="BM287" s="42"/>
      <c r="BN287" s="42"/>
      <c r="BO287" s="42"/>
      <c r="BQ287" s="42"/>
      <c r="BR287" s="42"/>
      <c r="BS287" s="42"/>
      <c r="BT287" s="42"/>
      <c r="BU287" s="42"/>
      <c r="BV287" s="42"/>
      <c r="BW287" s="42"/>
      <c r="BX287" s="42"/>
      <c r="BY287" s="42"/>
      <c r="BZ287" s="42"/>
      <c r="CA287" s="42"/>
      <c r="CB287" s="42"/>
      <c r="CC287" s="42"/>
      <c r="CD287" s="42"/>
      <c r="CE287" s="42"/>
      <c r="CF287" s="42"/>
      <c r="CG287" s="42"/>
      <c r="CH287" s="42"/>
      <c r="CI287" s="42"/>
      <c r="CJ287" s="42"/>
      <c r="CK287" s="42"/>
      <c r="CL287" s="42"/>
      <c r="CM287" s="42"/>
      <c r="CN287" s="42"/>
      <c r="CO287" s="42"/>
      <c r="CQ287" s="42"/>
      <c r="CR287" s="42"/>
      <c r="CS287" s="42"/>
      <c r="CT287" s="42"/>
      <c r="CU287" s="42"/>
      <c r="CV287" s="42"/>
      <c r="CW287" s="42"/>
      <c r="CX287" s="42"/>
      <c r="CY287" s="42"/>
      <c r="CZ287" s="42"/>
      <c r="DA287" s="42"/>
      <c r="DB287" s="42"/>
      <c r="DC287" s="42"/>
      <c r="DD287" s="42"/>
      <c r="DE287" s="42"/>
      <c r="DF287" s="42"/>
      <c r="DG287" s="42"/>
      <c r="DH287" s="42"/>
      <c r="DI287" s="42"/>
      <c r="DJ287" s="42"/>
      <c r="DK287" s="42"/>
      <c r="DL287" s="42"/>
      <c r="DM287" s="42"/>
      <c r="DN287" s="42"/>
      <c r="DO287" s="42"/>
    </row>
    <row r="288" spans="2:119" ht="14.45" customHeight="1" x14ac:dyDescent="0.55000000000000004">
      <c r="B288" s="99"/>
      <c r="C288" s="42"/>
      <c r="D288" s="112" t="s">
        <v>16</v>
      </c>
      <c r="E288" s="112"/>
      <c r="F288" s="45"/>
      <c r="G288" s="45"/>
      <c r="H288" s="45"/>
      <c r="I288" s="45"/>
      <c r="J288" s="45"/>
      <c r="K288" s="45"/>
      <c r="L288" s="45"/>
      <c r="M288" s="45"/>
      <c r="N288" s="45"/>
      <c r="O288" s="45"/>
      <c r="P288" s="42"/>
      <c r="Q288" s="112" t="s">
        <v>16</v>
      </c>
      <c r="R288" s="112"/>
      <c r="S288" s="45"/>
      <c r="T288" s="45"/>
      <c r="U288" s="45"/>
      <c r="V288" s="45"/>
      <c r="W288" s="45"/>
      <c r="X288" s="45"/>
      <c r="Y288" s="45"/>
      <c r="Z288" s="45"/>
      <c r="AA288" s="45"/>
      <c r="AB288" s="45"/>
      <c r="AC288" s="42"/>
      <c r="AD288" s="112" t="s">
        <v>16</v>
      </c>
      <c r="AE288" s="112"/>
      <c r="AF288" s="45"/>
      <c r="AG288" s="45"/>
      <c r="AH288" s="45"/>
      <c r="AI288" s="45"/>
      <c r="AJ288" s="45"/>
      <c r="AK288" s="45"/>
      <c r="AL288" s="45"/>
      <c r="AM288" s="45"/>
      <c r="AN288" s="45"/>
      <c r="AO288" s="45"/>
      <c r="AP288" s="6"/>
      <c r="AQ288" s="112" t="s">
        <v>16</v>
      </c>
      <c r="AR288" s="112"/>
      <c r="AS288" s="45"/>
      <c r="AT288" s="45"/>
      <c r="AU288" s="45"/>
      <c r="AV288" s="45"/>
      <c r="AW288" s="45"/>
      <c r="AX288" s="45"/>
      <c r="AY288" s="45"/>
      <c r="AZ288" s="45"/>
      <c r="BA288" s="45"/>
      <c r="BB288" s="45"/>
      <c r="BC288" s="42"/>
      <c r="BD288" s="112" t="s">
        <v>16</v>
      </c>
      <c r="BE288" s="112"/>
      <c r="BF288" s="45"/>
      <c r="BG288" s="45"/>
      <c r="BH288" s="45"/>
      <c r="BI288" s="45"/>
      <c r="BJ288" s="45"/>
      <c r="BK288" s="45"/>
      <c r="BL288" s="45"/>
      <c r="BM288" s="45"/>
      <c r="BN288" s="45"/>
      <c r="BO288" s="45"/>
      <c r="BQ288" s="112" t="s">
        <v>16</v>
      </c>
      <c r="BR288" s="112"/>
      <c r="BS288" s="45"/>
      <c r="BT288" s="45"/>
      <c r="BU288" s="45"/>
      <c r="BV288" s="45"/>
      <c r="BW288" s="45"/>
      <c r="BX288" s="45"/>
      <c r="BY288" s="45"/>
      <c r="BZ288" s="45"/>
      <c r="CA288" s="45"/>
      <c r="CB288" s="45"/>
      <c r="CC288" s="42"/>
      <c r="CD288" s="112" t="s">
        <v>16</v>
      </c>
      <c r="CE288" s="112"/>
      <c r="CF288" s="45"/>
      <c r="CG288" s="45"/>
      <c r="CH288" s="45"/>
      <c r="CI288" s="45"/>
      <c r="CJ288" s="45"/>
      <c r="CK288" s="45"/>
      <c r="CL288" s="45"/>
      <c r="CM288" s="45"/>
      <c r="CN288" s="45"/>
      <c r="CO288" s="45"/>
      <c r="CQ288" s="112" t="s">
        <v>16</v>
      </c>
      <c r="CR288" s="112"/>
      <c r="CS288" s="45"/>
      <c r="CT288" s="45"/>
      <c r="CU288" s="45"/>
      <c r="CV288" s="45"/>
      <c r="CW288" s="45"/>
      <c r="CX288" s="45"/>
      <c r="CY288" s="45"/>
      <c r="CZ288" s="45"/>
      <c r="DA288" s="45"/>
      <c r="DB288" s="45"/>
      <c r="DC288" s="42"/>
      <c r="DD288" s="112" t="s">
        <v>16</v>
      </c>
      <c r="DE288" s="112"/>
      <c r="DF288" s="45"/>
      <c r="DG288" s="45"/>
      <c r="DH288" s="45"/>
      <c r="DI288" s="45"/>
      <c r="DJ288" s="45"/>
      <c r="DK288" s="45"/>
      <c r="DL288" s="45"/>
      <c r="DM288" s="45"/>
      <c r="DN288" s="45"/>
      <c r="DO288" s="45"/>
    </row>
    <row r="289" spans="2:119" ht="28.9" customHeight="1" x14ac:dyDescent="0.45">
      <c r="B289" s="99"/>
      <c r="C289" s="42"/>
      <c r="D289" s="112"/>
      <c r="E289" s="112"/>
      <c r="F289" s="108" t="s">
        <v>12</v>
      </c>
      <c r="G289" s="108"/>
      <c r="H289" s="108"/>
      <c r="I289" s="108"/>
      <c r="J289" s="108"/>
      <c r="K289" s="108"/>
      <c r="L289" s="108"/>
      <c r="M289" s="108"/>
      <c r="N289" s="108"/>
      <c r="O289" s="108"/>
      <c r="P289" s="42"/>
      <c r="Q289" s="112"/>
      <c r="R289" s="112"/>
      <c r="S289" s="108" t="s">
        <v>12</v>
      </c>
      <c r="T289" s="108"/>
      <c r="U289" s="108"/>
      <c r="V289" s="108"/>
      <c r="W289" s="108"/>
      <c r="X289" s="108"/>
      <c r="Y289" s="108"/>
      <c r="Z289" s="108"/>
      <c r="AA289" s="108"/>
      <c r="AB289" s="108"/>
      <c r="AC289" s="42"/>
      <c r="AD289" s="112"/>
      <c r="AE289" s="112"/>
      <c r="AF289" s="131" t="s">
        <v>12</v>
      </c>
      <c r="AG289" s="132"/>
      <c r="AH289" s="132"/>
      <c r="AI289" s="132"/>
      <c r="AJ289" s="132"/>
      <c r="AK289" s="132"/>
      <c r="AL289" s="132"/>
      <c r="AM289" s="132"/>
      <c r="AN289" s="132"/>
      <c r="AO289" s="133"/>
      <c r="AP289" s="6"/>
      <c r="AQ289" s="112"/>
      <c r="AR289" s="112"/>
      <c r="AS289" s="108" t="s">
        <v>12</v>
      </c>
      <c r="AT289" s="108"/>
      <c r="AU289" s="108"/>
      <c r="AV289" s="108"/>
      <c r="AW289" s="108"/>
      <c r="AX289" s="108"/>
      <c r="AY289" s="108"/>
      <c r="AZ289" s="108"/>
      <c r="BA289" s="108"/>
      <c r="BB289" s="108"/>
      <c r="BC289" s="42"/>
      <c r="BD289" s="112"/>
      <c r="BE289" s="112"/>
      <c r="BF289" s="108" t="s">
        <v>12</v>
      </c>
      <c r="BG289" s="108"/>
      <c r="BH289" s="108"/>
      <c r="BI289" s="108"/>
      <c r="BJ289" s="108"/>
      <c r="BK289" s="108"/>
      <c r="BL289" s="108"/>
      <c r="BM289" s="108"/>
      <c r="BN289" s="108"/>
      <c r="BO289" s="108"/>
      <c r="BQ289" s="112"/>
      <c r="BR289" s="112"/>
      <c r="BS289" s="108" t="s">
        <v>12</v>
      </c>
      <c r="BT289" s="108"/>
      <c r="BU289" s="108"/>
      <c r="BV289" s="108"/>
      <c r="BW289" s="108"/>
      <c r="BX289" s="108"/>
      <c r="BY289" s="108"/>
      <c r="BZ289" s="108"/>
      <c r="CA289" s="108"/>
      <c r="CB289" s="108"/>
      <c r="CC289" s="42"/>
      <c r="CD289" s="112"/>
      <c r="CE289" s="112"/>
      <c r="CF289" s="108" t="s">
        <v>12</v>
      </c>
      <c r="CG289" s="108"/>
      <c r="CH289" s="108"/>
      <c r="CI289" s="108"/>
      <c r="CJ289" s="108"/>
      <c r="CK289" s="108"/>
      <c r="CL289" s="108"/>
      <c r="CM289" s="108"/>
      <c r="CN289" s="108"/>
      <c r="CO289" s="108"/>
      <c r="CQ289" s="112"/>
      <c r="CR289" s="112"/>
      <c r="CS289" s="108" t="s">
        <v>12</v>
      </c>
      <c r="CT289" s="108"/>
      <c r="CU289" s="108"/>
      <c r="CV289" s="108"/>
      <c r="CW289" s="108"/>
      <c r="CX289" s="108"/>
      <c r="CY289" s="108"/>
      <c r="CZ289" s="108"/>
      <c r="DA289" s="108"/>
      <c r="DB289" s="108"/>
      <c r="DC289" s="42"/>
      <c r="DD289" s="112"/>
      <c r="DE289" s="112"/>
      <c r="DF289" s="108" t="s">
        <v>12</v>
      </c>
      <c r="DG289" s="108"/>
      <c r="DH289" s="108"/>
      <c r="DI289" s="108"/>
      <c r="DJ289" s="108"/>
      <c r="DK289" s="108"/>
      <c r="DL289" s="108"/>
      <c r="DM289" s="108"/>
      <c r="DN289" s="108"/>
      <c r="DO289" s="108"/>
    </row>
    <row r="290" spans="2:119" ht="14.45" customHeight="1" x14ac:dyDescent="0.45">
      <c r="B290" s="99"/>
      <c r="C290" s="42"/>
      <c r="D290" s="113"/>
      <c r="E290" s="113"/>
      <c r="F290" s="9" t="s">
        <v>0</v>
      </c>
      <c r="G290" s="9">
        <v>1</v>
      </c>
      <c r="H290" s="9">
        <v>2</v>
      </c>
      <c r="I290" s="9">
        <v>3</v>
      </c>
      <c r="J290" s="9">
        <v>4</v>
      </c>
      <c r="K290" s="9">
        <v>5</v>
      </c>
      <c r="L290" s="9">
        <v>6</v>
      </c>
      <c r="M290" s="9">
        <v>7</v>
      </c>
      <c r="N290" s="9">
        <v>8</v>
      </c>
      <c r="O290" s="9">
        <v>9</v>
      </c>
      <c r="P290" s="42"/>
      <c r="Q290" s="113"/>
      <c r="R290" s="113"/>
      <c r="S290" s="9" t="s">
        <v>0</v>
      </c>
      <c r="T290" s="9">
        <v>1</v>
      </c>
      <c r="U290" s="9">
        <v>2</v>
      </c>
      <c r="V290" s="9">
        <v>3</v>
      </c>
      <c r="W290" s="9">
        <v>4</v>
      </c>
      <c r="X290" s="9">
        <v>5</v>
      </c>
      <c r="Y290" s="9">
        <v>6</v>
      </c>
      <c r="Z290" s="9">
        <v>7</v>
      </c>
      <c r="AA290" s="9">
        <v>8</v>
      </c>
      <c r="AB290" s="9">
        <v>9</v>
      </c>
      <c r="AC290" s="42"/>
      <c r="AD290" s="113"/>
      <c r="AE290" s="113"/>
      <c r="AF290" s="9" t="s">
        <v>0</v>
      </c>
      <c r="AG290" s="9">
        <v>1</v>
      </c>
      <c r="AH290" s="9">
        <v>2</v>
      </c>
      <c r="AI290" s="9">
        <v>3</v>
      </c>
      <c r="AJ290" s="9">
        <v>4</v>
      </c>
      <c r="AK290" s="9">
        <v>5</v>
      </c>
      <c r="AL290" s="9">
        <v>6</v>
      </c>
      <c r="AM290" s="9">
        <v>7</v>
      </c>
      <c r="AN290" s="9">
        <v>8</v>
      </c>
      <c r="AO290" s="9">
        <v>9</v>
      </c>
      <c r="AP290" s="6"/>
      <c r="AQ290" s="113"/>
      <c r="AR290" s="113"/>
      <c r="AS290" s="9" t="s">
        <v>0</v>
      </c>
      <c r="AT290" s="9">
        <v>1</v>
      </c>
      <c r="AU290" s="9">
        <v>2</v>
      </c>
      <c r="AV290" s="9">
        <v>3</v>
      </c>
      <c r="AW290" s="9">
        <v>4</v>
      </c>
      <c r="AX290" s="9">
        <v>5</v>
      </c>
      <c r="AY290" s="9">
        <v>6</v>
      </c>
      <c r="AZ290" s="9">
        <v>7</v>
      </c>
      <c r="BA290" s="9">
        <v>8</v>
      </c>
      <c r="BB290" s="9">
        <v>9</v>
      </c>
      <c r="BC290" s="42"/>
      <c r="BD290" s="113"/>
      <c r="BE290" s="113"/>
      <c r="BF290" s="9" t="s">
        <v>0</v>
      </c>
      <c r="BG290" s="9">
        <v>1</v>
      </c>
      <c r="BH290" s="9">
        <v>2</v>
      </c>
      <c r="BI290" s="9">
        <v>3</v>
      </c>
      <c r="BJ290" s="9">
        <v>4</v>
      </c>
      <c r="BK290" s="9">
        <v>5</v>
      </c>
      <c r="BL290" s="9">
        <v>6</v>
      </c>
      <c r="BM290" s="9">
        <v>7</v>
      </c>
      <c r="BN290" s="9">
        <v>8</v>
      </c>
      <c r="BO290" s="9">
        <v>9</v>
      </c>
      <c r="BQ290" s="113"/>
      <c r="BR290" s="113"/>
      <c r="BS290" s="9" t="s">
        <v>0</v>
      </c>
      <c r="BT290" s="9">
        <v>1</v>
      </c>
      <c r="BU290" s="9">
        <v>2</v>
      </c>
      <c r="BV290" s="9">
        <v>3</v>
      </c>
      <c r="BW290" s="9">
        <v>4</v>
      </c>
      <c r="BX290" s="9">
        <v>5</v>
      </c>
      <c r="BY290" s="9">
        <v>6</v>
      </c>
      <c r="BZ290" s="9">
        <v>7</v>
      </c>
      <c r="CA290" s="9">
        <v>8</v>
      </c>
      <c r="CB290" s="9">
        <v>9</v>
      </c>
      <c r="CC290" s="42"/>
      <c r="CD290" s="113"/>
      <c r="CE290" s="113"/>
      <c r="CF290" s="9" t="s">
        <v>0</v>
      </c>
      <c r="CG290" s="9">
        <v>1</v>
      </c>
      <c r="CH290" s="9">
        <v>2</v>
      </c>
      <c r="CI290" s="9">
        <v>3</v>
      </c>
      <c r="CJ290" s="9">
        <v>4</v>
      </c>
      <c r="CK290" s="9">
        <v>5</v>
      </c>
      <c r="CL290" s="9">
        <v>6</v>
      </c>
      <c r="CM290" s="9">
        <v>7</v>
      </c>
      <c r="CN290" s="9">
        <v>8</v>
      </c>
      <c r="CO290" s="9">
        <v>9</v>
      </c>
      <c r="CQ290" s="113"/>
      <c r="CR290" s="113"/>
      <c r="CS290" s="9" t="s">
        <v>0</v>
      </c>
      <c r="CT290" s="9">
        <v>1</v>
      </c>
      <c r="CU290" s="9">
        <v>2</v>
      </c>
      <c r="CV290" s="9">
        <v>3</v>
      </c>
      <c r="CW290" s="9">
        <v>4</v>
      </c>
      <c r="CX290" s="9">
        <v>5</v>
      </c>
      <c r="CY290" s="9">
        <v>6</v>
      </c>
      <c r="CZ290" s="9">
        <v>7</v>
      </c>
      <c r="DA290" s="9">
        <v>8</v>
      </c>
      <c r="DB290" s="9">
        <v>9</v>
      </c>
      <c r="DC290" s="42"/>
      <c r="DD290" s="113"/>
      <c r="DE290" s="113"/>
      <c r="DF290" s="9" t="s">
        <v>0</v>
      </c>
      <c r="DG290" s="9">
        <v>1</v>
      </c>
      <c r="DH290" s="9">
        <v>2</v>
      </c>
      <c r="DI290" s="9">
        <v>3</v>
      </c>
      <c r="DJ290" s="9">
        <v>4</v>
      </c>
      <c r="DK290" s="9">
        <v>5</v>
      </c>
      <c r="DL290" s="9">
        <v>6</v>
      </c>
      <c r="DM290" s="9">
        <v>7</v>
      </c>
      <c r="DN290" s="9">
        <v>8</v>
      </c>
      <c r="DO290" s="9">
        <v>9</v>
      </c>
    </row>
    <row r="291" spans="2:119" ht="14.45" customHeight="1" x14ac:dyDescent="0.45">
      <c r="B291" s="99"/>
      <c r="C291" s="42"/>
      <c r="D291" s="109" t="s">
        <v>13</v>
      </c>
      <c r="E291" s="47" t="s">
        <v>1</v>
      </c>
      <c r="F291" s="103">
        <v>0</v>
      </c>
      <c r="G291" s="103">
        <v>60</v>
      </c>
      <c r="H291" s="103">
        <v>20</v>
      </c>
      <c r="I291" s="103">
        <v>20</v>
      </c>
      <c r="J291" s="103">
        <v>0</v>
      </c>
      <c r="K291" s="103">
        <v>0</v>
      </c>
      <c r="L291" s="103">
        <v>0</v>
      </c>
      <c r="M291" s="103">
        <v>0</v>
      </c>
      <c r="N291" s="103">
        <v>0</v>
      </c>
      <c r="O291" s="17">
        <v>0</v>
      </c>
      <c r="P291" s="42"/>
      <c r="Q291" s="109" t="s">
        <v>13</v>
      </c>
      <c r="R291" s="46" t="s">
        <v>1</v>
      </c>
      <c r="S291" s="103">
        <v>0</v>
      </c>
      <c r="T291" s="103">
        <v>50</v>
      </c>
      <c r="U291" s="103">
        <v>0</v>
      </c>
      <c r="V291" s="103">
        <v>50</v>
      </c>
      <c r="W291" s="103">
        <v>0</v>
      </c>
      <c r="X291" s="103">
        <v>0</v>
      </c>
      <c r="Y291" s="103">
        <v>0</v>
      </c>
      <c r="Z291" s="103">
        <v>0</v>
      </c>
      <c r="AA291" s="103">
        <v>0</v>
      </c>
      <c r="AB291" s="17">
        <v>0</v>
      </c>
      <c r="AC291" s="42"/>
      <c r="AD291" s="109" t="s">
        <v>13</v>
      </c>
      <c r="AE291" s="46" t="s">
        <v>1</v>
      </c>
      <c r="AF291" s="103">
        <v>0</v>
      </c>
      <c r="AG291" s="103">
        <v>66.666666666666657</v>
      </c>
      <c r="AH291" s="103">
        <v>33.333333333333329</v>
      </c>
      <c r="AI291" s="103">
        <v>0</v>
      </c>
      <c r="AJ291" s="103">
        <v>0</v>
      </c>
      <c r="AK291" s="103">
        <v>0</v>
      </c>
      <c r="AL291" s="103">
        <v>0</v>
      </c>
      <c r="AM291" s="103">
        <v>0</v>
      </c>
      <c r="AN291" s="103">
        <v>0</v>
      </c>
      <c r="AO291" s="17">
        <v>0</v>
      </c>
      <c r="AP291" s="6"/>
      <c r="AQ291" s="109" t="s">
        <v>13</v>
      </c>
      <c r="AR291" s="46" t="s">
        <v>1</v>
      </c>
      <c r="AS291" s="103">
        <v>0</v>
      </c>
      <c r="AT291" s="103">
        <v>0</v>
      </c>
      <c r="AU291" s="103">
        <v>0</v>
      </c>
      <c r="AV291" s="103">
        <v>100</v>
      </c>
      <c r="AW291" s="103">
        <v>0</v>
      </c>
      <c r="AX291" s="103">
        <v>0</v>
      </c>
      <c r="AY291" s="103">
        <v>0</v>
      </c>
      <c r="AZ291" s="103">
        <v>0</v>
      </c>
      <c r="BA291" s="103">
        <v>0</v>
      </c>
      <c r="BB291" s="17">
        <v>0</v>
      </c>
      <c r="BC291" s="42"/>
      <c r="BD291" s="109" t="s">
        <v>13</v>
      </c>
      <c r="BE291" s="46" t="s">
        <v>1</v>
      </c>
      <c r="BF291" s="103">
        <v>0</v>
      </c>
      <c r="BG291" s="103">
        <v>75</v>
      </c>
      <c r="BH291" s="103">
        <v>25</v>
      </c>
      <c r="BI291" s="103">
        <v>0</v>
      </c>
      <c r="BJ291" s="103">
        <v>0</v>
      </c>
      <c r="BK291" s="103">
        <v>0</v>
      </c>
      <c r="BL291" s="103">
        <v>0</v>
      </c>
      <c r="BM291" s="103">
        <v>0</v>
      </c>
      <c r="BN291" s="103">
        <v>0</v>
      </c>
      <c r="BO291" s="17">
        <v>0</v>
      </c>
      <c r="BQ291" s="109" t="s">
        <v>13</v>
      </c>
      <c r="BR291" s="46" t="s">
        <v>1</v>
      </c>
      <c r="BS291" s="103">
        <v>0</v>
      </c>
      <c r="BT291" s="103">
        <v>100</v>
      </c>
      <c r="BU291" s="103">
        <v>0</v>
      </c>
      <c r="BV291" s="103">
        <v>0</v>
      </c>
      <c r="BW291" s="103">
        <v>0</v>
      </c>
      <c r="BX291" s="103">
        <v>0</v>
      </c>
      <c r="BY291" s="103">
        <v>0</v>
      </c>
      <c r="BZ291" s="103">
        <v>0</v>
      </c>
      <c r="CA291" s="103">
        <v>0</v>
      </c>
      <c r="CB291" s="17">
        <v>0</v>
      </c>
      <c r="CC291" s="42"/>
      <c r="CD291" s="109" t="s">
        <v>13</v>
      </c>
      <c r="CE291" s="46" t="s">
        <v>1</v>
      </c>
      <c r="CF291" s="103">
        <v>0</v>
      </c>
      <c r="CG291" s="103">
        <v>33.333333333333329</v>
      </c>
      <c r="CH291" s="103">
        <v>33.333333333333329</v>
      </c>
      <c r="CI291" s="103">
        <v>33.333333333333329</v>
      </c>
      <c r="CJ291" s="103">
        <v>0</v>
      </c>
      <c r="CK291" s="103">
        <v>0</v>
      </c>
      <c r="CL291" s="103">
        <v>0</v>
      </c>
      <c r="CM291" s="103">
        <v>0</v>
      </c>
      <c r="CN291" s="103">
        <v>0</v>
      </c>
      <c r="CO291" s="17">
        <v>0</v>
      </c>
      <c r="CQ291" s="109" t="s">
        <v>13</v>
      </c>
      <c r="CR291" s="46" t="s">
        <v>1</v>
      </c>
      <c r="CS291" s="103">
        <v>0</v>
      </c>
      <c r="CT291" s="103">
        <v>60</v>
      </c>
      <c r="CU291" s="103">
        <v>20</v>
      </c>
      <c r="CV291" s="103">
        <v>20</v>
      </c>
      <c r="CW291" s="103">
        <v>0</v>
      </c>
      <c r="CX291" s="103">
        <v>0</v>
      </c>
      <c r="CY291" s="103">
        <v>0</v>
      </c>
      <c r="CZ291" s="103">
        <v>0</v>
      </c>
      <c r="DA291" s="103">
        <v>0</v>
      </c>
      <c r="DB291" s="17">
        <v>0</v>
      </c>
      <c r="DC291" s="42"/>
      <c r="DD291" s="109" t="s">
        <v>13</v>
      </c>
      <c r="DE291" s="46" t="s">
        <v>1</v>
      </c>
      <c r="DF291" s="103" t="s">
        <v>128</v>
      </c>
      <c r="DG291" s="103" t="s">
        <v>128</v>
      </c>
      <c r="DH291" s="103" t="s">
        <v>128</v>
      </c>
      <c r="DI291" s="103" t="s">
        <v>128</v>
      </c>
      <c r="DJ291" s="103" t="s">
        <v>128</v>
      </c>
      <c r="DK291" s="103" t="s">
        <v>128</v>
      </c>
      <c r="DL291" s="103" t="s">
        <v>128</v>
      </c>
      <c r="DM291" s="103" t="s">
        <v>128</v>
      </c>
      <c r="DN291" s="103" t="s">
        <v>128</v>
      </c>
      <c r="DO291" s="17" t="s">
        <v>128</v>
      </c>
    </row>
    <row r="292" spans="2:119" ht="14.45" customHeight="1" x14ac:dyDescent="0.45">
      <c r="B292" s="99"/>
      <c r="C292" s="42"/>
      <c r="D292" s="110"/>
      <c r="E292" s="47">
        <v>1</v>
      </c>
      <c r="F292" s="103">
        <v>2.5641025641025639</v>
      </c>
      <c r="G292" s="103">
        <v>28.205128205128204</v>
      </c>
      <c r="H292" s="103">
        <v>38.461538461538467</v>
      </c>
      <c r="I292" s="103">
        <v>17.948717948717949</v>
      </c>
      <c r="J292" s="103">
        <v>2.5641025641025639</v>
      </c>
      <c r="K292" s="103">
        <v>0</v>
      </c>
      <c r="L292" s="103">
        <v>7.6923076923076925</v>
      </c>
      <c r="M292" s="103">
        <v>0</v>
      </c>
      <c r="N292" s="103">
        <v>2.5641025641025639</v>
      </c>
      <c r="O292" s="103">
        <v>0</v>
      </c>
      <c r="P292" s="42"/>
      <c r="Q292" s="110"/>
      <c r="R292" s="46">
        <v>1</v>
      </c>
      <c r="S292" s="103">
        <v>4</v>
      </c>
      <c r="T292" s="103">
        <v>28.000000000000004</v>
      </c>
      <c r="U292" s="103">
        <v>44</v>
      </c>
      <c r="V292" s="103">
        <v>16</v>
      </c>
      <c r="W292" s="103">
        <v>0</v>
      </c>
      <c r="X292" s="103">
        <v>0</v>
      </c>
      <c r="Y292" s="103">
        <v>8</v>
      </c>
      <c r="Z292" s="103">
        <v>0</v>
      </c>
      <c r="AA292" s="103">
        <v>0</v>
      </c>
      <c r="AB292" s="103">
        <v>0</v>
      </c>
      <c r="AC292" s="42"/>
      <c r="AD292" s="110"/>
      <c r="AE292" s="46">
        <v>1</v>
      </c>
      <c r="AF292" s="103">
        <v>0</v>
      </c>
      <c r="AG292" s="103">
        <v>28.571428571428569</v>
      </c>
      <c r="AH292" s="103">
        <v>28.571428571428569</v>
      </c>
      <c r="AI292" s="103">
        <v>21.428571428571427</v>
      </c>
      <c r="AJ292" s="103">
        <v>7.1428571428571423</v>
      </c>
      <c r="AK292" s="103">
        <v>0</v>
      </c>
      <c r="AL292" s="103">
        <v>7.1428571428571423</v>
      </c>
      <c r="AM292" s="103">
        <v>0</v>
      </c>
      <c r="AN292" s="103">
        <v>7.1428571428571423</v>
      </c>
      <c r="AO292" s="103">
        <v>0</v>
      </c>
      <c r="AP292" s="6"/>
      <c r="AQ292" s="110"/>
      <c r="AR292" s="46">
        <v>1</v>
      </c>
      <c r="AS292" s="103">
        <v>0</v>
      </c>
      <c r="AT292" s="103">
        <v>40.909090909090914</v>
      </c>
      <c r="AU292" s="103">
        <v>31.818181818181817</v>
      </c>
      <c r="AV292" s="103">
        <v>18.181818181818183</v>
      </c>
      <c r="AW292" s="103">
        <v>0</v>
      </c>
      <c r="AX292" s="103">
        <v>0</v>
      </c>
      <c r="AY292" s="103">
        <v>9.0909090909090917</v>
      </c>
      <c r="AZ292" s="103">
        <v>0</v>
      </c>
      <c r="BA292" s="103">
        <v>0</v>
      </c>
      <c r="BB292" s="103">
        <v>0</v>
      </c>
      <c r="BC292" s="42"/>
      <c r="BD292" s="110"/>
      <c r="BE292" s="46">
        <v>1</v>
      </c>
      <c r="BF292" s="103">
        <v>5.8823529411764701</v>
      </c>
      <c r="BG292" s="103">
        <v>11.76470588235294</v>
      </c>
      <c r="BH292" s="103">
        <v>47.058823529411761</v>
      </c>
      <c r="BI292" s="103">
        <v>17.647058823529413</v>
      </c>
      <c r="BJ292" s="103">
        <v>5.8823529411764701</v>
      </c>
      <c r="BK292" s="103">
        <v>0</v>
      </c>
      <c r="BL292" s="103">
        <v>5.8823529411764701</v>
      </c>
      <c r="BM292" s="103">
        <v>0</v>
      </c>
      <c r="BN292" s="103">
        <v>5.8823529411764701</v>
      </c>
      <c r="BO292" s="103">
        <v>0</v>
      </c>
      <c r="BQ292" s="110"/>
      <c r="BR292" s="46">
        <v>1</v>
      </c>
      <c r="BS292" s="103">
        <v>0</v>
      </c>
      <c r="BT292" s="103">
        <v>28.000000000000004</v>
      </c>
      <c r="BU292" s="103">
        <v>44</v>
      </c>
      <c r="BV292" s="103">
        <v>16</v>
      </c>
      <c r="BW292" s="103">
        <v>4</v>
      </c>
      <c r="BX292" s="103">
        <v>0</v>
      </c>
      <c r="BY292" s="103">
        <v>8</v>
      </c>
      <c r="BZ292" s="103">
        <v>0</v>
      </c>
      <c r="CA292" s="103">
        <v>0</v>
      </c>
      <c r="CB292" s="103">
        <v>0</v>
      </c>
      <c r="CC292" s="42"/>
      <c r="CD292" s="110"/>
      <c r="CE292" s="46">
        <v>1</v>
      </c>
      <c r="CF292" s="103">
        <v>7.1428571428571423</v>
      </c>
      <c r="CG292" s="103">
        <v>28.571428571428569</v>
      </c>
      <c r="CH292" s="103">
        <v>28.571428571428569</v>
      </c>
      <c r="CI292" s="103">
        <v>21.428571428571427</v>
      </c>
      <c r="CJ292" s="103">
        <v>0</v>
      </c>
      <c r="CK292" s="103">
        <v>0</v>
      </c>
      <c r="CL292" s="103">
        <v>7.1428571428571423</v>
      </c>
      <c r="CM292" s="103">
        <v>0</v>
      </c>
      <c r="CN292" s="103">
        <v>7.1428571428571423</v>
      </c>
      <c r="CO292" s="103">
        <v>0</v>
      </c>
      <c r="CQ292" s="110"/>
      <c r="CR292" s="46">
        <v>1</v>
      </c>
      <c r="CS292" s="103">
        <v>4.5454545454545459</v>
      </c>
      <c r="CT292" s="103">
        <v>31.818181818181817</v>
      </c>
      <c r="CU292" s="103">
        <v>27.27272727272727</v>
      </c>
      <c r="CV292" s="103">
        <v>27.27272727272727</v>
      </c>
      <c r="CW292" s="103">
        <v>0</v>
      </c>
      <c r="CX292" s="103">
        <v>0</v>
      </c>
      <c r="CY292" s="103">
        <v>4.5454545454545459</v>
      </c>
      <c r="CZ292" s="103">
        <v>0</v>
      </c>
      <c r="DA292" s="103">
        <v>4.5454545454545459</v>
      </c>
      <c r="DB292" s="103">
        <v>0</v>
      </c>
      <c r="DC292" s="42"/>
      <c r="DD292" s="110"/>
      <c r="DE292" s="46">
        <v>1</v>
      </c>
      <c r="DF292" s="103">
        <v>0</v>
      </c>
      <c r="DG292" s="103">
        <v>23.52941176470588</v>
      </c>
      <c r="DH292" s="103">
        <v>52.941176470588239</v>
      </c>
      <c r="DI292" s="103">
        <v>5.8823529411764701</v>
      </c>
      <c r="DJ292" s="103">
        <v>5.8823529411764701</v>
      </c>
      <c r="DK292" s="103">
        <v>0</v>
      </c>
      <c r="DL292" s="103">
        <v>11.76470588235294</v>
      </c>
      <c r="DM292" s="103">
        <v>0</v>
      </c>
      <c r="DN292" s="103">
        <v>0</v>
      </c>
      <c r="DO292" s="103">
        <v>0</v>
      </c>
    </row>
    <row r="293" spans="2:119" ht="14.45" customHeight="1" x14ac:dyDescent="0.45">
      <c r="B293" s="99"/>
      <c r="C293" s="42"/>
      <c r="D293" s="110"/>
      <c r="E293" s="47" t="s">
        <v>2</v>
      </c>
      <c r="F293" s="103">
        <v>2.3148148148148149</v>
      </c>
      <c r="G293" s="103">
        <v>16.280864197530864</v>
      </c>
      <c r="H293" s="103">
        <v>40.50925925925926</v>
      </c>
      <c r="I293" s="103">
        <v>29.166666666666668</v>
      </c>
      <c r="J293" s="103">
        <v>7.716049382716049</v>
      </c>
      <c r="K293" s="103">
        <v>3.3179012345679015</v>
      </c>
      <c r="L293" s="103">
        <v>0.46296296296296291</v>
      </c>
      <c r="M293" s="103">
        <v>0.15432098765432098</v>
      </c>
      <c r="N293" s="103">
        <v>7.716049382716049E-2</v>
      </c>
      <c r="O293" s="103">
        <v>0</v>
      </c>
      <c r="P293" s="42"/>
      <c r="Q293" s="110"/>
      <c r="R293" s="46" t="s">
        <v>2</v>
      </c>
      <c r="S293" s="103">
        <v>1.6248153618906942</v>
      </c>
      <c r="T293" s="103">
        <v>13.58936484490399</v>
      </c>
      <c r="U293" s="103">
        <v>37.813884785819795</v>
      </c>
      <c r="V293" s="103">
        <v>32.348596750369275</v>
      </c>
      <c r="W293" s="103">
        <v>9.4534711964549487</v>
      </c>
      <c r="X293" s="103">
        <v>4.2836041358936487</v>
      </c>
      <c r="Y293" s="103">
        <v>0.73855243722304276</v>
      </c>
      <c r="Z293" s="103">
        <v>0</v>
      </c>
      <c r="AA293" s="103">
        <v>0.14771048744460857</v>
      </c>
      <c r="AB293" s="103">
        <v>0</v>
      </c>
      <c r="AC293" s="42"/>
      <c r="AD293" s="110"/>
      <c r="AE293" s="46" t="s">
        <v>2</v>
      </c>
      <c r="AF293" s="103">
        <v>3.0694668820678515</v>
      </c>
      <c r="AG293" s="103">
        <v>19.224555735056541</v>
      </c>
      <c r="AH293" s="103">
        <v>43.45718901453958</v>
      </c>
      <c r="AI293" s="103">
        <v>25.68659127625202</v>
      </c>
      <c r="AJ293" s="103">
        <v>5.8158319870759287</v>
      </c>
      <c r="AK293" s="103">
        <v>2.2617124394184165</v>
      </c>
      <c r="AL293" s="103">
        <v>0.16155088852988692</v>
      </c>
      <c r="AM293" s="103">
        <v>0.32310177705977383</v>
      </c>
      <c r="AN293" s="103">
        <v>0</v>
      </c>
      <c r="AO293" s="103">
        <v>0</v>
      </c>
      <c r="AP293" s="6"/>
      <c r="AQ293" s="110"/>
      <c r="AR293" s="46" t="s">
        <v>2</v>
      </c>
      <c r="AS293" s="103">
        <v>2.5196850393700787</v>
      </c>
      <c r="AT293" s="103">
        <v>20.15748031496063</v>
      </c>
      <c r="AU293" s="103">
        <v>42.362204724409445</v>
      </c>
      <c r="AV293" s="103">
        <v>26.771653543307089</v>
      </c>
      <c r="AW293" s="103">
        <v>5.5118110236220472</v>
      </c>
      <c r="AX293" s="103">
        <v>2.204724409448819</v>
      </c>
      <c r="AY293" s="103">
        <v>0.31496062992125984</v>
      </c>
      <c r="AZ293" s="103">
        <v>0.15748031496062992</v>
      </c>
      <c r="BA293" s="103">
        <v>0</v>
      </c>
      <c r="BB293" s="103">
        <v>0</v>
      </c>
      <c r="BC293" s="42"/>
      <c r="BD293" s="110"/>
      <c r="BE293" s="46" t="s">
        <v>2</v>
      </c>
      <c r="BF293" s="103">
        <v>2.118003025718608</v>
      </c>
      <c r="BG293" s="103">
        <v>12.556732223903177</v>
      </c>
      <c r="BH293" s="103">
        <v>38.729198184568837</v>
      </c>
      <c r="BI293" s="103">
        <v>31.46747352496218</v>
      </c>
      <c r="BJ293" s="103">
        <v>9.8335854765506809</v>
      </c>
      <c r="BK293" s="103">
        <v>4.3872919818456886</v>
      </c>
      <c r="BL293" s="103">
        <v>0.60514372163388808</v>
      </c>
      <c r="BM293" s="103">
        <v>0.15128593040847202</v>
      </c>
      <c r="BN293" s="103">
        <v>0.15128593040847202</v>
      </c>
      <c r="BO293" s="103">
        <v>0</v>
      </c>
      <c r="BQ293" s="110"/>
      <c r="BR293" s="46" t="s">
        <v>2</v>
      </c>
      <c r="BS293" s="103">
        <v>1.8886679920477136</v>
      </c>
      <c r="BT293" s="103">
        <v>16.600397614314115</v>
      </c>
      <c r="BU293" s="103">
        <v>41.252485089463221</v>
      </c>
      <c r="BV293" s="103">
        <v>29.22465208747515</v>
      </c>
      <c r="BW293" s="103">
        <v>7.8528827037773361</v>
      </c>
      <c r="BX293" s="103">
        <v>2.6838966202783299</v>
      </c>
      <c r="BY293" s="103">
        <v>0.29821073558648109</v>
      </c>
      <c r="BZ293" s="103">
        <v>0.19880715705765406</v>
      </c>
      <c r="CA293" s="103">
        <v>0</v>
      </c>
      <c r="CB293" s="103">
        <v>0</v>
      </c>
      <c r="CC293" s="42"/>
      <c r="CD293" s="110"/>
      <c r="CE293" s="46" t="s">
        <v>2</v>
      </c>
      <c r="CF293" s="103">
        <v>3.7931034482758621</v>
      </c>
      <c r="CG293" s="103">
        <v>15.172413793103448</v>
      </c>
      <c r="CH293" s="103">
        <v>37.931034482758619</v>
      </c>
      <c r="CI293" s="103">
        <v>28.965517241379313</v>
      </c>
      <c r="CJ293" s="103">
        <v>7.2413793103448283</v>
      </c>
      <c r="CK293" s="103">
        <v>5.5172413793103452</v>
      </c>
      <c r="CL293" s="103">
        <v>1.0344827586206897</v>
      </c>
      <c r="CM293" s="103">
        <v>0</v>
      </c>
      <c r="CN293" s="103">
        <v>0.34482758620689657</v>
      </c>
      <c r="CO293" s="103">
        <v>0</v>
      </c>
      <c r="CQ293" s="110"/>
      <c r="CR293" s="46" t="s">
        <v>2</v>
      </c>
      <c r="CS293" s="103">
        <v>4.6082949308755765</v>
      </c>
      <c r="CT293" s="103">
        <v>12.903225806451612</v>
      </c>
      <c r="CU293" s="103">
        <v>37.327188940092164</v>
      </c>
      <c r="CV293" s="103">
        <v>28.110599078341014</v>
      </c>
      <c r="CW293" s="103">
        <v>9.216589861751153</v>
      </c>
      <c r="CX293" s="103">
        <v>6.4516129032258061</v>
      </c>
      <c r="CY293" s="103">
        <v>0.46082949308755761</v>
      </c>
      <c r="CZ293" s="103">
        <v>0.46082949308755761</v>
      </c>
      <c r="DA293" s="103">
        <v>0.46082949308755761</v>
      </c>
      <c r="DB293" s="103">
        <v>0</v>
      </c>
      <c r="DC293" s="42"/>
      <c r="DD293" s="110"/>
      <c r="DE293" s="46" t="s">
        <v>2</v>
      </c>
      <c r="DF293" s="103">
        <v>1.8535681186283595</v>
      </c>
      <c r="DG293" s="103">
        <v>16.960148285449488</v>
      </c>
      <c r="DH293" s="103">
        <v>41.149212233549584</v>
      </c>
      <c r="DI293" s="103">
        <v>29.379054680259497</v>
      </c>
      <c r="DJ293" s="103">
        <v>7.4142724745134378</v>
      </c>
      <c r="DK293" s="103">
        <v>2.6876737720111215</v>
      </c>
      <c r="DL293" s="103">
        <v>0.46339202965708987</v>
      </c>
      <c r="DM293" s="103">
        <v>9.2678405931417976E-2</v>
      </c>
      <c r="DN293" s="103">
        <v>0</v>
      </c>
      <c r="DO293" s="103">
        <v>0</v>
      </c>
    </row>
    <row r="294" spans="2:119" ht="14.45" customHeight="1" x14ac:dyDescent="0.45">
      <c r="B294" s="99"/>
      <c r="C294" s="42"/>
      <c r="D294" s="110"/>
      <c r="E294" s="47" t="s">
        <v>3</v>
      </c>
      <c r="F294" s="103">
        <v>1.917255297679112</v>
      </c>
      <c r="G294" s="103">
        <v>12.714429868819375</v>
      </c>
      <c r="H294" s="103">
        <v>32.088799192734612</v>
      </c>
      <c r="I294" s="103">
        <v>36.326942482341067</v>
      </c>
      <c r="J294" s="103">
        <v>9.4853683148335026</v>
      </c>
      <c r="K294" s="103">
        <v>6.1553985872855703</v>
      </c>
      <c r="L294" s="103">
        <v>0.90817356205852673</v>
      </c>
      <c r="M294" s="103">
        <v>0.30272452068617556</v>
      </c>
      <c r="N294" s="103">
        <v>0.10090817356205853</v>
      </c>
      <c r="O294" s="103">
        <v>0</v>
      </c>
      <c r="P294" s="42"/>
      <c r="Q294" s="110"/>
      <c r="R294" s="46" t="s">
        <v>3</v>
      </c>
      <c r="S294" s="103">
        <v>1.4925373134328357</v>
      </c>
      <c r="T294" s="103">
        <v>10.261194029850747</v>
      </c>
      <c r="U294" s="103">
        <v>27.052238805970148</v>
      </c>
      <c r="V294" s="103">
        <v>41.417910447761194</v>
      </c>
      <c r="W294" s="103">
        <v>11.194029850746269</v>
      </c>
      <c r="X294" s="103">
        <v>7.8358208955223887</v>
      </c>
      <c r="Y294" s="103">
        <v>0.55970149253731338</v>
      </c>
      <c r="Z294" s="103">
        <v>0</v>
      </c>
      <c r="AA294" s="103">
        <v>0.18656716417910446</v>
      </c>
      <c r="AB294" s="103">
        <v>0</v>
      </c>
      <c r="AC294" s="42"/>
      <c r="AD294" s="110"/>
      <c r="AE294" s="46" t="s">
        <v>3</v>
      </c>
      <c r="AF294" s="103">
        <v>2.4175824175824179</v>
      </c>
      <c r="AG294" s="103">
        <v>15.604395604395604</v>
      </c>
      <c r="AH294" s="103">
        <v>38.021978021978022</v>
      </c>
      <c r="AI294" s="103">
        <v>30.329670329670328</v>
      </c>
      <c r="AJ294" s="103">
        <v>7.4725274725274726</v>
      </c>
      <c r="AK294" s="103">
        <v>4.1758241758241752</v>
      </c>
      <c r="AL294" s="103">
        <v>1.3186813186813187</v>
      </c>
      <c r="AM294" s="103">
        <v>0.65934065934065933</v>
      </c>
      <c r="AN294" s="103">
        <v>0</v>
      </c>
      <c r="AO294" s="103">
        <v>0</v>
      </c>
      <c r="AP294" s="6"/>
      <c r="AQ294" s="110"/>
      <c r="AR294" s="46" t="s">
        <v>3</v>
      </c>
      <c r="AS294" s="103">
        <v>3.3175355450236967</v>
      </c>
      <c r="AT294" s="103">
        <v>15.402843601895736</v>
      </c>
      <c r="AU294" s="103">
        <v>35.545023696682463</v>
      </c>
      <c r="AV294" s="103">
        <v>32.938388625592417</v>
      </c>
      <c r="AW294" s="103">
        <v>8.7677725118483423</v>
      </c>
      <c r="AX294" s="103">
        <v>3.7914691943127963</v>
      </c>
      <c r="AY294" s="103">
        <v>0.23696682464454977</v>
      </c>
      <c r="AZ294" s="103">
        <v>0</v>
      </c>
      <c r="BA294" s="103">
        <v>0</v>
      </c>
      <c r="BB294" s="103">
        <v>0</v>
      </c>
      <c r="BC294" s="42"/>
      <c r="BD294" s="110"/>
      <c r="BE294" s="46" t="s">
        <v>3</v>
      </c>
      <c r="BF294" s="103">
        <v>0.87873462214411258</v>
      </c>
      <c r="BG294" s="103">
        <v>10.720562390158172</v>
      </c>
      <c r="BH294" s="103">
        <v>29.525483304042176</v>
      </c>
      <c r="BI294" s="103">
        <v>38.840070298769767</v>
      </c>
      <c r="BJ294" s="103">
        <v>10.017574692442881</v>
      </c>
      <c r="BK294" s="103">
        <v>7.9086115992970125</v>
      </c>
      <c r="BL294" s="103">
        <v>1.4059753954305798</v>
      </c>
      <c r="BM294" s="103">
        <v>0.52724077328646746</v>
      </c>
      <c r="BN294" s="103">
        <v>0.17574692442882248</v>
      </c>
      <c r="BO294" s="103">
        <v>0</v>
      </c>
      <c r="BQ294" s="110"/>
      <c r="BR294" s="46" t="s">
        <v>3</v>
      </c>
      <c r="BS294" s="103">
        <v>1.7513134851138354</v>
      </c>
      <c r="BT294" s="103">
        <v>12.43432574430823</v>
      </c>
      <c r="BU294" s="103">
        <v>33.800350262697023</v>
      </c>
      <c r="BV294" s="103">
        <v>35.726795096322242</v>
      </c>
      <c r="BW294" s="103">
        <v>9.4570928196147115</v>
      </c>
      <c r="BX294" s="103">
        <v>5.7793345008756569</v>
      </c>
      <c r="BY294" s="103">
        <v>0.52539404553415059</v>
      </c>
      <c r="BZ294" s="103">
        <v>0.35026269702276708</v>
      </c>
      <c r="CA294" s="103">
        <v>0.17513134851138354</v>
      </c>
      <c r="CB294" s="103">
        <v>0</v>
      </c>
      <c r="CC294" s="42"/>
      <c r="CD294" s="110"/>
      <c r="CE294" s="46" t="s">
        <v>3</v>
      </c>
      <c r="CF294" s="103">
        <v>2.1428571428571428</v>
      </c>
      <c r="CG294" s="103">
        <v>13.095238095238097</v>
      </c>
      <c r="CH294" s="103">
        <v>29.761904761904763</v>
      </c>
      <c r="CI294" s="103">
        <v>37.142857142857146</v>
      </c>
      <c r="CJ294" s="103">
        <v>9.5238095238095237</v>
      </c>
      <c r="CK294" s="103">
        <v>6.666666666666667</v>
      </c>
      <c r="CL294" s="103">
        <v>1.4285714285714286</v>
      </c>
      <c r="CM294" s="103">
        <v>0.23809523809523811</v>
      </c>
      <c r="CN294" s="103">
        <v>0</v>
      </c>
      <c r="CO294" s="103">
        <v>0</v>
      </c>
      <c r="CQ294" s="110"/>
      <c r="CR294" s="46" t="s">
        <v>3</v>
      </c>
      <c r="CS294" s="103">
        <v>1.5151515151515151</v>
      </c>
      <c r="CT294" s="103">
        <v>12.878787878787879</v>
      </c>
      <c r="CU294" s="103">
        <v>28.787878787878789</v>
      </c>
      <c r="CV294" s="103">
        <v>34.090909090909086</v>
      </c>
      <c r="CW294" s="103">
        <v>9.8484848484848477</v>
      </c>
      <c r="CX294" s="103">
        <v>10.606060606060606</v>
      </c>
      <c r="CY294" s="103">
        <v>2.2727272727272729</v>
      </c>
      <c r="CZ294" s="103">
        <v>0</v>
      </c>
      <c r="DA294" s="103">
        <v>0</v>
      </c>
      <c r="DB294" s="103">
        <v>0</v>
      </c>
      <c r="DC294" s="42"/>
      <c r="DD294" s="110"/>
      <c r="DE294" s="46" t="s">
        <v>3</v>
      </c>
      <c r="DF294" s="103">
        <v>1.979045401629802</v>
      </c>
      <c r="DG294" s="103">
        <v>12.689173457508732</v>
      </c>
      <c r="DH294" s="103">
        <v>32.596041909196735</v>
      </c>
      <c r="DI294" s="103">
        <v>36.670547147846335</v>
      </c>
      <c r="DJ294" s="103">
        <v>9.4295692665890574</v>
      </c>
      <c r="DK294" s="103">
        <v>5.4714784633294533</v>
      </c>
      <c r="DL294" s="103">
        <v>0.69848661233993015</v>
      </c>
      <c r="DM294" s="103">
        <v>0.34924330616996507</v>
      </c>
      <c r="DN294" s="103">
        <v>0.11641443538998836</v>
      </c>
      <c r="DO294" s="103">
        <v>0</v>
      </c>
    </row>
    <row r="295" spans="2:119" ht="14.45" customHeight="1" x14ac:dyDescent="0.45">
      <c r="B295" s="99"/>
      <c r="C295" s="42"/>
      <c r="D295" s="110"/>
      <c r="E295" s="47" t="s">
        <v>4</v>
      </c>
      <c r="F295" s="103">
        <v>1.1045655375552283</v>
      </c>
      <c r="G295" s="103">
        <v>9.7938144329896915</v>
      </c>
      <c r="H295" s="103">
        <v>30.633284241531666</v>
      </c>
      <c r="I295" s="103">
        <v>34.977908689248892</v>
      </c>
      <c r="J295" s="103">
        <v>12.592047128129602</v>
      </c>
      <c r="K295" s="103">
        <v>6.9955817378497791</v>
      </c>
      <c r="L295" s="103">
        <v>3.2400589101620034</v>
      </c>
      <c r="M295" s="103">
        <v>0.4418262150220913</v>
      </c>
      <c r="N295" s="103">
        <v>0.14727540500736377</v>
      </c>
      <c r="O295" s="103">
        <v>7.3637702503681887E-2</v>
      </c>
      <c r="P295" s="42"/>
      <c r="Q295" s="110"/>
      <c r="R295" s="46" t="s">
        <v>4</v>
      </c>
      <c r="S295" s="103">
        <v>0.64432989690721643</v>
      </c>
      <c r="T295" s="103">
        <v>6.1855670103092786</v>
      </c>
      <c r="U295" s="103">
        <v>27.061855670103093</v>
      </c>
      <c r="V295" s="103">
        <v>36.211340206185568</v>
      </c>
      <c r="W295" s="103">
        <v>15.077319587628866</v>
      </c>
      <c r="X295" s="103">
        <v>9.1494845360824737</v>
      </c>
      <c r="Y295" s="103">
        <v>4.6391752577319592</v>
      </c>
      <c r="Z295" s="103">
        <v>0.64432989690721643</v>
      </c>
      <c r="AA295" s="103">
        <v>0.25773195876288657</v>
      </c>
      <c r="AB295" s="103">
        <v>0.12886597938144329</v>
      </c>
      <c r="AC295" s="42"/>
      <c r="AD295" s="110"/>
      <c r="AE295" s="46" t="s">
        <v>4</v>
      </c>
      <c r="AF295" s="103">
        <v>1.7182130584192441</v>
      </c>
      <c r="AG295" s="103">
        <v>14.604810996563575</v>
      </c>
      <c r="AH295" s="103">
        <v>35.395189003436428</v>
      </c>
      <c r="AI295" s="103">
        <v>33.333333333333329</v>
      </c>
      <c r="AJ295" s="103">
        <v>9.2783505154639183</v>
      </c>
      <c r="AK295" s="103">
        <v>4.1237113402061851</v>
      </c>
      <c r="AL295" s="103">
        <v>1.3745704467353952</v>
      </c>
      <c r="AM295" s="103">
        <v>0.1718213058419244</v>
      </c>
      <c r="AN295" s="103">
        <v>0</v>
      </c>
      <c r="AO295" s="103">
        <v>0</v>
      </c>
      <c r="AP295" s="6"/>
      <c r="AQ295" s="110"/>
      <c r="AR295" s="46" t="s">
        <v>4</v>
      </c>
      <c r="AS295" s="103">
        <v>2.0236087689713322</v>
      </c>
      <c r="AT295" s="103">
        <v>12.478920741989882</v>
      </c>
      <c r="AU295" s="103">
        <v>30.691399662731872</v>
      </c>
      <c r="AV295" s="103">
        <v>34.569983136593592</v>
      </c>
      <c r="AW295" s="103">
        <v>11.467116357504215</v>
      </c>
      <c r="AX295" s="103">
        <v>6.7453625632377738</v>
      </c>
      <c r="AY295" s="103">
        <v>1.6863406408094435</v>
      </c>
      <c r="AZ295" s="103">
        <v>0.33726812816188867</v>
      </c>
      <c r="BA295" s="103">
        <v>0</v>
      </c>
      <c r="BB295" s="103">
        <v>0</v>
      </c>
      <c r="BC295" s="42"/>
      <c r="BD295" s="110"/>
      <c r="BE295" s="46" t="s">
        <v>4</v>
      </c>
      <c r="BF295" s="103">
        <v>0.39215686274509803</v>
      </c>
      <c r="BG295" s="103">
        <v>7.7124183006535949</v>
      </c>
      <c r="BH295" s="103">
        <v>30.588235294117649</v>
      </c>
      <c r="BI295" s="103">
        <v>35.294117647058826</v>
      </c>
      <c r="BJ295" s="103">
        <v>13.464052287581699</v>
      </c>
      <c r="BK295" s="103">
        <v>7.18954248366013</v>
      </c>
      <c r="BL295" s="103">
        <v>4.4444444444444446</v>
      </c>
      <c r="BM295" s="103">
        <v>0.52287581699346397</v>
      </c>
      <c r="BN295" s="103">
        <v>0.26143790849673199</v>
      </c>
      <c r="BO295" s="103">
        <v>0.13071895424836599</v>
      </c>
      <c r="BQ295" s="110"/>
      <c r="BR295" s="46" t="s">
        <v>4</v>
      </c>
      <c r="BS295" s="103">
        <v>1.4539579967689822</v>
      </c>
      <c r="BT295" s="103">
        <v>11.147011308562197</v>
      </c>
      <c r="BU295" s="103">
        <v>34.087237479806134</v>
      </c>
      <c r="BV295" s="103">
        <v>34.894991922455574</v>
      </c>
      <c r="BW295" s="103">
        <v>9.8546042003231005</v>
      </c>
      <c r="BX295" s="103">
        <v>5.6542810985460417</v>
      </c>
      <c r="BY295" s="103">
        <v>2.5848142164781907</v>
      </c>
      <c r="BZ295" s="103">
        <v>0.32310177705977383</v>
      </c>
      <c r="CA295" s="103">
        <v>0</v>
      </c>
      <c r="CB295" s="103">
        <v>0</v>
      </c>
      <c r="CC295" s="42"/>
      <c r="CD295" s="110"/>
      <c r="CE295" s="46" t="s">
        <v>4</v>
      </c>
      <c r="CF295" s="103">
        <v>0.81190798376184026</v>
      </c>
      <c r="CG295" s="103">
        <v>8.6603518267929633</v>
      </c>
      <c r="CH295" s="103">
        <v>27.740189445196211</v>
      </c>
      <c r="CI295" s="103">
        <v>35.047361299052774</v>
      </c>
      <c r="CJ295" s="103">
        <v>14.884979702300406</v>
      </c>
      <c r="CK295" s="103">
        <v>8.1190798376184041</v>
      </c>
      <c r="CL295" s="103">
        <v>3.7889039242219216</v>
      </c>
      <c r="CM295" s="103">
        <v>0.54127198917456021</v>
      </c>
      <c r="CN295" s="103">
        <v>0.2706359945872801</v>
      </c>
      <c r="CO295" s="103">
        <v>0.13531799729364005</v>
      </c>
      <c r="CQ295" s="110"/>
      <c r="CR295" s="46" t="s">
        <v>4</v>
      </c>
      <c r="CS295" s="103">
        <v>0.66225165562913912</v>
      </c>
      <c r="CT295" s="103">
        <v>6.6225165562913908</v>
      </c>
      <c r="CU295" s="103">
        <v>27.814569536423839</v>
      </c>
      <c r="CV295" s="103">
        <v>33.112582781456958</v>
      </c>
      <c r="CW295" s="103">
        <v>11.258278145695364</v>
      </c>
      <c r="CX295" s="103">
        <v>11.920529801324504</v>
      </c>
      <c r="CY295" s="103">
        <v>6.6225165562913908</v>
      </c>
      <c r="CZ295" s="103">
        <v>1.3245033112582782</v>
      </c>
      <c r="DA295" s="103">
        <v>0.66225165562913912</v>
      </c>
      <c r="DB295" s="103">
        <v>0</v>
      </c>
      <c r="DC295" s="42"/>
      <c r="DD295" s="110"/>
      <c r="DE295" s="46" t="s">
        <v>4</v>
      </c>
      <c r="DF295" s="103">
        <v>1.1599005799502899</v>
      </c>
      <c r="DG295" s="103">
        <v>10.190555095277547</v>
      </c>
      <c r="DH295" s="103">
        <v>30.985915492957744</v>
      </c>
      <c r="DI295" s="103">
        <v>35.2112676056338</v>
      </c>
      <c r="DJ295" s="103">
        <v>12.758906379453189</v>
      </c>
      <c r="DK295" s="103">
        <v>6.3794531897265943</v>
      </c>
      <c r="DL295" s="103">
        <v>2.8169014084507045</v>
      </c>
      <c r="DM295" s="103">
        <v>0.33140016570008285</v>
      </c>
      <c r="DN295" s="103">
        <v>8.2850041425020712E-2</v>
      </c>
      <c r="DO295" s="103">
        <v>8.2850041425020712E-2</v>
      </c>
    </row>
    <row r="296" spans="2:119" ht="14.45" customHeight="1" x14ac:dyDescent="0.45">
      <c r="B296" s="99"/>
      <c r="C296" s="42"/>
      <c r="D296" s="110"/>
      <c r="E296" s="47" t="s">
        <v>5</v>
      </c>
      <c r="F296" s="103">
        <v>1.190965092402464</v>
      </c>
      <c r="G296" s="103">
        <v>6.2422997946611911</v>
      </c>
      <c r="H296" s="103">
        <v>22.874743326488705</v>
      </c>
      <c r="I296" s="103">
        <v>37.700205338809035</v>
      </c>
      <c r="J296" s="103">
        <v>17.618069815195074</v>
      </c>
      <c r="K296" s="103">
        <v>10.308008213552361</v>
      </c>
      <c r="L296" s="103">
        <v>2.9979466119096512</v>
      </c>
      <c r="M296" s="103">
        <v>0.69815195071868574</v>
      </c>
      <c r="N296" s="103">
        <v>0.20533880903490762</v>
      </c>
      <c r="O296" s="103">
        <v>0.16427104722792607</v>
      </c>
      <c r="P296" s="42"/>
      <c r="Q296" s="110"/>
      <c r="R296" s="46" t="s">
        <v>5</v>
      </c>
      <c r="S296" s="103">
        <v>0.67430883344571813</v>
      </c>
      <c r="T296" s="103">
        <v>4.3830074173971685</v>
      </c>
      <c r="U296" s="103">
        <v>17.734322319622386</v>
      </c>
      <c r="V296" s="103">
        <v>37.221847606203639</v>
      </c>
      <c r="W296" s="103">
        <v>20.498988536749831</v>
      </c>
      <c r="X296" s="103">
        <v>13.823331085637221</v>
      </c>
      <c r="Y296" s="103">
        <v>4.0458530006743088</v>
      </c>
      <c r="Z296" s="103">
        <v>1.0114632501685772</v>
      </c>
      <c r="AA296" s="103">
        <v>0.33715441672285906</v>
      </c>
      <c r="AB296" s="103">
        <v>0.26972353337828725</v>
      </c>
      <c r="AC296" s="42"/>
      <c r="AD296" s="110"/>
      <c r="AE296" s="46" t="s">
        <v>5</v>
      </c>
      <c r="AF296" s="103">
        <v>1.9957983193277309</v>
      </c>
      <c r="AG296" s="103">
        <v>9.1386554621848735</v>
      </c>
      <c r="AH296" s="103">
        <v>30.882352941176471</v>
      </c>
      <c r="AI296" s="103">
        <v>38.445378151260506</v>
      </c>
      <c r="AJ296" s="103">
        <v>13.130252100840337</v>
      </c>
      <c r="AK296" s="103">
        <v>4.8319327731092443</v>
      </c>
      <c r="AL296" s="103">
        <v>1.365546218487395</v>
      </c>
      <c r="AM296" s="103">
        <v>0.21008403361344538</v>
      </c>
      <c r="AN296" s="103">
        <v>0</v>
      </c>
      <c r="AO296" s="103">
        <v>0</v>
      </c>
      <c r="AP296" s="6"/>
      <c r="AQ296" s="110"/>
      <c r="AR296" s="46" t="s">
        <v>5</v>
      </c>
      <c r="AS296" s="103">
        <v>1.6741071428571428</v>
      </c>
      <c r="AT296" s="103">
        <v>7.9241071428571423</v>
      </c>
      <c r="AU296" s="103">
        <v>29.6875</v>
      </c>
      <c r="AV296" s="103">
        <v>38.839285714285715</v>
      </c>
      <c r="AW296" s="103">
        <v>14.285714285714285</v>
      </c>
      <c r="AX296" s="103">
        <v>5.6919642857142856</v>
      </c>
      <c r="AY296" s="103">
        <v>1.2276785714285714</v>
      </c>
      <c r="AZ296" s="103">
        <v>0.6696428571428571</v>
      </c>
      <c r="BA296" s="103">
        <v>0</v>
      </c>
      <c r="BB296" s="103">
        <v>0</v>
      </c>
      <c r="BC296" s="42"/>
      <c r="BD296" s="110"/>
      <c r="BE296" s="46" t="s">
        <v>5</v>
      </c>
      <c r="BF296" s="103">
        <v>0.90968161143599735</v>
      </c>
      <c r="BG296" s="103">
        <v>5.2631578947368416</v>
      </c>
      <c r="BH296" s="103">
        <v>18.908382066276801</v>
      </c>
      <c r="BI296" s="103">
        <v>37.037037037037038</v>
      </c>
      <c r="BJ296" s="103">
        <v>19.558154645873945</v>
      </c>
      <c r="BK296" s="103">
        <v>12.995451591942819</v>
      </c>
      <c r="BL296" s="103">
        <v>4.0285899935022744</v>
      </c>
      <c r="BM296" s="103">
        <v>0.71474983755685506</v>
      </c>
      <c r="BN296" s="103">
        <v>0.32488628979857048</v>
      </c>
      <c r="BO296" s="103">
        <v>0.25990903183885639</v>
      </c>
      <c r="BQ296" s="110"/>
      <c r="BR296" s="46" t="s">
        <v>5</v>
      </c>
      <c r="BS296" s="103">
        <v>1.3301088270858523</v>
      </c>
      <c r="BT296" s="103">
        <v>5.4413542926239424</v>
      </c>
      <c r="BU296" s="103">
        <v>28.778718258766627</v>
      </c>
      <c r="BV296" s="103">
        <v>37.243047158403868</v>
      </c>
      <c r="BW296" s="103">
        <v>16.203143893591292</v>
      </c>
      <c r="BX296" s="103">
        <v>7.7388149939540503</v>
      </c>
      <c r="BY296" s="103">
        <v>2.1765417170495769</v>
      </c>
      <c r="BZ296" s="103">
        <v>0.60459492140266025</v>
      </c>
      <c r="CA296" s="103">
        <v>0.12091898428053204</v>
      </c>
      <c r="CB296" s="103">
        <v>0.36275695284159615</v>
      </c>
      <c r="CC296" s="42"/>
      <c r="CD296" s="110"/>
      <c r="CE296" s="46" t="s">
        <v>5</v>
      </c>
      <c r="CF296" s="103">
        <v>1.1194029850746268</v>
      </c>
      <c r="CG296" s="103">
        <v>6.6542288557213931</v>
      </c>
      <c r="CH296" s="103">
        <v>19.838308457711442</v>
      </c>
      <c r="CI296" s="103">
        <v>37.93532338308458</v>
      </c>
      <c r="CJ296" s="103">
        <v>18.345771144278608</v>
      </c>
      <c r="CK296" s="103">
        <v>11.629353233830846</v>
      </c>
      <c r="CL296" s="103">
        <v>3.4203980099502482</v>
      </c>
      <c r="CM296" s="103">
        <v>0.74626865671641784</v>
      </c>
      <c r="CN296" s="103">
        <v>0.24875621890547264</v>
      </c>
      <c r="CO296" s="103">
        <v>6.2189054726368161E-2</v>
      </c>
      <c r="CQ296" s="110"/>
      <c r="CR296" s="46" t="s">
        <v>5</v>
      </c>
      <c r="CS296" s="103">
        <v>2.7149321266968327</v>
      </c>
      <c r="CT296" s="103">
        <v>5.8823529411764701</v>
      </c>
      <c r="CU296" s="103">
        <v>23.076923076923077</v>
      </c>
      <c r="CV296" s="103">
        <v>31.221719457013574</v>
      </c>
      <c r="CW296" s="103">
        <v>19.004524886877828</v>
      </c>
      <c r="CX296" s="103">
        <v>10.859728506787331</v>
      </c>
      <c r="CY296" s="103">
        <v>4.5248868778280542</v>
      </c>
      <c r="CZ296" s="103">
        <v>1.809954751131222</v>
      </c>
      <c r="DA296" s="103">
        <v>0.90497737556561098</v>
      </c>
      <c r="DB296" s="103">
        <v>0</v>
      </c>
      <c r="DC296" s="42"/>
      <c r="DD296" s="110"/>
      <c r="DE296" s="46" t="s">
        <v>5</v>
      </c>
      <c r="DF296" s="103">
        <v>1.0388437217705511</v>
      </c>
      <c r="DG296" s="103">
        <v>6.2782294489611559</v>
      </c>
      <c r="DH296" s="103">
        <v>22.854561878952122</v>
      </c>
      <c r="DI296" s="103">
        <v>38.346883468834683</v>
      </c>
      <c r="DJ296" s="103">
        <v>17.479674796747968</v>
      </c>
      <c r="DK296" s="103">
        <v>10.25293586269196</v>
      </c>
      <c r="DL296" s="103">
        <v>2.8455284552845526</v>
      </c>
      <c r="DM296" s="103">
        <v>0.58717253839205064</v>
      </c>
      <c r="DN296" s="103">
        <v>0.13550135501355012</v>
      </c>
      <c r="DO296" s="103">
        <v>0.18066847335140018</v>
      </c>
    </row>
    <row r="297" spans="2:119" ht="14.45" customHeight="1" x14ac:dyDescent="0.45">
      <c r="B297" s="99"/>
      <c r="C297" s="42"/>
      <c r="D297" s="110"/>
      <c r="E297" s="47" t="s">
        <v>6</v>
      </c>
      <c r="F297" s="103">
        <v>0.90458755115227218</v>
      </c>
      <c r="G297" s="103">
        <v>4.3290975662287314</v>
      </c>
      <c r="H297" s="103">
        <v>17.919448632349773</v>
      </c>
      <c r="I297" s="103">
        <v>31.488261899633859</v>
      </c>
      <c r="J297" s="103">
        <v>21.494723239284948</v>
      </c>
      <c r="K297" s="103">
        <v>14.624165410295067</v>
      </c>
      <c r="L297" s="103">
        <v>6.7413310359681251</v>
      </c>
      <c r="M297" s="103">
        <v>1.9814774930002155</v>
      </c>
      <c r="N297" s="103">
        <v>0.45229377557613609</v>
      </c>
      <c r="O297" s="103">
        <v>6.4613396510876595E-2</v>
      </c>
      <c r="P297" s="42"/>
      <c r="Q297" s="110"/>
      <c r="R297" s="46" t="s">
        <v>6</v>
      </c>
      <c r="S297" s="103">
        <v>0.46214006398862423</v>
      </c>
      <c r="T297" s="103">
        <v>2.2751510842516884</v>
      </c>
      <c r="U297" s="103">
        <v>12.619978670458584</v>
      </c>
      <c r="V297" s="103">
        <v>29.754710273729113</v>
      </c>
      <c r="W297" s="103">
        <v>24.209029505865622</v>
      </c>
      <c r="X297" s="103">
        <v>17.774617845716318</v>
      </c>
      <c r="Y297" s="103">
        <v>9.5982936366868117</v>
      </c>
      <c r="Z297" s="103">
        <v>2.5595449697831496</v>
      </c>
      <c r="AA297" s="103">
        <v>0.67543547813722005</v>
      </c>
      <c r="AB297" s="103">
        <v>7.1098471382865264E-2</v>
      </c>
      <c r="AC297" s="42"/>
      <c r="AD297" s="110"/>
      <c r="AE297" s="46" t="s">
        <v>6</v>
      </c>
      <c r="AF297" s="103">
        <v>1.5846994535519126</v>
      </c>
      <c r="AG297" s="103">
        <v>7.4863387978142075</v>
      </c>
      <c r="AH297" s="103">
        <v>26.065573770491802</v>
      </c>
      <c r="AI297" s="103">
        <v>34.15300546448087</v>
      </c>
      <c r="AJ297" s="103">
        <v>17.3224043715847</v>
      </c>
      <c r="AK297" s="103">
        <v>9.7814207650273222</v>
      </c>
      <c r="AL297" s="103">
        <v>2.3497267759562841</v>
      </c>
      <c r="AM297" s="103">
        <v>1.0928961748633881</v>
      </c>
      <c r="AN297" s="103">
        <v>0.10928961748633879</v>
      </c>
      <c r="AO297" s="103">
        <v>5.4644808743169397E-2</v>
      </c>
      <c r="AP297" s="6"/>
      <c r="AQ297" s="110"/>
      <c r="AR297" s="46" t="s">
        <v>6</v>
      </c>
      <c r="AS297" s="103">
        <v>1.7071569271175313</v>
      </c>
      <c r="AT297" s="103">
        <v>7.5508864084044651</v>
      </c>
      <c r="AU297" s="103">
        <v>21.930400525279055</v>
      </c>
      <c r="AV297" s="103">
        <v>34.537097833223903</v>
      </c>
      <c r="AW297" s="103">
        <v>18.713066316480631</v>
      </c>
      <c r="AX297" s="103">
        <v>10.3086014445174</v>
      </c>
      <c r="AY297" s="103">
        <v>4.2678923177938284</v>
      </c>
      <c r="AZ297" s="103">
        <v>0.91923834537097837</v>
      </c>
      <c r="BA297" s="103">
        <v>0</v>
      </c>
      <c r="BB297" s="103">
        <v>6.5659881812212731E-2</v>
      </c>
      <c r="BC297" s="42"/>
      <c r="BD297" s="110"/>
      <c r="BE297" s="46" t="s">
        <v>6</v>
      </c>
      <c r="BF297" s="103">
        <v>0.51282051282051277</v>
      </c>
      <c r="BG297" s="103">
        <v>2.7564102564102564</v>
      </c>
      <c r="BH297" s="103">
        <v>15.96153846153846</v>
      </c>
      <c r="BI297" s="103">
        <v>30</v>
      </c>
      <c r="BJ297" s="103">
        <v>22.852564102564102</v>
      </c>
      <c r="BK297" s="103">
        <v>16.73076923076923</v>
      </c>
      <c r="BL297" s="103">
        <v>7.948717948717948</v>
      </c>
      <c r="BM297" s="103">
        <v>2.5</v>
      </c>
      <c r="BN297" s="103">
        <v>0.67307692307692313</v>
      </c>
      <c r="BO297" s="103">
        <v>6.4102564102564097E-2</v>
      </c>
      <c r="BQ297" s="110"/>
      <c r="BR297" s="46" t="s">
        <v>6</v>
      </c>
      <c r="BS297" s="103">
        <v>1.7017017017017018</v>
      </c>
      <c r="BT297" s="103">
        <v>6.0060060060060056</v>
      </c>
      <c r="BU297" s="103">
        <v>23.223223223223226</v>
      </c>
      <c r="BV297" s="103">
        <v>32.032032032032035</v>
      </c>
      <c r="BW297" s="103">
        <v>20.02002002002002</v>
      </c>
      <c r="BX297" s="103">
        <v>9.3093093093093096</v>
      </c>
      <c r="BY297" s="103">
        <v>4.9049049049049049</v>
      </c>
      <c r="BZ297" s="103">
        <v>2.4024024024024024</v>
      </c>
      <c r="CA297" s="103">
        <v>0.20020020020020018</v>
      </c>
      <c r="CB297" s="103">
        <v>0.20020020020020018</v>
      </c>
      <c r="CC297" s="42"/>
      <c r="CD297" s="110"/>
      <c r="CE297" s="46" t="s">
        <v>6</v>
      </c>
      <c r="CF297" s="103">
        <v>0.68605927552140511</v>
      </c>
      <c r="CG297" s="103">
        <v>3.8693743139407246</v>
      </c>
      <c r="CH297" s="103">
        <v>16.465422612513724</v>
      </c>
      <c r="CI297" s="103">
        <v>31.339187705817785</v>
      </c>
      <c r="CJ297" s="103">
        <v>21.899012074643249</v>
      </c>
      <c r="CK297" s="103">
        <v>16.081229418221735</v>
      </c>
      <c r="CL297" s="103">
        <v>7.2447859495060367</v>
      </c>
      <c r="CM297" s="103">
        <v>1.8660812294182216</v>
      </c>
      <c r="CN297" s="103">
        <v>0.52140504939626786</v>
      </c>
      <c r="CO297" s="103">
        <v>2.7442371020856202E-2</v>
      </c>
      <c r="CQ297" s="110"/>
      <c r="CR297" s="46" t="s">
        <v>6</v>
      </c>
      <c r="CS297" s="103">
        <v>0.74812967581047385</v>
      </c>
      <c r="CT297" s="103">
        <v>4.4887780548628431</v>
      </c>
      <c r="CU297" s="103">
        <v>13.715710723192021</v>
      </c>
      <c r="CV297" s="103">
        <v>30.423940149625935</v>
      </c>
      <c r="CW297" s="103">
        <v>24.688279301745634</v>
      </c>
      <c r="CX297" s="103">
        <v>15.710723192019952</v>
      </c>
      <c r="CY297" s="103">
        <v>7.4812967581047385</v>
      </c>
      <c r="CZ297" s="103">
        <v>1.99501246882793</v>
      </c>
      <c r="DA297" s="103">
        <v>0.74812967581047385</v>
      </c>
      <c r="DB297" s="103">
        <v>0</v>
      </c>
      <c r="DC297" s="42"/>
      <c r="DD297" s="110"/>
      <c r="DE297" s="46" t="s">
        <v>6</v>
      </c>
      <c r="DF297" s="103">
        <v>0.91937765205091937</v>
      </c>
      <c r="DG297" s="103">
        <v>4.3140028288543135</v>
      </c>
      <c r="DH297" s="103">
        <v>18.316831683168317</v>
      </c>
      <c r="DI297" s="103">
        <v>31.58887317303159</v>
      </c>
      <c r="DJ297" s="103">
        <v>21.192833569071194</v>
      </c>
      <c r="DK297" s="103">
        <v>14.521452145214523</v>
      </c>
      <c r="DL297" s="103">
        <v>6.6713814238566718</v>
      </c>
      <c r="DM297" s="103">
        <v>1.9801980198019802</v>
      </c>
      <c r="DN297" s="103">
        <v>0.42432814710042432</v>
      </c>
      <c r="DO297" s="103">
        <v>7.0721357850070721E-2</v>
      </c>
    </row>
    <row r="298" spans="2:119" ht="14.45" customHeight="1" x14ac:dyDescent="0.45">
      <c r="B298" s="99"/>
      <c r="C298" s="42"/>
      <c r="D298" s="110"/>
      <c r="E298" s="47" t="s">
        <v>7</v>
      </c>
      <c r="F298" s="103">
        <v>0.7221147646679561</v>
      </c>
      <c r="G298" s="103">
        <v>3.2624113475177303</v>
      </c>
      <c r="H298" s="103">
        <v>12.35332043842682</v>
      </c>
      <c r="I298" s="103">
        <v>27.324306898774985</v>
      </c>
      <c r="J298" s="103">
        <v>21.315280464216634</v>
      </c>
      <c r="K298" s="103">
        <v>19.058671824629272</v>
      </c>
      <c r="L298" s="103">
        <v>10.805931656995487</v>
      </c>
      <c r="M298" s="103">
        <v>3.7782076079948421</v>
      </c>
      <c r="N298" s="103">
        <v>1.2250161186331399</v>
      </c>
      <c r="O298" s="103">
        <v>0.15473887814313345</v>
      </c>
      <c r="P298" s="42"/>
      <c r="Q298" s="110"/>
      <c r="R298" s="46" t="s">
        <v>7</v>
      </c>
      <c r="S298" s="103">
        <v>0.47698050601410202</v>
      </c>
      <c r="T298" s="103">
        <v>1.5553712152633763</v>
      </c>
      <c r="U298" s="103">
        <v>7.4865201161343844</v>
      </c>
      <c r="V298" s="103">
        <v>23.620904189133142</v>
      </c>
      <c r="W298" s="103">
        <v>22.25217751970137</v>
      </c>
      <c r="X298" s="103">
        <v>23.372044794691</v>
      </c>
      <c r="Y298" s="103">
        <v>13.915387805889672</v>
      </c>
      <c r="Z298" s="103">
        <v>5.288262131895479</v>
      </c>
      <c r="AA298" s="103">
        <v>1.8249688925756946</v>
      </c>
      <c r="AB298" s="103">
        <v>0.20738282870178351</v>
      </c>
      <c r="AC298" s="42"/>
      <c r="AD298" s="110"/>
      <c r="AE298" s="46" t="s">
        <v>7</v>
      </c>
      <c r="AF298" s="103">
        <v>1.1251278554381179</v>
      </c>
      <c r="AG298" s="103">
        <v>6.0688714626662126</v>
      </c>
      <c r="AH298" s="103">
        <v>20.354585748380497</v>
      </c>
      <c r="AI298" s="103">
        <v>33.41288782816229</v>
      </c>
      <c r="AJ298" s="103">
        <v>19.774974428912376</v>
      </c>
      <c r="AK298" s="103">
        <v>11.9672690078418</v>
      </c>
      <c r="AL298" s="103">
        <v>5.6938288441868394</v>
      </c>
      <c r="AM298" s="103">
        <v>1.2956017729287419</v>
      </c>
      <c r="AN298" s="103">
        <v>0.23866348448687352</v>
      </c>
      <c r="AO298" s="103">
        <v>6.8189566996249576E-2</v>
      </c>
      <c r="AP298" s="6"/>
      <c r="AQ298" s="110"/>
      <c r="AR298" s="46" t="s">
        <v>7</v>
      </c>
      <c r="AS298" s="103">
        <v>1.4028934677772906</v>
      </c>
      <c r="AT298" s="103">
        <v>5.4800526085050416</v>
      </c>
      <c r="AU298" s="103">
        <v>17.799210872424375</v>
      </c>
      <c r="AV298" s="103">
        <v>30.863656291100394</v>
      </c>
      <c r="AW298" s="103">
        <v>20.517316966242877</v>
      </c>
      <c r="AX298" s="103">
        <v>15.607189829022358</v>
      </c>
      <c r="AY298" s="103">
        <v>5.8746163963174043</v>
      </c>
      <c r="AZ298" s="103">
        <v>1.841297676457694</v>
      </c>
      <c r="BA298" s="103">
        <v>0.48224462954844366</v>
      </c>
      <c r="BB298" s="103">
        <v>0.131521262604121</v>
      </c>
      <c r="BC298" s="42"/>
      <c r="BD298" s="110"/>
      <c r="BE298" s="46" t="s">
        <v>7</v>
      </c>
      <c r="BF298" s="103">
        <v>0.43843624406284254</v>
      </c>
      <c r="BG298" s="103">
        <v>2.3383266350018266</v>
      </c>
      <c r="BH298" s="103">
        <v>10.084033613445378</v>
      </c>
      <c r="BI298" s="103">
        <v>25.849470222871755</v>
      </c>
      <c r="BJ298" s="103">
        <v>21.647789550602852</v>
      </c>
      <c r="BK298" s="103">
        <v>20.496894409937887</v>
      </c>
      <c r="BL298" s="103">
        <v>12.860796492510049</v>
      </c>
      <c r="BM298" s="103">
        <v>4.5853123858238947</v>
      </c>
      <c r="BN298" s="103">
        <v>1.5345268542199488</v>
      </c>
      <c r="BO298" s="103">
        <v>0.16441359152356594</v>
      </c>
      <c r="BQ298" s="110"/>
      <c r="BR298" s="46" t="s">
        <v>7</v>
      </c>
      <c r="BS298" s="103">
        <v>0.93632958801498134</v>
      </c>
      <c r="BT298" s="103">
        <v>6.7415730337078648</v>
      </c>
      <c r="BU298" s="103">
        <v>18.071161048689138</v>
      </c>
      <c r="BV298" s="103">
        <v>31.086142322097377</v>
      </c>
      <c r="BW298" s="103">
        <v>19.382022471910112</v>
      </c>
      <c r="BX298" s="103">
        <v>13.48314606741573</v>
      </c>
      <c r="BY298" s="103">
        <v>7.3970037453183517</v>
      </c>
      <c r="BZ298" s="103">
        <v>2.1535580524344571</v>
      </c>
      <c r="CA298" s="103">
        <v>0.74906367041198507</v>
      </c>
      <c r="CB298" s="103">
        <v>0</v>
      </c>
      <c r="CC298" s="42"/>
      <c r="CD298" s="110"/>
      <c r="CE298" s="46" t="s">
        <v>7</v>
      </c>
      <c r="CF298" s="103">
        <v>0.68790189920741729</v>
      </c>
      <c r="CG298" s="103">
        <v>2.7067444294900556</v>
      </c>
      <c r="CH298" s="103">
        <v>11.440107671601615</v>
      </c>
      <c r="CI298" s="103">
        <v>26.723493345296845</v>
      </c>
      <c r="CJ298" s="103">
        <v>21.624046657694031</v>
      </c>
      <c r="CK298" s="103">
        <v>19.949155077015103</v>
      </c>
      <c r="CL298" s="103">
        <v>11.350381336922387</v>
      </c>
      <c r="CM298" s="103">
        <v>4.0376850605652752</v>
      </c>
      <c r="CN298" s="103">
        <v>1.3010318528488112</v>
      </c>
      <c r="CO298" s="103">
        <v>0.17945266935845669</v>
      </c>
      <c r="CQ298" s="110"/>
      <c r="CR298" s="46" t="s">
        <v>7</v>
      </c>
      <c r="CS298" s="103">
        <v>1.2461059190031152</v>
      </c>
      <c r="CT298" s="103">
        <v>2.3364485981308412</v>
      </c>
      <c r="CU298" s="103">
        <v>11.370716510903426</v>
      </c>
      <c r="CV298" s="103">
        <v>21.028037383177569</v>
      </c>
      <c r="CW298" s="103">
        <v>20.249221183800621</v>
      </c>
      <c r="CX298" s="103">
        <v>21.962616822429908</v>
      </c>
      <c r="CY298" s="103">
        <v>13.551401869158877</v>
      </c>
      <c r="CZ298" s="103">
        <v>4.6728971962616823</v>
      </c>
      <c r="DA298" s="103">
        <v>3.1152647975077881</v>
      </c>
      <c r="DB298" s="103">
        <v>0.46728971962616817</v>
      </c>
      <c r="DC298" s="42"/>
      <c r="DD298" s="110"/>
      <c r="DE298" s="46" t="s">
        <v>7</v>
      </c>
      <c r="DF298" s="103">
        <v>0.67482075073808523</v>
      </c>
      <c r="DG298" s="103">
        <v>3.3459862224096728</v>
      </c>
      <c r="DH298" s="103">
        <v>12.442007591733447</v>
      </c>
      <c r="DI298" s="103">
        <v>27.892591030507525</v>
      </c>
      <c r="DJ298" s="103">
        <v>21.41150007029383</v>
      </c>
      <c r="DK298" s="103">
        <v>18.796569661183749</v>
      </c>
      <c r="DL298" s="103">
        <v>10.558132995922959</v>
      </c>
      <c r="DM298" s="103">
        <v>3.6974553634190914</v>
      </c>
      <c r="DN298" s="103">
        <v>1.0544074230282581</v>
      </c>
      <c r="DO298" s="103">
        <v>0.12652889076339097</v>
      </c>
    </row>
    <row r="299" spans="2:119" ht="14.45" customHeight="1" x14ac:dyDescent="0.45">
      <c r="B299" s="99"/>
      <c r="C299" s="42"/>
      <c r="D299" s="110"/>
      <c r="E299" s="47" t="s">
        <v>8</v>
      </c>
      <c r="F299" s="103">
        <v>0.38946162657502864</v>
      </c>
      <c r="G299" s="103">
        <v>2.1764032073310422</v>
      </c>
      <c r="H299" s="103">
        <v>7.2394043528064156</v>
      </c>
      <c r="I299" s="103">
        <v>19.495990836197024</v>
      </c>
      <c r="J299" s="103">
        <v>19.553264604810998</v>
      </c>
      <c r="K299" s="103">
        <v>21.993127147766323</v>
      </c>
      <c r="L299" s="103">
        <v>16.815578465063002</v>
      </c>
      <c r="M299" s="103">
        <v>8.006872852233677</v>
      </c>
      <c r="N299" s="103">
        <v>3.5624284077892323</v>
      </c>
      <c r="O299" s="103">
        <v>0.76746849942726225</v>
      </c>
      <c r="P299" s="42"/>
      <c r="Q299" s="110"/>
      <c r="R299" s="46" t="s">
        <v>8</v>
      </c>
      <c r="S299" s="103">
        <v>0.22018348623853212</v>
      </c>
      <c r="T299" s="103">
        <v>0.82568807339449546</v>
      </c>
      <c r="U299" s="103">
        <v>3.7247706422018347</v>
      </c>
      <c r="V299" s="103">
        <v>13.596330275229358</v>
      </c>
      <c r="W299" s="103">
        <v>17.357798165137613</v>
      </c>
      <c r="X299" s="103">
        <v>25.412844036697248</v>
      </c>
      <c r="Y299" s="103">
        <v>21.63302752293578</v>
      </c>
      <c r="Z299" s="103">
        <v>10.972477064220183</v>
      </c>
      <c r="AA299" s="103">
        <v>5.1376146788990829</v>
      </c>
      <c r="AB299" s="103">
        <v>1.1192660550458715</v>
      </c>
      <c r="AC299" s="42"/>
      <c r="AD299" s="110"/>
      <c r="AE299" s="46" t="s">
        <v>8</v>
      </c>
      <c r="AF299" s="103">
        <v>0.67073170731707321</v>
      </c>
      <c r="AG299" s="103">
        <v>4.4207317073170733</v>
      </c>
      <c r="AH299" s="103">
        <v>13.079268292682928</v>
      </c>
      <c r="AI299" s="103">
        <v>29.298780487804876</v>
      </c>
      <c r="AJ299" s="103">
        <v>23.201219512195124</v>
      </c>
      <c r="AK299" s="103">
        <v>16.310975609756099</v>
      </c>
      <c r="AL299" s="103">
        <v>8.8109756097560972</v>
      </c>
      <c r="AM299" s="103">
        <v>3.0792682926829267</v>
      </c>
      <c r="AN299" s="103">
        <v>0.94512195121951215</v>
      </c>
      <c r="AO299" s="103">
        <v>0.18292682926829271</v>
      </c>
      <c r="AP299" s="6"/>
      <c r="AQ299" s="110"/>
      <c r="AR299" s="46" t="s">
        <v>8</v>
      </c>
      <c r="AS299" s="103">
        <v>1.0994263862332696</v>
      </c>
      <c r="AT299" s="103">
        <v>3.6328871892925432</v>
      </c>
      <c r="AU299" s="103">
        <v>12.523900573613766</v>
      </c>
      <c r="AV299" s="103">
        <v>24.856596558317399</v>
      </c>
      <c r="AW299" s="103">
        <v>20.172084130019122</v>
      </c>
      <c r="AX299" s="103">
        <v>19.168260038240916</v>
      </c>
      <c r="AY299" s="103">
        <v>12.380497131931167</v>
      </c>
      <c r="AZ299" s="103">
        <v>4.6367112810707454</v>
      </c>
      <c r="BA299" s="103">
        <v>1.0994263862332696</v>
      </c>
      <c r="BB299" s="103">
        <v>0.43021032504780116</v>
      </c>
      <c r="BC299" s="42"/>
      <c r="BD299" s="110"/>
      <c r="BE299" s="46" t="s">
        <v>8</v>
      </c>
      <c r="BF299" s="103">
        <v>0.16571256402530884</v>
      </c>
      <c r="BG299" s="103">
        <v>1.7173847544441094</v>
      </c>
      <c r="BH299" s="103">
        <v>5.5739680626694783</v>
      </c>
      <c r="BI299" s="103">
        <v>17.806568243446822</v>
      </c>
      <c r="BJ299" s="103">
        <v>19.358240433865621</v>
      </c>
      <c r="BK299" s="103">
        <v>22.883398614040374</v>
      </c>
      <c r="BL299" s="103">
        <v>18.213317264236213</v>
      </c>
      <c r="BM299" s="103">
        <v>9.0689966857487185</v>
      </c>
      <c r="BN299" s="103">
        <v>4.3386562217535403</v>
      </c>
      <c r="BO299" s="103">
        <v>0.87375715576981028</v>
      </c>
      <c r="BQ299" s="110"/>
      <c r="BR299" s="46" t="s">
        <v>8</v>
      </c>
      <c r="BS299" s="103">
        <v>0.63131313131313127</v>
      </c>
      <c r="BT299" s="103">
        <v>4.4191919191919196</v>
      </c>
      <c r="BU299" s="103">
        <v>11.994949494949495</v>
      </c>
      <c r="BV299" s="103">
        <v>27.651515151515149</v>
      </c>
      <c r="BW299" s="103">
        <v>22.474747474747474</v>
      </c>
      <c r="BX299" s="103">
        <v>16.414141414141415</v>
      </c>
      <c r="BY299" s="103">
        <v>10.606060606060606</v>
      </c>
      <c r="BZ299" s="103">
        <v>4.0404040404040407</v>
      </c>
      <c r="CA299" s="103">
        <v>1.3888888888888888</v>
      </c>
      <c r="CB299" s="103">
        <v>0.37878787878787878</v>
      </c>
      <c r="CC299" s="42"/>
      <c r="CD299" s="110"/>
      <c r="CE299" s="46" t="s">
        <v>8</v>
      </c>
      <c r="CF299" s="103">
        <v>0.36533131771227012</v>
      </c>
      <c r="CG299" s="103">
        <v>1.9526329050138573</v>
      </c>
      <c r="CH299" s="103">
        <v>6.7649281934996228</v>
      </c>
      <c r="CI299" s="103">
        <v>18.682287729906776</v>
      </c>
      <c r="CJ299" s="103">
        <v>19.261778785588309</v>
      </c>
      <c r="CK299" s="103">
        <v>22.549760644998742</v>
      </c>
      <c r="CL299" s="103">
        <v>17.43512219702696</v>
      </c>
      <c r="CM299" s="103">
        <v>8.4026203073822128</v>
      </c>
      <c r="CN299" s="103">
        <v>3.7792894935752082</v>
      </c>
      <c r="CO299" s="103">
        <v>0.80624842529604446</v>
      </c>
      <c r="CQ299" s="110"/>
      <c r="CR299" s="46" t="s">
        <v>8</v>
      </c>
      <c r="CS299" s="103">
        <v>0.61255742725880558</v>
      </c>
      <c r="CT299" s="103">
        <v>1.0719754977029097</v>
      </c>
      <c r="CU299" s="103">
        <v>6.2787136294027563</v>
      </c>
      <c r="CV299" s="103">
        <v>19.908116385911178</v>
      </c>
      <c r="CW299" s="103">
        <v>17.457886676875958</v>
      </c>
      <c r="CX299" s="103">
        <v>19.754977029096477</v>
      </c>
      <c r="CY299" s="103">
        <v>20.673813169984687</v>
      </c>
      <c r="CZ299" s="103">
        <v>7.3506891271056665</v>
      </c>
      <c r="DA299" s="103">
        <v>5.5130168453292496</v>
      </c>
      <c r="DB299" s="103">
        <v>1.3782542113323124</v>
      </c>
      <c r="DC299" s="42"/>
      <c r="DD299" s="110"/>
      <c r="DE299" s="46" t="s">
        <v>8</v>
      </c>
      <c r="DF299" s="103">
        <v>0.37142503404729477</v>
      </c>
      <c r="DG299" s="103">
        <v>2.2656927076884981</v>
      </c>
      <c r="DH299" s="103">
        <v>7.3170731707317067</v>
      </c>
      <c r="DI299" s="103">
        <v>19.462671784078246</v>
      </c>
      <c r="DJ299" s="103">
        <v>19.722669307911353</v>
      </c>
      <c r="DK299" s="103">
        <v>22.1740745326235</v>
      </c>
      <c r="DL299" s="103">
        <v>16.503652346168131</v>
      </c>
      <c r="DM299" s="103">
        <v>8.0599232388262969</v>
      </c>
      <c r="DN299" s="103">
        <v>3.4047294787668685</v>
      </c>
      <c r="DO299" s="103">
        <v>0.7180883991581033</v>
      </c>
    </row>
    <row r="300" spans="2:119" ht="14.45" customHeight="1" x14ac:dyDescent="0.45">
      <c r="B300" s="99"/>
      <c r="C300" s="42"/>
      <c r="D300" s="110"/>
      <c r="E300" s="47" t="s">
        <v>9</v>
      </c>
      <c r="F300" s="103">
        <v>0.19705727798213346</v>
      </c>
      <c r="G300" s="103">
        <v>0.94587493431424075</v>
      </c>
      <c r="H300" s="103">
        <v>3.7572254335260116</v>
      </c>
      <c r="I300" s="103">
        <v>12.401471361008934</v>
      </c>
      <c r="J300" s="103">
        <v>13.71518654755649</v>
      </c>
      <c r="K300" s="103">
        <v>20.401996847083552</v>
      </c>
      <c r="L300" s="103">
        <v>22.714135575407251</v>
      </c>
      <c r="M300" s="103">
        <v>14.266946925906462</v>
      </c>
      <c r="N300" s="103">
        <v>8.3420914345769841</v>
      </c>
      <c r="O300" s="103">
        <v>3.2580136626379401</v>
      </c>
      <c r="P300" s="42"/>
      <c r="Q300" s="110"/>
      <c r="R300" s="46" t="s">
        <v>9</v>
      </c>
      <c r="S300" s="103">
        <v>6.2552126772310257E-2</v>
      </c>
      <c r="T300" s="103">
        <v>0.396163469557965</v>
      </c>
      <c r="U300" s="103">
        <v>1.4595496246872393</v>
      </c>
      <c r="V300" s="103">
        <v>6.9015846538782313</v>
      </c>
      <c r="W300" s="103">
        <v>10.529608006672227</v>
      </c>
      <c r="X300" s="103">
        <v>19.307756463719766</v>
      </c>
      <c r="Y300" s="103">
        <v>26.542952460383653</v>
      </c>
      <c r="Z300" s="103">
        <v>18.682235195996665</v>
      </c>
      <c r="AA300" s="103">
        <v>11.509591326105086</v>
      </c>
      <c r="AB300" s="103">
        <v>4.608006672226856</v>
      </c>
      <c r="AC300" s="42"/>
      <c r="AD300" s="110"/>
      <c r="AE300" s="46" t="s">
        <v>9</v>
      </c>
      <c r="AF300" s="103">
        <v>0.42613636363636359</v>
      </c>
      <c r="AG300" s="103">
        <v>1.8821022727272727</v>
      </c>
      <c r="AH300" s="103">
        <v>7.6704545454545459</v>
      </c>
      <c r="AI300" s="103">
        <v>21.76846590909091</v>
      </c>
      <c r="AJ300" s="103">
        <v>19.140625</v>
      </c>
      <c r="AK300" s="103">
        <v>22.265625</v>
      </c>
      <c r="AL300" s="103">
        <v>16.193181818181817</v>
      </c>
      <c r="AM300" s="103">
        <v>6.7471590909090908</v>
      </c>
      <c r="AN300" s="103">
        <v>2.9474431818181821</v>
      </c>
      <c r="AO300" s="103">
        <v>0.95880681818181823</v>
      </c>
      <c r="AP300" s="6"/>
      <c r="AQ300" s="110"/>
      <c r="AR300" s="46" t="s">
        <v>9</v>
      </c>
      <c r="AS300" s="103">
        <v>0.65264684554024655</v>
      </c>
      <c r="AT300" s="103">
        <v>2.4655547498187094</v>
      </c>
      <c r="AU300" s="103">
        <v>7.1065989847715745</v>
      </c>
      <c r="AV300" s="103">
        <v>19.216823785351707</v>
      </c>
      <c r="AW300" s="103">
        <v>17.476432197244378</v>
      </c>
      <c r="AX300" s="103">
        <v>19.434372733865118</v>
      </c>
      <c r="AY300" s="103">
        <v>18.419144307469182</v>
      </c>
      <c r="AZ300" s="103">
        <v>9.6446700507614214</v>
      </c>
      <c r="BA300" s="103">
        <v>4.3509789702683106</v>
      </c>
      <c r="BB300" s="103">
        <v>1.2327773749093547</v>
      </c>
      <c r="BC300" s="42"/>
      <c r="BD300" s="110"/>
      <c r="BE300" s="46" t="s">
        <v>9</v>
      </c>
      <c r="BF300" s="103">
        <v>9.6261832183539231E-2</v>
      </c>
      <c r="BG300" s="103">
        <v>0.6096582704957485</v>
      </c>
      <c r="BH300" s="103">
        <v>3.0162040750842292</v>
      </c>
      <c r="BI300" s="103">
        <v>10.893630675437189</v>
      </c>
      <c r="BJ300" s="103">
        <v>12.883041873897</v>
      </c>
      <c r="BK300" s="103">
        <v>20.61607572597465</v>
      </c>
      <c r="BL300" s="103">
        <v>23.664367078453395</v>
      </c>
      <c r="BM300" s="103">
        <v>15.28958767848548</v>
      </c>
      <c r="BN300" s="103">
        <v>9.2250922509225095</v>
      </c>
      <c r="BO300" s="103">
        <v>3.7060805390662601</v>
      </c>
      <c r="BQ300" s="110"/>
      <c r="BR300" s="46" t="s">
        <v>9</v>
      </c>
      <c r="BS300" s="103">
        <v>0.41753653444676403</v>
      </c>
      <c r="BT300" s="103">
        <v>2.5052192066805845</v>
      </c>
      <c r="BU300" s="103">
        <v>7.9331941544885183</v>
      </c>
      <c r="BV300" s="103">
        <v>18.997912317327767</v>
      </c>
      <c r="BW300" s="103">
        <v>14.40501043841336</v>
      </c>
      <c r="BX300" s="103">
        <v>22.129436325678498</v>
      </c>
      <c r="BY300" s="103">
        <v>17.118997912317326</v>
      </c>
      <c r="BZ300" s="103">
        <v>8.7682672233820469</v>
      </c>
      <c r="CA300" s="103">
        <v>5.6367432150313155</v>
      </c>
      <c r="CB300" s="103">
        <v>2.0876826722338206</v>
      </c>
      <c r="CC300" s="42"/>
      <c r="CD300" s="110"/>
      <c r="CE300" s="46" t="s">
        <v>9</v>
      </c>
      <c r="CF300" s="103">
        <v>0.18225150707977009</v>
      </c>
      <c r="CG300" s="103">
        <v>0.84116080190663123</v>
      </c>
      <c r="CH300" s="103">
        <v>3.4767979812140757</v>
      </c>
      <c r="CI300" s="103">
        <v>11.958502733772606</v>
      </c>
      <c r="CJ300" s="103">
        <v>13.668863030982756</v>
      </c>
      <c r="CK300" s="103">
        <v>20.285994672648254</v>
      </c>
      <c r="CL300" s="103">
        <v>23.089864012337024</v>
      </c>
      <c r="CM300" s="103">
        <v>14.636197953175381</v>
      </c>
      <c r="CN300" s="103">
        <v>8.5237627926538622</v>
      </c>
      <c r="CO300" s="103">
        <v>3.3366045142296366</v>
      </c>
      <c r="CQ300" s="110"/>
      <c r="CR300" s="46" t="s">
        <v>9</v>
      </c>
      <c r="CS300" s="103">
        <v>0.19083969465648853</v>
      </c>
      <c r="CT300" s="103">
        <v>0.5725190839694656</v>
      </c>
      <c r="CU300" s="103">
        <v>4.770992366412214</v>
      </c>
      <c r="CV300" s="103">
        <v>13.358778625954198</v>
      </c>
      <c r="CW300" s="103">
        <v>10.687022900763358</v>
      </c>
      <c r="CX300" s="103">
        <v>14.885496183206106</v>
      </c>
      <c r="CY300" s="103">
        <v>24.045801526717558</v>
      </c>
      <c r="CZ300" s="103">
        <v>14.694656488549619</v>
      </c>
      <c r="DA300" s="103">
        <v>11.450381679389313</v>
      </c>
      <c r="DB300" s="103">
        <v>5.343511450381679</v>
      </c>
      <c r="DC300" s="42"/>
      <c r="DD300" s="110"/>
      <c r="DE300" s="46" t="s">
        <v>9</v>
      </c>
      <c r="DF300" s="103">
        <v>0.19751693002257337</v>
      </c>
      <c r="DG300" s="103">
        <v>0.97347629796839719</v>
      </c>
      <c r="DH300" s="103">
        <v>3.6822799097065464</v>
      </c>
      <c r="DI300" s="103">
        <v>12.330699774266366</v>
      </c>
      <c r="DJ300" s="103">
        <v>13.939051918735892</v>
      </c>
      <c r="DK300" s="103">
        <v>20.809819413092551</v>
      </c>
      <c r="DL300" s="103">
        <v>22.615688487584652</v>
      </c>
      <c r="DM300" s="103">
        <v>14.235327313769751</v>
      </c>
      <c r="DN300" s="103">
        <v>8.1123024830699784</v>
      </c>
      <c r="DO300" s="103">
        <v>3.1038374717832955</v>
      </c>
    </row>
    <row r="301" spans="2:119" ht="14.45" customHeight="1" x14ac:dyDescent="0.45">
      <c r="B301" s="99"/>
      <c r="C301" s="42"/>
      <c r="D301" s="110"/>
      <c r="E301" s="47" t="s">
        <v>10</v>
      </c>
      <c r="F301" s="103">
        <v>0.11337868480725624</v>
      </c>
      <c r="G301" s="103">
        <v>0.49130763416477707</v>
      </c>
      <c r="H301" s="103">
        <v>1.6250944822373394</v>
      </c>
      <c r="I301" s="103">
        <v>5.4799697656840518</v>
      </c>
      <c r="J301" s="103">
        <v>7.6530612244897958</v>
      </c>
      <c r="K301" s="103">
        <v>16.156462585034014</v>
      </c>
      <c r="L301" s="103">
        <v>21.334089191232046</v>
      </c>
      <c r="M301" s="103">
        <v>19.897959183673468</v>
      </c>
      <c r="N301" s="103">
        <v>17.214663643235074</v>
      </c>
      <c r="O301" s="103">
        <v>10.034013605442176</v>
      </c>
      <c r="P301" s="42"/>
      <c r="Q301" s="110"/>
      <c r="R301" s="46" t="s">
        <v>10</v>
      </c>
      <c r="S301" s="103">
        <v>2.9940119760479042E-2</v>
      </c>
      <c r="T301" s="103">
        <v>0.17964071856287425</v>
      </c>
      <c r="U301" s="103">
        <v>0.41916167664670656</v>
      </c>
      <c r="V301" s="103">
        <v>2.7245508982035926</v>
      </c>
      <c r="W301" s="103">
        <v>3.8622754491017965</v>
      </c>
      <c r="X301" s="103">
        <v>12.005988023952096</v>
      </c>
      <c r="Y301" s="103">
        <v>20.898203592814372</v>
      </c>
      <c r="Z301" s="103">
        <v>23.443113772455089</v>
      </c>
      <c r="AA301" s="103">
        <v>22.21556886227545</v>
      </c>
      <c r="AB301" s="103">
        <v>14.221556886227546</v>
      </c>
      <c r="AC301" s="42"/>
      <c r="AD301" s="110"/>
      <c r="AE301" s="46" t="s">
        <v>10</v>
      </c>
      <c r="AF301" s="103">
        <v>0.25614754098360654</v>
      </c>
      <c r="AG301" s="103">
        <v>1.0245901639344261</v>
      </c>
      <c r="AH301" s="103">
        <v>3.6885245901639343</v>
      </c>
      <c r="AI301" s="103">
        <v>10.19467213114754</v>
      </c>
      <c r="AJ301" s="103">
        <v>14.139344262295081</v>
      </c>
      <c r="AK301" s="103">
        <v>23.258196721311474</v>
      </c>
      <c r="AL301" s="103">
        <v>22.079918032786885</v>
      </c>
      <c r="AM301" s="103">
        <v>13.831967213114755</v>
      </c>
      <c r="AN301" s="103">
        <v>8.657786885245903</v>
      </c>
      <c r="AO301" s="103">
        <v>2.8688524590163933</v>
      </c>
      <c r="AP301" s="6"/>
      <c r="AQ301" s="110"/>
      <c r="AR301" s="46" t="s">
        <v>10</v>
      </c>
      <c r="AS301" s="103">
        <v>0.29585798816568049</v>
      </c>
      <c r="AT301" s="103">
        <v>1.7751479289940828</v>
      </c>
      <c r="AU301" s="103">
        <v>3.8461538461538463</v>
      </c>
      <c r="AV301" s="103">
        <v>9.9112426035502956</v>
      </c>
      <c r="AW301" s="103">
        <v>12.1301775147929</v>
      </c>
      <c r="AX301" s="103">
        <v>20.414201183431953</v>
      </c>
      <c r="AY301" s="103">
        <v>22.041420118343193</v>
      </c>
      <c r="AZ301" s="103">
        <v>14.940828402366865</v>
      </c>
      <c r="BA301" s="103">
        <v>11.094674556213018</v>
      </c>
      <c r="BB301" s="103">
        <v>3.5502958579881656</v>
      </c>
      <c r="BC301" s="42"/>
      <c r="BD301" s="110"/>
      <c r="BE301" s="46" t="s">
        <v>10</v>
      </c>
      <c r="BF301" s="103">
        <v>8.6655112651646438E-2</v>
      </c>
      <c r="BG301" s="103">
        <v>0.30329289428076256</v>
      </c>
      <c r="BH301" s="103">
        <v>1.2998266897746966</v>
      </c>
      <c r="BI301" s="103">
        <v>4.8310225303292897</v>
      </c>
      <c r="BJ301" s="103">
        <v>6.9974003466204513</v>
      </c>
      <c r="BK301" s="103">
        <v>15.532928942807626</v>
      </c>
      <c r="BL301" s="103">
        <v>21.230502599653381</v>
      </c>
      <c r="BM301" s="103">
        <v>20.623916811091856</v>
      </c>
      <c r="BN301" s="103">
        <v>18.110918544194107</v>
      </c>
      <c r="BO301" s="103">
        <v>10.983535528596187</v>
      </c>
      <c r="BQ301" s="110"/>
      <c r="BR301" s="46" t="s">
        <v>10</v>
      </c>
      <c r="BS301" s="103">
        <v>0</v>
      </c>
      <c r="BT301" s="103">
        <v>0.83333333333333337</v>
      </c>
      <c r="BU301" s="103">
        <v>4.583333333333333</v>
      </c>
      <c r="BV301" s="103">
        <v>12.916666666666668</v>
      </c>
      <c r="BW301" s="103">
        <v>12.083333333333334</v>
      </c>
      <c r="BX301" s="103">
        <v>18.75</v>
      </c>
      <c r="BY301" s="103">
        <v>19.166666666666668</v>
      </c>
      <c r="BZ301" s="103">
        <v>15.833333333333332</v>
      </c>
      <c r="CA301" s="103">
        <v>10</v>
      </c>
      <c r="CB301" s="103">
        <v>5.833333333333333</v>
      </c>
      <c r="CC301" s="42"/>
      <c r="CD301" s="110"/>
      <c r="CE301" s="46" t="s">
        <v>10</v>
      </c>
      <c r="CF301" s="103">
        <v>0.11876484560570072</v>
      </c>
      <c r="CG301" s="103">
        <v>0.47505938242280288</v>
      </c>
      <c r="CH301" s="103">
        <v>1.4845605700712587</v>
      </c>
      <c r="CI301" s="103">
        <v>5.1266825019794142</v>
      </c>
      <c r="CJ301" s="103">
        <v>7.4425969912905776</v>
      </c>
      <c r="CK301" s="103">
        <v>16.033254156769598</v>
      </c>
      <c r="CL301" s="103">
        <v>21.437054631828978</v>
      </c>
      <c r="CM301" s="103">
        <v>20.091053048297706</v>
      </c>
      <c r="CN301" s="103">
        <v>17.557403008709421</v>
      </c>
      <c r="CO301" s="103">
        <v>10.233570863024545</v>
      </c>
      <c r="CQ301" s="110"/>
      <c r="CR301" s="46" t="s">
        <v>10</v>
      </c>
      <c r="CS301" s="103">
        <v>0</v>
      </c>
      <c r="CT301" s="103">
        <v>0.54200542005420049</v>
      </c>
      <c r="CU301" s="103">
        <v>0.81300813008130091</v>
      </c>
      <c r="CV301" s="103">
        <v>4.8780487804878048</v>
      </c>
      <c r="CW301" s="103">
        <v>6.2330623306233059</v>
      </c>
      <c r="CX301" s="103">
        <v>14.634146341463413</v>
      </c>
      <c r="CY301" s="103">
        <v>19.78319783197832</v>
      </c>
      <c r="CZ301" s="103">
        <v>16.531165311653119</v>
      </c>
      <c r="DA301" s="103">
        <v>21.138211382113823</v>
      </c>
      <c r="DB301" s="103">
        <v>15.447154471544716</v>
      </c>
      <c r="DC301" s="42"/>
      <c r="DD301" s="110"/>
      <c r="DE301" s="46" t="s">
        <v>10</v>
      </c>
      <c r="DF301" s="103">
        <v>0.12187690432663011</v>
      </c>
      <c r="DG301" s="103">
        <v>0.48750761730652042</v>
      </c>
      <c r="DH301" s="103">
        <v>1.6859638431850497</v>
      </c>
      <c r="DI301" s="103">
        <v>5.5250863294738979</v>
      </c>
      <c r="DJ301" s="103">
        <v>7.7594962421287832</v>
      </c>
      <c r="DK301" s="103">
        <v>16.270566727605118</v>
      </c>
      <c r="DL301" s="103">
        <v>21.450335161486898</v>
      </c>
      <c r="DM301" s="103">
        <v>20.15031484866951</v>
      </c>
      <c r="DN301" s="103">
        <v>16.920576884013812</v>
      </c>
      <c r="DO301" s="103">
        <v>9.6282754418037779</v>
      </c>
    </row>
    <row r="302" spans="2:119" ht="14.45" customHeight="1" x14ac:dyDescent="0.45">
      <c r="B302" s="99"/>
      <c r="C302" s="42"/>
      <c r="D302" s="111"/>
      <c r="E302" s="47" t="s">
        <v>11</v>
      </c>
      <c r="F302" s="103">
        <v>0</v>
      </c>
      <c r="G302" s="103">
        <v>0</v>
      </c>
      <c r="H302" s="103">
        <v>0.2103049421661409</v>
      </c>
      <c r="I302" s="103">
        <v>1.7875920084121977</v>
      </c>
      <c r="J302" s="103">
        <v>2.2082018927444795</v>
      </c>
      <c r="K302" s="103">
        <v>7.9915878023133544</v>
      </c>
      <c r="L302" s="103">
        <v>15.667718191377498</v>
      </c>
      <c r="M302" s="103">
        <v>22.082018927444793</v>
      </c>
      <c r="N302" s="103">
        <v>21.976866456361723</v>
      </c>
      <c r="O302" s="103">
        <v>28.075709779179807</v>
      </c>
      <c r="P302" s="42"/>
      <c r="Q302" s="111"/>
      <c r="R302" s="46" t="s">
        <v>11</v>
      </c>
      <c r="S302" s="103">
        <v>0</v>
      </c>
      <c r="T302" s="103">
        <v>0</v>
      </c>
      <c r="U302" s="103">
        <v>0</v>
      </c>
      <c r="V302" s="103">
        <v>0.91743119266055051</v>
      </c>
      <c r="W302" s="103">
        <v>0.1529051987767584</v>
      </c>
      <c r="X302" s="103">
        <v>5.0458715596330279</v>
      </c>
      <c r="Y302" s="103">
        <v>12.538226299694188</v>
      </c>
      <c r="Z302" s="103">
        <v>20.030581039755351</v>
      </c>
      <c r="AA302" s="103">
        <v>25.076452599388375</v>
      </c>
      <c r="AB302" s="103">
        <v>36.238532110091739</v>
      </c>
      <c r="AC302" s="42"/>
      <c r="AD302" s="111"/>
      <c r="AE302" s="46" t="s">
        <v>11</v>
      </c>
      <c r="AF302" s="103">
        <v>0</v>
      </c>
      <c r="AG302" s="103">
        <v>0</v>
      </c>
      <c r="AH302" s="103">
        <v>0.67340067340067333</v>
      </c>
      <c r="AI302" s="103">
        <v>3.7037037037037033</v>
      </c>
      <c r="AJ302" s="103">
        <v>6.7340067340067336</v>
      </c>
      <c r="AK302" s="103">
        <v>14.478114478114479</v>
      </c>
      <c r="AL302" s="103">
        <v>22.558922558922561</v>
      </c>
      <c r="AM302" s="103">
        <v>26.599326599326602</v>
      </c>
      <c r="AN302" s="103">
        <v>15.151515151515152</v>
      </c>
      <c r="AO302" s="103">
        <v>10.1010101010101</v>
      </c>
      <c r="AP302" s="6"/>
      <c r="AQ302" s="111"/>
      <c r="AR302" s="46" t="s">
        <v>11</v>
      </c>
      <c r="AS302" s="103">
        <v>0</v>
      </c>
      <c r="AT302" s="103">
        <v>0</v>
      </c>
      <c r="AU302" s="103">
        <v>0</v>
      </c>
      <c r="AV302" s="103">
        <v>6.8493150684931505</v>
      </c>
      <c r="AW302" s="103">
        <v>2.7397260273972601</v>
      </c>
      <c r="AX302" s="103">
        <v>19.17808219178082</v>
      </c>
      <c r="AY302" s="103">
        <v>21.917808219178081</v>
      </c>
      <c r="AZ302" s="103">
        <v>20.547945205479451</v>
      </c>
      <c r="BA302" s="103">
        <v>19.17808219178082</v>
      </c>
      <c r="BB302" s="103">
        <v>9.5890410958904102</v>
      </c>
      <c r="BC302" s="42"/>
      <c r="BD302" s="111"/>
      <c r="BE302" s="46" t="s">
        <v>11</v>
      </c>
      <c r="BF302" s="103">
        <v>0</v>
      </c>
      <c r="BG302" s="103">
        <v>0</v>
      </c>
      <c r="BH302" s="103">
        <v>0.22779043280182232</v>
      </c>
      <c r="BI302" s="103">
        <v>1.3667425968109339</v>
      </c>
      <c r="BJ302" s="103">
        <v>2.1640091116173119</v>
      </c>
      <c r="BK302" s="103">
        <v>7.0615034168564916</v>
      </c>
      <c r="BL302" s="103">
        <v>15.148063781321182</v>
      </c>
      <c r="BM302" s="103">
        <v>22.209567198177677</v>
      </c>
      <c r="BN302" s="103">
        <v>22.209567198177677</v>
      </c>
      <c r="BO302" s="103">
        <v>29.6127562642369</v>
      </c>
      <c r="BQ302" s="111"/>
      <c r="BR302" s="46" t="s">
        <v>11</v>
      </c>
      <c r="BS302" s="103">
        <v>0</v>
      </c>
      <c r="BT302" s="103">
        <v>0</v>
      </c>
      <c r="BU302" s="103">
        <v>0</v>
      </c>
      <c r="BV302" s="103">
        <v>3.125</v>
      </c>
      <c r="BW302" s="103">
        <v>0</v>
      </c>
      <c r="BX302" s="103">
        <v>18.75</v>
      </c>
      <c r="BY302" s="103">
        <v>18.75</v>
      </c>
      <c r="BZ302" s="103">
        <v>15.625</v>
      </c>
      <c r="CA302" s="103">
        <v>21.875</v>
      </c>
      <c r="CB302" s="103">
        <v>21.875</v>
      </c>
      <c r="CC302" s="42"/>
      <c r="CD302" s="111"/>
      <c r="CE302" s="46" t="s">
        <v>11</v>
      </c>
      <c r="CF302" s="103">
        <v>0</v>
      </c>
      <c r="CG302" s="103">
        <v>0</v>
      </c>
      <c r="CH302" s="103">
        <v>0.2176278563656148</v>
      </c>
      <c r="CI302" s="103">
        <v>1.7410228509249184</v>
      </c>
      <c r="CJ302" s="103">
        <v>2.2850924918389555</v>
      </c>
      <c r="CK302" s="103">
        <v>7.6169749727965179</v>
      </c>
      <c r="CL302" s="103">
        <v>15.560391730141458</v>
      </c>
      <c r="CM302" s="103">
        <v>22.306855277475517</v>
      </c>
      <c r="CN302" s="103">
        <v>21.980413492927095</v>
      </c>
      <c r="CO302" s="103">
        <v>28.291621327529924</v>
      </c>
      <c r="CQ302" s="111"/>
      <c r="CR302" s="46" t="s">
        <v>11</v>
      </c>
      <c r="CS302" s="103">
        <v>0</v>
      </c>
      <c r="CT302" s="103">
        <v>0</v>
      </c>
      <c r="CU302" s="103">
        <v>0</v>
      </c>
      <c r="CV302" s="103">
        <v>1.5151515151515151</v>
      </c>
      <c r="CW302" s="103">
        <v>1.5151515151515151</v>
      </c>
      <c r="CX302" s="103">
        <v>3.0303030303030303</v>
      </c>
      <c r="CY302" s="103">
        <v>16.666666666666664</v>
      </c>
      <c r="CZ302" s="103">
        <v>27.27272727272727</v>
      </c>
      <c r="DA302" s="103">
        <v>25.757575757575758</v>
      </c>
      <c r="DB302" s="103">
        <v>24.242424242424242</v>
      </c>
      <c r="DC302" s="42"/>
      <c r="DD302" s="111"/>
      <c r="DE302" s="46" t="s">
        <v>11</v>
      </c>
      <c r="DF302" s="103">
        <v>0</v>
      </c>
      <c r="DG302" s="103">
        <v>0</v>
      </c>
      <c r="DH302" s="103">
        <v>0.22598870056497175</v>
      </c>
      <c r="DI302" s="103">
        <v>1.807909604519774</v>
      </c>
      <c r="DJ302" s="103">
        <v>2.2598870056497176</v>
      </c>
      <c r="DK302" s="103">
        <v>8.361581920903955</v>
      </c>
      <c r="DL302" s="103">
        <v>15.593220338983052</v>
      </c>
      <c r="DM302" s="103">
        <v>21.694915254237287</v>
      </c>
      <c r="DN302" s="103">
        <v>21.694915254237287</v>
      </c>
      <c r="DO302" s="103">
        <v>28.361581920903955</v>
      </c>
    </row>
    <row r="303" spans="2:119" ht="14.45" customHeight="1" x14ac:dyDescent="0.45">
      <c r="B303" s="99"/>
      <c r="C303" s="42"/>
      <c r="D303" s="42"/>
      <c r="E303" s="42"/>
      <c r="F303" s="42"/>
      <c r="G303" s="42"/>
      <c r="H303" s="42"/>
      <c r="I303" s="42"/>
      <c r="J303" s="42"/>
      <c r="K303" s="42"/>
      <c r="L303" s="42"/>
      <c r="M303" s="42"/>
      <c r="N303" s="42"/>
      <c r="O303" s="42"/>
      <c r="P303" s="42"/>
      <c r="Q303" s="42"/>
      <c r="R303" s="42"/>
      <c r="S303" s="42"/>
      <c r="T303" s="42"/>
      <c r="U303" s="42"/>
      <c r="V303" s="42"/>
      <c r="W303" s="42"/>
      <c r="X303" s="42"/>
      <c r="Y303" s="42"/>
      <c r="Z303" s="42"/>
      <c r="AA303" s="42"/>
      <c r="AB303" s="42"/>
      <c r="AC303" s="42"/>
      <c r="AD303" s="42"/>
      <c r="AE303" s="42"/>
      <c r="AF303" s="42"/>
      <c r="AG303" s="42"/>
      <c r="AH303" s="42"/>
      <c r="AI303" s="42"/>
      <c r="AJ303" s="42"/>
      <c r="AK303" s="42"/>
      <c r="AL303" s="42"/>
      <c r="AM303" s="42"/>
      <c r="AN303" s="42"/>
      <c r="AO303" s="42"/>
      <c r="AQ303" s="42"/>
      <c r="AR303" s="42"/>
      <c r="AS303" s="42"/>
      <c r="AT303" s="42"/>
      <c r="AU303" s="42"/>
      <c r="AV303" s="42"/>
      <c r="AW303" s="42"/>
      <c r="AX303" s="42"/>
      <c r="AY303" s="42"/>
      <c r="AZ303" s="42"/>
      <c r="BA303" s="42"/>
      <c r="BB303" s="42"/>
      <c r="BC303" s="42"/>
      <c r="BD303" s="42"/>
      <c r="BE303" s="42"/>
      <c r="BF303" s="42"/>
      <c r="BG303" s="42"/>
      <c r="BH303" s="42"/>
      <c r="BI303" s="42"/>
      <c r="BJ303" s="42"/>
      <c r="BK303" s="42"/>
      <c r="BL303" s="42"/>
      <c r="BM303" s="42"/>
      <c r="BN303" s="42"/>
      <c r="BO303" s="42"/>
      <c r="BQ303" s="42"/>
      <c r="BR303" s="42"/>
      <c r="BS303" s="42"/>
      <c r="BT303" s="42"/>
      <c r="BU303" s="42"/>
      <c r="BV303" s="42"/>
      <c r="BW303" s="42"/>
      <c r="BX303" s="42"/>
      <c r="BY303" s="42"/>
      <c r="BZ303" s="42"/>
      <c r="CA303" s="42"/>
      <c r="CB303" s="42"/>
      <c r="CC303" s="42"/>
      <c r="CD303" s="42"/>
      <c r="CE303" s="42"/>
      <c r="CF303" s="42"/>
      <c r="CG303" s="42"/>
      <c r="CH303" s="42"/>
      <c r="CI303" s="42"/>
      <c r="CJ303" s="42"/>
      <c r="CK303" s="42"/>
      <c r="CL303" s="42"/>
      <c r="CM303" s="42"/>
      <c r="CN303" s="42"/>
      <c r="CO303" s="42"/>
      <c r="CQ303" s="42"/>
      <c r="CR303" s="42"/>
      <c r="CS303" s="42"/>
      <c r="CT303" s="42"/>
      <c r="CU303" s="42"/>
      <c r="CV303" s="42"/>
      <c r="CW303" s="42"/>
      <c r="CX303" s="42"/>
      <c r="CY303" s="42"/>
      <c r="CZ303" s="42"/>
      <c r="DA303" s="42"/>
      <c r="DB303" s="42"/>
      <c r="DC303" s="42"/>
      <c r="DD303" s="42"/>
      <c r="DE303" s="42"/>
      <c r="DF303" s="42"/>
      <c r="DG303" s="42"/>
      <c r="DH303" s="42"/>
      <c r="DI303" s="42"/>
      <c r="DJ303" s="42"/>
      <c r="DK303" s="42"/>
      <c r="DL303" s="42"/>
      <c r="DM303" s="42"/>
      <c r="DN303" s="42"/>
      <c r="DO303" s="42"/>
    </row>
    <row r="304" spans="2:119" x14ac:dyDescent="0.45">
      <c r="B304" s="99"/>
      <c r="C304" s="42"/>
      <c r="D304" s="42"/>
      <c r="E304" s="42"/>
      <c r="F304" s="42"/>
      <c r="G304" s="42"/>
      <c r="H304" s="42"/>
      <c r="I304" s="42"/>
      <c r="J304" s="42"/>
      <c r="K304" s="42"/>
      <c r="L304" s="42"/>
      <c r="M304" s="42"/>
      <c r="N304" s="42"/>
      <c r="O304" s="42"/>
      <c r="P304" s="42"/>
      <c r="Q304" s="42"/>
      <c r="R304" s="42"/>
      <c r="S304" s="42"/>
      <c r="T304" s="42"/>
      <c r="U304" s="42"/>
      <c r="V304" s="42"/>
      <c r="W304" s="42"/>
      <c r="X304" s="42"/>
      <c r="Y304" s="42"/>
      <c r="Z304" s="42"/>
      <c r="AA304" s="42"/>
      <c r="AB304" s="42"/>
      <c r="AC304" s="42"/>
      <c r="AD304" s="42"/>
      <c r="AE304" s="42"/>
      <c r="AF304" s="42"/>
      <c r="AG304" s="42"/>
      <c r="AH304" s="42"/>
      <c r="AI304" s="42"/>
      <c r="AJ304" s="42"/>
      <c r="AK304" s="42"/>
      <c r="AL304" s="42"/>
      <c r="AM304" s="42"/>
      <c r="AN304" s="42"/>
      <c r="AO304" s="42"/>
      <c r="AQ304" s="42"/>
      <c r="AR304" s="42"/>
      <c r="AS304" s="42"/>
      <c r="AT304" s="42"/>
      <c r="AU304" s="42"/>
      <c r="AV304" s="42"/>
      <c r="AW304" s="42"/>
      <c r="AX304" s="42"/>
      <c r="AY304" s="42"/>
      <c r="AZ304" s="42"/>
      <c r="BA304" s="42"/>
      <c r="BB304" s="42"/>
      <c r="BC304" s="42"/>
      <c r="BD304" s="42"/>
      <c r="BE304" s="42"/>
      <c r="BF304" s="42"/>
      <c r="BG304" s="42"/>
      <c r="BH304" s="42"/>
      <c r="BI304" s="42"/>
      <c r="BJ304" s="42"/>
      <c r="BK304" s="42"/>
      <c r="BL304" s="42"/>
      <c r="BM304" s="42"/>
      <c r="BN304" s="42"/>
      <c r="BO304" s="42"/>
      <c r="BQ304" s="42"/>
      <c r="BR304" s="42"/>
      <c r="BS304" s="42"/>
      <c r="BT304" s="42"/>
      <c r="BU304" s="42"/>
      <c r="BV304" s="42"/>
      <c r="BW304" s="42"/>
      <c r="BX304" s="42"/>
      <c r="BY304" s="42"/>
      <c r="BZ304" s="42"/>
      <c r="CA304" s="42"/>
      <c r="CB304" s="42"/>
      <c r="CC304" s="42"/>
      <c r="CD304" s="42"/>
      <c r="CE304" s="42"/>
      <c r="CF304" s="42"/>
      <c r="CG304" s="42"/>
      <c r="CH304" s="42"/>
      <c r="CI304" s="42"/>
      <c r="CJ304" s="42"/>
      <c r="CK304" s="42"/>
      <c r="CL304" s="42"/>
      <c r="CM304" s="42"/>
      <c r="CN304" s="42"/>
      <c r="CO304" s="42"/>
      <c r="CQ304" s="42"/>
      <c r="CR304" s="42"/>
      <c r="CS304" s="42"/>
      <c r="CT304" s="42"/>
      <c r="CU304" s="42"/>
      <c r="CV304" s="42"/>
      <c r="CW304" s="42"/>
      <c r="CX304" s="42"/>
      <c r="CY304" s="42"/>
      <c r="CZ304" s="42"/>
      <c r="DA304" s="42"/>
      <c r="DB304" s="42"/>
      <c r="DC304" s="42"/>
      <c r="DD304" s="42"/>
      <c r="DE304" s="42"/>
      <c r="DF304" s="42"/>
      <c r="DG304" s="42"/>
      <c r="DH304" s="42"/>
      <c r="DI304" s="42"/>
      <c r="DJ304" s="42"/>
      <c r="DK304" s="42"/>
      <c r="DL304" s="42"/>
      <c r="DM304" s="42"/>
      <c r="DN304" s="42"/>
      <c r="DO304" s="42"/>
    </row>
    <row r="305" spans="2:119" ht="18.75" customHeight="1" x14ac:dyDescent="0.55000000000000004">
      <c r="B305" s="99"/>
      <c r="C305" s="42"/>
      <c r="D305" s="112" t="s">
        <v>24</v>
      </c>
      <c r="E305" s="112"/>
      <c r="F305" s="45"/>
      <c r="G305" s="45"/>
      <c r="H305" s="45"/>
      <c r="I305" s="45"/>
      <c r="J305" s="45"/>
      <c r="K305" s="45"/>
      <c r="L305" s="45"/>
      <c r="M305" s="45"/>
      <c r="N305" s="45"/>
      <c r="O305" s="45"/>
      <c r="P305" s="42"/>
      <c r="Q305" s="112" t="s">
        <v>24</v>
      </c>
      <c r="R305" s="112"/>
      <c r="S305" s="45"/>
      <c r="T305" s="45"/>
      <c r="U305" s="45"/>
      <c r="V305" s="45"/>
      <c r="W305" s="45"/>
      <c r="X305" s="45"/>
      <c r="Y305" s="45"/>
      <c r="Z305" s="45"/>
      <c r="AA305" s="45"/>
      <c r="AB305" s="45"/>
      <c r="AC305" s="42"/>
      <c r="AD305" s="112" t="s">
        <v>24</v>
      </c>
      <c r="AE305" s="112"/>
      <c r="AF305" s="45"/>
      <c r="AG305" s="45"/>
      <c r="AH305" s="45"/>
      <c r="AI305" s="45"/>
      <c r="AJ305" s="45"/>
      <c r="AK305" s="45"/>
      <c r="AL305" s="45"/>
      <c r="AM305" s="45"/>
      <c r="AN305" s="45"/>
      <c r="AO305" s="45"/>
      <c r="AP305" s="6"/>
      <c r="AQ305" s="112" t="s">
        <v>24</v>
      </c>
      <c r="AR305" s="112"/>
      <c r="AS305" s="45"/>
      <c r="AT305" s="45"/>
      <c r="AU305" s="45"/>
      <c r="AV305" s="45"/>
      <c r="AW305" s="45"/>
      <c r="AX305" s="45"/>
      <c r="AY305" s="45"/>
      <c r="AZ305" s="45"/>
      <c r="BA305" s="45"/>
      <c r="BB305" s="45"/>
      <c r="BC305" s="42"/>
      <c r="BD305" s="112" t="s">
        <v>24</v>
      </c>
      <c r="BE305" s="112"/>
      <c r="BF305" s="45"/>
      <c r="BG305" s="45"/>
      <c r="BH305" s="45"/>
      <c r="BI305" s="45"/>
      <c r="BJ305" s="45"/>
      <c r="BK305" s="45"/>
      <c r="BL305" s="45"/>
      <c r="BM305" s="45"/>
      <c r="BN305" s="45"/>
      <c r="BO305" s="45"/>
      <c r="BQ305" s="112" t="s">
        <v>24</v>
      </c>
      <c r="BR305" s="112"/>
      <c r="BS305" s="45"/>
      <c r="BT305" s="45"/>
      <c r="BU305" s="45"/>
      <c r="BV305" s="45"/>
      <c r="BW305" s="45"/>
      <c r="BX305" s="45"/>
      <c r="BY305" s="45"/>
      <c r="BZ305" s="45"/>
      <c r="CA305" s="45"/>
      <c r="CB305" s="45"/>
      <c r="CC305" s="42"/>
      <c r="CD305" s="112" t="s">
        <v>24</v>
      </c>
      <c r="CE305" s="112"/>
      <c r="CF305" s="45"/>
      <c r="CG305" s="45"/>
      <c r="CH305" s="45"/>
      <c r="CI305" s="45"/>
      <c r="CJ305" s="45"/>
      <c r="CK305" s="45"/>
      <c r="CL305" s="45"/>
      <c r="CM305" s="45"/>
      <c r="CN305" s="45"/>
      <c r="CO305" s="45"/>
      <c r="CQ305" s="112" t="s">
        <v>24</v>
      </c>
      <c r="CR305" s="112"/>
      <c r="CS305" s="45"/>
      <c r="CT305" s="45"/>
      <c r="CU305" s="45"/>
      <c r="CV305" s="45"/>
      <c r="CW305" s="45"/>
      <c r="CX305" s="45"/>
      <c r="CY305" s="45"/>
      <c r="CZ305" s="45"/>
      <c r="DA305" s="45"/>
      <c r="DB305" s="45"/>
      <c r="DC305" s="42"/>
      <c r="DD305" s="112" t="s">
        <v>24</v>
      </c>
      <c r="DE305" s="112"/>
      <c r="DF305" s="45"/>
      <c r="DG305" s="45"/>
      <c r="DH305" s="45"/>
      <c r="DI305" s="45"/>
      <c r="DJ305" s="45"/>
      <c r="DK305" s="45"/>
      <c r="DL305" s="45"/>
      <c r="DM305" s="45"/>
      <c r="DN305" s="45"/>
      <c r="DO305" s="45"/>
    </row>
    <row r="306" spans="2:119" ht="28.9" customHeight="1" x14ac:dyDescent="0.45">
      <c r="B306" s="99"/>
      <c r="C306" s="42"/>
      <c r="D306" s="112"/>
      <c r="E306" s="112"/>
      <c r="F306" s="108" t="s">
        <v>12</v>
      </c>
      <c r="G306" s="108"/>
      <c r="H306" s="108"/>
      <c r="I306" s="108"/>
      <c r="J306" s="108"/>
      <c r="K306" s="108"/>
      <c r="L306" s="108"/>
      <c r="M306" s="108"/>
      <c r="N306" s="108"/>
      <c r="O306" s="108"/>
      <c r="P306" s="42"/>
      <c r="Q306" s="112"/>
      <c r="R306" s="112"/>
      <c r="S306" s="108" t="s">
        <v>12</v>
      </c>
      <c r="T306" s="108"/>
      <c r="U306" s="108"/>
      <c r="V306" s="108"/>
      <c r="W306" s="108"/>
      <c r="X306" s="108"/>
      <c r="Y306" s="108"/>
      <c r="Z306" s="108"/>
      <c r="AA306" s="108"/>
      <c r="AB306" s="108"/>
      <c r="AC306" s="42"/>
      <c r="AD306" s="112"/>
      <c r="AE306" s="112"/>
      <c r="AF306" s="108" t="s">
        <v>12</v>
      </c>
      <c r="AG306" s="108"/>
      <c r="AH306" s="108"/>
      <c r="AI306" s="108"/>
      <c r="AJ306" s="108"/>
      <c r="AK306" s="108"/>
      <c r="AL306" s="108"/>
      <c r="AM306" s="108"/>
      <c r="AN306" s="108"/>
      <c r="AO306" s="108"/>
      <c r="AP306" s="6"/>
      <c r="AQ306" s="112"/>
      <c r="AR306" s="112"/>
      <c r="AS306" s="108" t="s">
        <v>12</v>
      </c>
      <c r="AT306" s="108"/>
      <c r="AU306" s="108"/>
      <c r="AV306" s="108"/>
      <c r="AW306" s="108"/>
      <c r="AX306" s="108"/>
      <c r="AY306" s="108"/>
      <c r="AZ306" s="108"/>
      <c r="BA306" s="108"/>
      <c r="BB306" s="108"/>
      <c r="BC306" s="42"/>
      <c r="BD306" s="112"/>
      <c r="BE306" s="112"/>
      <c r="BF306" s="108" t="s">
        <v>12</v>
      </c>
      <c r="BG306" s="108"/>
      <c r="BH306" s="108"/>
      <c r="BI306" s="108"/>
      <c r="BJ306" s="108"/>
      <c r="BK306" s="108"/>
      <c r="BL306" s="108"/>
      <c r="BM306" s="108"/>
      <c r="BN306" s="108"/>
      <c r="BO306" s="108"/>
      <c r="BQ306" s="112"/>
      <c r="BR306" s="112"/>
      <c r="BS306" s="108" t="s">
        <v>12</v>
      </c>
      <c r="BT306" s="108"/>
      <c r="BU306" s="108"/>
      <c r="BV306" s="108"/>
      <c r="BW306" s="108"/>
      <c r="BX306" s="108"/>
      <c r="BY306" s="108"/>
      <c r="BZ306" s="108"/>
      <c r="CA306" s="108"/>
      <c r="CB306" s="108"/>
      <c r="CC306" s="42"/>
      <c r="CD306" s="112"/>
      <c r="CE306" s="112"/>
      <c r="CF306" s="108" t="s">
        <v>12</v>
      </c>
      <c r="CG306" s="108"/>
      <c r="CH306" s="108"/>
      <c r="CI306" s="108"/>
      <c r="CJ306" s="108"/>
      <c r="CK306" s="108"/>
      <c r="CL306" s="108"/>
      <c r="CM306" s="108"/>
      <c r="CN306" s="108"/>
      <c r="CO306" s="108"/>
      <c r="CQ306" s="112"/>
      <c r="CR306" s="112"/>
      <c r="CS306" s="108" t="s">
        <v>12</v>
      </c>
      <c r="CT306" s="108"/>
      <c r="CU306" s="108"/>
      <c r="CV306" s="108"/>
      <c r="CW306" s="108"/>
      <c r="CX306" s="108"/>
      <c r="CY306" s="108"/>
      <c r="CZ306" s="108"/>
      <c r="DA306" s="108"/>
      <c r="DB306" s="108"/>
      <c r="DC306" s="42"/>
      <c r="DD306" s="112"/>
      <c r="DE306" s="112"/>
      <c r="DF306" s="108" t="s">
        <v>12</v>
      </c>
      <c r="DG306" s="108"/>
      <c r="DH306" s="108"/>
      <c r="DI306" s="108"/>
      <c r="DJ306" s="108"/>
      <c r="DK306" s="108"/>
      <c r="DL306" s="108"/>
      <c r="DM306" s="108"/>
      <c r="DN306" s="108"/>
      <c r="DO306" s="108"/>
    </row>
    <row r="307" spans="2:119" ht="15" customHeight="1" x14ac:dyDescent="0.45">
      <c r="B307" s="99"/>
      <c r="C307" s="42"/>
      <c r="D307" s="113"/>
      <c r="E307" s="113"/>
      <c r="F307" s="9" t="s">
        <v>0</v>
      </c>
      <c r="G307" s="9">
        <v>1</v>
      </c>
      <c r="H307" s="9">
        <v>2</v>
      </c>
      <c r="I307" s="9">
        <v>3</v>
      </c>
      <c r="J307" s="9">
        <v>4</v>
      </c>
      <c r="K307" s="9">
        <v>5</v>
      </c>
      <c r="L307" s="9">
        <v>6</v>
      </c>
      <c r="M307" s="9">
        <v>7</v>
      </c>
      <c r="N307" s="9">
        <v>8</v>
      </c>
      <c r="O307" s="9">
        <v>9</v>
      </c>
      <c r="P307" s="42"/>
      <c r="Q307" s="113"/>
      <c r="R307" s="113"/>
      <c r="S307" s="9" t="s">
        <v>0</v>
      </c>
      <c r="T307" s="9">
        <v>1</v>
      </c>
      <c r="U307" s="9">
        <v>2</v>
      </c>
      <c r="V307" s="9">
        <v>3</v>
      </c>
      <c r="W307" s="9">
        <v>4</v>
      </c>
      <c r="X307" s="9">
        <v>5</v>
      </c>
      <c r="Y307" s="9">
        <v>6</v>
      </c>
      <c r="Z307" s="9">
        <v>7</v>
      </c>
      <c r="AA307" s="9">
        <v>8</v>
      </c>
      <c r="AB307" s="9">
        <v>9</v>
      </c>
      <c r="AC307" s="42"/>
      <c r="AD307" s="113"/>
      <c r="AE307" s="113"/>
      <c r="AF307" s="9" t="s">
        <v>0</v>
      </c>
      <c r="AG307" s="9">
        <v>1</v>
      </c>
      <c r="AH307" s="9">
        <v>2</v>
      </c>
      <c r="AI307" s="9">
        <v>3</v>
      </c>
      <c r="AJ307" s="9">
        <v>4</v>
      </c>
      <c r="AK307" s="9">
        <v>5</v>
      </c>
      <c r="AL307" s="9">
        <v>6</v>
      </c>
      <c r="AM307" s="9">
        <v>7</v>
      </c>
      <c r="AN307" s="9">
        <v>8</v>
      </c>
      <c r="AO307" s="9">
        <v>9</v>
      </c>
      <c r="AP307" s="6"/>
      <c r="AQ307" s="113"/>
      <c r="AR307" s="113"/>
      <c r="AS307" s="9" t="s">
        <v>0</v>
      </c>
      <c r="AT307" s="9">
        <v>1</v>
      </c>
      <c r="AU307" s="9">
        <v>2</v>
      </c>
      <c r="AV307" s="9">
        <v>3</v>
      </c>
      <c r="AW307" s="9">
        <v>4</v>
      </c>
      <c r="AX307" s="9">
        <v>5</v>
      </c>
      <c r="AY307" s="9">
        <v>6</v>
      </c>
      <c r="AZ307" s="9">
        <v>7</v>
      </c>
      <c r="BA307" s="9">
        <v>8</v>
      </c>
      <c r="BB307" s="9">
        <v>9</v>
      </c>
      <c r="BC307" s="42"/>
      <c r="BD307" s="113"/>
      <c r="BE307" s="113"/>
      <c r="BF307" s="9" t="s">
        <v>0</v>
      </c>
      <c r="BG307" s="9">
        <v>1</v>
      </c>
      <c r="BH307" s="9">
        <v>2</v>
      </c>
      <c r="BI307" s="9">
        <v>3</v>
      </c>
      <c r="BJ307" s="9">
        <v>4</v>
      </c>
      <c r="BK307" s="9">
        <v>5</v>
      </c>
      <c r="BL307" s="9">
        <v>6</v>
      </c>
      <c r="BM307" s="9">
        <v>7</v>
      </c>
      <c r="BN307" s="9">
        <v>8</v>
      </c>
      <c r="BO307" s="9">
        <v>9</v>
      </c>
      <c r="BQ307" s="113"/>
      <c r="BR307" s="113"/>
      <c r="BS307" s="9" t="s">
        <v>0</v>
      </c>
      <c r="BT307" s="9">
        <v>1</v>
      </c>
      <c r="BU307" s="9">
        <v>2</v>
      </c>
      <c r="BV307" s="9">
        <v>3</v>
      </c>
      <c r="BW307" s="9">
        <v>4</v>
      </c>
      <c r="BX307" s="9">
        <v>5</v>
      </c>
      <c r="BY307" s="9">
        <v>6</v>
      </c>
      <c r="BZ307" s="9">
        <v>7</v>
      </c>
      <c r="CA307" s="9">
        <v>8</v>
      </c>
      <c r="CB307" s="9">
        <v>9</v>
      </c>
      <c r="CC307" s="42"/>
      <c r="CD307" s="113"/>
      <c r="CE307" s="113"/>
      <c r="CF307" s="9" t="s">
        <v>0</v>
      </c>
      <c r="CG307" s="9">
        <v>1</v>
      </c>
      <c r="CH307" s="9">
        <v>2</v>
      </c>
      <c r="CI307" s="9">
        <v>3</v>
      </c>
      <c r="CJ307" s="9">
        <v>4</v>
      </c>
      <c r="CK307" s="9">
        <v>5</v>
      </c>
      <c r="CL307" s="9">
        <v>6</v>
      </c>
      <c r="CM307" s="9">
        <v>7</v>
      </c>
      <c r="CN307" s="9">
        <v>8</v>
      </c>
      <c r="CO307" s="9">
        <v>9</v>
      </c>
      <c r="CQ307" s="113"/>
      <c r="CR307" s="113"/>
      <c r="CS307" s="9" t="s">
        <v>0</v>
      </c>
      <c r="CT307" s="9">
        <v>1</v>
      </c>
      <c r="CU307" s="9">
        <v>2</v>
      </c>
      <c r="CV307" s="9">
        <v>3</v>
      </c>
      <c r="CW307" s="9">
        <v>4</v>
      </c>
      <c r="CX307" s="9">
        <v>5</v>
      </c>
      <c r="CY307" s="9">
        <v>6</v>
      </c>
      <c r="CZ307" s="9">
        <v>7</v>
      </c>
      <c r="DA307" s="9">
        <v>8</v>
      </c>
      <c r="DB307" s="9">
        <v>9</v>
      </c>
      <c r="DC307" s="42"/>
      <c r="DD307" s="113"/>
      <c r="DE307" s="113"/>
      <c r="DF307" s="9" t="s">
        <v>0</v>
      </c>
      <c r="DG307" s="9">
        <v>1</v>
      </c>
      <c r="DH307" s="9">
        <v>2</v>
      </c>
      <c r="DI307" s="9">
        <v>3</v>
      </c>
      <c r="DJ307" s="9">
        <v>4</v>
      </c>
      <c r="DK307" s="9">
        <v>5</v>
      </c>
      <c r="DL307" s="9">
        <v>6</v>
      </c>
      <c r="DM307" s="9">
        <v>7</v>
      </c>
      <c r="DN307" s="9">
        <v>8</v>
      </c>
      <c r="DO307" s="9">
        <v>9</v>
      </c>
    </row>
    <row r="308" spans="2:119" ht="16.25" customHeight="1" x14ac:dyDescent="0.45">
      <c r="B308" s="134" t="s">
        <v>124</v>
      </c>
      <c r="C308" s="42"/>
      <c r="D308" s="109" t="s">
        <v>13</v>
      </c>
      <c r="E308" s="46" t="s">
        <v>1</v>
      </c>
      <c r="F308" s="103">
        <v>1</v>
      </c>
      <c r="G308" s="103">
        <v>1</v>
      </c>
      <c r="H308" s="103">
        <v>2</v>
      </c>
      <c r="I308" s="103">
        <v>2</v>
      </c>
      <c r="J308" s="103">
        <v>1</v>
      </c>
      <c r="K308" s="103">
        <v>0</v>
      </c>
      <c r="L308" s="103">
        <v>1</v>
      </c>
      <c r="M308" s="103">
        <v>1</v>
      </c>
      <c r="N308" s="103">
        <v>1</v>
      </c>
      <c r="O308" s="17">
        <v>0</v>
      </c>
      <c r="P308" s="42"/>
      <c r="Q308" s="109" t="s">
        <v>13</v>
      </c>
      <c r="R308" s="46" t="s">
        <v>1</v>
      </c>
      <c r="S308" s="103">
        <v>0</v>
      </c>
      <c r="T308" s="103">
        <v>0</v>
      </c>
      <c r="U308" s="103">
        <v>1</v>
      </c>
      <c r="V308" s="103">
        <v>0</v>
      </c>
      <c r="W308" s="103">
        <v>1</v>
      </c>
      <c r="X308" s="103">
        <v>0</v>
      </c>
      <c r="Y308" s="103">
        <v>0</v>
      </c>
      <c r="Z308" s="103">
        <v>1</v>
      </c>
      <c r="AA308" s="103">
        <v>0</v>
      </c>
      <c r="AB308" s="17">
        <v>0</v>
      </c>
      <c r="AC308" s="42"/>
      <c r="AD308" s="109" t="s">
        <v>13</v>
      </c>
      <c r="AE308" s="46" t="s">
        <v>1</v>
      </c>
      <c r="AF308" s="103">
        <v>1</v>
      </c>
      <c r="AG308" s="103">
        <v>1</v>
      </c>
      <c r="AH308" s="103">
        <v>1</v>
      </c>
      <c r="AI308" s="103">
        <v>2</v>
      </c>
      <c r="AJ308" s="103">
        <v>0</v>
      </c>
      <c r="AK308" s="103">
        <v>0</v>
      </c>
      <c r="AL308" s="103">
        <v>1</v>
      </c>
      <c r="AM308" s="103">
        <v>0</v>
      </c>
      <c r="AN308" s="103">
        <v>1</v>
      </c>
      <c r="AO308" s="17">
        <v>0</v>
      </c>
      <c r="AP308" s="6"/>
      <c r="AQ308" s="109" t="s">
        <v>13</v>
      </c>
      <c r="AR308" s="46" t="s">
        <v>1</v>
      </c>
      <c r="AS308" s="103">
        <v>1</v>
      </c>
      <c r="AT308" s="103">
        <v>1</v>
      </c>
      <c r="AU308" s="103">
        <v>1</v>
      </c>
      <c r="AV308" s="103">
        <v>2</v>
      </c>
      <c r="AW308" s="103">
        <v>0</v>
      </c>
      <c r="AX308" s="103">
        <v>0</v>
      </c>
      <c r="AY308" s="103">
        <v>0</v>
      </c>
      <c r="AZ308" s="103">
        <v>0</v>
      </c>
      <c r="BA308" s="103">
        <v>1</v>
      </c>
      <c r="BB308" s="17">
        <v>0</v>
      </c>
      <c r="BC308" s="42"/>
      <c r="BD308" s="109" t="s">
        <v>13</v>
      </c>
      <c r="BE308" s="46" t="s">
        <v>1</v>
      </c>
      <c r="BF308" s="103">
        <v>0</v>
      </c>
      <c r="BG308" s="103">
        <v>0</v>
      </c>
      <c r="BH308" s="103">
        <v>1</v>
      </c>
      <c r="BI308" s="103">
        <v>0</v>
      </c>
      <c r="BJ308" s="103">
        <v>1</v>
      </c>
      <c r="BK308" s="103">
        <v>0</v>
      </c>
      <c r="BL308" s="103">
        <v>1</v>
      </c>
      <c r="BM308" s="103">
        <v>1</v>
      </c>
      <c r="BN308" s="103">
        <v>0</v>
      </c>
      <c r="BO308" s="17">
        <v>0</v>
      </c>
      <c r="BQ308" s="109" t="s">
        <v>13</v>
      </c>
      <c r="BR308" s="46" t="s">
        <v>1</v>
      </c>
      <c r="BS308" s="103">
        <v>1</v>
      </c>
      <c r="BT308" s="103">
        <v>0</v>
      </c>
      <c r="BU308" s="103">
        <v>0</v>
      </c>
      <c r="BV308" s="103">
        <v>1</v>
      </c>
      <c r="BW308" s="103">
        <v>0</v>
      </c>
      <c r="BX308" s="103">
        <v>0</v>
      </c>
      <c r="BY308" s="103">
        <v>1</v>
      </c>
      <c r="BZ308" s="103">
        <v>0</v>
      </c>
      <c r="CA308" s="103">
        <v>1</v>
      </c>
      <c r="CB308" s="17">
        <v>0</v>
      </c>
      <c r="CC308" s="42"/>
      <c r="CD308" s="109" t="s">
        <v>13</v>
      </c>
      <c r="CE308" s="46" t="s">
        <v>1</v>
      </c>
      <c r="CF308" s="103">
        <v>0</v>
      </c>
      <c r="CG308" s="103">
        <v>1</v>
      </c>
      <c r="CH308" s="103">
        <v>2</v>
      </c>
      <c r="CI308" s="103">
        <v>1</v>
      </c>
      <c r="CJ308" s="103">
        <v>1</v>
      </c>
      <c r="CK308" s="103">
        <v>0</v>
      </c>
      <c r="CL308" s="103">
        <v>0</v>
      </c>
      <c r="CM308" s="103">
        <v>1</v>
      </c>
      <c r="CN308" s="103">
        <v>0</v>
      </c>
      <c r="CO308" s="17">
        <v>0</v>
      </c>
      <c r="CQ308" s="109" t="s">
        <v>13</v>
      </c>
      <c r="CR308" s="46" t="s">
        <v>1</v>
      </c>
      <c r="CS308" s="103">
        <v>1</v>
      </c>
      <c r="CT308" s="103">
        <v>1</v>
      </c>
      <c r="CU308" s="103">
        <v>2</v>
      </c>
      <c r="CV308" s="103">
        <v>2</v>
      </c>
      <c r="CW308" s="103">
        <v>1</v>
      </c>
      <c r="CX308" s="103">
        <v>0</v>
      </c>
      <c r="CY308" s="103">
        <v>1</v>
      </c>
      <c r="CZ308" s="103">
        <v>1</v>
      </c>
      <c r="DA308" s="103">
        <v>1</v>
      </c>
      <c r="DB308" s="17">
        <v>0</v>
      </c>
      <c r="DC308" s="42"/>
      <c r="DD308" s="109" t="s">
        <v>13</v>
      </c>
      <c r="DE308" s="46" t="s">
        <v>1</v>
      </c>
      <c r="DF308" s="103">
        <v>0</v>
      </c>
      <c r="DG308" s="103">
        <v>0</v>
      </c>
      <c r="DH308" s="103">
        <v>0</v>
      </c>
      <c r="DI308" s="103">
        <v>0</v>
      </c>
      <c r="DJ308" s="103">
        <v>0</v>
      </c>
      <c r="DK308" s="103">
        <v>0</v>
      </c>
      <c r="DL308" s="103">
        <v>0</v>
      </c>
      <c r="DM308" s="103">
        <v>0</v>
      </c>
      <c r="DN308" s="103">
        <v>0</v>
      </c>
      <c r="DO308" s="17">
        <v>0</v>
      </c>
    </row>
    <row r="309" spans="2:119" ht="16.25" customHeight="1" x14ac:dyDescent="0.45">
      <c r="B309" s="134"/>
      <c r="C309" s="42"/>
      <c r="D309" s="110"/>
      <c r="E309" s="46">
        <v>1</v>
      </c>
      <c r="F309" s="103">
        <v>5</v>
      </c>
      <c r="G309" s="103">
        <v>8</v>
      </c>
      <c r="H309" s="103">
        <v>9</v>
      </c>
      <c r="I309" s="103">
        <v>4</v>
      </c>
      <c r="J309" s="103">
        <v>2</v>
      </c>
      <c r="K309" s="103">
        <v>1</v>
      </c>
      <c r="L309" s="103">
        <v>1</v>
      </c>
      <c r="M309" s="103">
        <v>1</v>
      </c>
      <c r="N309" s="103">
        <v>0</v>
      </c>
      <c r="O309" s="103">
        <v>1</v>
      </c>
      <c r="P309" s="42"/>
      <c r="Q309" s="110"/>
      <c r="R309" s="46">
        <v>1</v>
      </c>
      <c r="S309" s="103">
        <v>1</v>
      </c>
      <c r="T309" s="103">
        <v>2</v>
      </c>
      <c r="U309" s="103">
        <v>2</v>
      </c>
      <c r="V309" s="103">
        <v>1</v>
      </c>
      <c r="W309" s="103">
        <v>1</v>
      </c>
      <c r="X309" s="103">
        <v>0</v>
      </c>
      <c r="Y309" s="103">
        <v>0</v>
      </c>
      <c r="Z309" s="103">
        <v>0</v>
      </c>
      <c r="AA309" s="103">
        <v>0</v>
      </c>
      <c r="AB309" s="103">
        <v>0</v>
      </c>
      <c r="AC309" s="42"/>
      <c r="AD309" s="110"/>
      <c r="AE309" s="46">
        <v>1</v>
      </c>
      <c r="AF309" s="103">
        <v>4</v>
      </c>
      <c r="AG309" s="103">
        <v>6</v>
      </c>
      <c r="AH309" s="103">
        <v>7</v>
      </c>
      <c r="AI309" s="103">
        <v>3</v>
      </c>
      <c r="AJ309" s="103">
        <v>1</v>
      </c>
      <c r="AK309" s="103">
        <v>1</v>
      </c>
      <c r="AL309" s="103">
        <v>1</v>
      </c>
      <c r="AM309" s="103">
        <v>1</v>
      </c>
      <c r="AN309" s="103">
        <v>0</v>
      </c>
      <c r="AO309" s="103">
        <v>1</v>
      </c>
      <c r="AP309" s="6"/>
      <c r="AQ309" s="110"/>
      <c r="AR309" s="46">
        <v>1</v>
      </c>
      <c r="AS309" s="103">
        <v>2</v>
      </c>
      <c r="AT309" s="103">
        <v>3</v>
      </c>
      <c r="AU309" s="103">
        <v>7</v>
      </c>
      <c r="AV309" s="103">
        <v>2</v>
      </c>
      <c r="AW309" s="103">
        <v>1</v>
      </c>
      <c r="AX309" s="103">
        <v>0</v>
      </c>
      <c r="AY309" s="103">
        <v>0</v>
      </c>
      <c r="AZ309" s="103">
        <v>1</v>
      </c>
      <c r="BA309" s="103">
        <v>0</v>
      </c>
      <c r="BB309" s="103">
        <v>1</v>
      </c>
      <c r="BC309" s="42"/>
      <c r="BD309" s="110"/>
      <c r="BE309" s="46">
        <v>1</v>
      </c>
      <c r="BF309" s="103">
        <v>3</v>
      </c>
      <c r="BG309" s="103">
        <v>5</v>
      </c>
      <c r="BH309" s="103">
        <v>2</v>
      </c>
      <c r="BI309" s="103">
        <v>2</v>
      </c>
      <c r="BJ309" s="103">
        <v>1</v>
      </c>
      <c r="BK309" s="103">
        <v>1</v>
      </c>
      <c r="BL309" s="103">
        <v>1</v>
      </c>
      <c r="BM309" s="103">
        <v>0</v>
      </c>
      <c r="BN309" s="103">
        <v>0</v>
      </c>
      <c r="BO309" s="103">
        <v>0</v>
      </c>
      <c r="BQ309" s="110"/>
      <c r="BR309" s="46">
        <v>1</v>
      </c>
      <c r="BS309" s="103">
        <v>3</v>
      </c>
      <c r="BT309" s="103">
        <v>4</v>
      </c>
      <c r="BU309" s="103">
        <v>5</v>
      </c>
      <c r="BV309" s="103">
        <v>3</v>
      </c>
      <c r="BW309" s="103">
        <v>1</v>
      </c>
      <c r="BX309" s="103">
        <v>0</v>
      </c>
      <c r="BY309" s="103">
        <v>0</v>
      </c>
      <c r="BZ309" s="103">
        <v>0</v>
      </c>
      <c r="CA309" s="103">
        <v>0</v>
      </c>
      <c r="CB309" s="103">
        <v>1</v>
      </c>
      <c r="CC309" s="42"/>
      <c r="CD309" s="110"/>
      <c r="CE309" s="46">
        <v>1</v>
      </c>
      <c r="CF309" s="103">
        <v>2</v>
      </c>
      <c r="CG309" s="103">
        <v>4</v>
      </c>
      <c r="CH309" s="103">
        <v>4</v>
      </c>
      <c r="CI309" s="103">
        <v>1</v>
      </c>
      <c r="CJ309" s="103">
        <v>1</v>
      </c>
      <c r="CK309" s="103">
        <v>1</v>
      </c>
      <c r="CL309" s="103">
        <v>1</v>
      </c>
      <c r="CM309" s="103">
        <v>1</v>
      </c>
      <c r="CN309" s="103">
        <v>0</v>
      </c>
      <c r="CO309" s="103">
        <v>0</v>
      </c>
      <c r="CQ309" s="110"/>
      <c r="CR309" s="46">
        <v>1</v>
      </c>
      <c r="CS309" s="103">
        <v>3</v>
      </c>
      <c r="CT309" s="103">
        <v>5</v>
      </c>
      <c r="CU309" s="103">
        <v>5</v>
      </c>
      <c r="CV309" s="103">
        <v>3</v>
      </c>
      <c r="CW309" s="103">
        <v>2</v>
      </c>
      <c r="CX309" s="103">
        <v>1</v>
      </c>
      <c r="CY309" s="103">
        <v>1</v>
      </c>
      <c r="CZ309" s="103">
        <v>1</v>
      </c>
      <c r="DA309" s="103">
        <v>0</v>
      </c>
      <c r="DB309" s="103">
        <v>0</v>
      </c>
      <c r="DC309" s="42"/>
      <c r="DD309" s="110"/>
      <c r="DE309" s="46">
        <v>1</v>
      </c>
      <c r="DF309" s="103">
        <v>2</v>
      </c>
      <c r="DG309" s="103">
        <v>3</v>
      </c>
      <c r="DH309" s="103">
        <v>4</v>
      </c>
      <c r="DI309" s="103">
        <v>1</v>
      </c>
      <c r="DJ309" s="103">
        <v>0</v>
      </c>
      <c r="DK309" s="103">
        <v>0</v>
      </c>
      <c r="DL309" s="103">
        <v>0</v>
      </c>
      <c r="DM309" s="103">
        <v>0</v>
      </c>
      <c r="DN309" s="103">
        <v>0</v>
      </c>
      <c r="DO309" s="103">
        <v>1</v>
      </c>
    </row>
    <row r="310" spans="2:119" ht="16.25" customHeight="1" x14ac:dyDescent="0.45">
      <c r="B310" s="134"/>
      <c r="C310" s="42"/>
      <c r="D310" s="110"/>
      <c r="E310" s="46" t="s">
        <v>2</v>
      </c>
      <c r="F310" s="103">
        <v>120</v>
      </c>
      <c r="G310" s="103">
        <v>389</v>
      </c>
      <c r="H310" s="103">
        <v>553</v>
      </c>
      <c r="I310" s="103">
        <v>377</v>
      </c>
      <c r="J310" s="103">
        <v>93</v>
      </c>
      <c r="K310" s="103">
        <v>58</v>
      </c>
      <c r="L310" s="103">
        <v>17</v>
      </c>
      <c r="M310" s="103">
        <v>7</v>
      </c>
      <c r="N310" s="103">
        <v>1</v>
      </c>
      <c r="O310" s="103">
        <v>1</v>
      </c>
      <c r="P310" s="42"/>
      <c r="Q310" s="110"/>
      <c r="R310" s="46" t="s">
        <v>2</v>
      </c>
      <c r="S310" s="103">
        <v>27</v>
      </c>
      <c r="T310" s="103">
        <v>78</v>
      </c>
      <c r="U310" s="103">
        <v>151</v>
      </c>
      <c r="V310" s="103">
        <v>109</v>
      </c>
      <c r="W310" s="103">
        <v>34</v>
      </c>
      <c r="X310" s="103">
        <v>21</v>
      </c>
      <c r="Y310" s="103">
        <v>10</v>
      </c>
      <c r="Z310" s="103">
        <v>1</v>
      </c>
      <c r="AA310" s="103">
        <v>0</v>
      </c>
      <c r="AB310" s="103">
        <v>1</v>
      </c>
      <c r="AC310" s="42"/>
      <c r="AD310" s="110"/>
      <c r="AE310" s="46" t="s">
        <v>2</v>
      </c>
      <c r="AF310" s="103">
        <v>93</v>
      </c>
      <c r="AG310" s="103">
        <v>311</v>
      </c>
      <c r="AH310" s="103">
        <v>402</v>
      </c>
      <c r="AI310" s="103">
        <v>268</v>
      </c>
      <c r="AJ310" s="103">
        <v>59</v>
      </c>
      <c r="AK310" s="103">
        <v>37</v>
      </c>
      <c r="AL310" s="103">
        <v>7</v>
      </c>
      <c r="AM310" s="103">
        <v>6</v>
      </c>
      <c r="AN310" s="103">
        <v>1</v>
      </c>
      <c r="AO310" s="103">
        <v>0</v>
      </c>
      <c r="AP310" s="6"/>
      <c r="AQ310" s="110"/>
      <c r="AR310" s="46" t="s">
        <v>2</v>
      </c>
      <c r="AS310" s="103">
        <v>67</v>
      </c>
      <c r="AT310" s="103">
        <v>197</v>
      </c>
      <c r="AU310" s="103">
        <v>238</v>
      </c>
      <c r="AV310" s="103">
        <v>139</v>
      </c>
      <c r="AW310" s="103">
        <v>38</v>
      </c>
      <c r="AX310" s="103">
        <v>13</v>
      </c>
      <c r="AY310" s="103">
        <v>5</v>
      </c>
      <c r="AZ310" s="103">
        <v>1</v>
      </c>
      <c r="BA310" s="103">
        <v>0</v>
      </c>
      <c r="BB310" s="103">
        <v>0</v>
      </c>
      <c r="BC310" s="42"/>
      <c r="BD310" s="110"/>
      <c r="BE310" s="46" t="s">
        <v>2</v>
      </c>
      <c r="BF310" s="103">
        <v>53</v>
      </c>
      <c r="BG310" s="103">
        <v>192</v>
      </c>
      <c r="BH310" s="103">
        <v>315</v>
      </c>
      <c r="BI310" s="103">
        <v>238</v>
      </c>
      <c r="BJ310" s="103">
        <v>55</v>
      </c>
      <c r="BK310" s="103">
        <v>45</v>
      </c>
      <c r="BL310" s="103">
        <v>12</v>
      </c>
      <c r="BM310" s="103">
        <v>6</v>
      </c>
      <c r="BN310" s="103">
        <v>1</v>
      </c>
      <c r="BO310" s="103">
        <v>1</v>
      </c>
      <c r="BQ310" s="110"/>
      <c r="BR310" s="46" t="s">
        <v>2</v>
      </c>
      <c r="BS310" s="103">
        <v>88</v>
      </c>
      <c r="BT310" s="103">
        <v>290</v>
      </c>
      <c r="BU310" s="103">
        <v>410</v>
      </c>
      <c r="BV310" s="103">
        <v>258</v>
      </c>
      <c r="BW310" s="103">
        <v>60</v>
      </c>
      <c r="BX310" s="103">
        <v>21</v>
      </c>
      <c r="BY310" s="103">
        <v>7</v>
      </c>
      <c r="BZ310" s="103">
        <v>2</v>
      </c>
      <c r="CA310" s="103">
        <v>0</v>
      </c>
      <c r="CB310" s="103">
        <v>0</v>
      </c>
      <c r="CC310" s="42"/>
      <c r="CD310" s="110"/>
      <c r="CE310" s="46" t="s">
        <v>2</v>
      </c>
      <c r="CF310" s="103">
        <v>32</v>
      </c>
      <c r="CG310" s="103">
        <v>99</v>
      </c>
      <c r="CH310" s="103">
        <v>143</v>
      </c>
      <c r="CI310" s="103">
        <v>119</v>
      </c>
      <c r="CJ310" s="103">
        <v>33</v>
      </c>
      <c r="CK310" s="103">
        <v>37</v>
      </c>
      <c r="CL310" s="103">
        <v>10</v>
      </c>
      <c r="CM310" s="103">
        <v>5</v>
      </c>
      <c r="CN310" s="103">
        <v>1</v>
      </c>
      <c r="CO310" s="103">
        <v>1</v>
      </c>
      <c r="CQ310" s="110"/>
      <c r="CR310" s="46" t="s">
        <v>2</v>
      </c>
      <c r="CS310" s="103">
        <v>33</v>
      </c>
      <c r="CT310" s="103">
        <v>88</v>
      </c>
      <c r="CU310" s="103">
        <v>138</v>
      </c>
      <c r="CV310" s="103">
        <v>113</v>
      </c>
      <c r="CW310" s="103">
        <v>27</v>
      </c>
      <c r="CX310" s="103">
        <v>32</v>
      </c>
      <c r="CY310" s="103">
        <v>13</v>
      </c>
      <c r="CZ310" s="103">
        <v>4</v>
      </c>
      <c r="DA310" s="103">
        <v>1</v>
      </c>
      <c r="DB310" s="103">
        <v>1</v>
      </c>
      <c r="DC310" s="42"/>
      <c r="DD310" s="110"/>
      <c r="DE310" s="46" t="s">
        <v>2</v>
      </c>
      <c r="DF310" s="103">
        <v>87</v>
      </c>
      <c r="DG310" s="103">
        <v>301</v>
      </c>
      <c r="DH310" s="103">
        <v>415</v>
      </c>
      <c r="DI310" s="103">
        <v>264</v>
      </c>
      <c r="DJ310" s="103">
        <v>66</v>
      </c>
      <c r="DK310" s="103">
        <v>26</v>
      </c>
      <c r="DL310" s="103">
        <v>4</v>
      </c>
      <c r="DM310" s="103">
        <v>3</v>
      </c>
      <c r="DN310" s="103">
        <v>0</v>
      </c>
      <c r="DO310" s="103">
        <v>0</v>
      </c>
    </row>
    <row r="311" spans="2:119" ht="16.25" customHeight="1" x14ac:dyDescent="0.45">
      <c r="B311" s="134"/>
      <c r="C311" s="42"/>
      <c r="D311" s="110"/>
      <c r="E311" s="46" t="s">
        <v>3</v>
      </c>
      <c r="F311" s="103">
        <v>82</v>
      </c>
      <c r="G311" s="103">
        <v>269</v>
      </c>
      <c r="H311" s="103">
        <v>391</v>
      </c>
      <c r="I311" s="103">
        <v>368</v>
      </c>
      <c r="J311" s="103">
        <v>128</v>
      </c>
      <c r="K311" s="103">
        <v>57</v>
      </c>
      <c r="L311" s="103">
        <v>17</v>
      </c>
      <c r="M311" s="103">
        <v>5</v>
      </c>
      <c r="N311" s="103">
        <v>4</v>
      </c>
      <c r="O311" s="103">
        <v>0</v>
      </c>
      <c r="P311" s="42"/>
      <c r="Q311" s="110"/>
      <c r="R311" s="46" t="s">
        <v>3</v>
      </c>
      <c r="S311" s="103">
        <v>14</v>
      </c>
      <c r="T311" s="103">
        <v>59</v>
      </c>
      <c r="U311" s="103">
        <v>107</v>
      </c>
      <c r="V311" s="103">
        <v>94</v>
      </c>
      <c r="W311" s="103">
        <v>37</v>
      </c>
      <c r="X311" s="103">
        <v>18</v>
      </c>
      <c r="Y311" s="103">
        <v>7</v>
      </c>
      <c r="Z311" s="103">
        <v>1</v>
      </c>
      <c r="AA311" s="103">
        <v>1</v>
      </c>
      <c r="AB311" s="103">
        <v>0</v>
      </c>
      <c r="AC311" s="42"/>
      <c r="AD311" s="110"/>
      <c r="AE311" s="46" t="s">
        <v>3</v>
      </c>
      <c r="AF311" s="103">
        <v>68</v>
      </c>
      <c r="AG311" s="103">
        <v>210</v>
      </c>
      <c r="AH311" s="103">
        <v>284</v>
      </c>
      <c r="AI311" s="103">
        <v>274</v>
      </c>
      <c r="AJ311" s="103">
        <v>91</v>
      </c>
      <c r="AK311" s="103">
        <v>39</v>
      </c>
      <c r="AL311" s="103">
        <v>10</v>
      </c>
      <c r="AM311" s="103">
        <v>4</v>
      </c>
      <c r="AN311" s="103">
        <v>3</v>
      </c>
      <c r="AO311" s="103">
        <v>0</v>
      </c>
      <c r="AP311" s="6"/>
      <c r="AQ311" s="110"/>
      <c r="AR311" s="46" t="s">
        <v>3</v>
      </c>
      <c r="AS311" s="103">
        <v>45</v>
      </c>
      <c r="AT311" s="103">
        <v>125</v>
      </c>
      <c r="AU311" s="103">
        <v>173</v>
      </c>
      <c r="AV311" s="103">
        <v>126</v>
      </c>
      <c r="AW311" s="103">
        <v>45</v>
      </c>
      <c r="AX311" s="103">
        <v>21</v>
      </c>
      <c r="AY311" s="103">
        <v>3</v>
      </c>
      <c r="AZ311" s="103">
        <v>3</v>
      </c>
      <c r="BA311" s="103">
        <v>0</v>
      </c>
      <c r="BB311" s="103">
        <v>0</v>
      </c>
      <c r="BC311" s="42"/>
      <c r="BD311" s="110"/>
      <c r="BE311" s="46" t="s">
        <v>3</v>
      </c>
      <c r="BF311" s="103">
        <v>37</v>
      </c>
      <c r="BG311" s="103">
        <v>144</v>
      </c>
      <c r="BH311" s="103">
        <v>218</v>
      </c>
      <c r="BI311" s="103">
        <v>242</v>
      </c>
      <c r="BJ311" s="103">
        <v>83</v>
      </c>
      <c r="BK311" s="103">
        <v>36</v>
      </c>
      <c r="BL311" s="103">
        <v>14</v>
      </c>
      <c r="BM311" s="103">
        <v>2</v>
      </c>
      <c r="BN311" s="103">
        <v>4</v>
      </c>
      <c r="BO311" s="103">
        <v>0</v>
      </c>
      <c r="BQ311" s="110"/>
      <c r="BR311" s="46" t="s">
        <v>3</v>
      </c>
      <c r="BS311" s="103">
        <v>53</v>
      </c>
      <c r="BT311" s="103">
        <v>158</v>
      </c>
      <c r="BU311" s="103">
        <v>235</v>
      </c>
      <c r="BV311" s="103">
        <v>211</v>
      </c>
      <c r="BW311" s="103">
        <v>70</v>
      </c>
      <c r="BX311" s="103">
        <v>28</v>
      </c>
      <c r="BY311" s="103">
        <v>7</v>
      </c>
      <c r="BZ311" s="103">
        <v>2</v>
      </c>
      <c r="CA311" s="103">
        <v>2</v>
      </c>
      <c r="CB311" s="103">
        <v>0</v>
      </c>
      <c r="CC311" s="42"/>
      <c r="CD311" s="110"/>
      <c r="CE311" s="46" t="s">
        <v>3</v>
      </c>
      <c r="CF311" s="103">
        <v>29</v>
      </c>
      <c r="CG311" s="103">
        <v>111</v>
      </c>
      <c r="CH311" s="103">
        <v>156</v>
      </c>
      <c r="CI311" s="103">
        <v>157</v>
      </c>
      <c r="CJ311" s="103">
        <v>58</v>
      </c>
      <c r="CK311" s="103">
        <v>29</v>
      </c>
      <c r="CL311" s="103">
        <v>10</v>
      </c>
      <c r="CM311" s="103">
        <v>3</v>
      </c>
      <c r="CN311" s="103">
        <v>2</v>
      </c>
      <c r="CO311" s="103">
        <v>0</v>
      </c>
      <c r="CQ311" s="110"/>
      <c r="CR311" s="46" t="s">
        <v>3</v>
      </c>
      <c r="CS311" s="103">
        <v>13</v>
      </c>
      <c r="CT311" s="103">
        <v>60</v>
      </c>
      <c r="CU311" s="103">
        <v>61</v>
      </c>
      <c r="CV311" s="103">
        <v>75</v>
      </c>
      <c r="CW311" s="103">
        <v>25</v>
      </c>
      <c r="CX311" s="103">
        <v>15</v>
      </c>
      <c r="CY311" s="103">
        <v>6</v>
      </c>
      <c r="CZ311" s="103">
        <v>2</v>
      </c>
      <c r="DA311" s="103">
        <v>2</v>
      </c>
      <c r="DB311" s="103">
        <v>0</v>
      </c>
      <c r="DC311" s="42"/>
      <c r="DD311" s="110"/>
      <c r="DE311" s="46" t="s">
        <v>3</v>
      </c>
      <c r="DF311" s="103">
        <v>69</v>
      </c>
      <c r="DG311" s="103">
        <v>209</v>
      </c>
      <c r="DH311" s="103">
        <v>330</v>
      </c>
      <c r="DI311" s="103">
        <v>293</v>
      </c>
      <c r="DJ311" s="103">
        <v>103</v>
      </c>
      <c r="DK311" s="103">
        <v>42</v>
      </c>
      <c r="DL311" s="103">
        <v>11</v>
      </c>
      <c r="DM311" s="103">
        <v>3</v>
      </c>
      <c r="DN311" s="103">
        <v>2</v>
      </c>
      <c r="DO311" s="103">
        <v>0</v>
      </c>
    </row>
    <row r="312" spans="2:119" ht="16.25" customHeight="1" x14ac:dyDescent="0.45">
      <c r="B312" s="134"/>
      <c r="C312" s="42"/>
      <c r="D312" s="110"/>
      <c r="E312" s="46" t="s">
        <v>4</v>
      </c>
      <c r="F312" s="103">
        <v>96</v>
      </c>
      <c r="G312" s="103">
        <v>335</v>
      </c>
      <c r="H312" s="103">
        <v>629</v>
      </c>
      <c r="I312" s="103">
        <v>596</v>
      </c>
      <c r="J312" s="103">
        <v>250</v>
      </c>
      <c r="K312" s="103">
        <v>105</v>
      </c>
      <c r="L312" s="103">
        <v>34</v>
      </c>
      <c r="M312" s="103">
        <v>10</v>
      </c>
      <c r="N312" s="103">
        <v>1</v>
      </c>
      <c r="O312" s="103">
        <v>1</v>
      </c>
      <c r="P312" s="42"/>
      <c r="Q312" s="110"/>
      <c r="R312" s="46" t="s">
        <v>4</v>
      </c>
      <c r="S312" s="103">
        <v>16</v>
      </c>
      <c r="T312" s="103">
        <v>48</v>
      </c>
      <c r="U312" s="103">
        <v>149</v>
      </c>
      <c r="V312" s="103">
        <v>177</v>
      </c>
      <c r="W312" s="103">
        <v>75</v>
      </c>
      <c r="X312" s="103">
        <v>39</v>
      </c>
      <c r="Y312" s="103">
        <v>17</v>
      </c>
      <c r="Z312" s="103">
        <v>6</v>
      </c>
      <c r="AA312" s="103">
        <v>0</v>
      </c>
      <c r="AB312" s="103">
        <v>0</v>
      </c>
      <c r="AC312" s="42"/>
      <c r="AD312" s="110"/>
      <c r="AE312" s="46" t="s">
        <v>4</v>
      </c>
      <c r="AF312" s="103">
        <v>80</v>
      </c>
      <c r="AG312" s="103">
        <v>287</v>
      </c>
      <c r="AH312" s="103">
        <v>480</v>
      </c>
      <c r="AI312" s="103">
        <v>419</v>
      </c>
      <c r="AJ312" s="103">
        <v>175</v>
      </c>
      <c r="AK312" s="103">
        <v>66</v>
      </c>
      <c r="AL312" s="103">
        <v>17</v>
      </c>
      <c r="AM312" s="103">
        <v>4</v>
      </c>
      <c r="AN312" s="103">
        <v>1</v>
      </c>
      <c r="AO312" s="103">
        <v>1</v>
      </c>
      <c r="AP312" s="6"/>
      <c r="AQ312" s="110"/>
      <c r="AR312" s="46" t="s">
        <v>4</v>
      </c>
      <c r="AS312" s="103">
        <v>59</v>
      </c>
      <c r="AT312" s="103">
        <v>157</v>
      </c>
      <c r="AU312" s="103">
        <v>253</v>
      </c>
      <c r="AV312" s="103">
        <v>193</v>
      </c>
      <c r="AW312" s="103">
        <v>77</v>
      </c>
      <c r="AX312" s="103">
        <v>21</v>
      </c>
      <c r="AY312" s="103">
        <v>9</v>
      </c>
      <c r="AZ312" s="103">
        <v>3</v>
      </c>
      <c r="BA312" s="103">
        <v>0</v>
      </c>
      <c r="BB312" s="103">
        <v>0</v>
      </c>
      <c r="BC312" s="42"/>
      <c r="BD312" s="110"/>
      <c r="BE312" s="46" t="s">
        <v>4</v>
      </c>
      <c r="BF312" s="103">
        <v>37</v>
      </c>
      <c r="BG312" s="103">
        <v>178</v>
      </c>
      <c r="BH312" s="103">
        <v>376</v>
      </c>
      <c r="BI312" s="103">
        <v>403</v>
      </c>
      <c r="BJ312" s="103">
        <v>173</v>
      </c>
      <c r="BK312" s="103">
        <v>84</v>
      </c>
      <c r="BL312" s="103">
        <v>25</v>
      </c>
      <c r="BM312" s="103">
        <v>7</v>
      </c>
      <c r="BN312" s="103">
        <v>1</v>
      </c>
      <c r="BO312" s="103">
        <v>1</v>
      </c>
      <c r="BQ312" s="110"/>
      <c r="BR312" s="46" t="s">
        <v>4</v>
      </c>
      <c r="BS312" s="103">
        <v>41</v>
      </c>
      <c r="BT312" s="103">
        <v>165</v>
      </c>
      <c r="BU312" s="103">
        <v>305</v>
      </c>
      <c r="BV312" s="103">
        <v>270</v>
      </c>
      <c r="BW312" s="103">
        <v>114</v>
      </c>
      <c r="BX312" s="103">
        <v>45</v>
      </c>
      <c r="BY312" s="103">
        <v>15</v>
      </c>
      <c r="BZ312" s="103">
        <v>3</v>
      </c>
      <c r="CA312" s="103">
        <v>0</v>
      </c>
      <c r="CB312" s="103">
        <v>1</v>
      </c>
      <c r="CC312" s="42"/>
      <c r="CD312" s="110"/>
      <c r="CE312" s="46" t="s">
        <v>4</v>
      </c>
      <c r="CF312" s="103">
        <v>55</v>
      </c>
      <c r="CG312" s="103">
        <v>170</v>
      </c>
      <c r="CH312" s="103">
        <v>324</v>
      </c>
      <c r="CI312" s="103">
        <v>326</v>
      </c>
      <c r="CJ312" s="103">
        <v>136</v>
      </c>
      <c r="CK312" s="103">
        <v>60</v>
      </c>
      <c r="CL312" s="103">
        <v>19</v>
      </c>
      <c r="CM312" s="103">
        <v>7</v>
      </c>
      <c r="CN312" s="103">
        <v>1</v>
      </c>
      <c r="CO312" s="103">
        <v>0</v>
      </c>
      <c r="CQ312" s="110"/>
      <c r="CR312" s="46" t="s">
        <v>4</v>
      </c>
      <c r="CS312" s="103">
        <v>14</v>
      </c>
      <c r="CT312" s="103">
        <v>59</v>
      </c>
      <c r="CU312" s="103">
        <v>100</v>
      </c>
      <c r="CV312" s="103">
        <v>127</v>
      </c>
      <c r="CW312" s="103">
        <v>53</v>
      </c>
      <c r="CX312" s="103">
        <v>24</v>
      </c>
      <c r="CY312" s="103">
        <v>12</v>
      </c>
      <c r="CZ312" s="103">
        <v>4</v>
      </c>
      <c r="DA312" s="103">
        <v>0</v>
      </c>
      <c r="DB312" s="103">
        <v>0</v>
      </c>
      <c r="DC312" s="42"/>
      <c r="DD312" s="110"/>
      <c r="DE312" s="46" t="s">
        <v>4</v>
      </c>
      <c r="DF312" s="103">
        <v>82</v>
      </c>
      <c r="DG312" s="103">
        <v>276</v>
      </c>
      <c r="DH312" s="103">
        <v>529</v>
      </c>
      <c r="DI312" s="103">
        <v>469</v>
      </c>
      <c r="DJ312" s="103">
        <v>197</v>
      </c>
      <c r="DK312" s="103">
        <v>81</v>
      </c>
      <c r="DL312" s="103">
        <v>22</v>
      </c>
      <c r="DM312" s="103">
        <v>6</v>
      </c>
      <c r="DN312" s="103">
        <v>1</v>
      </c>
      <c r="DO312" s="103">
        <v>1</v>
      </c>
    </row>
    <row r="313" spans="2:119" ht="16.25" customHeight="1" x14ac:dyDescent="0.45">
      <c r="B313" s="134"/>
      <c r="C313" s="42"/>
      <c r="D313" s="110"/>
      <c r="E313" s="46" t="s">
        <v>5</v>
      </c>
      <c r="F313" s="103">
        <v>148</v>
      </c>
      <c r="G313" s="103">
        <v>477</v>
      </c>
      <c r="H313" s="103">
        <v>864</v>
      </c>
      <c r="I313" s="103">
        <v>1073</v>
      </c>
      <c r="J313" s="103">
        <v>464</v>
      </c>
      <c r="K313" s="103">
        <v>273</v>
      </c>
      <c r="L313" s="103">
        <v>90</v>
      </c>
      <c r="M313" s="103">
        <v>31</v>
      </c>
      <c r="N313" s="103">
        <v>4</v>
      </c>
      <c r="O313" s="103">
        <v>2</v>
      </c>
      <c r="P313" s="42"/>
      <c r="Q313" s="110"/>
      <c r="R313" s="46" t="s">
        <v>5</v>
      </c>
      <c r="S313" s="103">
        <v>16</v>
      </c>
      <c r="T313" s="103">
        <v>82</v>
      </c>
      <c r="U313" s="103">
        <v>206</v>
      </c>
      <c r="V313" s="103">
        <v>299</v>
      </c>
      <c r="W313" s="103">
        <v>142</v>
      </c>
      <c r="X313" s="103">
        <v>104</v>
      </c>
      <c r="Y313" s="103">
        <v>39</v>
      </c>
      <c r="Z313" s="103">
        <v>13</v>
      </c>
      <c r="AA313" s="103">
        <v>1</v>
      </c>
      <c r="AB313" s="103">
        <v>0</v>
      </c>
      <c r="AC313" s="42"/>
      <c r="AD313" s="110"/>
      <c r="AE313" s="46" t="s">
        <v>5</v>
      </c>
      <c r="AF313" s="103">
        <v>132</v>
      </c>
      <c r="AG313" s="103">
        <v>395</v>
      </c>
      <c r="AH313" s="103">
        <v>658</v>
      </c>
      <c r="AI313" s="103">
        <v>774</v>
      </c>
      <c r="AJ313" s="103">
        <v>322</v>
      </c>
      <c r="AK313" s="103">
        <v>169</v>
      </c>
      <c r="AL313" s="103">
        <v>51</v>
      </c>
      <c r="AM313" s="103">
        <v>18</v>
      </c>
      <c r="AN313" s="103">
        <v>3</v>
      </c>
      <c r="AO313" s="103">
        <v>2</v>
      </c>
      <c r="AP313" s="6"/>
      <c r="AQ313" s="110"/>
      <c r="AR313" s="46" t="s">
        <v>5</v>
      </c>
      <c r="AS313" s="103">
        <v>76</v>
      </c>
      <c r="AT313" s="103">
        <v>225</v>
      </c>
      <c r="AU313" s="103">
        <v>330</v>
      </c>
      <c r="AV313" s="103">
        <v>325</v>
      </c>
      <c r="AW313" s="103">
        <v>115</v>
      </c>
      <c r="AX313" s="103">
        <v>64</v>
      </c>
      <c r="AY313" s="103">
        <v>16</v>
      </c>
      <c r="AZ313" s="103">
        <v>5</v>
      </c>
      <c r="BA313" s="103">
        <v>1</v>
      </c>
      <c r="BB313" s="103">
        <v>0</v>
      </c>
      <c r="BC313" s="42"/>
      <c r="BD313" s="110"/>
      <c r="BE313" s="46" t="s">
        <v>5</v>
      </c>
      <c r="BF313" s="103">
        <v>72</v>
      </c>
      <c r="BG313" s="103">
        <v>252</v>
      </c>
      <c r="BH313" s="103">
        <v>534</v>
      </c>
      <c r="BI313" s="103">
        <v>748</v>
      </c>
      <c r="BJ313" s="103">
        <v>349</v>
      </c>
      <c r="BK313" s="103">
        <v>209</v>
      </c>
      <c r="BL313" s="103">
        <v>74</v>
      </c>
      <c r="BM313" s="103">
        <v>26</v>
      </c>
      <c r="BN313" s="103">
        <v>3</v>
      </c>
      <c r="BO313" s="103">
        <v>2</v>
      </c>
      <c r="BQ313" s="110"/>
      <c r="BR313" s="46" t="s">
        <v>5</v>
      </c>
      <c r="BS313" s="103">
        <v>64</v>
      </c>
      <c r="BT313" s="103">
        <v>157</v>
      </c>
      <c r="BU313" s="103">
        <v>333</v>
      </c>
      <c r="BV313" s="103">
        <v>339</v>
      </c>
      <c r="BW313" s="103">
        <v>153</v>
      </c>
      <c r="BX313" s="103">
        <v>98</v>
      </c>
      <c r="BY313" s="103">
        <v>25</v>
      </c>
      <c r="BZ313" s="103">
        <v>3</v>
      </c>
      <c r="CA313" s="103">
        <v>1</v>
      </c>
      <c r="CB313" s="103">
        <v>1</v>
      </c>
      <c r="CC313" s="42"/>
      <c r="CD313" s="110"/>
      <c r="CE313" s="46" t="s">
        <v>5</v>
      </c>
      <c r="CF313" s="103">
        <v>84</v>
      </c>
      <c r="CG313" s="103">
        <v>320</v>
      </c>
      <c r="CH313" s="103">
        <v>531</v>
      </c>
      <c r="CI313" s="103">
        <v>734</v>
      </c>
      <c r="CJ313" s="103">
        <v>311</v>
      </c>
      <c r="CK313" s="103">
        <v>175</v>
      </c>
      <c r="CL313" s="103">
        <v>65</v>
      </c>
      <c r="CM313" s="103">
        <v>28</v>
      </c>
      <c r="CN313" s="103">
        <v>3</v>
      </c>
      <c r="CO313" s="103">
        <v>1</v>
      </c>
      <c r="CQ313" s="110"/>
      <c r="CR313" s="46" t="s">
        <v>5</v>
      </c>
      <c r="CS313" s="103">
        <v>30</v>
      </c>
      <c r="CT313" s="103">
        <v>63</v>
      </c>
      <c r="CU313" s="103">
        <v>131</v>
      </c>
      <c r="CV313" s="103">
        <v>158</v>
      </c>
      <c r="CW313" s="103">
        <v>94</v>
      </c>
      <c r="CX313" s="103">
        <v>60</v>
      </c>
      <c r="CY313" s="103">
        <v>15</v>
      </c>
      <c r="CZ313" s="103">
        <v>8</v>
      </c>
      <c r="DA313" s="103">
        <v>2</v>
      </c>
      <c r="DB313" s="103">
        <v>1</v>
      </c>
      <c r="DC313" s="42"/>
      <c r="DD313" s="110"/>
      <c r="DE313" s="46" t="s">
        <v>5</v>
      </c>
      <c r="DF313" s="103">
        <v>118</v>
      </c>
      <c r="DG313" s="103">
        <v>414</v>
      </c>
      <c r="DH313" s="103">
        <v>733</v>
      </c>
      <c r="DI313" s="103">
        <v>915</v>
      </c>
      <c r="DJ313" s="103">
        <v>370</v>
      </c>
      <c r="DK313" s="103">
        <v>213</v>
      </c>
      <c r="DL313" s="103">
        <v>75</v>
      </c>
      <c r="DM313" s="103">
        <v>23</v>
      </c>
      <c r="DN313" s="103">
        <v>2</v>
      </c>
      <c r="DO313" s="103">
        <v>1</v>
      </c>
    </row>
    <row r="314" spans="2:119" ht="16.25" customHeight="1" x14ac:dyDescent="0.45">
      <c r="B314" s="134"/>
      <c r="C314" s="42"/>
      <c r="D314" s="110"/>
      <c r="E314" s="46" t="s">
        <v>6</v>
      </c>
      <c r="F314" s="103">
        <v>191</v>
      </c>
      <c r="G314" s="103">
        <v>795</v>
      </c>
      <c r="H314" s="103">
        <v>1616</v>
      </c>
      <c r="I314" s="103">
        <v>2129</v>
      </c>
      <c r="J314" s="103">
        <v>1252</v>
      </c>
      <c r="K314" s="103">
        <v>755</v>
      </c>
      <c r="L314" s="103">
        <v>356</v>
      </c>
      <c r="M314" s="103">
        <v>105</v>
      </c>
      <c r="N314" s="103">
        <v>29</v>
      </c>
      <c r="O314" s="103">
        <v>2</v>
      </c>
      <c r="P314" s="42"/>
      <c r="Q314" s="110"/>
      <c r="R314" s="46" t="s">
        <v>6</v>
      </c>
      <c r="S314" s="103">
        <v>25</v>
      </c>
      <c r="T314" s="103">
        <v>138</v>
      </c>
      <c r="U314" s="103">
        <v>347</v>
      </c>
      <c r="V314" s="103">
        <v>556</v>
      </c>
      <c r="W314" s="103">
        <v>399</v>
      </c>
      <c r="X314" s="103">
        <v>292</v>
      </c>
      <c r="Y314" s="103">
        <v>167</v>
      </c>
      <c r="Z314" s="103">
        <v>47</v>
      </c>
      <c r="AA314" s="103">
        <v>13</v>
      </c>
      <c r="AB314" s="103">
        <v>1</v>
      </c>
      <c r="AC314" s="42"/>
      <c r="AD314" s="110"/>
      <c r="AE314" s="46" t="s">
        <v>6</v>
      </c>
      <c r="AF314" s="103">
        <v>166</v>
      </c>
      <c r="AG314" s="103">
        <v>657</v>
      </c>
      <c r="AH314" s="103">
        <v>1269</v>
      </c>
      <c r="AI314" s="103">
        <v>1573</v>
      </c>
      <c r="AJ314" s="103">
        <v>853</v>
      </c>
      <c r="AK314" s="103">
        <v>463</v>
      </c>
      <c r="AL314" s="103">
        <v>189</v>
      </c>
      <c r="AM314" s="103">
        <v>58</v>
      </c>
      <c r="AN314" s="103">
        <v>16</v>
      </c>
      <c r="AO314" s="103">
        <v>1</v>
      </c>
      <c r="AP314" s="6"/>
      <c r="AQ314" s="110"/>
      <c r="AR314" s="46" t="s">
        <v>6</v>
      </c>
      <c r="AS314" s="103">
        <v>87</v>
      </c>
      <c r="AT314" s="103">
        <v>367</v>
      </c>
      <c r="AU314" s="103">
        <v>574</v>
      </c>
      <c r="AV314" s="103">
        <v>647</v>
      </c>
      <c r="AW314" s="103">
        <v>305</v>
      </c>
      <c r="AX314" s="103">
        <v>148</v>
      </c>
      <c r="AY314" s="103">
        <v>59</v>
      </c>
      <c r="AZ314" s="103">
        <v>15</v>
      </c>
      <c r="BA314" s="103">
        <v>4</v>
      </c>
      <c r="BB314" s="103">
        <v>0</v>
      </c>
      <c r="BC314" s="42"/>
      <c r="BD314" s="110"/>
      <c r="BE314" s="46" t="s">
        <v>6</v>
      </c>
      <c r="BF314" s="103">
        <v>104</v>
      </c>
      <c r="BG314" s="103">
        <v>428</v>
      </c>
      <c r="BH314" s="103">
        <v>1042</v>
      </c>
      <c r="BI314" s="103">
        <v>1482</v>
      </c>
      <c r="BJ314" s="103">
        <v>947</v>
      </c>
      <c r="BK314" s="103">
        <v>607</v>
      </c>
      <c r="BL314" s="103">
        <v>297</v>
      </c>
      <c r="BM314" s="103">
        <v>90</v>
      </c>
      <c r="BN314" s="103">
        <v>25</v>
      </c>
      <c r="BO314" s="103">
        <v>2</v>
      </c>
      <c r="BQ314" s="110"/>
      <c r="BR314" s="46" t="s">
        <v>6</v>
      </c>
      <c r="BS314" s="103">
        <v>51</v>
      </c>
      <c r="BT314" s="103">
        <v>212</v>
      </c>
      <c r="BU314" s="103">
        <v>372</v>
      </c>
      <c r="BV314" s="103">
        <v>488</v>
      </c>
      <c r="BW314" s="103">
        <v>241</v>
      </c>
      <c r="BX314" s="103">
        <v>125</v>
      </c>
      <c r="BY314" s="103">
        <v>63</v>
      </c>
      <c r="BZ314" s="103">
        <v>16</v>
      </c>
      <c r="CA314" s="103">
        <v>6</v>
      </c>
      <c r="CB314" s="103">
        <v>0</v>
      </c>
      <c r="CC314" s="42"/>
      <c r="CD314" s="110"/>
      <c r="CE314" s="46" t="s">
        <v>6</v>
      </c>
      <c r="CF314" s="103">
        <v>140</v>
      </c>
      <c r="CG314" s="103">
        <v>583</v>
      </c>
      <c r="CH314" s="103">
        <v>1244</v>
      </c>
      <c r="CI314" s="103">
        <v>1641</v>
      </c>
      <c r="CJ314" s="103">
        <v>1011</v>
      </c>
      <c r="CK314" s="103">
        <v>630</v>
      </c>
      <c r="CL314" s="103">
        <v>293</v>
      </c>
      <c r="CM314" s="103">
        <v>89</v>
      </c>
      <c r="CN314" s="103">
        <v>23</v>
      </c>
      <c r="CO314" s="103">
        <v>2</v>
      </c>
      <c r="CQ314" s="110"/>
      <c r="CR314" s="46" t="s">
        <v>6</v>
      </c>
      <c r="CS314" s="103">
        <v>24</v>
      </c>
      <c r="CT314" s="103">
        <v>100</v>
      </c>
      <c r="CU314" s="103">
        <v>218</v>
      </c>
      <c r="CV314" s="103">
        <v>314</v>
      </c>
      <c r="CW314" s="103">
        <v>215</v>
      </c>
      <c r="CX314" s="103">
        <v>142</v>
      </c>
      <c r="CY314" s="103">
        <v>58</v>
      </c>
      <c r="CZ314" s="103">
        <v>21</v>
      </c>
      <c r="DA314" s="103">
        <v>7</v>
      </c>
      <c r="DB314" s="103">
        <v>1</v>
      </c>
      <c r="DC314" s="42"/>
      <c r="DD314" s="110"/>
      <c r="DE314" s="46" t="s">
        <v>6</v>
      </c>
      <c r="DF314" s="103">
        <v>167</v>
      </c>
      <c r="DG314" s="103">
        <v>695</v>
      </c>
      <c r="DH314" s="103">
        <v>1398</v>
      </c>
      <c r="DI314" s="103">
        <v>1815</v>
      </c>
      <c r="DJ314" s="103">
        <v>1037</v>
      </c>
      <c r="DK314" s="103">
        <v>613</v>
      </c>
      <c r="DL314" s="103">
        <v>298</v>
      </c>
      <c r="DM314" s="103">
        <v>84</v>
      </c>
      <c r="DN314" s="103">
        <v>22</v>
      </c>
      <c r="DO314" s="103">
        <v>1</v>
      </c>
    </row>
    <row r="315" spans="2:119" ht="16.25" customHeight="1" x14ac:dyDescent="0.45">
      <c r="B315" s="134"/>
      <c r="C315" s="42"/>
      <c r="D315" s="110"/>
      <c r="E315" s="46" t="s">
        <v>7</v>
      </c>
      <c r="F315" s="103">
        <v>251</v>
      </c>
      <c r="G315" s="103">
        <v>967</v>
      </c>
      <c r="H315" s="103">
        <v>2091</v>
      </c>
      <c r="I315" s="103">
        <v>3534</v>
      </c>
      <c r="J315" s="103">
        <v>2539</v>
      </c>
      <c r="K315" s="103">
        <v>2000</v>
      </c>
      <c r="L315" s="103">
        <v>1088</v>
      </c>
      <c r="M315" s="103">
        <v>374</v>
      </c>
      <c r="N315" s="103">
        <v>133</v>
      </c>
      <c r="O315" s="103">
        <v>21</v>
      </c>
      <c r="P315" s="42"/>
      <c r="Q315" s="110"/>
      <c r="R315" s="46" t="s">
        <v>7</v>
      </c>
      <c r="S315" s="103">
        <v>42</v>
      </c>
      <c r="T315" s="103">
        <v>154</v>
      </c>
      <c r="U315" s="103">
        <v>440</v>
      </c>
      <c r="V315" s="103">
        <v>832</v>
      </c>
      <c r="W315" s="103">
        <v>744</v>
      </c>
      <c r="X315" s="103">
        <v>778</v>
      </c>
      <c r="Y315" s="103">
        <v>466</v>
      </c>
      <c r="Z315" s="103">
        <v>184</v>
      </c>
      <c r="AA315" s="103">
        <v>75</v>
      </c>
      <c r="AB315" s="103">
        <v>6</v>
      </c>
      <c r="AC315" s="42"/>
      <c r="AD315" s="110"/>
      <c r="AE315" s="46" t="s">
        <v>7</v>
      </c>
      <c r="AF315" s="103">
        <v>209</v>
      </c>
      <c r="AG315" s="103">
        <v>813</v>
      </c>
      <c r="AH315" s="103">
        <v>1651</v>
      </c>
      <c r="AI315" s="103">
        <v>2702</v>
      </c>
      <c r="AJ315" s="103">
        <v>1795</v>
      </c>
      <c r="AK315" s="103">
        <v>1222</v>
      </c>
      <c r="AL315" s="103">
        <v>622</v>
      </c>
      <c r="AM315" s="103">
        <v>190</v>
      </c>
      <c r="AN315" s="103">
        <v>58</v>
      </c>
      <c r="AO315" s="103">
        <v>15</v>
      </c>
      <c r="AP315" s="6"/>
      <c r="AQ315" s="110"/>
      <c r="AR315" s="46" t="s">
        <v>7</v>
      </c>
      <c r="AS315" s="103">
        <v>117</v>
      </c>
      <c r="AT315" s="103">
        <v>370</v>
      </c>
      <c r="AU315" s="103">
        <v>741</v>
      </c>
      <c r="AV315" s="103">
        <v>1000</v>
      </c>
      <c r="AW315" s="103">
        <v>586</v>
      </c>
      <c r="AX315" s="103">
        <v>391</v>
      </c>
      <c r="AY315" s="103">
        <v>187</v>
      </c>
      <c r="AZ315" s="103">
        <v>59</v>
      </c>
      <c r="BA315" s="103">
        <v>15</v>
      </c>
      <c r="BB315" s="103">
        <v>3</v>
      </c>
      <c r="BC315" s="42"/>
      <c r="BD315" s="110"/>
      <c r="BE315" s="46" t="s">
        <v>7</v>
      </c>
      <c r="BF315" s="103">
        <v>134</v>
      </c>
      <c r="BG315" s="103">
        <v>597</v>
      </c>
      <c r="BH315" s="103">
        <v>1350</v>
      </c>
      <c r="BI315" s="103">
        <v>2534</v>
      </c>
      <c r="BJ315" s="103">
        <v>1953</v>
      </c>
      <c r="BK315" s="103">
        <v>1609</v>
      </c>
      <c r="BL315" s="103">
        <v>901</v>
      </c>
      <c r="BM315" s="103">
        <v>315</v>
      </c>
      <c r="BN315" s="103">
        <v>118</v>
      </c>
      <c r="BO315" s="103">
        <v>18</v>
      </c>
      <c r="BQ315" s="110"/>
      <c r="BR315" s="46" t="s">
        <v>7</v>
      </c>
      <c r="BS315" s="103">
        <v>52</v>
      </c>
      <c r="BT315" s="103">
        <v>190</v>
      </c>
      <c r="BU315" s="103">
        <v>344</v>
      </c>
      <c r="BV315" s="103">
        <v>535</v>
      </c>
      <c r="BW315" s="103">
        <v>318</v>
      </c>
      <c r="BX315" s="103">
        <v>214</v>
      </c>
      <c r="BY315" s="103">
        <v>118</v>
      </c>
      <c r="BZ315" s="103">
        <v>44</v>
      </c>
      <c r="CA315" s="103">
        <v>15</v>
      </c>
      <c r="CB315" s="103">
        <v>4</v>
      </c>
      <c r="CC315" s="42"/>
      <c r="CD315" s="110"/>
      <c r="CE315" s="46" t="s">
        <v>7</v>
      </c>
      <c r="CF315" s="103">
        <v>199</v>
      </c>
      <c r="CG315" s="103">
        <v>777</v>
      </c>
      <c r="CH315" s="103">
        <v>1747</v>
      </c>
      <c r="CI315" s="103">
        <v>2999</v>
      </c>
      <c r="CJ315" s="103">
        <v>2221</v>
      </c>
      <c r="CK315" s="103">
        <v>1786</v>
      </c>
      <c r="CL315" s="103">
        <v>970</v>
      </c>
      <c r="CM315" s="103">
        <v>330</v>
      </c>
      <c r="CN315" s="103">
        <v>118</v>
      </c>
      <c r="CO315" s="103">
        <v>17</v>
      </c>
      <c r="CQ315" s="110"/>
      <c r="CR315" s="46" t="s">
        <v>7</v>
      </c>
      <c r="CS315" s="103">
        <v>27</v>
      </c>
      <c r="CT315" s="103">
        <v>125</v>
      </c>
      <c r="CU315" s="103">
        <v>259</v>
      </c>
      <c r="CV315" s="103">
        <v>440</v>
      </c>
      <c r="CW315" s="103">
        <v>362</v>
      </c>
      <c r="CX315" s="103">
        <v>307</v>
      </c>
      <c r="CY315" s="103">
        <v>179</v>
      </c>
      <c r="CZ315" s="103">
        <v>50</v>
      </c>
      <c r="DA315" s="103">
        <v>30</v>
      </c>
      <c r="DB315" s="103">
        <v>2</v>
      </c>
      <c r="DC315" s="42"/>
      <c r="DD315" s="110"/>
      <c r="DE315" s="46" t="s">
        <v>7</v>
      </c>
      <c r="DF315" s="103">
        <v>224</v>
      </c>
      <c r="DG315" s="103">
        <v>842</v>
      </c>
      <c r="DH315" s="103">
        <v>1832</v>
      </c>
      <c r="DI315" s="103">
        <v>3094</v>
      </c>
      <c r="DJ315" s="103">
        <v>2177</v>
      </c>
      <c r="DK315" s="103">
        <v>1693</v>
      </c>
      <c r="DL315" s="103">
        <v>909</v>
      </c>
      <c r="DM315" s="103">
        <v>324</v>
      </c>
      <c r="DN315" s="103">
        <v>103</v>
      </c>
      <c r="DO315" s="103">
        <v>19</v>
      </c>
    </row>
    <row r="316" spans="2:119" ht="16.25" customHeight="1" x14ac:dyDescent="0.45">
      <c r="B316" s="134"/>
      <c r="C316" s="42"/>
      <c r="D316" s="110"/>
      <c r="E316" s="46" t="s">
        <v>8</v>
      </c>
      <c r="F316" s="103">
        <v>217</v>
      </c>
      <c r="G316" s="103">
        <v>714</v>
      </c>
      <c r="H316" s="103">
        <v>1876</v>
      </c>
      <c r="I316" s="103">
        <v>3479</v>
      </c>
      <c r="J316" s="103">
        <v>3161</v>
      </c>
      <c r="K316" s="103">
        <v>3110</v>
      </c>
      <c r="L316" s="103">
        <v>2284</v>
      </c>
      <c r="M316" s="103">
        <v>1018</v>
      </c>
      <c r="N316" s="103">
        <v>397</v>
      </c>
      <c r="O316" s="103">
        <v>82</v>
      </c>
      <c r="P316" s="42"/>
      <c r="Q316" s="110"/>
      <c r="R316" s="46" t="s">
        <v>8</v>
      </c>
      <c r="S316" s="103">
        <v>29</v>
      </c>
      <c r="T316" s="103">
        <v>92</v>
      </c>
      <c r="U316" s="103">
        <v>305</v>
      </c>
      <c r="V316" s="103">
        <v>715</v>
      </c>
      <c r="W316" s="103">
        <v>862</v>
      </c>
      <c r="X316" s="103">
        <v>1094</v>
      </c>
      <c r="Y316" s="103">
        <v>986</v>
      </c>
      <c r="Z316" s="103">
        <v>498</v>
      </c>
      <c r="AA316" s="103">
        <v>217</v>
      </c>
      <c r="AB316" s="103">
        <v>47</v>
      </c>
      <c r="AC316" s="42"/>
      <c r="AD316" s="110"/>
      <c r="AE316" s="46" t="s">
        <v>8</v>
      </c>
      <c r="AF316" s="103">
        <v>188</v>
      </c>
      <c r="AG316" s="103">
        <v>622</v>
      </c>
      <c r="AH316" s="103">
        <v>1571</v>
      </c>
      <c r="AI316" s="103">
        <v>2764</v>
      </c>
      <c r="AJ316" s="103">
        <v>2299</v>
      </c>
      <c r="AK316" s="103">
        <v>2016</v>
      </c>
      <c r="AL316" s="103">
        <v>1298</v>
      </c>
      <c r="AM316" s="103">
        <v>520</v>
      </c>
      <c r="AN316" s="103">
        <v>180</v>
      </c>
      <c r="AO316" s="103">
        <v>35</v>
      </c>
      <c r="AP316" s="6"/>
      <c r="AQ316" s="110"/>
      <c r="AR316" s="46" t="s">
        <v>8</v>
      </c>
      <c r="AS316" s="103">
        <v>107</v>
      </c>
      <c r="AT316" s="103">
        <v>277</v>
      </c>
      <c r="AU316" s="103">
        <v>599</v>
      </c>
      <c r="AV316" s="103">
        <v>902</v>
      </c>
      <c r="AW316" s="103">
        <v>695</v>
      </c>
      <c r="AX316" s="103">
        <v>563</v>
      </c>
      <c r="AY316" s="103">
        <v>316</v>
      </c>
      <c r="AZ316" s="103">
        <v>124</v>
      </c>
      <c r="BA316" s="103">
        <v>39</v>
      </c>
      <c r="BB316" s="103">
        <v>13</v>
      </c>
      <c r="BC316" s="42"/>
      <c r="BD316" s="110"/>
      <c r="BE316" s="46" t="s">
        <v>8</v>
      </c>
      <c r="BF316" s="103">
        <v>110</v>
      </c>
      <c r="BG316" s="103">
        <v>437</v>
      </c>
      <c r="BH316" s="103">
        <v>1277</v>
      </c>
      <c r="BI316" s="103">
        <v>2577</v>
      </c>
      <c r="BJ316" s="103">
        <v>2466</v>
      </c>
      <c r="BK316" s="103">
        <v>2547</v>
      </c>
      <c r="BL316" s="103">
        <v>1968</v>
      </c>
      <c r="BM316" s="103">
        <v>894</v>
      </c>
      <c r="BN316" s="103">
        <v>358</v>
      </c>
      <c r="BO316" s="103">
        <v>69</v>
      </c>
      <c r="BQ316" s="110"/>
      <c r="BR316" s="46" t="s">
        <v>8</v>
      </c>
      <c r="BS316" s="103">
        <v>35</v>
      </c>
      <c r="BT316" s="103">
        <v>102</v>
      </c>
      <c r="BU316" s="103">
        <v>219</v>
      </c>
      <c r="BV316" s="103">
        <v>374</v>
      </c>
      <c r="BW316" s="103">
        <v>265</v>
      </c>
      <c r="BX316" s="103">
        <v>257</v>
      </c>
      <c r="BY316" s="103">
        <v>141</v>
      </c>
      <c r="BZ316" s="103">
        <v>60</v>
      </c>
      <c r="CA316" s="103">
        <v>31</v>
      </c>
      <c r="CB316" s="103">
        <v>5</v>
      </c>
      <c r="CC316" s="42"/>
      <c r="CD316" s="110"/>
      <c r="CE316" s="46" t="s">
        <v>8</v>
      </c>
      <c r="CF316" s="103">
        <v>182</v>
      </c>
      <c r="CG316" s="103">
        <v>612</v>
      </c>
      <c r="CH316" s="103">
        <v>1657</v>
      </c>
      <c r="CI316" s="103">
        <v>3105</v>
      </c>
      <c r="CJ316" s="103">
        <v>2896</v>
      </c>
      <c r="CK316" s="103">
        <v>2853</v>
      </c>
      <c r="CL316" s="103">
        <v>2143</v>
      </c>
      <c r="CM316" s="103">
        <v>958</v>
      </c>
      <c r="CN316" s="103">
        <v>366</v>
      </c>
      <c r="CO316" s="103">
        <v>77</v>
      </c>
      <c r="CQ316" s="110"/>
      <c r="CR316" s="46" t="s">
        <v>8</v>
      </c>
      <c r="CS316" s="103">
        <v>15</v>
      </c>
      <c r="CT316" s="103">
        <v>74</v>
      </c>
      <c r="CU316" s="103">
        <v>191</v>
      </c>
      <c r="CV316" s="103">
        <v>379</v>
      </c>
      <c r="CW316" s="103">
        <v>389</v>
      </c>
      <c r="CX316" s="103">
        <v>389</v>
      </c>
      <c r="CY316" s="103">
        <v>327</v>
      </c>
      <c r="CZ316" s="103">
        <v>177</v>
      </c>
      <c r="DA316" s="103">
        <v>58</v>
      </c>
      <c r="DB316" s="103">
        <v>10</v>
      </c>
      <c r="DC316" s="42"/>
      <c r="DD316" s="110"/>
      <c r="DE316" s="46" t="s">
        <v>8</v>
      </c>
      <c r="DF316" s="103">
        <v>202</v>
      </c>
      <c r="DG316" s="103">
        <v>640</v>
      </c>
      <c r="DH316" s="103">
        <v>1685</v>
      </c>
      <c r="DI316" s="103">
        <v>3100</v>
      </c>
      <c r="DJ316" s="103">
        <v>2772</v>
      </c>
      <c r="DK316" s="103">
        <v>2721</v>
      </c>
      <c r="DL316" s="103">
        <v>1957</v>
      </c>
      <c r="DM316" s="103">
        <v>841</v>
      </c>
      <c r="DN316" s="103">
        <v>339</v>
      </c>
      <c r="DO316" s="103">
        <v>72</v>
      </c>
    </row>
    <row r="317" spans="2:119" ht="16.25" customHeight="1" x14ac:dyDescent="0.45">
      <c r="B317" s="134"/>
      <c r="C317" s="42"/>
      <c r="D317" s="110"/>
      <c r="E317" s="46" t="s">
        <v>9</v>
      </c>
      <c r="F317" s="103">
        <v>110</v>
      </c>
      <c r="G317" s="103">
        <v>352</v>
      </c>
      <c r="H317" s="103">
        <v>992</v>
      </c>
      <c r="I317" s="103">
        <v>2348</v>
      </c>
      <c r="J317" s="103">
        <v>2624</v>
      </c>
      <c r="K317" s="103">
        <v>3278</v>
      </c>
      <c r="L317" s="103">
        <v>3171</v>
      </c>
      <c r="M317" s="103">
        <v>1882</v>
      </c>
      <c r="N317" s="103">
        <v>1039</v>
      </c>
      <c r="O317" s="103">
        <v>333</v>
      </c>
      <c r="P317" s="42"/>
      <c r="Q317" s="110"/>
      <c r="R317" s="46" t="s">
        <v>9</v>
      </c>
      <c r="S317" s="103">
        <v>13</v>
      </c>
      <c r="T317" s="103">
        <v>47</v>
      </c>
      <c r="U317" s="103">
        <v>138</v>
      </c>
      <c r="V317" s="103">
        <v>406</v>
      </c>
      <c r="W317" s="103">
        <v>595</v>
      </c>
      <c r="X317" s="103">
        <v>1026</v>
      </c>
      <c r="Y317" s="103">
        <v>1204</v>
      </c>
      <c r="Z317" s="103">
        <v>829</v>
      </c>
      <c r="AA317" s="103">
        <v>536</v>
      </c>
      <c r="AB317" s="103">
        <v>186</v>
      </c>
      <c r="AC317" s="42"/>
      <c r="AD317" s="110"/>
      <c r="AE317" s="46" t="s">
        <v>9</v>
      </c>
      <c r="AF317" s="103">
        <v>97</v>
      </c>
      <c r="AG317" s="103">
        <v>305</v>
      </c>
      <c r="AH317" s="103">
        <v>854</v>
      </c>
      <c r="AI317" s="103">
        <v>1942</v>
      </c>
      <c r="AJ317" s="103">
        <v>2029</v>
      </c>
      <c r="AK317" s="103">
        <v>2252</v>
      </c>
      <c r="AL317" s="103">
        <v>1967</v>
      </c>
      <c r="AM317" s="103">
        <v>1053</v>
      </c>
      <c r="AN317" s="103">
        <v>503</v>
      </c>
      <c r="AO317" s="103">
        <v>147</v>
      </c>
      <c r="AP317" s="6"/>
      <c r="AQ317" s="110"/>
      <c r="AR317" s="46" t="s">
        <v>9</v>
      </c>
      <c r="AS317" s="103">
        <v>45</v>
      </c>
      <c r="AT317" s="103">
        <v>121</v>
      </c>
      <c r="AU317" s="103">
        <v>297</v>
      </c>
      <c r="AV317" s="103">
        <v>524</v>
      </c>
      <c r="AW317" s="103">
        <v>501</v>
      </c>
      <c r="AX317" s="103">
        <v>495</v>
      </c>
      <c r="AY317" s="103">
        <v>432</v>
      </c>
      <c r="AZ317" s="103">
        <v>210</v>
      </c>
      <c r="BA317" s="103">
        <v>105</v>
      </c>
      <c r="BB317" s="103">
        <v>23</v>
      </c>
      <c r="BC317" s="42"/>
      <c r="BD317" s="110"/>
      <c r="BE317" s="46" t="s">
        <v>9</v>
      </c>
      <c r="BF317" s="103">
        <v>65</v>
      </c>
      <c r="BG317" s="103">
        <v>231</v>
      </c>
      <c r="BH317" s="103">
        <v>695</v>
      </c>
      <c r="BI317" s="103">
        <v>1824</v>
      </c>
      <c r="BJ317" s="103">
        <v>2123</v>
      </c>
      <c r="BK317" s="103">
        <v>2783</v>
      </c>
      <c r="BL317" s="103">
        <v>2739</v>
      </c>
      <c r="BM317" s="103">
        <v>1672</v>
      </c>
      <c r="BN317" s="103">
        <v>934</v>
      </c>
      <c r="BO317" s="103">
        <v>310</v>
      </c>
      <c r="BQ317" s="110"/>
      <c r="BR317" s="46" t="s">
        <v>9</v>
      </c>
      <c r="BS317" s="103">
        <v>26</v>
      </c>
      <c r="BT317" s="103">
        <v>47</v>
      </c>
      <c r="BU317" s="103">
        <v>114</v>
      </c>
      <c r="BV317" s="103">
        <v>187</v>
      </c>
      <c r="BW317" s="103">
        <v>177</v>
      </c>
      <c r="BX317" s="103">
        <v>192</v>
      </c>
      <c r="BY317" s="103">
        <v>157</v>
      </c>
      <c r="BZ317" s="103">
        <v>104</v>
      </c>
      <c r="CA317" s="103">
        <v>44</v>
      </c>
      <c r="CB317" s="103">
        <v>18</v>
      </c>
      <c r="CC317" s="42"/>
      <c r="CD317" s="110"/>
      <c r="CE317" s="46" t="s">
        <v>9</v>
      </c>
      <c r="CF317" s="103">
        <v>84</v>
      </c>
      <c r="CG317" s="103">
        <v>305</v>
      </c>
      <c r="CH317" s="103">
        <v>878</v>
      </c>
      <c r="CI317" s="103">
        <v>2161</v>
      </c>
      <c r="CJ317" s="103">
        <v>2447</v>
      </c>
      <c r="CK317" s="103">
        <v>3086</v>
      </c>
      <c r="CL317" s="103">
        <v>3014</v>
      </c>
      <c r="CM317" s="103">
        <v>1778</v>
      </c>
      <c r="CN317" s="103">
        <v>995</v>
      </c>
      <c r="CO317" s="103">
        <v>315</v>
      </c>
      <c r="CQ317" s="110"/>
      <c r="CR317" s="46" t="s">
        <v>9</v>
      </c>
      <c r="CS317" s="103">
        <v>8</v>
      </c>
      <c r="CT317" s="103">
        <v>30</v>
      </c>
      <c r="CU317" s="103">
        <v>109</v>
      </c>
      <c r="CV317" s="103">
        <v>218</v>
      </c>
      <c r="CW317" s="103">
        <v>265</v>
      </c>
      <c r="CX317" s="103">
        <v>376</v>
      </c>
      <c r="CY317" s="103">
        <v>384</v>
      </c>
      <c r="CZ317" s="103">
        <v>222</v>
      </c>
      <c r="DA317" s="103">
        <v>161</v>
      </c>
      <c r="DB317" s="103">
        <v>37</v>
      </c>
      <c r="DC317" s="42"/>
      <c r="DD317" s="110"/>
      <c r="DE317" s="46" t="s">
        <v>9</v>
      </c>
      <c r="DF317" s="103">
        <v>102</v>
      </c>
      <c r="DG317" s="103">
        <v>322</v>
      </c>
      <c r="DH317" s="103">
        <v>883</v>
      </c>
      <c r="DI317" s="103">
        <v>2130</v>
      </c>
      <c r="DJ317" s="103">
        <v>2359</v>
      </c>
      <c r="DK317" s="103">
        <v>2902</v>
      </c>
      <c r="DL317" s="103">
        <v>2787</v>
      </c>
      <c r="DM317" s="103">
        <v>1660</v>
      </c>
      <c r="DN317" s="103">
        <v>878</v>
      </c>
      <c r="DO317" s="103">
        <v>296</v>
      </c>
    </row>
    <row r="318" spans="2:119" ht="16.25" customHeight="1" x14ac:dyDescent="0.45">
      <c r="B318" s="134"/>
      <c r="C318" s="42"/>
      <c r="D318" s="110"/>
      <c r="E318" s="46" t="s">
        <v>10</v>
      </c>
      <c r="F318" s="103">
        <v>33</v>
      </c>
      <c r="G318" s="103">
        <v>105</v>
      </c>
      <c r="H318" s="103">
        <v>300</v>
      </c>
      <c r="I318" s="103">
        <v>928</v>
      </c>
      <c r="J318" s="103">
        <v>1342</v>
      </c>
      <c r="K318" s="103">
        <v>2131</v>
      </c>
      <c r="L318" s="103">
        <v>2951</v>
      </c>
      <c r="M318" s="103">
        <v>2554</v>
      </c>
      <c r="N318" s="103">
        <v>2067</v>
      </c>
      <c r="O318" s="103">
        <v>1094</v>
      </c>
      <c r="P318" s="42"/>
      <c r="Q318" s="110"/>
      <c r="R318" s="46" t="s">
        <v>10</v>
      </c>
      <c r="S318" s="103">
        <v>7</v>
      </c>
      <c r="T318" s="103">
        <v>14</v>
      </c>
      <c r="U318" s="103">
        <v>37</v>
      </c>
      <c r="V318" s="103">
        <v>129</v>
      </c>
      <c r="W318" s="103">
        <v>245</v>
      </c>
      <c r="X318" s="103">
        <v>510</v>
      </c>
      <c r="Y318" s="103">
        <v>905</v>
      </c>
      <c r="Z318" s="103">
        <v>962</v>
      </c>
      <c r="AA318" s="103">
        <v>978</v>
      </c>
      <c r="AB318" s="103">
        <v>582</v>
      </c>
      <c r="AC318" s="42"/>
      <c r="AD318" s="110"/>
      <c r="AE318" s="46" t="s">
        <v>10</v>
      </c>
      <c r="AF318" s="103">
        <v>26</v>
      </c>
      <c r="AG318" s="103">
        <v>91</v>
      </c>
      <c r="AH318" s="103">
        <v>263</v>
      </c>
      <c r="AI318" s="103">
        <v>799</v>
      </c>
      <c r="AJ318" s="103">
        <v>1097</v>
      </c>
      <c r="AK318" s="103">
        <v>1621</v>
      </c>
      <c r="AL318" s="103">
        <v>2046</v>
      </c>
      <c r="AM318" s="103">
        <v>1592</v>
      </c>
      <c r="AN318" s="103">
        <v>1089</v>
      </c>
      <c r="AO318" s="103">
        <v>512</v>
      </c>
      <c r="AP318" s="6"/>
      <c r="AQ318" s="110"/>
      <c r="AR318" s="46" t="s">
        <v>10</v>
      </c>
      <c r="AS318" s="103">
        <v>11</v>
      </c>
      <c r="AT318" s="103">
        <v>39</v>
      </c>
      <c r="AU318" s="103">
        <v>64</v>
      </c>
      <c r="AV318" s="103">
        <v>185</v>
      </c>
      <c r="AW318" s="103">
        <v>248</v>
      </c>
      <c r="AX318" s="103">
        <v>302</v>
      </c>
      <c r="AY318" s="103">
        <v>351</v>
      </c>
      <c r="AZ318" s="103">
        <v>195</v>
      </c>
      <c r="BA318" s="103">
        <v>160</v>
      </c>
      <c r="BB318" s="103">
        <v>60</v>
      </c>
      <c r="BC318" s="42"/>
      <c r="BD318" s="110"/>
      <c r="BE318" s="46" t="s">
        <v>10</v>
      </c>
      <c r="BF318" s="103">
        <v>22</v>
      </c>
      <c r="BG318" s="103">
        <v>66</v>
      </c>
      <c r="BH318" s="103">
        <v>236</v>
      </c>
      <c r="BI318" s="103">
        <v>743</v>
      </c>
      <c r="BJ318" s="103">
        <v>1094</v>
      </c>
      <c r="BK318" s="103">
        <v>1829</v>
      </c>
      <c r="BL318" s="103">
        <v>2600</v>
      </c>
      <c r="BM318" s="103">
        <v>2359</v>
      </c>
      <c r="BN318" s="103">
        <v>1907</v>
      </c>
      <c r="BO318" s="103">
        <v>1034</v>
      </c>
      <c r="BQ318" s="110"/>
      <c r="BR318" s="46" t="s">
        <v>10</v>
      </c>
      <c r="BS318" s="103">
        <v>4</v>
      </c>
      <c r="BT318" s="103">
        <v>11</v>
      </c>
      <c r="BU318" s="103">
        <v>19</v>
      </c>
      <c r="BV318" s="103">
        <v>59</v>
      </c>
      <c r="BW318" s="103">
        <v>77</v>
      </c>
      <c r="BX318" s="103">
        <v>85</v>
      </c>
      <c r="BY318" s="103">
        <v>122</v>
      </c>
      <c r="BZ318" s="103">
        <v>68</v>
      </c>
      <c r="CA318" s="103">
        <v>58</v>
      </c>
      <c r="CB318" s="103">
        <v>34</v>
      </c>
      <c r="CC318" s="42"/>
      <c r="CD318" s="110"/>
      <c r="CE318" s="46" t="s">
        <v>10</v>
      </c>
      <c r="CF318" s="103">
        <v>29</v>
      </c>
      <c r="CG318" s="103">
        <v>94</v>
      </c>
      <c r="CH318" s="103">
        <v>281</v>
      </c>
      <c r="CI318" s="103">
        <v>869</v>
      </c>
      <c r="CJ318" s="103">
        <v>1265</v>
      </c>
      <c r="CK318" s="103">
        <v>2046</v>
      </c>
      <c r="CL318" s="103">
        <v>2829</v>
      </c>
      <c r="CM318" s="103">
        <v>2486</v>
      </c>
      <c r="CN318" s="103">
        <v>2009</v>
      </c>
      <c r="CO318" s="103">
        <v>1060</v>
      </c>
      <c r="CQ318" s="110"/>
      <c r="CR318" s="46" t="s">
        <v>10</v>
      </c>
      <c r="CS318" s="103">
        <v>3</v>
      </c>
      <c r="CT318" s="103">
        <v>10</v>
      </c>
      <c r="CU318" s="103">
        <v>26</v>
      </c>
      <c r="CV318" s="103">
        <v>105</v>
      </c>
      <c r="CW318" s="103">
        <v>140</v>
      </c>
      <c r="CX318" s="103">
        <v>246</v>
      </c>
      <c r="CY318" s="103">
        <v>339</v>
      </c>
      <c r="CZ318" s="103">
        <v>334</v>
      </c>
      <c r="DA318" s="103">
        <v>259</v>
      </c>
      <c r="DB318" s="103">
        <v>145</v>
      </c>
      <c r="DC318" s="42"/>
      <c r="DD318" s="110"/>
      <c r="DE318" s="46" t="s">
        <v>10</v>
      </c>
      <c r="DF318" s="103">
        <v>30</v>
      </c>
      <c r="DG318" s="103">
        <v>95</v>
      </c>
      <c r="DH318" s="103">
        <v>274</v>
      </c>
      <c r="DI318" s="103">
        <v>823</v>
      </c>
      <c r="DJ318" s="103">
        <v>1202</v>
      </c>
      <c r="DK318" s="103">
        <v>1885</v>
      </c>
      <c r="DL318" s="103">
        <v>2612</v>
      </c>
      <c r="DM318" s="103">
        <v>2220</v>
      </c>
      <c r="DN318" s="103">
        <v>1808</v>
      </c>
      <c r="DO318" s="103">
        <v>949</v>
      </c>
    </row>
    <row r="319" spans="2:119" ht="16.25" customHeight="1" x14ac:dyDescent="0.45">
      <c r="B319" s="134"/>
      <c r="C319" s="42"/>
      <c r="D319" s="111"/>
      <c r="E319" s="46" t="s">
        <v>11</v>
      </c>
      <c r="F319" s="103">
        <v>2</v>
      </c>
      <c r="G319" s="103">
        <v>6</v>
      </c>
      <c r="H319" s="103">
        <v>29</v>
      </c>
      <c r="I319" s="103">
        <v>83</v>
      </c>
      <c r="J319" s="103">
        <v>135</v>
      </c>
      <c r="K319" s="103">
        <v>268</v>
      </c>
      <c r="L319" s="103">
        <v>492</v>
      </c>
      <c r="M319" s="103">
        <v>637</v>
      </c>
      <c r="N319" s="103">
        <v>759</v>
      </c>
      <c r="O319" s="103">
        <v>746</v>
      </c>
      <c r="P319" s="42"/>
      <c r="Q319" s="111"/>
      <c r="R319" s="46" t="s">
        <v>11</v>
      </c>
      <c r="S319" s="103">
        <v>0</v>
      </c>
      <c r="T319" s="103">
        <v>1</v>
      </c>
      <c r="U319" s="103">
        <v>6</v>
      </c>
      <c r="V319" s="103">
        <v>4</v>
      </c>
      <c r="W319" s="103">
        <v>22</v>
      </c>
      <c r="X319" s="103">
        <v>48</v>
      </c>
      <c r="Y319" s="103">
        <v>145</v>
      </c>
      <c r="Z319" s="103">
        <v>220</v>
      </c>
      <c r="AA319" s="103">
        <v>314</v>
      </c>
      <c r="AB319" s="103">
        <v>396</v>
      </c>
      <c r="AC319" s="42"/>
      <c r="AD319" s="111"/>
      <c r="AE319" s="46" t="s">
        <v>11</v>
      </c>
      <c r="AF319" s="103">
        <v>2</v>
      </c>
      <c r="AG319" s="103">
        <v>5</v>
      </c>
      <c r="AH319" s="103">
        <v>23</v>
      </c>
      <c r="AI319" s="103">
        <v>79</v>
      </c>
      <c r="AJ319" s="103">
        <v>113</v>
      </c>
      <c r="AK319" s="103">
        <v>220</v>
      </c>
      <c r="AL319" s="103">
        <v>347</v>
      </c>
      <c r="AM319" s="103">
        <v>417</v>
      </c>
      <c r="AN319" s="103">
        <v>445</v>
      </c>
      <c r="AO319" s="103">
        <v>350</v>
      </c>
      <c r="AP319" s="6"/>
      <c r="AQ319" s="111"/>
      <c r="AR319" s="46" t="s">
        <v>11</v>
      </c>
      <c r="AS319" s="103">
        <v>1</v>
      </c>
      <c r="AT319" s="103">
        <v>1</v>
      </c>
      <c r="AU319" s="103">
        <v>6</v>
      </c>
      <c r="AV319" s="103">
        <v>15</v>
      </c>
      <c r="AW319" s="103">
        <v>20</v>
      </c>
      <c r="AX319" s="103">
        <v>26</v>
      </c>
      <c r="AY319" s="103">
        <v>34</v>
      </c>
      <c r="AZ319" s="103">
        <v>29</v>
      </c>
      <c r="BA319" s="103">
        <v>40</v>
      </c>
      <c r="BB319" s="103">
        <v>33</v>
      </c>
      <c r="BC319" s="42"/>
      <c r="BD319" s="111"/>
      <c r="BE319" s="46" t="s">
        <v>11</v>
      </c>
      <c r="BF319" s="103">
        <v>1</v>
      </c>
      <c r="BG319" s="103">
        <v>5</v>
      </c>
      <c r="BH319" s="103">
        <v>23</v>
      </c>
      <c r="BI319" s="103">
        <v>68</v>
      </c>
      <c r="BJ319" s="103">
        <v>115</v>
      </c>
      <c r="BK319" s="103">
        <v>242</v>
      </c>
      <c r="BL319" s="103">
        <v>458</v>
      </c>
      <c r="BM319" s="103">
        <v>608</v>
      </c>
      <c r="BN319" s="103">
        <v>719</v>
      </c>
      <c r="BO319" s="103">
        <v>713</v>
      </c>
      <c r="BQ319" s="111"/>
      <c r="BR319" s="46" t="s">
        <v>11</v>
      </c>
      <c r="BS319" s="103">
        <v>1</v>
      </c>
      <c r="BT319" s="103">
        <v>0</v>
      </c>
      <c r="BU319" s="103">
        <v>1</v>
      </c>
      <c r="BV319" s="103">
        <v>7</v>
      </c>
      <c r="BW319" s="103">
        <v>7</v>
      </c>
      <c r="BX319" s="103">
        <v>8</v>
      </c>
      <c r="BY319" s="103">
        <v>17</v>
      </c>
      <c r="BZ319" s="103">
        <v>18</v>
      </c>
      <c r="CA319" s="103">
        <v>24</v>
      </c>
      <c r="CB319" s="103">
        <v>16</v>
      </c>
      <c r="CC319" s="42"/>
      <c r="CD319" s="111"/>
      <c r="CE319" s="46" t="s">
        <v>11</v>
      </c>
      <c r="CF319" s="103">
        <v>1</v>
      </c>
      <c r="CG319" s="103">
        <v>6</v>
      </c>
      <c r="CH319" s="103">
        <v>28</v>
      </c>
      <c r="CI319" s="103">
        <v>76</v>
      </c>
      <c r="CJ319" s="103">
        <v>128</v>
      </c>
      <c r="CK319" s="103">
        <v>260</v>
      </c>
      <c r="CL319" s="103">
        <v>475</v>
      </c>
      <c r="CM319" s="103">
        <v>619</v>
      </c>
      <c r="CN319" s="103">
        <v>735</v>
      </c>
      <c r="CO319" s="103">
        <v>730</v>
      </c>
      <c r="CQ319" s="111"/>
      <c r="CR319" s="46" t="s">
        <v>11</v>
      </c>
      <c r="CS319" s="103">
        <v>0</v>
      </c>
      <c r="CT319" s="103">
        <v>0</v>
      </c>
      <c r="CU319" s="103">
        <v>3</v>
      </c>
      <c r="CV319" s="103">
        <v>5</v>
      </c>
      <c r="CW319" s="103">
        <v>12</v>
      </c>
      <c r="CX319" s="103">
        <v>32</v>
      </c>
      <c r="CY319" s="103">
        <v>46</v>
      </c>
      <c r="CZ319" s="103">
        <v>71</v>
      </c>
      <c r="DA319" s="103">
        <v>114</v>
      </c>
      <c r="DB319" s="103">
        <v>106</v>
      </c>
      <c r="DC319" s="42"/>
      <c r="DD319" s="111"/>
      <c r="DE319" s="46" t="s">
        <v>11</v>
      </c>
      <c r="DF319" s="103">
        <v>2</v>
      </c>
      <c r="DG319" s="103">
        <v>6</v>
      </c>
      <c r="DH319" s="103">
        <v>26</v>
      </c>
      <c r="DI319" s="103">
        <v>78</v>
      </c>
      <c r="DJ319" s="103">
        <v>123</v>
      </c>
      <c r="DK319" s="103">
        <v>236</v>
      </c>
      <c r="DL319" s="103">
        <v>446</v>
      </c>
      <c r="DM319" s="103">
        <v>566</v>
      </c>
      <c r="DN319" s="103">
        <v>645</v>
      </c>
      <c r="DO319" s="103">
        <v>640</v>
      </c>
    </row>
    <row r="320" spans="2:119" ht="22.5" x14ac:dyDescent="0.45">
      <c r="B320" s="99"/>
      <c r="C320" s="42"/>
      <c r="D320" s="42"/>
      <c r="E320" s="42"/>
      <c r="F320" s="42"/>
      <c r="G320" s="42"/>
      <c r="H320" s="42"/>
      <c r="I320" s="42"/>
      <c r="J320" s="42"/>
      <c r="K320" s="42"/>
      <c r="L320" s="42"/>
      <c r="M320" s="42"/>
      <c r="N320" s="42"/>
      <c r="O320" s="42"/>
      <c r="P320" s="42"/>
      <c r="Q320" s="42"/>
      <c r="R320" s="42"/>
      <c r="S320" s="42"/>
      <c r="T320" s="42"/>
      <c r="U320" s="42"/>
      <c r="V320" s="42"/>
      <c r="W320" s="42"/>
      <c r="X320" s="42"/>
      <c r="Y320" s="42"/>
      <c r="Z320" s="42"/>
      <c r="AA320" s="42"/>
      <c r="AB320" s="42"/>
      <c r="AC320" s="42"/>
      <c r="AD320" s="42"/>
      <c r="AE320" s="42"/>
      <c r="AF320" s="42"/>
      <c r="AG320" s="42"/>
      <c r="AH320" s="42"/>
      <c r="AI320" s="42"/>
      <c r="AJ320" s="42"/>
      <c r="AK320" s="42"/>
      <c r="AL320" s="42"/>
      <c r="AM320" s="42"/>
      <c r="AN320" s="42"/>
      <c r="AO320" s="42"/>
      <c r="AP320" s="6"/>
      <c r="AQ320" s="42"/>
      <c r="AR320" s="42"/>
      <c r="AS320" s="42"/>
      <c r="AT320" s="42"/>
      <c r="AU320" s="42"/>
      <c r="AV320" s="42"/>
      <c r="AW320" s="42"/>
      <c r="AX320" s="42"/>
      <c r="AY320" s="42"/>
      <c r="AZ320" s="42"/>
      <c r="BA320" s="42"/>
      <c r="BB320" s="42"/>
      <c r="BC320" s="42"/>
      <c r="BD320" s="42"/>
      <c r="BE320" s="42"/>
      <c r="BF320" s="42"/>
      <c r="BG320" s="42"/>
      <c r="BH320" s="42"/>
      <c r="BI320" s="42"/>
      <c r="BJ320" s="42"/>
      <c r="BK320" s="42"/>
      <c r="BL320" s="42"/>
      <c r="BM320" s="42"/>
      <c r="BN320" s="42"/>
      <c r="BO320" s="42"/>
      <c r="BQ320" s="42"/>
      <c r="BR320" s="42"/>
      <c r="BS320" s="42"/>
      <c r="BT320" s="42"/>
      <c r="BU320" s="42"/>
      <c r="BV320" s="42"/>
      <c r="BW320" s="42"/>
      <c r="BX320" s="42"/>
      <c r="BY320" s="42"/>
      <c r="BZ320" s="42"/>
      <c r="CA320" s="42"/>
      <c r="CB320" s="42"/>
      <c r="CC320" s="42"/>
      <c r="CD320" s="42"/>
      <c r="CE320" s="42"/>
      <c r="CF320" s="42"/>
      <c r="CG320" s="42"/>
      <c r="CH320" s="42"/>
      <c r="CI320" s="42"/>
      <c r="CJ320" s="42"/>
      <c r="CK320" s="42"/>
      <c r="CL320" s="42"/>
      <c r="CM320" s="42"/>
      <c r="CN320" s="42"/>
      <c r="CO320" s="42"/>
      <c r="CQ320" s="42"/>
      <c r="CR320" s="42"/>
      <c r="CS320" s="42"/>
      <c r="CT320" s="42"/>
      <c r="CU320" s="42"/>
      <c r="CV320" s="42"/>
      <c r="CW320" s="42"/>
      <c r="CX320" s="42"/>
      <c r="CY320" s="42"/>
      <c r="CZ320" s="42"/>
      <c r="DA320" s="42"/>
      <c r="DB320" s="42"/>
      <c r="DC320" s="42"/>
      <c r="DD320" s="42"/>
      <c r="DE320" s="42"/>
      <c r="DF320" s="42"/>
      <c r="DG320" s="42"/>
      <c r="DH320" s="42"/>
      <c r="DI320" s="42"/>
      <c r="DJ320" s="42"/>
      <c r="DK320" s="42"/>
      <c r="DL320" s="42"/>
      <c r="DM320" s="42"/>
      <c r="DN320" s="42"/>
      <c r="DO320" s="42"/>
    </row>
    <row r="321" spans="2:119" ht="18.75" customHeight="1" x14ac:dyDescent="0.55000000000000004">
      <c r="B321" s="99"/>
      <c r="C321" s="42"/>
      <c r="D321" s="112" t="s">
        <v>16</v>
      </c>
      <c r="E321" s="112"/>
      <c r="F321" s="45"/>
      <c r="G321" s="45"/>
      <c r="H321" s="45"/>
      <c r="I321" s="45"/>
      <c r="J321" s="45"/>
      <c r="K321" s="45"/>
      <c r="L321" s="45"/>
      <c r="M321" s="45"/>
      <c r="N321" s="45"/>
      <c r="O321" s="45"/>
      <c r="P321" s="42"/>
      <c r="Q321" s="112" t="s">
        <v>16</v>
      </c>
      <c r="R321" s="112"/>
      <c r="S321" s="45"/>
      <c r="T321" s="45"/>
      <c r="U321" s="45"/>
      <c r="V321" s="45"/>
      <c r="W321" s="45"/>
      <c r="X321" s="45"/>
      <c r="Y321" s="45"/>
      <c r="Z321" s="45"/>
      <c r="AA321" s="45"/>
      <c r="AB321" s="45"/>
      <c r="AC321" s="42"/>
      <c r="AD321" s="112" t="s">
        <v>16</v>
      </c>
      <c r="AE321" s="112"/>
      <c r="AF321" s="45"/>
      <c r="AG321" s="45"/>
      <c r="AH321" s="45"/>
      <c r="AI321" s="45"/>
      <c r="AJ321" s="45"/>
      <c r="AK321" s="45"/>
      <c r="AL321" s="45"/>
      <c r="AM321" s="45"/>
      <c r="AN321" s="45"/>
      <c r="AO321" s="45"/>
      <c r="AP321" s="6"/>
      <c r="AQ321" s="112" t="s">
        <v>16</v>
      </c>
      <c r="AR321" s="112"/>
      <c r="AS321" s="45"/>
      <c r="AT321" s="45"/>
      <c r="AU321" s="45"/>
      <c r="AV321" s="45"/>
      <c r="AW321" s="45"/>
      <c r="AX321" s="45"/>
      <c r="AY321" s="45"/>
      <c r="AZ321" s="45"/>
      <c r="BA321" s="45"/>
      <c r="BB321" s="45"/>
      <c r="BC321" s="42"/>
      <c r="BD321" s="112" t="s">
        <v>16</v>
      </c>
      <c r="BE321" s="112"/>
      <c r="BF321" s="45"/>
      <c r="BG321" s="45"/>
      <c r="BH321" s="45"/>
      <c r="BI321" s="45"/>
      <c r="BJ321" s="45"/>
      <c r="BK321" s="45"/>
      <c r="BL321" s="45"/>
      <c r="BM321" s="45"/>
      <c r="BN321" s="45"/>
      <c r="BO321" s="45"/>
      <c r="BQ321" s="112" t="s">
        <v>16</v>
      </c>
      <c r="BR321" s="112"/>
      <c r="BS321" s="45"/>
      <c r="BT321" s="45"/>
      <c r="BU321" s="45"/>
      <c r="BV321" s="45"/>
      <c r="BW321" s="45"/>
      <c r="BX321" s="45"/>
      <c r="BY321" s="45"/>
      <c r="BZ321" s="45"/>
      <c r="CA321" s="45"/>
      <c r="CB321" s="45"/>
      <c r="CC321" s="42"/>
      <c r="CD321" s="112" t="s">
        <v>16</v>
      </c>
      <c r="CE321" s="112"/>
      <c r="CF321" s="45"/>
      <c r="CG321" s="45"/>
      <c r="CH321" s="45"/>
      <c r="CI321" s="45"/>
      <c r="CJ321" s="45"/>
      <c r="CK321" s="45"/>
      <c r="CL321" s="45"/>
      <c r="CM321" s="45"/>
      <c r="CN321" s="45"/>
      <c r="CO321" s="45"/>
      <c r="CQ321" s="112" t="s">
        <v>16</v>
      </c>
      <c r="CR321" s="112"/>
      <c r="CS321" s="45"/>
      <c r="CT321" s="45"/>
      <c r="CU321" s="45"/>
      <c r="CV321" s="45"/>
      <c r="CW321" s="45"/>
      <c r="CX321" s="45"/>
      <c r="CY321" s="45"/>
      <c r="CZ321" s="45"/>
      <c r="DA321" s="45"/>
      <c r="DB321" s="45"/>
      <c r="DC321" s="42"/>
      <c r="DD321" s="112" t="s">
        <v>16</v>
      </c>
      <c r="DE321" s="112"/>
      <c r="DF321" s="45"/>
      <c r="DG321" s="45"/>
      <c r="DH321" s="45"/>
      <c r="DI321" s="45"/>
      <c r="DJ321" s="45"/>
      <c r="DK321" s="45"/>
      <c r="DL321" s="45"/>
      <c r="DM321" s="45"/>
      <c r="DN321" s="45"/>
      <c r="DO321" s="45"/>
    </row>
    <row r="322" spans="2:119" ht="28.9" customHeight="1" x14ac:dyDescent="0.45">
      <c r="B322" s="99"/>
      <c r="C322" s="42"/>
      <c r="D322" s="112"/>
      <c r="E322" s="112"/>
      <c r="F322" s="108" t="s">
        <v>12</v>
      </c>
      <c r="G322" s="108"/>
      <c r="H322" s="108"/>
      <c r="I322" s="108"/>
      <c r="J322" s="108"/>
      <c r="K322" s="108"/>
      <c r="L322" s="108"/>
      <c r="M322" s="108"/>
      <c r="N322" s="108"/>
      <c r="O322" s="108"/>
      <c r="P322" s="42"/>
      <c r="Q322" s="112"/>
      <c r="R322" s="112"/>
      <c r="S322" s="108" t="s">
        <v>12</v>
      </c>
      <c r="T322" s="108"/>
      <c r="U322" s="108"/>
      <c r="V322" s="108"/>
      <c r="W322" s="108"/>
      <c r="X322" s="108"/>
      <c r="Y322" s="108"/>
      <c r="Z322" s="108"/>
      <c r="AA322" s="108"/>
      <c r="AB322" s="108"/>
      <c r="AC322" s="42"/>
      <c r="AD322" s="112"/>
      <c r="AE322" s="112"/>
      <c r="AF322" s="131" t="s">
        <v>12</v>
      </c>
      <c r="AG322" s="132"/>
      <c r="AH322" s="132"/>
      <c r="AI322" s="132"/>
      <c r="AJ322" s="132"/>
      <c r="AK322" s="132"/>
      <c r="AL322" s="132"/>
      <c r="AM322" s="132"/>
      <c r="AN322" s="132"/>
      <c r="AO322" s="133"/>
      <c r="AP322" s="6"/>
      <c r="AQ322" s="112"/>
      <c r="AR322" s="112"/>
      <c r="AS322" s="108" t="s">
        <v>12</v>
      </c>
      <c r="AT322" s="108"/>
      <c r="AU322" s="108"/>
      <c r="AV322" s="108"/>
      <c r="AW322" s="108"/>
      <c r="AX322" s="108"/>
      <c r="AY322" s="108"/>
      <c r="AZ322" s="108"/>
      <c r="BA322" s="108"/>
      <c r="BB322" s="108"/>
      <c r="BC322" s="42"/>
      <c r="BD322" s="112"/>
      <c r="BE322" s="112"/>
      <c r="BF322" s="108" t="s">
        <v>12</v>
      </c>
      <c r="BG322" s="108"/>
      <c r="BH322" s="108"/>
      <c r="BI322" s="108"/>
      <c r="BJ322" s="108"/>
      <c r="BK322" s="108"/>
      <c r="BL322" s="108"/>
      <c r="BM322" s="108"/>
      <c r="BN322" s="108"/>
      <c r="BO322" s="108"/>
      <c r="BQ322" s="112"/>
      <c r="BR322" s="112"/>
      <c r="BS322" s="108" t="s">
        <v>12</v>
      </c>
      <c r="BT322" s="108"/>
      <c r="BU322" s="108"/>
      <c r="BV322" s="108"/>
      <c r="BW322" s="108"/>
      <c r="BX322" s="108"/>
      <c r="BY322" s="108"/>
      <c r="BZ322" s="108"/>
      <c r="CA322" s="108"/>
      <c r="CB322" s="108"/>
      <c r="CC322" s="42"/>
      <c r="CD322" s="112"/>
      <c r="CE322" s="112"/>
      <c r="CF322" s="108" t="s">
        <v>12</v>
      </c>
      <c r="CG322" s="108"/>
      <c r="CH322" s="108"/>
      <c r="CI322" s="108"/>
      <c r="CJ322" s="108"/>
      <c r="CK322" s="108"/>
      <c r="CL322" s="108"/>
      <c r="CM322" s="108"/>
      <c r="CN322" s="108"/>
      <c r="CO322" s="108"/>
      <c r="CQ322" s="112"/>
      <c r="CR322" s="112"/>
      <c r="CS322" s="108" t="s">
        <v>12</v>
      </c>
      <c r="CT322" s="108"/>
      <c r="CU322" s="108"/>
      <c r="CV322" s="108"/>
      <c r="CW322" s="108"/>
      <c r="CX322" s="108"/>
      <c r="CY322" s="108"/>
      <c r="CZ322" s="108"/>
      <c r="DA322" s="108"/>
      <c r="DB322" s="108"/>
      <c r="DC322" s="42"/>
      <c r="DD322" s="112"/>
      <c r="DE322" s="112"/>
      <c r="DF322" s="108" t="s">
        <v>12</v>
      </c>
      <c r="DG322" s="108"/>
      <c r="DH322" s="108"/>
      <c r="DI322" s="108"/>
      <c r="DJ322" s="108"/>
      <c r="DK322" s="108"/>
      <c r="DL322" s="108"/>
      <c r="DM322" s="108"/>
      <c r="DN322" s="108"/>
      <c r="DO322" s="108"/>
    </row>
    <row r="323" spans="2:119" ht="15" customHeight="1" x14ac:dyDescent="0.45">
      <c r="B323" s="99"/>
      <c r="C323" s="42"/>
      <c r="D323" s="113"/>
      <c r="E323" s="113"/>
      <c r="F323" s="9" t="s">
        <v>0</v>
      </c>
      <c r="G323" s="9">
        <v>1</v>
      </c>
      <c r="H323" s="9">
        <v>2</v>
      </c>
      <c r="I323" s="9">
        <v>3</v>
      </c>
      <c r="J323" s="9">
        <v>4</v>
      </c>
      <c r="K323" s="9">
        <v>5</v>
      </c>
      <c r="L323" s="9">
        <v>6</v>
      </c>
      <c r="M323" s="9">
        <v>7</v>
      </c>
      <c r="N323" s="9">
        <v>8</v>
      </c>
      <c r="O323" s="9">
        <v>9</v>
      </c>
      <c r="P323" s="42"/>
      <c r="Q323" s="113"/>
      <c r="R323" s="113"/>
      <c r="S323" s="9" t="s">
        <v>0</v>
      </c>
      <c r="T323" s="9">
        <v>1</v>
      </c>
      <c r="U323" s="9">
        <v>2</v>
      </c>
      <c r="V323" s="9">
        <v>3</v>
      </c>
      <c r="W323" s="9">
        <v>4</v>
      </c>
      <c r="X323" s="9">
        <v>5</v>
      </c>
      <c r="Y323" s="9">
        <v>6</v>
      </c>
      <c r="Z323" s="9">
        <v>7</v>
      </c>
      <c r="AA323" s="9">
        <v>8</v>
      </c>
      <c r="AB323" s="9">
        <v>9</v>
      </c>
      <c r="AC323" s="42"/>
      <c r="AD323" s="113"/>
      <c r="AE323" s="113"/>
      <c r="AF323" s="9" t="s">
        <v>0</v>
      </c>
      <c r="AG323" s="9">
        <v>1</v>
      </c>
      <c r="AH323" s="9">
        <v>2</v>
      </c>
      <c r="AI323" s="9">
        <v>3</v>
      </c>
      <c r="AJ323" s="9">
        <v>4</v>
      </c>
      <c r="AK323" s="9">
        <v>5</v>
      </c>
      <c r="AL323" s="9">
        <v>6</v>
      </c>
      <c r="AM323" s="9">
        <v>7</v>
      </c>
      <c r="AN323" s="9">
        <v>8</v>
      </c>
      <c r="AO323" s="9">
        <v>9</v>
      </c>
      <c r="AP323" s="6"/>
      <c r="AQ323" s="113"/>
      <c r="AR323" s="113"/>
      <c r="AS323" s="9" t="s">
        <v>0</v>
      </c>
      <c r="AT323" s="9">
        <v>1</v>
      </c>
      <c r="AU323" s="9">
        <v>2</v>
      </c>
      <c r="AV323" s="9">
        <v>3</v>
      </c>
      <c r="AW323" s="9">
        <v>4</v>
      </c>
      <c r="AX323" s="9">
        <v>5</v>
      </c>
      <c r="AY323" s="9">
        <v>6</v>
      </c>
      <c r="AZ323" s="9">
        <v>7</v>
      </c>
      <c r="BA323" s="9">
        <v>8</v>
      </c>
      <c r="BB323" s="9">
        <v>9</v>
      </c>
      <c r="BC323" s="42"/>
      <c r="BD323" s="113"/>
      <c r="BE323" s="113"/>
      <c r="BF323" s="9" t="s">
        <v>0</v>
      </c>
      <c r="BG323" s="9">
        <v>1</v>
      </c>
      <c r="BH323" s="9">
        <v>2</v>
      </c>
      <c r="BI323" s="9">
        <v>3</v>
      </c>
      <c r="BJ323" s="9">
        <v>4</v>
      </c>
      <c r="BK323" s="9">
        <v>5</v>
      </c>
      <c r="BL323" s="9">
        <v>6</v>
      </c>
      <c r="BM323" s="9">
        <v>7</v>
      </c>
      <c r="BN323" s="9">
        <v>8</v>
      </c>
      <c r="BO323" s="9">
        <v>9</v>
      </c>
      <c r="BQ323" s="113"/>
      <c r="BR323" s="113"/>
      <c r="BS323" s="9" t="s">
        <v>0</v>
      </c>
      <c r="BT323" s="9">
        <v>1</v>
      </c>
      <c r="BU323" s="9">
        <v>2</v>
      </c>
      <c r="BV323" s="9">
        <v>3</v>
      </c>
      <c r="BW323" s="9">
        <v>4</v>
      </c>
      <c r="BX323" s="9">
        <v>5</v>
      </c>
      <c r="BY323" s="9">
        <v>6</v>
      </c>
      <c r="BZ323" s="9">
        <v>7</v>
      </c>
      <c r="CA323" s="9">
        <v>8</v>
      </c>
      <c r="CB323" s="9">
        <v>9</v>
      </c>
      <c r="CC323" s="42"/>
      <c r="CD323" s="113"/>
      <c r="CE323" s="113"/>
      <c r="CF323" s="9" t="s">
        <v>0</v>
      </c>
      <c r="CG323" s="9">
        <v>1</v>
      </c>
      <c r="CH323" s="9">
        <v>2</v>
      </c>
      <c r="CI323" s="9">
        <v>3</v>
      </c>
      <c r="CJ323" s="9">
        <v>4</v>
      </c>
      <c r="CK323" s="9">
        <v>5</v>
      </c>
      <c r="CL323" s="9">
        <v>6</v>
      </c>
      <c r="CM323" s="9">
        <v>7</v>
      </c>
      <c r="CN323" s="9">
        <v>8</v>
      </c>
      <c r="CO323" s="9">
        <v>9</v>
      </c>
      <c r="CQ323" s="113"/>
      <c r="CR323" s="113"/>
      <c r="CS323" s="9" t="s">
        <v>0</v>
      </c>
      <c r="CT323" s="9">
        <v>1</v>
      </c>
      <c r="CU323" s="9">
        <v>2</v>
      </c>
      <c r="CV323" s="9">
        <v>3</v>
      </c>
      <c r="CW323" s="9">
        <v>4</v>
      </c>
      <c r="CX323" s="9">
        <v>5</v>
      </c>
      <c r="CY323" s="9">
        <v>6</v>
      </c>
      <c r="CZ323" s="9">
        <v>7</v>
      </c>
      <c r="DA323" s="9">
        <v>8</v>
      </c>
      <c r="DB323" s="9">
        <v>9</v>
      </c>
      <c r="DC323" s="42"/>
      <c r="DD323" s="113"/>
      <c r="DE323" s="113"/>
      <c r="DF323" s="9" t="s">
        <v>0</v>
      </c>
      <c r="DG323" s="9">
        <v>1</v>
      </c>
      <c r="DH323" s="9">
        <v>2</v>
      </c>
      <c r="DI323" s="9">
        <v>3</v>
      </c>
      <c r="DJ323" s="9">
        <v>4</v>
      </c>
      <c r="DK323" s="9">
        <v>5</v>
      </c>
      <c r="DL323" s="9">
        <v>6</v>
      </c>
      <c r="DM323" s="9">
        <v>7</v>
      </c>
      <c r="DN323" s="9">
        <v>8</v>
      </c>
      <c r="DO323" s="9">
        <v>9</v>
      </c>
    </row>
    <row r="324" spans="2:119" ht="16.25" customHeight="1" x14ac:dyDescent="0.45">
      <c r="B324" s="99"/>
      <c r="C324" s="42"/>
      <c r="D324" s="109" t="s">
        <v>13</v>
      </c>
      <c r="E324" s="47" t="s">
        <v>1</v>
      </c>
      <c r="F324" s="103">
        <v>10</v>
      </c>
      <c r="G324" s="103">
        <v>10</v>
      </c>
      <c r="H324" s="103">
        <v>20</v>
      </c>
      <c r="I324" s="103">
        <v>20</v>
      </c>
      <c r="J324" s="103">
        <v>10</v>
      </c>
      <c r="K324" s="103">
        <v>0</v>
      </c>
      <c r="L324" s="103">
        <v>10</v>
      </c>
      <c r="M324" s="103">
        <v>10</v>
      </c>
      <c r="N324" s="103">
        <v>10</v>
      </c>
      <c r="O324" s="17">
        <v>0</v>
      </c>
      <c r="P324" s="42"/>
      <c r="Q324" s="109" t="s">
        <v>13</v>
      </c>
      <c r="R324" s="46" t="s">
        <v>1</v>
      </c>
      <c r="S324" s="103">
        <v>0</v>
      </c>
      <c r="T324" s="103">
        <v>0</v>
      </c>
      <c r="U324" s="103">
        <v>33.333333333333329</v>
      </c>
      <c r="V324" s="103">
        <v>0</v>
      </c>
      <c r="W324" s="103">
        <v>33.333333333333329</v>
      </c>
      <c r="X324" s="103">
        <v>0</v>
      </c>
      <c r="Y324" s="103">
        <v>0</v>
      </c>
      <c r="Z324" s="103">
        <v>33.333333333333329</v>
      </c>
      <c r="AA324" s="103">
        <v>0</v>
      </c>
      <c r="AB324" s="17">
        <v>0</v>
      </c>
      <c r="AC324" s="42"/>
      <c r="AD324" s="109" t="s">
        <v>13</v>
      </c>
      <c r="AE324" s="46" t="s">
        <v>1</v>
      </c>
      <c r="AF324" s="103">
        <v>14.285714285714285</v>
      </c>
      <c r="AG324" s="103">
        <v>14.285714285714285</v>
      </c>
      <c r="AH324" s="103">
        <v>14.285714285714285</v>
      </c>
      <c r="AI324" s="103">
        <v>28.571428571428569</v>
      </c>
      <c r="AJ324" s="103">
        <v>0</v>
      </c>
      <c r="AK324" s="103">
        <v>0</v>
      </c>
      <c r="AL324" s="103">
        <v>14.285714285714285</v>
      </c>
      <c r="AM324" s="103">
        <v>0</v>
      </c>
      <c r="AN324" s="103">
        <v>14.285714285714285</v>
      </c>
      <c r="AO324" s="17">
        <v>0</v>
      </c>
      <c r="AP324" s="6"/>
      <c r="AQ324" s="109" t="s">
        <v>13</v>
      </c>
      <c r="AR324" s="46" t="s">
        <v>1</v>
      </c>
      <c r="AS324" s="103">
        <v>16.666666666666664</v>
      </c>
      <c r="AT324" s="103">
        <v>16.666666666666664</v>
      </c>
      <c r="AU324" s="103">
        <v>16.666666666666664</v>
      </c>
      <c r="AV324" s="103">
        <v>33.333333333333329</v>
      </c>
      <c r="AW324" s="103">
        <v>0</v>
      </c>
      <c r="AX324" s="103">
        <v>0</v>
      </c>
      <c r="AY324" s="103">
        <v>0</v>
      </c>
      <c r="AZ324" s="103">
        <v>0</v>
      </c>
      <c r="BA324" s="103">
        <v>16.666666666666664</v>
      </c>
      <c r="BB324" s="17">
        <v>0</v>
      </c>
      <c r="BC324" s="42"/>
      <c r="BD324" s="109" t="s">
        <v>13</v>
      </c>
      <c r="BE324" s="46" t="s">
        <v>1</v>
      </c>
      <c r="BF324" s="103">
        <v>0</v>
      </c>
      <c r="BG324" s="103">
        <v>0</v>
      </c>
      <c r="BH324" s="103">
        <v>25</v>
      </c>
      <c r="BI324" s="103">
        <v>0</v>
      </c>
      <c r="BJ324" s="103">
        <v>25</v>
      </c>
      <c r="BK324" s="103">
        <v>0</v>
      </c>
      <c r="BL324" s="103">
        <v>25</v>
      </c>
      <c r="BM324" s="103">
        <v>25</v>
      </c>
      <c r="BN324" s="103">
        <v>0</v>
      </c>
      <c r="BO324" s="17">
        <v>0</v>
      </c>
      <c r="BQ324" s="109" t="s">
        <v>13</v>
      </c>
      <c r="BR324" s="46" t="s">
        <v>1</v>
      </c>
      <c r="BS324" s="103">
        <v>25</v>
      </c>
      <c r="BT324" s="103">
        <v>0</v>
      </c>
      <c r="BU324" s="103">
        <v>0</v>
      </c>
      <c r="BV324" s="103">
        <v>25</v>
      </c>
      <c r="BW324" s="103">
        <v>0</v>
      </c>
      <c r="BX324" s="103">
        <v>0</v>
      </c>
      <c r="BY324" s="103">
        <v>25</v>
      </c>
      <c r="BZ324" s="103">
        <v>0</v>
      </c>
      <c r="CA324" s="103">
        <v>25</v>
      </c>
      <c r="CB324" s="17">
        <v>0</v>
      </c>
      <c r="CC324" s="42"/>
      <c r="CD324" s="109" t="s">
        <v>13</v>
      </c>
      <c r="CE324" s="46" t="s">
        <v>1</v>
      </c>
      <c r="CF324" s="103">
        <v>0</v>
      </c>
      <c r="CG324" s="103">
        <v>16.666666666666664</v>
      </c>
      <c r="CH324" s="103">
        <v>33.333333333333329</v>
      </c>
      <c r="CI324" s="103">
        <v>16.666666666666664</v>
      </c>
      <c r="CJ324" s="103">
        <v>16.666666666666664</v>
      </c>
      <c r="CK324" s="103">
        <v>0</v>
      </c>
      <c r="CL324" s="103">
        <v>0</v>
      </c>
      <c r="CM324" s="103">
        <v>16.666666666666664</v>
      </c>
      <c r="CN324" s="103">
        <v>0</v>
      </c>
      <c r="CO324" s="17">
        <v>0</v>
      </c>
      <c r="CQ324" s="109" t="s">
        <v>13</v>
      </c>
      <c r="CR324" s="46" t="s">
        <v>1</v>
      </c>
      <c r="CS324" s="103">
        <v>10</v>
      </c>
      <c r="CT324" s="103">
        <v>10</v>
      </c>
      <c r="CU324" s="103">
        <v>20</v>
      </c>
      <c r="CV324" s="103">
        <v>20</v>
      </c>
      <c r="CW324" s="103">
        <v>10</v>
      </c>
      <c r="CX324" s="103">
        <v>0</v>
      </c>
      <c r="CY324" s="103">
        <v>10</v>
      </c>
      <c r="CZ324" s="103">
        <v>10</v>
      </c>
      <c r="DA324" s="103">
        <v>10</v>
      </c>
      <c r="DB324" s="17">
        <v>0</v>
      </c>
      <c r="DC324" s="42"/>
      <c r="DD324" s="109" t="s">
        <v>13</v>
      </c>
      <c r="DE324" s="46" t="s">
        <v>1</v>
      </c>
      <c r="DF324" s="103" t="s">
        <v>128</v>
      </c>
      <c r="DG324" s="103" t="s">
        <v>128</v>
      </c>
      <c r="DH324" s="103" t="s">
        <v>128</v>
      </c>
      <c r="DI324" s="103" t="s">
        <v>128</v>
      </c>
      <c r="DJ324" s="103" t="s">
        <v>128</v>
      </c>
      <c r="DK324" s="103" t="s">
        <v>128</v>
      </c>
      <c r="DL324" s="103" t="s">
        <v>128</v>
      </c>
      <c r="DM324" s="103" t="s">
        <v>128</v>
      </c>
      <c r="DN324" s="103" t="s">
        <v>128</v>
      </c>
      <c r="DO324" s="17" t="s">
        <v>128</v>
      </c>
    </row>
    <row r="325" spans="2:119" ht="16.25" customHeight="1" x14ac:dyDescent="0.45">
      <c r="B325" s="99"/>
      <c r="C325" s="42"/>
      <c r="D325" s="110"/>
      <c r="E325" s="47">
        <v>1</v>
      </c>
      <c r="F325" s="103">
        <v>15.625</v>
      </c>
      <c r="G325" s="103">
        <v>25</v>
      </c>
      <c r="H325" s="103">
        <v>28.125</v>
      </c>
      <c r="I325" s="103">
        <v>12.5</v>
      </c>
      <c r="J325" s="103">
        <v>6.25</v>
      </c>
      <c r="K325" s="103">
        <v>3.125</v>
      </c>
      <c r="L325" s="103">
        <v>3.125</v>
      </c>
      <c r="M325" s="103">
        <v>3.125</v>
      </c>
      <c r="N325" s="103">
        <v>0</v>
      </c>
      <c r="O325" s="103">
        <v>3.125</v>
      </c>
      <c r="P325" s="42"/>
      <c r="Q325" s="110"/>
      <c r="R325" s="46">
        <v>1</v>
      </c>
      <c r="S325" s="103">
        <v>14.285714285714285</v>
      </c>
      <c r="T325" s="103">
        <v>28.571428571428569</v>
      </c>
      <c r="U325" s="103">
        <v>28.571428571428569</v>
      </c>
      <c r="V325" s="103">
        <v>14.285714285714285</v>
      </c>
      <c r="W325" s="103">
        <v>14.285714285714285</v>
      </c>
      <c r="X325" s="103">
        <v>0</v>
      </c>
      <c r="Y325" s="103">
        <v>0</v>
      </c>
      <c r="Z325" s="103">
        <v>0</v>
      </c>
      <c r="AA325" s="103">
        <v>0</v>
      </c>
      <c r="AB325" s="103">
        <v>0</v>
      </c>
      <c r="AC325" s="42"/>
      <c r="AD325" s="110"/>
      <c r="AE325" s="46">
        <v>1</v>
      </c>
      <c r="AF325" s="103">
        <v>16</v>
      </c>
      <c r="AG325" s="103">
        <v>24</v>
      </c>
      <c r="AH325" s="103">
        <v>28.000000000000004</v>
      </c>
      <c r="AI325" s="103">
        <v>12</v>
      </c>
      <c r="AJ325" s="103">
        <v>4</v>
      </c>
      <c r="AK325" s="103">
        <v>4</v>
      </c>
      <c r="AL325" s="103">
        <v>4</v>
      </c>
      <c r="AM325" s="103">
        <v>4</v>
      </c>
      <c r="AN325" s="103">
        <v>0</v>
      </c>
      <c r="AO325" s="103">
        <v>4</v>
      </c>
      <c r="AP325" s="6"/>
      <c r="AQ325" s="110"/>
      <c r="AR325" s="46">
        <v>1</v>
      </c>
      <c r="AS325" s="103">
        <v>11.76470588235294</v>
      </c>
      <c r="AT325" s="103">
        <v>17.647058823529413</v>
      </c>
      <c r="AU325" s="103">
        <v>41.17647058823529</v>
      </c>
      <c r="AV325" s="103">
        <v>11.76470588235294</v>
      </c>
      <c r="AW325" s="103">
        <v>5.8823529411764701</v>
      </c>
      <c r="AX325" s="103">
        <v>0</v>
      </c>
      <c r="AY325" s="103">
        <v>0</v>
      </c>
      <c r="AZ325" s="103">
        <v>5.8823529411764701</v>
      </c>
      <c r="BA325" s="103">
        <v>0</v>
      </c>
      <c r="BB325" s="103">
        <v>5.8823529411764701</v>
      </c>
      <c r="BC325" s="42"/>
      <c r="BD325" s="110"/>
      <c r="BE325" s="46">
        <v>1</v>
      </c>
      <c r="BF325" s="103">
        <v>20</v>
      </c>
      <c r="BG325" s="103">
        <v>33.333333333333329</v>
      </c>
      <c r="BH325" s="103">
        <v>13.333333333333334</v>
      </c>
      <c r="BI325" s="103">
        <v>13.333333333333334</v>
      </c>
      <c r="BJ325" s="103">
        <v>6.666666666666667</v>
      </c>
      <c r="BK325" s="103">
        <v>6.666666666666667</v>
      </c>
      <c r="BL325" s="103">
        <v>6.666666666666667</v>
      </c>
      <c r="BM325" s="103">
        <v>0</v>
      </c>
      <c r="BN325" s="103">
        <v>0</v>
      </c>
      <c r="BO325" s="103">
        <v>0</v>
      </c>
      <c r="BQ325" s="110"/>
      <c r="BR325" s="46">
        <v>1</v>
      </c>
      <c r="BS325" s="103">
        <v>17.647058823529413</v>
      </c>
      <c r="BT325" s="103">
        <v>23.52941176470588</v>
      </c>
      <c r="BU325" s="103">
        <v>29.411764705882355</v>
      </c>
      <c r="BV325" s="103">
        <v>17.647058823529413</v>
      </c>
      <c r="BW325" s="103">
        <v>5.8823529411764701</v>
      </c>
      <c r="BX325" s="103">
        <v>0</v>
      </c>
      <c r="BY325" s="103">
        <v>0</v>
      </c>
      <c r="BZ325" s="103">
        <v>0</v>
      </c>
      <c r="CA325" s="103">
        <v>0</v>
      </c>
      <c r="CB325" s="103">
        <v>5.8823529411764701</v>
      </c>
      <c r="CC325" s="42"/>
      <c r="CD325" s="110"/>
      <c r="CE325" s="46">
        <v>1</v>
      </c>
      <c r="CF325" s="103">
        <v>13.333333333333334</v>
      </c>
      <c r="CG325" s="103">
        <v>26.666666666666668</v>
      </c>
      <c r="CH325" s="103">
        <v>26.666666666666668</v>
      </c>
      <c r="CI325" s="103">
        <v>6.666666666666667</v>
      </c>
      <c r="CJ325" s="103">
        <v>6.666666666666667</v>
      </c>
      <c r="CK325" s="103">
        <v>6.666666666666667</v>
      </c>
      <c r="CL325" s="103">
        <v>6.666666666666667</v>
      </c>
      <c r="CM325" s="103">
        <v>6.666666666666667</v>
      </c>
      <c r="CN325" s="103">
        <v>0</v>
      </c>
      <c r="CO325" s="103">
        <v>0</v>
      </c>
      <c r="CQ325" s="110"/>
      <c r="CR325" s="46">
        <v>1</v>
      </c>
      <c r="CS325" s="103">
        <v>14.285714285714285</v>
      </c>
      <c r="CT325" s="103">
        <v>23.809523809523807</v>
      </c>
      <c r="CU325" s="103">
        <v>23.809523809523807</v>
      </c>
      <c r="CV325" s="103">
        <v>14.285714285714285</v>
      </c>
      <c r="CW325" s="103">
        <v>9.5238095238095237</v>
      </c>
      <c r="CX325" s="103">
        <v>4.7619047619047619</v>
      </c>
      <c r="CY325" s="103">
        <v>4.7619047619047619</v>
      </c>
      <c r="CZ325" s="103">
        <v>4.7619047619047619</v>
      </c>
      <c r="DA325" s="103">
        <v>0</v>
      </c>
      <c r="DB325" s="103">
        <v>0</v>
      </c>
      <c r="DC325" s="42"/>
      <c r="DD325" s="110"/>
      <c r="DE325" s="46">
        <v>1</v>
      </c>
      <c r="DF325" s="103">
        <v>18.181818181818183</v>
      </c>
      <c r="DG325" s="103">
        <v>27.27272727272727</v>
      </c>
      <c r="DH325" s="103">
        <v>36.363636363636367</v>
      </c>
      <c r="DI325" s="103">
        <v>9.0909090909090917</v>
      </c>
      <c r="DJ325" s="103">
        <v>0</v>
      </c>
      <c r="DK325" s="103">
        <v>0</v>
      </c>
      <c r="DL325" s="103">
        <v>0</v>
      </c>
      <c r="DM325" s="103">
        <v>0</v>
      </c>
      <c r="DN325" s="103">
        <v>0</v>
      </c>
      <c r="DO325" s="103">
        <v>9.0909090909090917</v>
      </c>
    </row>
    <row r="326" spans="2:119" ht="16.25" customHeight="1" x14ac:dyDescent="0.45">
      <c r="B326" s="99"/>
      <c r="C326" s="42"/>
      <c r="D326" s="110"/>
      <c r="E326" s="47" t="s">
        <v>2</v>
      </c>
      <c r="F326" s="103">
        <v>7.4257425742574252</v>
      </c>
      <c r="G326" s="103">
        <v>24.07178217821782</v>
      </c>
      <c r="H326" s="103">
        <v>34.220297029702976</v>
      </c>
      <c r="I326" s="103">
        <v>23.329207920792079</v>
      </c>
      <c r="J326" s="103">
        <v>5.7549504950495054</v>
      </c>
      <c r="K326" s="103">
        <v>3.5891089108910887</v>
      </c>
      <c r="L326" s="103">
        <v>1.051980198019802</v>
      </c>
      <c r="M326" s="103">
        <v>0.43316831683168322</v>
      </c>
      <c r="N326" s="103">
        <v>6.1881188118811881E-2</v>
      </c>
      <c r="O326" s="103">
        <v>6.1881188118811881E-2</v>
      </c>
      <c r="P326" s="42"/>
      <c r="Q326" s="110"/>
      <c r="R326" s="46" t="s">
        <v>2</v>
      </c>
      <c r="S326" s="103">
        <v>6.25</v>
      </c>
      <c r="T326" s="103">
        <v>18.055555555555554</v>
      </c>
      <c r="U326" s="103">
        <v>34.953703703703702</v>
      </c>
      <c r="V326" s="103">
        <v>25.231481481481481</v>
      </c>
      <c r="W326" s="103">
        <v>7.8703703703703702</v>
      </c>
      <c r="X326" s="103">
        <v>4.8611111111111116</v>
      </c>
      <c r="Y326" s="103">
        <v>2.3148148148148149</v>
      </c>
      <c r="Z326" s="103">
        <v>0.23148148148148145</v>
      </c>
      <c r="AA326" s="103">
        <v>0</v>
      </c>
      <c r="AB326" s="103">
        <v>0.23148148148148145</v>
      </c>
      <c r="AC326" s="42"/>
      <c r="AD326" s="110"/>
      <c r="AE326" s="46" t="s">
        <v>2</v>
      </c>
      <c r="AF326" s="103">
        <v>7.8547297297297298</v>
      </c>
      <c r="AG326" s="103">
        <v>26.266891891891891</v>
      </c>
      <c r="AH326" s="103">
        <v>33.952702702702702</v>
      </c>
      <c r="AI326" s="103">
        <v>22.635135135135133</v>
      </c>
      <c r="AJ326" s="103">
        <v>4.9831081081081079</v>
      </c>
      <c r="AK326" s="103">
        <v>3.125</v>
      </c>
      <c r="AL326" s="103">
        <v>0.59121621621621623</v>
      </c>
      <c r="AM326" s="103">
        <v>0.5067567567567568</v>
      </c>
      <c r="AN326" s="103">
        <v>8.4459459459459457E-2</v>
      </c>
      <c r="AO326" s="103">
        <v>0</v>
      </c>
      <c r="AP326" s="6"/>
      <c r="AQ326" s="110"/>
      <c r="AR326" s="46" t="s">
        <v>2</v>
      </c>
      <c r="AS326" s="103">
        <v>9.5988538681948423</v>
      </c>
      <c r="AT326" s="103">
        <v>28.223495702005728</v>
      </c>
      <c r="AU326" s="103">
        <v>34.097421203438394</v>
      </c>
      <c r="AV326" s="103">
        <v>19.914040114613179</v>
      </c>
      <c r="AW326" s="103">
        <v>5.444126074498568</v>
      </c>
      <c r="AX326" s="103">
        <v>1.8624641833810889</v>
      </c>
      <c r="AY326" s="103">
        <v>0.71633237822349571</v>
      </c>
      <c r="AZ326" s="103">
        <v>0.14326647564469913</v>
      </c>
      <c r="BA326" s="103">
        <v>0</v>
      </c>
      <c r="BB326" s="103">
        <v>0</v>
      </c>
      <c r="BC326" s="42"/>
      <c r="BD326" s="110"/>
      <c r="BE326" s="46" t="s">
        <v>2</v>
      </c>
      <c r="BF326" s="103">
        <v>5.7734204793028319</v>
      </c>
      <c r="BG326" s="103">
        <v>20.915032679738562</v>
      </c>
      <c r="BH326" s="103">
        <v>34.313725490196077</v>
      </c>
      <c r="BI326" s="103">
        <v>25.925925925925924</v>
      </c>
      <c r="BJ326" s="103">
        <v>5.9912854030501093</v>
      </c>
      <c r="BK326" s="103">
        <v>4.9019607843137258</v>
      </c>
      <c r="BL326" s="103">
        <v>1.3071895424836601</v>
      </c>
      <c r="BM326" s="103">
        <v>0.65359477124183007</v>
      </c>
      <c r="BN326" s="103">
        <v>0.10893246187363835</v>
      </c>
      <c r="BO326" s="103">
        <v>0.10893246187363835</v>
      </c>
      <c r="BQ326" s="110"/>
      <c r="BR326" s="46" t="s">
        <v>2</v>
      </c>
      <c r="BS326" s="103">
        <v>7.7464788732394361</v>
      </c>
      <c r="BT326" s="103">
        <v>25.528169014084508</v>
      </c>
      <c r="BU326" s="103">
        <v>36.091549295774648</v>
      </c>
      <c r="BV326" s="103">
        <v>22.711267605633804</v>
      </c>
      <c r="BW326" s="103">
        <v>5.28169014084507</v>
      </c>
      <c r="BX326" s="103">
        <v>1.8485915492957745</v>
      </c>
      <c r="BY326" s="103">
        <v>0.61619718309859151</v>
      </c>
      <c r="BZ326" s="103">
        <v>0.17605633802816903</v>
      </c>
      <c r="CA326" s="103">
        <v>0</v>
      </c>
      <c r="CB326" s="103">
        <v>0</v>
      </c>
      <c r="CC326" s="42"/>
      <c r="CD326" s="110"/>
      <c r="CE326" s="46" t="s">
        <v>2</v>
      </c>
      <c r="CF326" s="103">
        <v>6.666666666666667</v>
      </c>
      <c r="CG326" s="103">
        <v>20.625</v>
      </c>
      <c r="CH326" s="103">
        <v>29.791666666666668</v>
      </c>
      <c r="CI326" s="103">
        <v>24.791666666666668</v>
      </c>
      <c r="CJ326" s="103">
        <v>6.8750000000000009</v>
      </c>
      <c r="CK326" s="103">
        <v>7.7083333333333339</v>
      </c>
      <c r="CL326" s="103">
        <v>2.083333333333333</v>
      </c>
      <c r="CM326" s="103">
        <v>1.0416666666666665</v>
      </c>
      <c r="CN326" s="103">
        <v>0.20833333333333334</v>
      </c>
      <c r="CO326" s="103">
        <v>0.20833333333333334</v>
      </c>
      <c r="CQ326" s="110"/>
      <c r="CR326" s="46" t="s">
        <v>2</v>
      </c>
      <c r="CS326" s="103">
        <v>7.333333333333333</v>
      </c>
      <c r="CT326" s="103">
        <v>19.555555555555557</v>
      </c>
      <c r="CU326" s="103">
        <v>30.666666666666664</v>
      </c>
      <c r="CV326" s="103">
        <v>25.111111111111111</v>
      </c>
      <c r="CW326" s="103">
        <v>6</v>
      </c>
      <c r="CX326" s="103">
        <v>7.1111111111111107</v>
      </c>
      <c r="CY326" s="103">
        <v>2.8888888888888888</v>
      </c>
      <c r="CZ326" s="103">
        <v>0.88888888888888884</v>
      </c>
      <c r="DA326" s="103">
        <v>0.22222222222222221</v>
      </c>
      <c r="DB326" s="103">
        <v>0.22222222222222221</v>
      </c>
      <c r="DC326" s="42"/>
      <c r="DD326" s="110"/>
      <c r="DE326" s="46" t="s">
        <v>2</v>
      </c>
      <c r="DF326" s="103">
        <v>7.4614065180102909</v>
      </c>
      <c r="DG326" s="103">
        <v>25.8147512864494</v>
      </c>
      <c r="DH326" s="103">
        <v>35.591766723842191</v>
      </c>
      <c r="DI326" s="103">
        <v>22.641509433962266</v>
      </c>
      <c r="DJ326" s="103">
        <v>5.6603773584905666</v>
      </c>
      <c r="DK326" s="103">
        <v>2.2298456260720414</v>
      </c>
      <c r="DL326" s="103">
        <v>0.34305317324185247</v>
      </c>
      <c r="DM326" s="103">
        <v>0.25728987993138941</v>
      </c>
      <c r="DN326" s="103">
        <v>0</v>
      </c>
      <c r="DO326" s="103">
        <v>0</v>
      </c>
    </row>
    <row r="327" spans="2:119" ht="16.25" customHeight="1" x14ac:dyDescent="0.45">
      <c r="B327" s="99"/>
      <c r="C327" s="42"/>
      <c r="D327" s="110"/>
      <c r="E327" s="47" t="s">
        <v>3</v>
      </c>
      <c r="F327" s="103">
        <v>6.2074186222558669</v>
      </c>
      <c r="G327" s="103">
        <v>20.36336109008327</v>
      </c>
      <c r="H327" s="103">
        <v>29.598788796366389</v>
      </c>
      <c r="I327" s="103">
        <v>27.857683573050718</v>
      </c>
      <c r="J327" s="103">
        <v>9.6896290688872071</v>
      </c>
      <c r="K327" s="103">
        <v>4.3149129447388344</v>
      </c>
      <c r="L327" s="103">
        <v>1.2869038607115821</v>
      </c>
      <c r="M327" s="103">
        <v>0.37850113550340653</v>
      </c>
      <c r="N327" s="103">
        <v>0.30280090840272522</v>
      </c>
      <c r="O327" s="103">
        <v>0</v>
      </c>
      <c r="P327" s="42"/>
      <c r="Q327" s="110"/>
      <c r="R327" s="46" t="s">
        <v>3</v>
      </c>
      <c r="S327" s="103">
        <v>4.1420118343195274</v>
      </c>
      <c r="T327" s="103">
        <v>17.45562130177515</v>
      </c>
      <c r="U327" s="103">
        <v>31.65680473372781</v>
      </c>
      <c r="V327" s="103">
        <v>27.810650887573964</v>
      </c>
      <c r="W327" s="103">
        <v>10.946745562130179</v>
      </c>
      <c r="X327" s="103">
        <v>5.3254437869822491</v>
      </c>
      <c r="Y327" s="103">
        <v>2.0710059171597637</v>
      </c>
      <c r="Z327" s="103">
        <v>0.29585798816568049</v>
      </c>
      <c r="AA327" s="103">
        <v>0.29585798816568049</v>
      </c>
      <c r="AB327" s="103">
        <v>0</v>
      </c>
      <c r="AC327" s="42"/>
      <c r="AD327" s="110"/>
      <c r="AE327" s="46" t="s">
        <v>3</v>
      </c>
      <c r="AF327" s="103">
        <v>6.9175991861648018</v>
      </c>
      <c r="AG327" s="103">
        <v>21.363173957273652</v>
      </c>
      <c r="AH327" s="103">
        <v>28.891149542217704</v>
      </c>
      <c r="AI327" s="103">
        <v>27.87385554425229</v>
      </c>
      <c r="AJ327" s="103">
        <v>9.2573753814852484</v>
      </c>
      <c r="AK327" s="103">
        <v>3.967446592065107</v>
      </c>
      <c r="AL327" s="103">
        <v>1.0172939979654121</v>
      </c>
      <c r="AM327" s="103">
        <v>0.40691759918616477</v>
      </c>
      <c r="AN327" s="103">
        <v>0.3051881993896236</v>
      </c>
      <c r="AO327" s="103">
        <v>0</v>
      </c>
      <c r="AP327" s="6"/>
      <c r="AQ327" s="110"/>
      <c r="AR327" s="46" t="s">
        <v>3</v>
      </c>
      <c r="AS327" s="103">
        <v>8.317929759704251</v>
      </c>
      <c r="AT327" s="103">
        <v>23.105360443622921</v>
      </c>
      <c r="AU327" s="103">
        <v>31.977818853974121</v>
      </c>
      <c r="AV327" s="103">
        <v>23.290203327171906</v>
      </c>
      <c r="AW327" s="103">
        <v>8.317929759704251</v>
      </c>
      <c r="AX327" s="103">
        <v>3.8817005545286505</v>
      </c>
      <c r="AY327" s="103">
        <v>0.55452865064695012</v>
      </c>
      <c r="AZ327" s="103">
        <v>0.55452865064695012</v>
      </c>
      <c r="BA327" s="103">
        <v>0</v>
      </c>
      <c r="BB327" s="103">
        <v>0</v>
      </c>
      <c r="BC327" s="42"/>
      <c r="BD327" s="110"/>
      <c r="BE327" s="46" t="s">
        <v>3</v>
      </c>
      <c r="BF327" s="103">
        <v>4.7435897435897436</v>
      </c>
      <c r="BG327" s="103">
        <v>18.461538461538463</v>
      </c>
      <c r="BH327" s="103">
        <v>27.948717948717949</v>
      </c>
      <c r="BI327" s="103">
        <v>31.025641025641026</v>
      </c>
      <c r="BJ327" s="103">
        <v>10.641025641025641</v>
      </c>
      <c r="BK327" s="103">
        <v>4.6153846153846159</v>
      </c>
      <c r="BL327" s="103">
        <v>1.7948717948717947</v>
      </c>
      <c r="BM327" s="103">
        <v>0.25641025641025639</v>
      </c>
      <c r="BN327" s="103">
        <v>0.51282051282051277</v>
      </c>
      <c r="BO327" s="103">
        <v>0</v>
      </c>
      <c r="BQ327" s="110"/>
      <c r="BR327" s="46" t="s">
        <v>3</v>
      </c>
      <c r="BS327" s="103">
        <v>6.9190600522193213</v>
      </c>
      <c r="BT327" s="103">
        <v>20.626631853785902</v>
      </c>
      <c r="BU327" s="103">
        <v>30.678851174934724</v>
      </c>
      <c r="BV327" s="103">
        <v>27.545691906005221</v>
      </c>
      <c r="BW327" s="103">
        <v>9.1383812010443854</v>
      </c>
      <c r="BX327" s="103">
        <v>3.6553524804177546</v>
      </c>
      <c r="BY327" s="103">
        <v>0.91383812010443866</v>
      </c>
      <c r="BZ327" s="103">
        <v>0.26109660574412535</v>
      </c>
      <c r="CA327" s="103">
        <v>0.26109660574412535</v>
      </c>
      <c r="CB327" s="103">
        <v>0</v>
      </c>
      <c r="CC327" s="42"/>
      <c r="CD327" s="110"/>
      <c r="CE327" s="46" t="s">
        <v>3</v>
      </c>
      <c r="CF327" s="103">
        <v>5.2252252252252251</v>
      </c>
      <c r="CG327" s="103">
        <v>20</v>
      </c>
      <c r="CH327" s="103">
        <v>28.108108108108109</v>
      </c>
      <c r="CI327" s="103">
        <v>28.288288288288289</v>
      </c>
      <c r="CJ327" s="103">
        <v>10.45045045045045</v>
      </c>
      <c r="CK327" s="103">
        <v>5.2252252252252251</v>
      </c>
      <c r="CL327" s="103">
        <v>1.8018018018018018</v>
      </c>
      <c r="CM327" s="103">
        <v>0.54054054054054057</v>
      </c>
      <c r="CN327" s="103">
        <v>0.36036036036036034</v>
      </c>
      <c r="CO327" s="103">
        <v>0</v>
      </c>
      <c r="CQ327" s="110"/>
      <c r="CR327" s="46" t="s">
        <v>3</v>
      </c>
      <c r="CS327" s="103">
        <v>5.019305019305019</v>
      </c>
      <c r="CT327" s="103">
        <v>23.166023166023166</v>
      </c>
      <c r="CU327" s="103">
        <v>23.552123552123554</v>
      </c>
      <c r="CV327" s="103">
        <v>28.957528957528954</v>
      </c>
      <c r="CW327" s="103">
        <v>9.6525096525096519</v>
      </c>
      <c r="CX327" s="103">
        <v>5.7915057915057915</v>
      </c>
      <c r="CY327" s="103">
        <v>2.3166023166023164</v>
      </c>
      <c r="CZ327" s="103">
        <v>0.77220077220077221</v>
      </c>
      <c r="DA327" s="103">
        <v>0.77220077220077221</v>
      </c>
      <c r="DB327" s="103">
        <v>0</v>
      </c>
      <c r="DC327" s="42"/>
      <c r="DD327" s="110"/>
      <c r="DE327" s="46" t="s">
        <v>3</v>
      </c>
      <c r="DF327" s="103">
        <v>6.4971751412429377</v>
      </c>
      <c r="DG327" s="103">
        <v>19.679849340866291</v>
      </c>
      <c r="DH327" s="103">
        <v>31.073446327683619</v>
      </c>
      <c r="DI327" s="103">
        <v>27.589453860640301</v>
      </c>
      <c r="DJ327" s="103">
        <v>9.6986817325800381</v>
      </c>
      <c r="DK327" s="103">
        <v>3.9548022598870061</v>
      </c>
      <c r="DL327" s="103">
        <v>1.0357815442561207</v>
      </c>
      <c r="DM327" s="103">
        <v>0.2824858757062147</v>
      </c>
      <c r="DN327" s="103">
        <v>0.18832391713747645</v>
      </c>
      <c r="DO327" s="103">
        <v>0</v>
      </c>
    </row>
    <row r="328" spans="2:119" ht="16.25" customHeight="1" x14ac:dyDescent="0.45">
      <c r="B328" s="99"/>
      <c r="C328" s="42"/>
      <c r="D328" s="110"/>
      <c r="E328" s="47" t="s">
        <v>4</v>
      </c>
      <c r="F328" s="103">
        <v>4.6669907632474477</v>
      </c>
      <c r="G328" s="103">
        <v>16.285853184248904</v>
      </c>
      <c r="H328" s="103">
        <v>30.578512396694212</v>
      </c>
      <c r="I328" s="103">
        <v>28.974234321827907</v>
      </c>
      <c r="J328" s="103">
        <v>12.153621779290228</v>
      </c>
      <c r="K328" s="103">
        <v>5.1045211473018961</v>
      </c>
      <c r="L328" s="103">
        <v>1.6528925619834711</v>
      </c>
      <c r="M328" s="103">
        <v>0.48614487117160915</v>
      </c>
      <c r="N328" s="103">
        <v>4.8614487117160911E-2</v>
      </c>
      <c r="O328" s="103">
        <v>4.8614487117160911E-2</v>
      </c>
      <c r="P328" s="42"/>
      <c r="Q328" s="110"/>
      <c r="R328" s="46" t="s">
        <v>4</v>
      </c>
      <c r="S328" s="103">
        <v>3.0360531309297913</v>
      </c>
      <c r="T328" s="103">
        <v>9.1081593927893731</v>
      </c>
      <c r="U328" s="103">
        <v>28.273244781783681</v>
      </c>
      <c r="V328" s="103">
        <v>33.586337760910816</v>
      </c>
      <c r="W328" s="103">
        <v>14.231499051233396</v>
      </c>
      <c r="X328" s="103">
        <v>7.4003795066413662</v>
      </c>
      <c r="Y328" s="103">
        <v>3.225806451612903</v>
      </c>
      <c r="Z328" s="103">
        <v>1.1385199240986716</v>
      </c>
      <c r="AA328" s="103">
        <v>0</v>
      </c>
      <c r="AB328" s="103">
        <v>0</v>
      </c>
      <c r="AC328" s="42"/>
      <c r="AD328" s="110"/>
      <c r="AE328" s="46" t="s">
        <v>4</v>
      </c>
      <c r="AF328" s="103">
        <v>5.2287581699346406</v>
      </c>
      <c r="AG328" s="103">
        <v>18.758169934640524</v>
      </c>
      <c r="AH328" s="103">
        <v>31.372549019607842</v>
      </c>
      <c r="AI328" s="103">
        <v>27.385620915032682</v>
      </c>
      <c r="AJ328" s="103">
        <v>11.437908496732026</v>
      </c>
      <c r="AK328" s="103">
        <v>4.3137254901960782</v>
      </c>
      <c r="AL328" s="103">
        <v>1.1111111111111112</v>
      </c>
      <c r="AM328" s="103">
        <v>0.26143790849673199</v>
      </c>
      <c r="AN328" s="103">
        <v>6.5359477124182996E-2</v>
      </c>
      <c r="AO328" s="103">
        <v>6.5359477124182996E-2</v>
      </c>
      <c r="AP328" s="6"/>
      <c r="AQ328" s="110"/>
      <c r="AR328" s="46" t="s">
        <v>4</v>
      </c>
      <c r="AS328" s="103">
        <v>7.642487046632124</v>
      </c>
      <c r="AT328" s="103">
        <v>20.336787564766841</v>
      </c>
      <c r="AU328" s="103">
        <v>32.7720207253886</v>
      </c>
      <c r="AV328" s="103">
        <v>25</v>
      </c>
      <c r="AW328" s="103">
        <v>9.9740932642487046</v>
      </c>
      <c r="AX328" s="103">
        <v>2.7202072538860103</v>
      </c>
      <c r="AY328" s="103">
        <v>1.1658031088082901</v>
      </c>
      <c r="AZ328" s="103">
        <v>0.38860103626943004</v>
      </c>
      <c r="BA328" s="103">
        <v>0</v>
      </c>
      <c r="BB328" s="103">
        <v>0</v>
      </c>
      <c r="BC328" s="42"/>
      <c r="BD328" s="110"/>
      <c r="BE328" s="46" t="s">
        <v>4</v>
      </c>
      <c r="BF328" s="103">
        <v>2.8793774319066148</v>
      </c>
      <c r="BG328" s="103">
        <v>13.852140077821012</v>
      </c>
      <c r="BH328" s="103">
        <v>29.260700389105061</v>
      </c>
      <c r="BI328" s="103">
        <v>31.361867704280154</v>
      </c>
      <c r="BJ328" s="103">
        <v>13.463035019455253</v>
      </c>
      <c r="BK328" s="103">
        <v>6.5369649805447478</v>
      </c>
      <c r="BL328" s="103">
        <v>1.9455252918287937</v>
      </c>
      <c r="BM328" s="103">
        <v>0.54474708171206221</v>
      </c>
      <c r="BN328" s="103">
        <v>7.7821011673151752E-2</v>
      </c>
      <c r="BO328" s="103">
        <v>7.7821011673151752E-2</v>
      </c>
      <c r="BQ328" s="110"/>
      <c r="BR328" s="46" t="s">
        <v>4</v>
      </c>
      <c r="BS328" s="103">
        <v>4.2752867570385824</v>
      </c>
      <c r="BT328" s="103">
        <v>17.205422314911367</v>
      </c>
      <c r="BU328" s="103">
        <v>31.803962460896766</v>
      </c>
      <c r="BV328" s="103">
        <v>28.154327424400417</v>
      </c>
      <c r="BW328" s="103">
        <v>11.887382690302397</v>
      </c>
      <c r="BX328" s="103">
        <v>4.6923879040667362</v>
      </c>
      <c r="BY328" s="103">
        <v>1.5641293013555788</v>
      </c>
      <c r="BZ328" s="103">
        <v>0.31282586027111575</v>
      </c>
      <c r="CA328" s="103">
        <v>0</v>
      </c>
      <c r="CB328" s="103">
        <v>0.10427528675703858</v>
      </c>
      <c r="CC328" s="42"/>
      <c r="CD328" s="110"/>
      <c r="CE328" s="46" t="s">
        <v>4</v>
      </c>
      <c r="CF328" s="103">
        <v>5.0091074681238617</v>
      </c>
      <c r="CG328" s="103">
        <v>15.482695810564662</v>
      </c>
      <c r="CH328" s="103">
        <v>29.508196721311474</v>
      </c>
      <c r="CI328" s="103">
        <v>29.690346083788704</v>
      </c>
      <c r="CJ328" s="103">
        <v>12.386156648451731</v>
      </c>
      <c r="CK328" s="103">
        <v>5.4644808743169397</v>
      </c>
      <c r="CL328" s="103">
        <v>1.7304189435336976</v>
      </c>
      <c r="CM328" s="103">
        <v>0.63752276867030966</v>
      </c>
      <c r="CN328" s="103">
        <v>9.107468123861566E-2</v>
      </c>
      <c r="CO328" s="103">
        <v>0</v>
      </c>
      <c r="CQ328" s="110"/>
      <c r="CR328" s="46" t="s">
        <v>4</v>
      </c>
      <c r="CS328" s="103">
        <v>3.5623409669211195</v>
      </c>
      <c r="CT328" s="103">
        <v>15.012722646310433</v>
      </c>
      <c r="CU328" s="103">
        <v>25.445292620865139</v>
      </c>
      <c r="CV328" s="103">
        <v>32.315521628498729</v>
      </c>
      <c r="CW328" s="103">
        <v>13.486005089058525</v>
      </c>
      <c r="CX328" s="103">
        <v>6.1068702290076331</v>
      </c>
      <c r="CY328" s="103">
        <v>3.0534351145038165</v>
      </c>
      <c r="CZ328" s="103">
        <v>1.0178117048346056</v>
      </c>
      <c r="DA328" s="103">
        <v>0</v>
      </c>
      <c r="DB328" s="103">
        <v>0</v>
      </c>
      <c r="DC328" s="42"/>
      <c r="DD328" s="110"/>
      <c r="DE328" s="46" t="s">
        <v>4</v>
      </c>
      <c r="DF328" s="103">
        <v>4.927884615384615</v>
      </c>
      <c r="DG328" s="103">
        <v>16.58653846153846</v>
      </c>
      <c r="DH328" s="103">
        <v>31.790865384615387</v>
      </c>
      <c r="DI328" s="103">
        <v>28.185096153846157</v>
      </c>
      <c r="DJ328" s="103">
        <v>11.838942307692307</v>
      </c>
      <c r="DK328" s="103">
        <v>4.8677884615384617</v>
      </c>
      <c r="DL328" s="103">
        <v>1.3221153846153846</v>
      </c>
      <c r="DM328" s="103">
        <v>0.36057692307692307</v>
      </c>
      <c r="DN328" s="103">
        <v>6.0096153846153848E-2</v>
      </c>
      <c r="DO328" s="103">
        <v>6.0096153846153848E-2</v>
      </c>
    </row>
    <row r="329" spans="2:119" ht="16.25" customHeight="1" x14ac:dyDescent="0.45">
      <c r="B329" s="99"/>
      <c r="C329" s="42"/>
      <c r="D329" s="110"/>
      <c r="E329" s="47" t="s">
        <v>5</v>
      </c>
      <c r="F329" s="103">
        <v>4.3199065966141275</v>
      </c>
      <c r="G329" s="103">
        <v>13.922942206654993</v>
      </c>
      <c r="H329" s="103">
        <v>25.218914185639228</v>
      </c>
      <c r="I329" s="103">
        <v>31.319322825452424</v>
      </c>
      <c r="J329" s="103">
        <v>13.543490951546994</v>
      </c>
      <c r="K329" s="103">
        <v>7.9684763572679511</v>
      </c>
      <c r="L329" s="103">
        <v>2.6269702276707529</v>
      </c>
      <c r="M329" s="103">
        <v>0.9048453006421483</v>
      </c>
      <c r="N329" s="103">
        <v>0.11675423234092236</v>
      </c>
      <c r="O329" s="103">
        <v>5.837711617046118E-2</v>
      </c>
      <c r="P329" s="42"/>
      <c r="Q329" s="110"/>
      <c r="R329" s="46" t="s">
        <v>5</v>
      </c>
      <c r="S329" s="103">
        <v>1.7738359201773837</v>
      </c>
      <c r="T329" s="103">
        <v>9.0909090909090917</v>
      </c>
      <c r="U329" s="103">
        <v>22.838137472283815</v>
      </c>
      <c r="V329" s="103">
        <v>33.148558758314856</v>
      </c>
      <c r="W329" s="103">
        <v>15.742793791574281</v>
      </c>
      <c r="X329" s="103">
        <v>11.529933481152993</v>
      </c>
      <c r="Y329" s="103">
        <v>4.3237250554323721</v>
      </c>
      <c r="Z329" s="103">
        <v>1.4412416851441241</v>
      </c>
      <c r="AA329" s="103">
        <v>0.11086474501108648</v>
      </c>
      <c r="AB329" s="103">
        <v>0</v>
      </c>
      <c r="AC329" s="42"/>
      <c r="AD329" s="110"/>
      <c r="AE329" s="46" t="s">
        <v>5</v>
      </c>
      <c r="AF329" s="103">
        <v>5.2297939778129949</v>
      </c>
      <c r="AG329" s="103">
        <v>15.649762282091917</v>
      </c>
      <c r="AH329" s="103">
        <v>26.069730586370838</v>
      </c>
      <c r="AI329" s="103">
        <v>30.665610142630744</v>
      </c>
      <c r="AJ329" s="103">
        <v>12.757527733755945</v>
      </c>
      <c r="AK329" s="103">
        <v>6.6957210776545164</v>
      </c>
      <c r="AL329" s="103">
        <v>2.0206022187004757</v>
      </c>
      <c r="AM329" s="103">
        <v>0.71315372424722667</v>
      </c>
      <c r="AN329" s="103">
        <v>0.11885895404120445</v>
      </c>
      <c r="AO329" s="103">
        <v>7.9239302694136288E-2</v>
      </c>
      <c r="AP329" s="6"/>
      <c r="AQ329" s="110"/>
      <c r="AR329" s="46" t="s">
        <v>5</v>
      </c>
      <c r="AS329" s="103">
        <v>6.5687121866897149</v>
      </c>
      <c r="AT329" s="103">
        <v>19.446845289541919</v>
      </c>
      <c r="AU329" s="103">
        <v>28.522039757994815</v>
      </c>
      <c r="AV329" s="103">
        <v>28.08988764044944</v>
      </c>
      <c r="AW329" s="103">
        <v>9.9394987035436486</v>
      </c>
      <c r="AX329" s="103">
        <v>5.5315471045808122</v>
      </c>
      <c r="AY329" s="103">
        <v>1.3828867761452031</v>
      </c>
      <c r="AZ329" s="103">
        <v>0.43215211754537602</v>
      </c>
      <c r="BA329" s="103">
        <v>8.6430423509075191E-2</v>
      </c>
      <c r="BB329" s="103">
        <v>0</v>
      </c>
      <c r="BC329" s="42"/>
      <c r="BD329" s="110"/>
      <c r="BE329" s="46" t="s">
        <v>5</v>
      </c>
      <c r="BF329" s="103">
        <v>3.1732040546496254</v>
      </c>
      <c r="BG329" s="103">
        <v>11.10621419127369</v>
      </c>
      <c r="BH329" s="103">
        <v>23.534596738651388</v>
      </c>
      <c r="BI329" s="103">
        <v>32.966064345526661</v>
      </c>
      <c r="BJ329" s="103">
        <v>15.381225209343324</v>
      </c>
      <c r="BK329" s="103">
        <v>9.2111062141912736</v>
      </c>
      <c r="BL329" s="103">
        <v>3.2613486117232262</v>
      </c>
      <c r="BM329" s="103">
        <v>1.1458792419568091</v>
      </c>
      <c r="BN329" s="103">
        <v>0.13221683561040104</v>
      </c>
      <c r="BO329" s="103">
        <v>8.8144557073600707E-2</v>
      </c>
      <c r="BQ329" s="110"/>
      <c r="BR329" s="46" t="s">
        <v>5</v>
      </c>
      <c r="BS329" s="103">
        <v>5.4514480408858601</v>
      </c>
      <c r="BT329" s="103">
        <v>13.373083475298126</v>
      </c>
      <c r="BU329" s="103">
        <v>28.364565587734241</v>
      </c>
      <c r="BV329" s="103">
        <v>28.875638841567291</v>
      </c>
      <c r="BW329" s="103">
        <v>13.032367972742758</v>
      </c>
      <c r="BX329" s="103">
        <v>8.3475298126064725</v>
      </c>
      <c r="BY329" s="103">
        <v>2.1294718909710393</v>
      </c>
      <c r="BZ329" s="103">
        <v>0.25553662691652468</v>
      </c>
      <c r="CA329" s="103">
        <v>8.5178875638841564E-2</v>
      </c>
      <c r="CB329" s="103">
        <v>8.5178875638841564E-2</v>
      </c>
      <c r="CC329" s="42"/>
      <c r="CD329" s="110"/>
      <c r="CE329" s="46" t="s">
        <v>5</v>
      </c>
      <c r="CF329" s="103">
        <v>3.7300177619893424</v>
      </c>
      <c r="CG329" s="103">
        <v>14.209591474245114</v>
      </c>
      <c r="CH329" s="103">
        <v>23.579040852575488</v>
      </c>
      <c r="CI329" s="103">
        <v>32.59325044404973</v>
      </c>
      <c r="CJ329" s="103">
        <v>13.80994671403197</v>
      </c>
      <c r="CK329" s="103">
        <v>7.7708703374777972</v>
      </c>
      <c r="CL329" s="103">
        <v>2.8863232682060391</v>
      </c>
      <c r="CM329" s="103">
        <v>1.2433392539964476</v>
      </c>
      <c r="CN329" s="103">
        <v>0.13321492007104796</v>
      </c>
      <c r="CO329" s="103">
        <v>4.4404973357015987E-2</v>
      </c>
      <c r="CQ329" s="110"/>
      <c r="CR329" s="46" t="s">
        <v>5</v>
      </c>
      <c r="CS329" s="103">
        <v>5.3380782918149468</v>
      </c>
      <c r="CT329" s="103">
        <v>11.209964412811388</v>
      </c>
      <c r="CU329" s="103">
        <v>23.309608540925268</v>
      </c>
      <c r="CV329" s="103">
        <v>28.113879003558718</v>
      </c>
      <c r="CW329" s="103">
        <v>16.72597864768683</v>
      </c>
      <c r="CX329" s="103">
        <v>10.676156583629894</v>
      </c>
      <c r="CY329" s="103">
        <v>2.6690391459074734</v>
      </c>
      <c r="CZ329" s="103">
        <v>1.4234875444839856</v>
      </c>
      <c r="DA329" s="103">
        <v>0.35587188612099641</v>
      </c>
      <c r="DB329" s="103">
        <v>0.1779359430604982</v>
      </c>
      <c r="DC329" s="42"/>
      <c r="DD329" s="110"/>
      <c r="DE329" s="46" t="s">
        <v>5</v>
      </c>
      <c r="DF329" s="103">
        <v>4.1201117318435756</v>
      </c>
      <c r="DG329" s="103">
        <v>14.455307262569834</v>
      </c>
      <c r="DH329" s="103">
        <v>25.593575418994412</v>
      </c>
      <c r="DI329" s="103">
        <v>31.94832402234637</v>
      </c>
      <c r="DJ329" s="103">
        <v>12.918994413407821</v>
      </c>
      <c r="DK329" s="103">
        <v>7.4371508379888258</v>
      </c>
      <c r="DL329" s="103">
        <v>2.6187150837988828</v>
      </c>
      <c r="DM329" s="103">
        <v>0.80307262569832405</v>
      </c>
      <c r="DN329" s="103">
        <v>6.9832402234636867E-2</v>
      </c>
      <c r="DO329" s="103">
        <v>3.4916201117318434E-2</v>
      </c>
    </row>
    <row r="330" spans="2:119" ht="16.25" customHeight="1" x14ac:dyDescent="0.45">
      <c r="B330" s="99"/>
      <c r="C330" s="42"/>
      <c r="D330" s="110"/>
      <c r="E330" s="47" t="s">
        <v>6</v>
      </c>
      <c r="F330" s="103">
        <v>2.6417704011065006</v>
      </c>
      <c r="G330" s="103">
        <v>10.995850622406639</v>
      </c>
      <c r="H330" s="103">
        <v>22.351313969571233</v>
      </c>
      <c r="I330" s="103">
        <v>29.446749654218536</v>
      </c>
      <c r="J330" s="103">
        <v>17.316735822959888</v>
      </c>
      <c r="K330" s="103">
        <v>10.442600276625173</v>
      </c>
      <c r="L330" s="103">
        <v>4.9239280774550487</v>
      </c>
      <c r="M330" s="103">
        <v>1.4522821576763485</v>
      </c>
      <c r="N330" s="103">
        <v>0.40110650069156289</v>
      </c>
      <c r="O330" s="103">
        <v>2.7662517289073305E-2</v>
      </c>
      <c r="P330" s="42"/>
      <c r="Q330" s="110"/>
      <c r="R330" s="46" t="s">
        <v>6</v>
      </c>
      <c r="S330" s="103">
        <v>1.2594458438287155</v>
      </c>
      <c r="T330" s="103">
        <v>6.9521410579345089</v>
      </c>
      <c r="U330" s="103">
        <v>17.48110831234257</v>
      </c>
      <c r="V330" s="103">
        <v>28.010075566750629</v>
      </c>
      <c r="W330" s="103">
        <v>20.100755667506299</v>
      </c>
      <c r="X330" s="103">
        <v>14.710327455919394</v>
      </c>
      <c r="Y330" s="103">
        <v>8.41309823677582</v>
      </c>
      <c r="Z330" s="103">
        <v>2.3677581863979849</v>
      </c>
      <c r="AA330" s="103">
        <v>0.65491183879093195</v>
      </c>
      <c r="AB330" s="103">
        <v>5.037783375314861E-2</v>
      </c>
      <c r="AC330" s="42"/>
      <c r="AD330" s="110"/>
      <c r="AE330" s="46" t="s">
        <v>6</v>
      </c>
      <c r="AF330" s="103">
        <v>3.1649189704480456</v>
      </c>
      <c r="AG330" s="103">
        <v>12.526215443279314</v>
      </c>
      <c r="AH330" s="103">
        <v>24.194470924690179</v>
      </c>
      <c r="AI330" s="103">
        <v>29.990467111534798</v>
      </c>
      <c r="AJ330" s="103">
        <v>16.263107721639656</v>
      </c>
      <c r="AK330" s="103">
        <v>8.8274547187797889</v>
      </c>
      <c r="AL330" s="103">
        <v>3.6034318398474734</v>
      </c>
      <c r="AM330" s="103">
        <v>1.105815061963775</v>
      </c>
      <c r="AN330" s="103">
        <v>0.30505243088655859</v>
      </c>
      <c r="AO330" s="103">
        <v>1.9065776930409912E-2</v>
      </c>
      <c r="AP330" s="6"/>
      <c r="AQ330" s="110"/>
      <c r="AR330" s="46" t="s">
        <v>6</v>
      </c>
      <c r="AS330" s="103">
        <v>3.943789664551224</v>
      </c>
      <c r="AT330" s="103">
        <v>16.636446056210335</v>
      </c>
      <c r="AU330" s="103">
        <v>26.019945602901178</v>
      </c>
      <c r="AV330" s="103">
        <v>29.329102447869449</v>
      </c>
      <c r="AW330" s="103">
        <v>13.825929283771533</v>
      </c>
      <c r="AX330" s="103">
        <v>6.7089755213055309</v>
      </c>
      <c r="AY330" s="103">
        <v>2.6745240253853129</v>
      </c>
      <c r="AZ330" s="103">
        <v>0.67996373526745235</v>
      </c>
      <c r="BA330" s="103">
        <v>0.18132366273798731</v>
      </c>
      <c r="BB330" s="103">
        <v>0</v>
      </c>
      <c r="BC330" s="42"/>
      <c r="BD330" s="110"/>
      <c r="BE330" s="46" t="s">
        <v>6</v>
      </c>
      <c r="BF330" s="103">
        <v>2.0700636942675157</v>
      </c>
      <c r="BG330" s="103">
        <v>8.5191082802547768</v>
      </c>
      <c r="BH330" s="103">
        <v>20.740445859872612</v>
      </c>
      <c r="BI330" s="103">
        <v>29.498407643312103</v>
      </c>
      <c r="BJ330" s="103">
        <v>18.84952229299363</v>
      </c>
      <c r="BK330" s="103">
        <v>12.08200636942675</v>
      </c>
      <c r="BL330" s="103">
        <v>5.9116242038216562</v>
      </c>
      <c r="BM330" s="103">
        <v>1.7914012738853502</v>
      </c>
      <c r="BN330" s="103">
        <v>0.49761146496815284</v>
      </c>
      <c r="BO330" s="103">
        <v>3.9808917197452234E-2</v>
      </c>
      <c r="BQ330" s="110"/>
      <c r="BR330" s="46" t="s">
        <v>6</v>
      </c>
      <c r="BS330" s="103">
        <v>3.2401524777636594</v>
      </c>
      <c r="BT330" s="103">
        <v>13.468869123252858</v>
      </c>
      <c r="BU330" s="103">
        <v>23.63405336721728</v>
      </c>
      <c r="BV330" s="103">
        <v>31.003811944091485</v>
      </c>
      <c r="BW330" s="103">
        <v>15.311308767471409</v>
      </c>
      <c r="BX330" s="103">
        <v>7.941550190597205</v>
      </c>
      <c r="BY330" s="103">
        <v>4.0025412960609916</v>
      </c>
      <c r="BZ330" s="103">
        <v>1.0165184243964422</v>
      </c>
      <c r="CA330" s="103">
        <v>0.38119440914866581</v>
      </c>
      <c r="CB330" s="103">
        <v>0</v>
      </c>
      <c r="CC330" s="42"/>
      <c r="CD330" s="110"/>
      <c r="CE330" s="46" t="s">
        <v>6</v>
      </c>
      <c r="CF330" s="103">
        <v>2.4752475247524752</v>
      </c>
      <c r="CG330" s="103">
        <v>10.307637906647809</v>
      </c>
      <c r="CH330" s="103">
        <v>21.994342291371993</v>
      </c>
      <c r="CI330" s="103">
        <v>29.013437057991514</v>
      </c>
      <c r="CJ330" s="103">
        <v>17.874823196605373</v>
      </c>
      <c r="CK330" s="103">
        <v>11.138613861386139</v>
      </c>
      <c r="CL330" s="103">
        <v>5.1803394625176802</v>
      </c>
      <c r="CM330" s="103">
        <v>1.5735502121640734</v>
      </c>
      <c r="CN330" s="103">
        <v>0.40664780763790664</v>
      </c>
      <c r="CO330" s="103">
        <v>3.536067892503536E-2</v>
      </c>
      <c r="CQ330" s="110"/>
      <c r="CR330" s="46" t="s">
        <v>6</v>
      </c>
      <c r="CS330" s="103">
        <v>2.1818181818181821</v>
      </c>
      <c r="CT330" s="103">
        <v>9.0909090909090917</v>
      </c>
      <c r="CU330" s="103">
        <v>19.818181818181817</v>
      </c>
      <c r="CV330" s="103">
        <v>28.545454545454547</v>
      </c>
      <c r="CW330" s="103">
        <v>19.545454545454547</v>
      </c>
      <c r="CX330" s="103">
        <v>12.909090909090908</v>
      </c>
      <c r="CY330" s="103">
        <v>5.2727272727272725</v>
      </c>
      <c r="CZ330" s="103">
        <v>1.9090909090909092</v>
      </c>
      <c r="DA330" s="103">
        <v>0.63636363636363635</v>
      </c>
      <c r="DB330" s="103">
        <v>9.0909090909090912E-2</v>
      </c>
      <c r="DC330" s="42"/>
      <c r="DD330" s="110"/>
      <c r="DE330" s="46" t="s">
        <v>6</v>
      </c>
      <c r="DF330" s="103">
        <v>2.7243066884176184</v>
      </c>
      <c r="DG330" s="103">
        <v>11.33768352365416</v>
      </c>
      <c r="DH330" s="103">
        <v>22.805872756933116</v>
      </c>
      <c r="DI330" s="103">
        <v>29.608482871125613</v>
      </c>
      <c r="DJ330" s="103">
        <v>16.916802610114193</v>
      </c>
      <c r="DK330" s="103">
        <v>10</v>
      </c>
      <c r="DL330" s="103">
        <v>4.8613376835236544</v>
      </c>
      <c r="DM330" s="103">
        <v>1.3703099510603589</v>
      </c>
      <c r="DN330" s="103">
        <v>0.35889070146818924</v>
      </c>
      <c r="DO330" s="103">
        <v>1.6313213703099509E-2</v>
      </c>
    </row>
    <row r="331" spans="2:119" ht="16.25" customHeight="1" x14ac:dyDescent="0.45">
      <c r="B331" s="99"/>
      <c r="C331" s="42"/>
      <c r="D331" s="110"/>
      <c r="E331" s="47" t="s">
        <v>7</v>
      </c>
      <c r="F331" s="103">
        <v>1.9310663178950607</v>
      </c>
      <c r="G331" s="103">
        <v>7.4396060932451142</v>
      </c>
      <c r="H331" s="103">
        <v>16.087090321587937</v>
      </c>
      <c r="I331" s="103">
        <v>27.188798276657948</v>
      </c>
      <c r="J331" s="103">
        <v>19.533774426834899</v>
      </c>
      <c r="K331" s="103">
        <v>15.386982612709648</v>
      </c>
      <c r="L331" s="103">
        <v>8.3705185413140484</v>
      </c>
      <c r="M331" s="103">
        <v>2.8773657485767044</v>
      </c>
      <c r="N331" s="103">
        <v>1.0232343437451916</v>
      </c>
      <c r="O331" s="103">
        <v>0.16156331743345129</v>
      </c>
      <c r="P331" s="42"/>
      <c r="Q331" s="110"/>
      <c r="R331" s="46" t="s">
        <v>7</v>
      </c>
      <c r="S331" s="103">
        <v>1.1287288363343186</v>
      </c>
      <c r="T331" s="103">
        <v>4.1386723998925019</v>
      </c>
      <c r="U331" s="103">
        <v>11.824778285407149</v>
      </c>
      <c r="V331" s="103">
        <v>22.35958075786079</v>
      </c>
      <c r="W331" s="103">
        <v>19.994625100779359</v>
      </c>
      <c r="X331" s="103">
        <v>20.908357968288094</v>
      </c>
      <c r="Y331" s="103">
        <v>12.523515184090298</v>
      </c>
      <c r="Z331" s="103">
        <v>4.944907282988444</v>
      </c>
      <c r="AA331" s="103">
        <v>2.0155872077398547</v>
      </c>
      <c r="AB331" s="103">
        <v>0.16124697661918838</v>
      </c>
      <c r="AC331" s="42"/>
      <c r="AD331" s="110"/>
      <c r="AE331" s="46" t="s">
        <v>7</v>
      </c>
      <c r="AF331" s="103">
        <v>2.2528834752613993</v>
      </c>
      <c r="AG331" s="103">
        <v>8.7636089252991276</v>
      </c>
      <c r="AH331" s="103">
        <v>17.796701519887893</v>
      </c>
      <c r="AI331" s="103">
        <v>29.125794976824405</v>
      </c>
      <c r="AJ331" s="103">
        <v>19.348927454996225</v>
      </c>
      <c r="AK331" s="103">
        <v>13.172361754877654</v>
      </c>
      <c r="AL331" s="103">
        <v>6.7047536919262702</v>
      </c>
      <c r="AM331" s="103">
        <v>2.0480758866012718</v>
      </c>
      <c r="AN331" s="103">
        <v>0.62520211275196724</v>
      </c>
      <c r="AO331" s="103">
        <v>0.16169020157378464</v>
      </c>
      <c r="AP331" s="6"/>
      <c r="AQ331" s="110"/>
      <c r="AR331" s="46" t="s">
        <v>7</v>
      </c>
      <c r="AS331" s="103">
        <v>3.3727298933410208</v>
      </c>
      <c r="AT331" s="103">
        <v>10.665897953300663</v>
      </c>
      <c r="AU331" s="103">
        <v>21.360622657826465</v>
      </c>
      <c r="AV331" s="103">
        <v>28.826751225136928</v>
      </c>
      <c r="AW331" s="103">
        <v>16.892476217930238</v>
      </c>
      <c r="AX331" s="103">
        <v>11.271259729028539</v>
      </c>
      <c r="AY331" s="103">
        <v>5.3906024791006057</v>
      </c>
      <c r="AZ331" s="103">
        <v>1.7007783222830788</v>
      </c>
      <c r="BA331" s="103">
        <v>0.43240126837705389</v>
      </c>
      <c r="BB331" s="103">
        <v>8.6480253675410776E-2</v>
      </c>
      <c r="BC331" s="42"/>
      <c r="BD331" s="110"/>
      <c r="BE331" s="46" t="s">
        <v>7</v>
      </c>
      <c r="BF331" s="103">
        <v>1.4062336026865359</v>
      </c>
      <c r="BG331" s="103">
        <v>6.2650855283870293</v>
      </c>
      <c r="BH331" s="103">
        <v>14.167278833035995</v>
      </c>
      <c r="BI331" s="103">
        <v>26.592507083639415</v>
      </c>
      <c r="BJ331" s="103">
        <v>20.495330045125407</v>
      </c>
      <c r="BK331" s="103">
        <v>16.885297512855495</v>
      </c>
      <c r="BL331" s="103">
        <v>9.4553468359743942</v>
      </c>
      <c r="BM331" s="103">
        <v>3.305698394375066</v>
      </c>
      <c r="BN331" s="103">
        <v>1.2383251128135166</v>
      </c>
      <c r="BO331" s="103">
        <v>0.18889705110714661</v>
      </c>
      <c r="BQ331" s="110"/>
      <c r="BR331" s="46" t="s">
        <v>7</v>
      </c>
      <c r="BS331" s="103">
        <v>2.8353326063249726</v>
      </c>
      <c r="BT331" s="103">
        <v>10.359869138495092</v>
      </c>
      <c r="BU331" s="103">
        <v>18.756815703380589</v>
      </c>
      <c r="BV331" s="103">
        <v>29.171210468920393</v>
      </c>
      <c r="BW331" s="103">
        <v>17.339149400218101</v>
      </c>
      <c r="BX331" s="103">
        <v>11.668484187568156</v>
      </c>
      <c r="BY331" s="103">
        <v>6.4340239912759003</v>
      </c>
      <c r="BZ331" s="103">
        <v>2.3991275899672848</v>
      </c>
      <c r="CA331" s="103">
        <v>0.81788440567066523</v>
      </c>
      <c r="CB331" s="103">
        <v>0.21810250817884408</v>
      </c>
      <c r="CC331" s="42"/>
      <c r="CD331" s="110"/>
      <c r="CE331" s="46" t="s">
        <v>7</v>
      </c>
      <c r="CF331" s="103">
        <v>1.7825152275170189</v>
      </c>
      <c r="CG331" s="103">
        <v>6.9598710139734861</v>
      </c>
      <c r="CH331" s="103">
        <v>15.648513077749909</v>
      </c>
      <c r="CI331" s="103">
        <v>26.863131494088137</v>
      </c>
      <c r="CJ331" s="103">
        <v>19.894303117162305</v>
      </c>
      <c r="CK331" s="103">
        <v>15.997850232891436</v>
      </c>
      <c r="CL331" s="103">
        <v>8.6886420637764239</v>
      </c>
      <c r="CM331" s="103">
        <v>2.9559297742744532</v>
      </c>
      <c r="CN331" s="103">
        <v>1.0569688283769259</v>
      </c>
      <c r="CO331" s="103">
        <v>0.15227517018989609</v>
      </c>
      <c r="CQ331" s="110"/>
      <c r="CR331" s="46" t="s">
        <v>7</v>
      </c>
      <c r="CS331" s="103">
        <v>1.5160022459292533</v>
      </c>
      <c r="CT331" s="103">
        <v>7.0185289163391351</v>
      </c>
      <c r="CU331" s="103">
        <v>14.542391914654687</v>
      </c>
      <c r="CV331" s="103">
        <v>24.705221785513757</v>
      </c>
      <c r="CW331" s="103">
        <v>20.325659741718134</v>
      </c>
      <c r="CX331" s="103">
        <v>17.237507018528916</v>
      </c>
      <c r="CY331" s="103">
        <v>10.050533408197641</v>
      </c>
      <c r="CZ331" s="103">
        <v>2.807411566535654</v>
      </c>
      <c r="DA331" s="103">
        <v>1.6844469399213924</v>
      </c>
      <c r="DB331" s="103">
        <v>0.11229646266142618</v>
      </c>
      <c r="DC331" s="42"/>
      <c r="DD331" s="110"/>
      <c r="DE331" s="46" t="s">
        <v>7</v>
      </c>
      <c r="DF331" s="103">
        <v>1.9969688865115451</v>
      </c>
      <c r="DG331" s="103">
        <v>7.5064634037621465</v>
      </c>
      <c r="DH331" s="103">
        <v>16.332352678969421</v>
      </c>
      <c r="DI331" s="103">
        <v>27.583132744940713</v>
      </c>
      <c r="DJ331" s="103">
        <v>19.408041365784079</v>
      </c>
      <c r="DK331" s="103">
        <v>15.093162164571632</v>
      </c>
      <c r="DL331" s="103">
        <v>8.1037710617812238</v>
      </c>
      <c r="DM331" s="103">
        <v>2.888472853704199</v>
      </c>
      <c r="DN331" s="103">
        <v>0.9182490862084336</v>
      </c>
      <c r="DO331" s="103">
        <v>0.16938575376660425</v>
      </c>
    </row>
    <row r="332" spans="2:119" ht="16.25" customHeight="1" x14ac:dyDescent="0.45">
      <c r="B332" s="99"/>
      <c r="C332" s="42"/>
      <c r="D332" s="110"/>
      <c r="E332" s="47" t="s">
        <v>8</v>
      </c>
      <c r="F332" s="103">
        <v>1.3281919451585262</v>
      </c>
      <c r="G332" s="103">
        <v>4.3701799485861184</v>
      </c>
      <c r="H332" s="103">
        <v>11.482433590402742</v>
      </c>
      <c r="I332" s="103">
        <v>21.293916023993145</v>
      </c>
      <c r="J332" s="103">
        <v>19.347533357816136</v>
      </c>
      <c r="K332" s="103">
        <v>19.035377647202839</v>
      </c>
      <c r="L332" s="103">
        <v>13.979679275309095</v>
      </c>
      <c r="M332" s="103">
        <v>6.2308728118496752</v>
      </c>
      <c r="N332" s="103">
        <v>2.4299179826172113</v>
      </c>
      <c r="O332" s="103">
        <v>0.50189741706451219</v>
      </c>
      <c r="P332" s="42"/>
      <c r="Q332" s="110"/>
      <c r="R332" s="46" t="s">
        <v>8</v>
      </c>
      <c r="S332" s="103">
        <v>0.59855521155830749</v>
      </c>
      <c r="T332" s="103">
        <v>1.8988648090815272</v>
      </c>
      <c r="U332" s="103">
        <v>6.29514963880289</v>
      </c>
      <c r="V332" s="103">
        <v>14.75748194014448</v>
      </c>
      <c r="W332" s="103">
        <v>17.791537667698659</v>
      </c>
      <c r="X332" s="103">
        <v>22.579979360165119</v>
      </c>
      <c r="Y332" s="103">
        <v>20.350877192982455</v>
      </c>
      <c r="Z332" s="103">
        <v>10.278637770897832</v>
      </c>
      <c r="AA332" s="103">
        <v>4.4788441692466456</v>
      </c>
      <c r="AB332" s="103">
        <v>0.97007223942208454</v>
      </c>
      <c r="AC332" s="42"/>
      <c r="AD332" s="110"/>
      <c r="AE332" s="46" t="s">
        <v>8</v>
      </c>
      <c r="AF332" s="103">
        <v>1.6357782998346819</v>
      </c>
      <c r="AG332" s="103">
        <v>5.4119899068998523</v>
      </c>
      <c r="AH332" s="103">
        <v>13.669189941703646</v>
      </c>
      <c r="AI332" s="103">
        <v>24.049421386931176</v>
      </c>
      <c r="AJ332" s="103">
        <v>20.003480379361349</v>
      </c>
      <c r="AK332" s="103">
        <v>17.541111981205951</v>
      </c>
      <c r="AL332" s="103">
        <v>11.293831027582007</v>
      </c>
      <c r="AM332" s="103">
        <v>4.5244931697555035</v>
      </c>
      <c r="AN332" s="103">
        <v>1.5661707126076743</v>
      </c>
      <c r="AO332" s="103">
        <v>0.30453319411815888</v>
      </c>
      <c r="AP332" s="6"/>
      <c r="AQ332" s="110"/>
      <c r="AR332" s="46" t="s">
        <v>8</v>
      </c>
      <c r="AS332" s="103">
        <v>2.9436038514442915</v>
      </c>
      <c r="AT332" s="103">
        <v>7.6203576341127928</v>
      </c>
      <c r="AU332" s="103">
        <v>16.478679504814306</v>
      </c>
      <c r="AV332" s="103">
        <v>24.814305364511689</v>
      </c>
      <c r="AW332" s="103">
        <v>19.119669876203577</v>
      </c>
      <c r="AX332" s="103">
        <v>15.488308115543328</v>
      </c>
      <c r="AY332" s="103">
        <v>8.6932599724896829</v>
      </c>
      <c r="AZ332" s="103">
        <v>3.4112792297111416</v>
      </c>
      <c r="BA332" s="103">
        <v>1.0729023383768914</v>
      </c>
      <c r="BB332" s="103">
        <v>0.35763411279229712</v>
      </c>
      <c r="BC332" s="42"/>
      <c r="BD332" s="110"/>
      <c r="BE332" s="46" t="s">
        <v>8</v>
      </c>
      <c r="BF332" s="103">
        <v>0.86593718019365506</v>
      </c>
      <c r="BG332" s="103">
        <v>3.4401322522238842</v>
      </c>
      <c r="BH332" s="103">
        <v>10.052743446429977</v>
      </c>
      <c r="BI332" s="103">
        <v>20.286546485082262</v>
      </c>
      <c r="BJ332" s="103">
        <v>19.41273714870503</v>
      </c>
      <c r="BK332" s="103">
        <v>20.050381799574904</v>
      </c>
      <c r="BL332" s="103">
        <v>15.492403369282847</v>
      </c>
      <c r="BM332" s="103">
        <v>7.0377076281193416</v>
      </c>
      <c r="BN332" s="103">
        <v>2.8182319137211684</v>
      </c>
      <c r="BO332" s="103">
        <v>0.54317877666692915</v>
      </c>
      <c r="BQ332" s="110"/>
      <c r="BR332" s="46" t="s">
        <v>8</v>
      </c>
      <c r="BS332" s="103">
        <v>2.350570852921424</v>
      </c>
      <c r="BT332" s="103">
        <v>6.8502350570852926</v>
      </c>
      <c r="BU332" s="103">
        <v>14.707857622565479</v>
      </c>
      <c r="BV332" s="103">
        <v>25.117528542646074</v>
      </c>
      <c r="BW332" s="103">
        <v>17.797179314976493</v>
      </c>
      <c r="BX332" s="103">
        <v>17.259905977165882</v>
      </c>
      <c r="BY332" s="103">
        <v>9.4694425789120213</v>
      </c>
      <c r="BZ332" s="103">
        <v>4.0295500335795831</v>
      </c>
      <c r="CA332" s="103">
        <v>2.0819341840161183</v>
      </c>
      <c r="CB332" s="103">
        <v>0.33579583613163194</v>
      </c>
      <c r="CC332" s="42"/>
      <c r="CD332" s="110"/>
      <c r="CE332" s="46" t="s">
        <v>8</v>
      </c>
      <c r="CF332" s="103">
        <v>1.2256717624082429</v>
      </c>
      <c r="CG332" s="103">
        <v>4.1214896626035422</v>
      </c>
      <c r="CH332" s="103">
        <v>11.159000606101422</v>
      </c>
      <c r="CI332" s="103">
        <v>20.910499023503267</v>
      </c>
      <c r="CJ332" s="103">
        <v>19.502996834803689</v>
      </c>
      <c r="CK332" s="103">
        <v>19.21341504478416</v>
      </c>
      <c r="CL332" s="103">
        <v>14.431948279345411</v>
      </c>
      <c r="CM332" s="103">
        <v>6.4516129032258061</v>
      </c>
      <c r="CN332" s="103">
        <v>2.4648124452825106</v>
      </c>
      <c r="CO332" s="103">
        <v>0.51855343794194897</v>
      </c>
      <c r="CQ332" s="110"/>
      <c r="CR332" s="46" t="s">
        <v>8</v>
      </c>
      <c r="CS332" s="103">
        <v>0.74664011946241915</v>
      </c>
      <c r="CT332" s="103">
        <v>3.683424589347934</v>
      </c>
      <c r="CU332" s="103">
        <v>9.5072175211548036</v>
      </c>
      <c r="CV332" s="103">
        <v>18.865107018417124</v>
      </c>
      <c r="CW332" s="103">
        <v>19.362867098058736</v>
      </c>
      <c r="CX332" s="103">
        <v>19.362867098058736</v>
      </c>
      <c r="CY332" s="103">
        <v>16.276754604280736</v>
      </c>
      <c r="CZ332" s="103">
        <v>8.8103534096565461</v>
      </c>
      <c r="DA332" s="103">
        <v>2.8870084619213539</v>
      </c>
      <c r="DB332" s="103">
        <v>0.49776007964161273</v>
      </c>
      <c r="DC332" s="42"/>
      <c r="DD332" s="110"/>
      <c r="DE332" s="46" t="s">
        <v>8</v>
      </c>
      <c r="DF332" s="103">
        <v>1.409728522576593</v>
      </c>
      <c r="DG332" s="103">
        <v>4.466466606183265</v>
      </c>
      <c r="DH332" s="103">
        <v>11.759369111591877</v>
      </c>
      <c r="DI332" s="103">
        <v>21.63444762370019</v>
      </c>
      <c r="DJ332" s="103">
        <v>19.345383488031263</v>
      </c>
      <c r="DK332" s="103">
        <v>18.989461930351037</v>
      </c>
      <c r="DL332" s="103">
        <v>13.657617419219765</v>
      </c>
      <c r="DM332" s="103">
        <v>5.8692162746876964</v>
      </c>
      <c r="DN332" s="103">
        <v>2.3658315304626978</v>
      </c>
      <c r="DO332" s="103">
        <v>0.5024774931956173</v>
      </c>
    </row>
    <row r="333" spans="2:119" ht="16.25" customHeight="1" x14ac:dyDescent="0.45">
      <c r="B333" s="99"/>
      <c r="C333" s="42"/>
      <c r="D333" s="110"/>
      <c r="E333" s="47" t="s">
        <v>9</v>
      </c>
      <c r="F333" s="103">
        <v>0.68200136400272804</v>
      </c>
      <c r="G333" s="103">
        <v>2.1824043648087299</v>
      </c>
      <c r="H333" s="103">
        <v>6.1504123008246019</v>
      </c>
      <c r="I333" s="103">
        <v>14.55762911525823</v>
      </c>
      <c r="J333" s="103">
        <v>16.268832537665077</v>
      </c>
      <c r="K333" s="103">
        <v>20.323640647281294</v>
      </c>
      <c r="L333" s="103">
        <v>19.660239320478638</v>
      </c>
      <c r="M333" s="103">
        <v>11.668423336846674</v>
      </c>
      <c r="N333" s="103">
        <v>6.4418128836257678</v>
      </c>
      <c r="O333" s="103">
        <v>2.0646041292082584</v>
      </c>
      <c r="P333" s="42"/>
      <c r="Q333" s="110"/>
      <c r="R333" s="46" t="s">
        <v>9</v>
      </c>
      <c r="S333" s="103">
        <v>0.26104417670682734</v>
      </c>
      <c r="T333" s="103">
        <v>0.9437751004016065</v>
      </c>
      <c r="U333" s="103">
        <v>2.7710843373493974</v>
      </c>
      <c r="V333" s="103">
        <v>8.1526104417670684</v>
      </c>
      <c r="W333" s="103">
        <v>11.947791164658634</v>
      </c>
      <c r="X333" s="103">
        <v>20.602409638554217</v>
      </c>
      <c r="Y333" s="103">
        <v>24.176706827309236</v>
      </c>
      <c r="Z333" s="103">
        <v>16.646586345381525</v>
      </c>
      <c r="AA333" s="103">
        <v>10.763052208835342</v>
      </c>
      <c r="AB333" s="103">
        <v>3.7349397590361448</v>
      </c>
      <c r="AC333" s="42"/>
      <c r="AD333" s="110"/>
      <c r="AE333" s="46" t="s">
        <v>9</v>
      </c>
      <c r="AF333" s="103">
        <v>0.87003318683289976</v>
      </c>
      <c r="AG333" s="103">
        <v>2.7356713606601488</v>
      </c>
      <c r="AH333" s="103">
        <v>7.6598798098484178</v>
      </c>
      <c r="AI333" s="103">
        <v>17.418602565252488</v>
      </c>
      <c r="AJ333" s="103">
        <v>18.198941609112925</v>
      </c>
      <c r="AK333" s="103">
        <v>20.199120997398872</v>
      </c>
      <c r="AL333" s="103">
        <v>17.64283792268365</v>
      </c>
      <c r="AM333" s="103">
        <v>9.4447932550004481</v>
      </c>
      <c r="AN333" s="103">
        <v>4.5116153915149333</v>
      </c>
      <c r="AO333" s="103">
        <v>1.3185039016952191</v>
      </c>
      <c r="AP333" s="6"/>
      <c r="AQ333" s="110"/>
      <c r="AR333" s="46" t="s">
        <v>9</v>
      </c>
      <c r="AS333" s="103">
        <v>1.634580457682528</v>
      </c>
      <c r="AT333" s="103">
        <v>4.3952052306574645</v>
      </c>
      <c r="AU333" s="103">
        <v>10.788231020704686</v>
      </c>
      <c r="AV333" s="103">
        <v>19.033781329458773</v>
      </c>
      <c r="AW333" s="103">
        <v>18.198329095532149</v>
      </c>
      <c r="AX333" s="103">
        <v>17.980385034507808</v>
      </c>
      <c r="AY333" s="103">
        <v>15.691972393752271</v>
      </c>
      <c r="AZ333" s="103">
        <v>7.628042135851798</v>
      </c>
      <c r="BA333" s="103">
        <v>3.814021067925899</v>
      </c>
      <c r="BB333" s="103">
        <v>0.83545223392662549</v>
      </c>
      <c r="BC333" s="42"/>
      <c r="BD333" s="110"/>
      <c r="BE333" s="46" t="s">
        <v>9</v>
      </c>
      <c r="BF333" s="103">
        <v>0.48594497607655507</v>
      </c>
      <c r="BG333" s="103">
        <v>1.7269736842105265</v>
      </c>
      <c r="BH333" s="103">
        <v>5.195873205741627</v>
      </c>
      <c r="BI333" s="103">
        <v>13.636363636363635</v>
      </c>
      <c r="BJ333" s="103">
        <v>15.871710526315788</v>
      </c>
      <c r="BK333" s="103">
        <v>20.805921052631579</v>
      </c>
      <c r="BL333" s="103">
        <v>20.476973684210524</v>
      </c>
      <c r="BM333" s="103">
        <v>12.5</v>
      </c>
      <c r="BN333" s="103">
        <v>6.9826555023923449</v>
      </c>
      <c r="BO333" s="103">
        <v>2.3175837320574164</v>
      </c>
      <c r="BQ333" s="110"/>
      <c r="BR333" s="46" t="s">
        <v>9</v>
      </c>
      <c r="BS333" s="103">
        <v>2.4390243902439024</v>
      </c>
      <c r="BT333" s="103">
        <v>4.4090056285178241</v>
      </c>
      <c r="BU333" s="103">
        <v>10.694183864915573</v>
      </c>
      <c r="BV333" s="103">
        <v>17.542213883677299</v>
      </c>
      <c r="BW333" s="103">
        <v>16.604127579737334</v>
      </c>
      <c r="BX333" s="103">
        <v>18.011257035647279</v>
      </c>
      <c r="BY333" s="103">
        <v>14.727954971857409</v>
      </c>
      <c r="BZ333" s="103">
        <v>9.7560975609756095</v>
      </c>
      <c r="CA333" s="103">
        <v>4.1275797373358349</v>
      </c>
      <c r="CB333" s="103">
        <v>1.6885553470919326</v>
      </c>
      <c r="CC333" s="42"/>
      <c r="CD333" s="110"/>
      <c r="CE333" s="46" t="s">
        <v>9</v>
      </c>
      <c r="CF333" s="103">
        <v>0.5576578370842461</v>
      </c>
      <c r="CG333" s="103">
        <v>2.0248290513177984</v>
      </c>
      <c r="CH333" s="103">
        <v>5.8288521542853351</v>
      </c>
      <c r="CI333" s="103">
        <v>14.346411737369714</v>
      </c>
      <c r="CJ333" s="103">
        <v>16.245103896966075</v>
      </c>
      <c r="CK333" s="103">
        <v>20.487286729071233</v>
      </c>
      <c r="CL333" s="103">
        <v>20.00929429728474</v>
      </c>
      <c r="CM333" s="103">
        <v>11.803757551616544</v>
      </c>
      <c r="CN333" s="103">
        <v>6.6055898559383914</v>
      </c>
      <c r="CO333" s="103">
        <v>2.0912168890659233</v>
      </c>
      <c r="CQ333" s="110"/>
      <c r="CR333" s="46" t="s">
        <v>9</v>
      </c>
      <c r="CS333" s="103">
        <v>0.44198895027624313</v>
      </c>
      <c r="CT333" s="103">
        <v>1.6574585635359116</v>
      </c>
      <c r="CU333" s="103">
        <v>6.0220994475138125</v>
      </c>
      <c r="CV333" s="103">
        <v>12.044198895027625</v>
      </c>
      <c r="CW333" s="103">
        <v>14.64088397790055</v>
      </c>
      <c r="CX333" s="103">
        <v>20.773480662983427</v>
      </c>
      <c r="CY333" s="103">
        <v>21.215469613259668</v>
      </c>
      <c r="CZ333" s="103">
        <v>12.265193370165745</v>
      </c>
      <c r="DA333" s="103">
        <v>8.8950276243093924</v>
      </c>
      <c r="DB333" s="103">
        <v>2.0441988950276246</v>
      </c>
      <c r="DC333" s="42"/>
      <c r="DD333" s="110"/>
      <c r="DE333" s="46" t="s">
        <v>9</v>
      </c>
      <c r="DF333" s="103">
        <v>0.71234024722396816</v>
      </c>
      <c r="DG333" s="103">
        <v>2.2487603882952718</v>
      </c>
      <c r="DH333" s="103">
        <v>6.1666317480270969</v>
      </c>
      <c r="DI333" s="103">
        <v>14.875340456735806</v>
      </c>
      <c r="DJ333" s="103">
        <v>16.474614149032753</v>
      </c>
      <c r="DK333" s="103">
        <v>20.266778406313289</v>
      </c>
      <c r="DL333" s="103">
        <v>19.463649696207835</v>
      </c>
      <c r="DM333" s="103">
        <v>11.592988337174384</v>
      </c>
      <c r="DN333" s="103">
        <v>6.1317131084572942</v>
      </c>
      <c r="DO333" s="103">
        <v>2.0671834625323</v>
      </c>
    </row>
    <row r="334" spans="2:119" ht="16.25" customHeight="1" x14ac:dyDescent="0.45">
      <c r="B334" s="99"/>
      <c r="C334" s="42"/>
      <c r="D334" s="110"/>
      <c r="E334" s="47" t="s">
        <v>10</v>
      </c>
      <c r="F334" s="103">
        <v>0.24435394298407997</v>
      </c>
      <c r="G334" s="103">
        <v>0.77748981858570898</v>
      </c>
      <c r="H334" s="103">
        <v>2.2213994816734544</v>
      </c>
      <c r="I334" s="103">
        <v>6.8715290633098851</v>
      </c>
      <c r="J334" s="103">
        <v>9.9370603480192532</v>
      </c>
      <c r="K334" s="103">
        <v>15.779340984820436</v>
      </c>
      <c r="L334" s="103">
        <v>21.851166234727877</v>
      </c>
      <c r="M334" s="103">
        <v>18.911514253980009</v>
      </c>
      <c r="N334" s="103">
        <v>15.305442428730101</v>
      </c>
      <c r="O334" s="103">
        <v>8.1007034431691967</v>
      </c>
      <c r="P334" s="42"/>
      <c r="Q334" s="110"/>
      <c r="R334" s="46" t="s">
        <v>10</v>
      </c>
      <c r="S334" s="103">
        <v>0.16021972991531241</v>
      </c>
      <c r="T334" s="103">
        <v>0.32043945983062483</v>
      </c>
      <c r="U334" s="103">
        <v>0.8468757152666514</v>
      </c>
      <c r="V334" s="103">
        <v>2.9526207370107573</v>
      </c>
      <c r="W334" s="103">
        <v>5.6076905470359355</v>
      </c>
      <c r="X334" s="103">
        <v>11.673151750972762</v>
      </c>
      <c r="Y334" s="103">
        <v>20.714122224765394</v>
      </c>
      <c r="Z334" s="103">
        <v>22.018768596932937</v>
      </c>
      <c r="AA334" s="103">
        <v>22.384985122453653</v>
      </c>
      <c r="AB334" s="103">
        <v>13.321126115815977</v>
      </c>
      <c r="AC334" s="42"/>
      <c r="AD334" s="110"/>
      <c r="AE334" s="46" t="s">
        <v>10</v>
      </c>
      <c r="AF334" s="103">
        <v>0.28458844133099825</v>
      </c>
      <c r="AG334" s="103">
        <v>0.99605954465849389</v>
      </c>
      <c r="AH334" s="103">
        <v>2.8787215411558669</v>
      </c>
      <c r="AI334" s="103">
        <v>8.7456217162872143</v>
      </c>
      <c r="AJ334" s="103">
        <v>12.007443082311733</v>
      </c>
      <c r="AK334" s="103">
        <v>17.742994746059544</v>
      </c>
      <c r="AL334" s="103">
        <v>22.394921190893168</v>
      </c>
      <c r="AM334" s="103">
        <v>17.425569176882664</v>
      </c>
      <c r="AN334" s="103">
        <v>11.919877408056042</v>
      </c>
      <c r="AO334" s="103">
        <v>5.6042031523642732</v>
      </c>
      <c r="AP334" s="6"/>
      <c r="AQ334" s="110"/>
      <c r="AR334" s="46" t="s">
        <v>10</v>
      </c>
      <c r="AS334" s="103">
        <v>0.68111455108359142</v>
      </c>
      <c r="AT334" s="103">
        <v>2.414860681114551</v>
      </c>
      <c r="AU334" s="103">
        <v>3.9628482972136228</v>
      </c>
      <c r="AV334" s="103">
        <v>11.455108359133128</v>
      </c>
      <c r="AW334" s="103">
        <v>15.356037151702786</v>
      </c>
      <c r="AX334" s="103">
        <v>18.699690402476779</v>
      </c>
      <c r="AY334" s="103">
        <v>21.733746130030958</v>
      </c>
      <c r="AZ334" s="103">
        <v>12.074303405572756</v>
      </c>
      <c r="BA334" s="103">
        <v>9.9071207430340564</v>
      </c>
      <c r="BB334" s="103">
        <v>3.7151702786377707</v>
      </c>
      <c r="BC334" s="42"/>
      <c r="BD334" s="110"/>
      <c r="BE334" s="46" t="s">
        <v>10</v>
      </c>
      <c r="BF334" s="103">
        <v>0.18502943650126155</v>
      </c>
      <c r="BG334" s="103">
        <v>0.55508830950378474</v>
      </c>
      <c r="BH334" s="103">
        <v>1.9848612279226241</v>
      </c>
      <c r="BI334" s="103">
        <v>6.2489486963835157</v>
      </c>
      <c r="BJ334" s="103">
        <v>9.2010092514718256</v>
      </c>
      <c r="BK334" s="103">
        <v>15.382674516400336</v>
      </c>
      <c r="BL334" s="103">
        <v>21.867115222876365</v>
      </c>
      <c r="BM334" s="103">
        <v>19.840201850294363</v>
      </c>
      <c r="BN334" s="103">
        <v>16.038687973086628</v>
      </c>
      <c r="BO334" s="103">
        <v>8.6963835155592939</v>
      </c>
      <c r="BQ334" s="110"/>
      <c r="BR334" s="46" t="s">
        <v>10</v>
      </c>
      <c r="BS334" s="103">
        <v>0.74487895716945995</v>
      </c>
      <c r="BT334" s="103">
        <v>2.0484171322160147</v>
      </c>
      <c r="BU334" s="103">
        <v>3.5381750465549344</v>
      </c>
      <c r="BV334" s="103">
        <v>10.986964618249534</v>
      </c>
      <c r="BW334" s="103">
        <v>14.338919925512103</v>
      </c>
      <c r="BX334" s="103">
        <v>15.828677839851025</v>
      </c>
      <c r="BY334" s="103">
        <v>22.718808193668529</v>
      </c>
      <c r="BZ334" s="103">
        <v>12.662942271880819</v>
      </c>
      <c r="CA334" s="103">
        <v>10.800744878957168</v>
      </c>
      <c r="CB334" s="103">
        <v>6.3314711359404097</v>
      </c>
      <c r="CC334" s="42"/>
      <c r="CD334" s="110"/>
      <c r="CE334" s="46" t="s">
        <v>10</v>
      </c>
      <c r="CF334" s="103">
        <v>0.22362739049969155</v>
      </c>
      <c r="CG334" s="103">
        <v>0.72486119679210359</v>
      </c>
      <c r="CH334" s="103">
        <v>2.1668723010487354</v>
      </c>
      <c r="CI334" s="103">
        <v>6.7011104256631704</v>
      </c>
      <c r="CJ334" s="103">
        <v>9.7547809993830974</v>
      </c>
      <c r="CK334" s="103">
        <v>15.777297964219617</v>
      </c>
      <c r="CL334" s="103">
        <v>21.815237507711288</v>
      </c>
      <c r="CM334" s="103">
        <v>19.170265268352868</v>
      </c>
      <c r="CN334" s="103">
        <v>15.491980259099321</v>
      </c>
      <c r="CO334" s="103">
        <v>8.1739666872301058</v>
      </c>
      <c r="CQ334" s="110"/>
      <c r="CR334" s="46" t="s">
        <v>10</v>
      </c>
      <c r="CS334" s="103">
        <v>0.18668326073428748</v>
      </c>
      <c r="CT334" s="103">
        <v>0.62227753578095835</v>
      </c>
      <c r="CU334" s="103">
        <v>1.6179215930304918</v>
      </c>
      <c r="CV334" s="103">
        <v>6.5339141257000621</v>
      </c>
      <c r="CW334" s="103">
        <v>8.7118855009334162</v>
      </c>
      <c r="CX334" s="103">
        <v>15.308027380211575</v>
      </c>
      <c r="CY334" s="103">
        <v>21.095208462974487</v>
      </c>
      <c r="CZ334" s="103">
        <v>20.784069695084007</v>
      </c>
      <c r="DA334" s="103">
        <v>16.116988176726821</v>
      </c>
      <c r="DB334" s="103">
        <v>9.023024268823896</v>
      </c>
      <c r="DC334" s="42"/>
      <c r="DD334" s="110"/>
      <c r="DE334" s="46" t="s">
        <v>10</v>
      </c>
      <c r="DF334" s="103">
        <v>0.25214321734745332</v>
      </c>
      <c r="DG334" s="103">
        <v>0.79845352160026883</v>
      </c>
      <c r="DH334" s="103">
        <v>2.3029080517734073</v>
      </c>
      <c r="DI334" s="103">
        <v>6.9171289292318043</v>
      </c>
      <c r="DJ334" s="103">
        <v>10.102538241721298</v>
      </c>
      <c r="DK334" s="103">
        <v>15.842998823331653</v>
      </c>
      <c r="DL334" s="103">
        <v>21.953269457051604</v>
      </c>
      <c r="DM334" s="103">
        <v>18.658598083711546</v>
      </c>
      <c r="DN334" s="103">
        <v>15.195831232139856</v>
      </c>
      <c r="DO334" s="103">
        <v>7.9761304420911072</v>
      </c>
    </row>
    <row r="335" spans="2:119" ht="16.25" customHeight="1" x14ac:dyDescent="0.45">
      <c r="B335" s="99"/>
      <c r="C335" s="42"/>
      <c r="D335" s="111"/>
      <c r="E335" s="47" t="s">
        <v>11</v>
      </c>
      <c r="F335" s="103">
        <v>6.3351282863477992E-2</v>
      </c>
      <c r="G335" s="103">
        <v>0.19005384859043395</v>
      </c>
      <c r="H335" s="103">
        <v>0.9185936015204309</v>
      </c>
      <c r="I335" s="103">
        <v>2.6290782388343361</v>
      </c>
      <c r="J335" s="103">
        <v>4.2762115932847644</v>
      </c>
      <c r="K335" s="103">
        <v>8.4890719037060496</v>
      </c>
      <c r="L335" s="103">
        <v>15.584415584415584</v>
      </c>
      <c r="M335" s="103">
        <v>20.17738359201774</v>
      </c>
      <c r="N335" s="103">
        <v>24.041811846689896</v>
      </c>
      <c r="O335" s="103">
        <v>23.630028508077288</v>
      </c>
      <c r="P335" s="42"/>
      <c r="Q335" s="111"/>
      <c r="R335" s="46" t="s">
        <v>11</v>
      </c>
      <c r="S335" s="103">
        <v>0</v>
      </c>
      <c r="T335" s="103">
        <v>8.6505190311418692E-2</v>
      </c>
      <c r="U335" s="103">
        <v>0.51903114186851207</v>
      </c>
      <c r="V335" s="103">
        <v>0.34602076124567477</v>
      </c>
      <c r="W335" s="103">
        <v>1.9031141868512111</v>
      </c>
      <c r="X335" s="103">
        <v>4.1522491349480966</v>
      </c>
      <c r="Y335" s="103">
        <v>12.54325259515571</v>
      </c>
      <c r="Z335" s="103">
        <v>19.031141868512112</v>
      </c>
      <c r="AA335" s="103">
        <v>27.162629757785467</v>
      </c>
      <c r="AB335" s="103">
        <v>34.256055363321799</v>
      </c>
      <c r="AC335" s="42"/>
      <c r="AD335" s="111"/>
      <c r="AE335" s="46" t="s">
        <v>11</v>
      </c>
      <c r="AF335" s="103">
        <v>9.9950024987506242E-2</v>
      </c>
      <c r="AG335" s="103">
        <v>0.24987506246876562</v>
      </c>
      <c r="AH335" s="103">
        <v>1.1494252873563218</v>
      </c>
      <c r="AI335" s="103">
        <v>3.9480259870064969</v>
      </c>
      <c r="AJ335" s="103">
        <v>5.6471764117941037</v>
      </c>
      <c r="AK335" s="103">
        <v>10.994502748625687</v>
      </c>
      <c r="AL335" s="103">
        <v>17.341329335332333</v>
      </c>
      <c r="AM335" s="103">
        <v>20.839580209895054</v>
      </c>
      <c r="AN335" s="103">
        <v>22.23888055972014</v>
      </c>
      <c r="AO335" s="103">
        <v>17.491254372813593</v>
      </c>
      <c r="AP335" s="6"/>
      <c r="AQ335" s="111"/>
      <c r="AR335" s="46" t="s">
        <v>11</v>
      </c>
      <c r="AS335" s="103">
        <v>0.48780487804878048</v>
      </c>
      <c r="AT335" s="103">
        <v>0.48780487804878048</v>
      </c>
      <c r="AU335" s="103">
        <v>2.9268292682926833</v>
      </c>
      <c r="AV335" s="103">
        <v>7.3170731707317067</v>
      </c>
      <c r="AW335" s="103">
        <v>9.7560975609756095</v>
      </c>
      <c r="AX335" s="103">
        <v>12.682926829268293</v>
      </c>
      <c r="AY335" s="103">
        <v>16.585365853658537</v>
      </c>
      <c r="AZ335" s="103">
        <v>14.146341463414632</v>
      </c>
      <c r="BA335" s="103">
        <v>19.512195121951219</v>
      </c>
      <c r="BB335" s="103">
        <v>16.097560975609756</v>
      </c>
      <c r="BC335" s="42"/>
      <c r="BD335" s="111"/>
      <c r="BE335" s="46" t="s">
        <v>11</v>
      </c>
      <c r="BF335" s="103">
        <v>3.3875338753387531E-2</v>
      </c>
      <c r="BG335" s="103">
        <v>0.16937669376693767</v>
      </c>
      <c r="BH335" s="103">
        <v>0.77913279132791324</v>
      </c>
      <c r="BI335" s="103">
        <v>2.3035230352303522</v>
      </c>
      <c r="BJ335" s="103">
        <v>3.8956639566395661</v>
      </c>
      <c r="BK335" s="103">
        <v>8.1978319783197833</v>
      </c>
      <c r="BL335" s="103">
        <v>15.514905149051492</v>
      </c>
      <c r="BM335" s="103">
        <v>20.596205962059621</v>
      </c>
      <c r="BN335" s="103">
        <v>24.356368563685638</v>
      </c>
      <c r="BO335" s="103">
        <v>24.15311653116531</v>
      </c>
      <c r="BQ335" s="111"/>
      <c r="BR335" s="46" t="s">
        <v>11</v>
      </c>
      <c r="BS335" s="103">
        <v>1.0101010101010102</v>
      </c>
      <c r="BT335" s="103">
        <v>0</v>
      </c>
      <c r="BU335" s="103">
        <v>1.0101010101010102</v>
      </c>
      <c r="BV335" s="103">
        <v>7.0707070707070701</v>
      </c>
      <c r="BW335" s="103">
        <v>7.0707070707070701</v>
      </c>
      <c r="BX335" s="103">
        <v>8.0808080808080813</v>
      </c>
      <c r="BY335" s="103">
        <v>17.171717171717169</v>
      </c>
      <c r="BZ335" s="103">
        <v>18.181818181818183</v>
      </c>
      <c r="CA335" s="103">
        <v>24.242424242424242</v>
      </c>
      <c r="CB335" s="103">
        <v>16.161616161616163</v>
      </c>
      <c r="CC335" s="42"/>
      <c r="CD335" s="111"/>
      <c r="CE335" s="46" t="s">
        <v>11</v>
      </c>
      <c r="CF335" s="103">
        <v>3.2701111837802485E-2</v>
      </c>
      <c r="CG335" s="103">
        <v>0.19620667102681491</v>
      </c>
      <c r="CH335" s="103">
        <v>0.91563113145846953</v>
      </c>
      <c r="CI335" s="103">
        <v>2.4852844996729888</v>
      </c>
      <c r="CJ335" s="103">
        <v>4.1857423152387181</v>
      </c>
      <c r="CK335" s="103">
        <v>8.502289077828646</v>
      </c>
      <c r="CL335" s="103">
        <v>15.53302812295618</v>
      </c>
      <c r="CM335" s="103">
        <v>20.241988227599737</v>
      </c>
      <c r="CN335" s="103">
        <v>24.035317200784824</v>
      </c>
      <c r="CO335" s="103">
        <v>23.871811641595812</v>
      </c>
      <c r="CQ335" s="111"/>
      <c r="CR335" s="46" t="s">
        <v>11</v>
      </c>
      <c r="CS335" s="103">
        <v>0</v>
      </c>
      <c r="CT335" s="103">
        <v>0</v>
      </c>
      <c r="CU335" s="103">
        <v>0.77120822622107965</v>
      </c>
      <c r="CV335" s="103">
        <v>1.2853470437017995</v>
      </c>
      <c r="CW335" s="103">
        <v>3.0848329048843186</v>
      </c>
      <c r="CX335" s="103">
        <v>8.2262210796915163</v>
      </c>
      <c r="CY335" s="103">
        <v>11.825192802056556</v>
      </c>
      <c r="CZ335" s="103">
        <v>18.251928020565554</v>
      </c>
      <c r="DA335" s="103">
        <v>29.305912596401029</v>
      </c>
      <c r="DB335" s="103">
        <v>27.249357326478147</v>
      </c>
      <c r="DC335" s="42"/>
      <c r="DD335" s="111"/>
      <c r="DE335" s="46" t="s">
        <v>11</v>
      </c>
      <c r="DF335" s="103">
        <v>7.2254335260115599E-2</v>
      </c>
      <c r="DG335" s="103">
        <v>0.2167630057803468</v>
      </c>
      <c r="DH335" s="103">
        <v>0.93930635838150289</v>
      </c>
      <c r="DI335" s="103">
        <v>2.8179190751445087</v>
      </c>
      <c r="DJ335" s="103">
        <v>4.4436416184971099</v>
      </c>
      <c r="DK335" s="103">
        <v>8.5260115606936413</v>
      </c>
      <c r="DL335" s="103">
        <v>16.112716763005778</v>
      </c>
      <c r="DM335" s="103">
        <v>20.447976878612717</v>
      </c>
      <c r="DN335" s="103">
        <v>23.302023121387283</v>
      </c>
      <c r="DO335" s="103">
        <v>23.121387283236995</v>
      </c>
    </row>
    <row r="336" spans="2:119" x14ac:dyDescent="0.45">
      <c r="B336" s="99"/>
      <c r="C336" s="42"/>
      <c r="D336" s="42"/>
      <c r="E336" s="42"/>
      <c r="F336" s="42"/>
      <c r="G336" s="42"/>
      <c r="H336" s="42"/>
      <c r="I336" s="42"/>
      <c r="J336" s="42"/>
      <c r="K336" s="42"/>
      <c r="L336" s="42"/>
      <c r="M336" s="42"/>
      <c r="N336" s="42"/>
      <c r="O336" s="42"/>
      <c r="P336" s="42"/>
      <c r="Q336" s="42"/>
      <c r="R336" s="42"/>
      <c r="S336" s="42"/>
      <c r="T336" s="42"/>
      <c r="U336" s="42"/>
      <c r="V336" s="42"/>
      <c r="W336" s="42"/>
      <c r="X336" s="42"/>
      <c r="Y336" s="42"/>
      <c r="Z336" s="42"/>
      <c r="AA336" s="42"/>
      <c r="AB336" s="42"/>
      <c r="AC336" s="42"/>
      <c r="AD336" s="42"/>
      <c r="AE336" s="42"/>
      <c r="AF336" s="42"/>
      <c r="AG336" s="42"/>
      <c r="AH336" s="42"/>
      <c r="AI336" s="42"/>
      <c r="AJ336" s="42"/>
      <c r="AK336" s="42"/>
      <c r="AL336" s="42"/>
      <c r="AM336" s="42"/>
      <c r="AN336" s="42"/>
      <c r="AO336" s="42"/>
      <c r="AQ336" s="42"/>
      <c r="AR336" s="42"/>
      <c r="AS336" s="42"/>
      <c r="AT336" s="42"/>
      <c r="AU336" s="42"/>
      <c r="AV336" s="42"/>
      <c r="AW336" s="42"/>
      <c r="AX336" s="42"/>
      <c r="AY336" s="42"/>
      <c r="AZ336" s="42"/>
      <c r="BA336" s="42"/>
      <c r="BB336" s="42"/>
      <c r="BC336" s="42"/>
      <c r="BD336" s="42"/>
      <c r="BE336" s="42"/>
      <c r="BF336" s="42"/>
      <c r="BG336" s="42"/>
      <c r="BH336" s="42"/>
      <c r="BI336" s="42"/>
      <c r="BJ336" s="42"/>
      <c r="BK336" s="42"/>
      <c r="BL336" s="42"/>
      <c r="BM336" s="42"/>
      <c r="BN336" s="42"/>
      <c r="BO336" s="42"/>
      <c r="BQ336" s="42"/>
      <c r="BR336" s="42"/>
      <c r="BS336" s="42"/>
      <c r="BT336" s="42"/>
      <c r="BU336" s="42"/>
      <c r="BV336" s="42"/>
      <c r="BW336" s="42"/>
      <c r="BX336" s="42"/>
      <c r="BY336" s="42"/>
      <c r="BZ336" s="42"/>
      <c r="CA336" s="42"/>
      <c r="CB336" s="42"/>
      <c r="CC336" s="42"/>
      <c r="CD336" s="42"/>
      <c r="CE336" s="42"/>
      <c r="CF336" s="42"/>
      <c r="CG336" s="42"/>
      <c r="CH336" s="42"/>
      <c r="CI336" s="42"/>
      <c r="CJ336" s="42"/>
      <c r="CK336" s="42"/>
      <c r="CL336" s="42"/>
      <c r="CM336" s="42"/>
      <c r="CN336" s="42"/>
      <c r="CO336" s="42"/>
      <c r="CQ336" s="42"/>
      <c r="CR336" s="42"/>
      <c r="CS336" s="42"/>
      <c r="CT336" s="42"/>
      <c r="CU336" s="42"/>
      <c r="CV336" s="42"/>
      <c r="CW336" s="42"/>
      <c r="CX336" s="42"/>
      <c r="CY336" s="42"/>
      <c r="CZ336" s="42"/>
      <c r="DA336" s="42"/>
      <c r="DB336" s="42"/>
      <c r="DC336" s="42"/>
      <c r="DD336" s="42"/>
      <c r="DE336" s="42"/>
      <c r="DF336" s="42"/>
      <c r="DG336" s="42"/>
      <c r="DH336" s="42"/>
      <c r="DI336" s="42"/>
      <c r="DJ336" s="42"/>
      <c r="DK336" s="42"/>
      <c r="DL336" s="42"/>
      <c r="DM336" s="42"/>
      <c r="DN336" s="42"/>
      <c r="DO336" s="42"/>
    </row>
    <row r="337" spans="2:119" x14ac:dyDescent="0.45">
      <c r="B337" s="99"/>
      <c r="C337" s="42"/>
      <c r="D337" s="42"/>
      <c r="E337" s="42"/>
      <c r="F337" s="42"/>
      <c r="G337" s="42"/>
      <c r="H337" s="42"/>
      <c r="I337" s="42"/>
      <c r="J337" s="42"/>
      <c r="K337" s="42"/>
      <c r="L337" s="42"/>
      <c r="M337" s="42"/>
      <c r="N337" s="42"/>
      <c r="O337" s="42"/>
      <c r="P337" s="42"/>
      <c r="Q337" s="42"/>
      <c r="R337" s="42"/>
      <c r="S337" s="42"/>
      <c r="T337" s="42"/>
      <c r="U337" s="42"/>
      <c r="V337" s="42"/>
      <c r="W337" s="42"/>
      <c r="X337" s="42"/>
      <c r="Y337" s="42"/>
      <c r="Z337" s="42"/>
      <c r="AA337" s="42"/>
      <c r="AB337" s="42"/>
      <c r="AC337" s="42"/>
      <c r="AD337" s="42"/>
      <c r="AE337" s="42"/>
      <c r="AF337" s="42"/>
      <c r="AG337" s="42"/>
      <c r="AH337" s="42"/>
      <c r="AI337" s="42"/>
      <c r="AJ337" s="42"/>
      <c r="AK337" s="42"/>
      <c r="AL337" s="42"/>
      <c r="AM337" s="42"/>
      <c r="AN337" s="42"/>
      <c r="AO337" s="42"/>
      <c r="AQ337" s="42"/>
      <c r="AR337" s="42"/>
      <c r="AS337" s="42"/>
      <c r="AT337" s="42"/>
      <c r="AU337" s="42"/>
      <c r="AV337" s="42"/>
      <c r="AW337" s="42"/>
      <c r="AX337" s="42"/>
      <c r="AY337" s="42"/>
      <c r="AZ337" s="42"/>
      <c r="BA337" s="42"/>
      <c r="BB337" s="42"/>
      <c r="BC337" s="42"/>
      <c r="BD337" s="42"/>
      <c r="BE337" s="42"/>
      <c r="BF337" s="42"/>
      <c r="BG337" s="42"/>
      <c r="BH337" s="42"/>
      <c r="BI337" s="42"/>
      <c r="BJ337" s="42"/>
      <c r="BK337" s="42"/>
      <c r="BL337" s="42"/>
      <c r="BM337" s="42"/>
      <c r="BN337" s="42"/>
      <c r="BO337" s="42"/>
      <c r="BQ337" s="42"/>
      <c r="BR337" s="42"/>
      <c r="BS337" s="42"/>
      <c r="BT337" s="42"/>
      <c r="BU337" s="42"/>
      <c r="BV337" s="42"/>
      <c r="BW337" s="42"/>
      <c r="BX337" s="42"/>
      <c r="BY337" s="42"/>
      <c r="BZ337" s="42"/>
      <c r="CA337" s="42"/>
      <c r="CB337" s="42"/>
      <c r="CC337" s="42"/>
      <c r="CD337" s="42"/>
      <c r="CE337" s="42"/>
      <c r="CF337" s="42"/>
      <c r="CG337" s="42"/>
      <c r="CH337" s="42"/>
      <c r="CI337" s="42"/>
      <c r="CJ337" s="42"/>
      <c r="CK337" s="42"/>
      <c r="CL337" s="42"/>
      <c r="CM337" s="42"/>
      <c r="CN337" s="42"/>
      <c r="CO337" s="42"/>
      <c r="CQ337" s="42"/>
      <c r="CR337" s="42"/>
      <c r="CS337" s="42"/>
      <c r="CT337" s="42"/>
      <c r="CU337" s="42"/>
      <c r="CV337" s="42"/>
      <c r="CW337" s="42"/>
      <c r="CX337" s="42"/>
      <c r="CY337" s="42"/>
      <c r="CZ337" s="42"/>
      <c r="DA337" s="42"/>
      <c r="DB337" s="42"/>
      <c r="DC337" s="42"/>
      <c r="DD337" s="42"/>
      <c r="DE337" s="42"/>
      <c r="DF337" s="42"/>
      <c r="DG337" s="42"/>
      <c r="DH337" s="42"/>
      <c r="DI337" s="42"/>
      <c r="DJ337" s="42"/>
      <c r="DK337" s="42"/>
      <c r="DL337" s="42"/>
      <c r="DM337" s="42"/>
      <c r="DN337" s="42"/>
      <c r="DO337" s="42"/>
    </row>
    <row r="338" spans="2:119" ht="18.75" customHeight="1" x14ac:dyDescent="0.55000000000000004">
      <c r="B338" s="99"/>
      <c r="C338" s="42"/>
      <c r="D338" s="112" t="s">
        <v>24</v>
      </c>
      <c r="E338" s="112"/>
      <c r="F338" s="45"/>
      <c r="G338" s="45"/>
      <c r="H338" s="45"/>
      <c r="I338" s="45"/>
      <c r="J338" s="45"/>
      <c r="K338" s="45"/>
      <c r="L338" s="45"/>
      <c r="M338" s="45"/>
      <c r="N338" s="45"/>
      <c r="O338" s="45"/>
      <c r="P338" s="42"/>
      <c r="Q338" s="112" t="s">
        <v>24</v>
      </c>
      <c r="R338" s="112"/>
      <c r="S338" s="45"/>
      <c r="T338" s="45"/>
      <c r="U338" s="45"/>
      <c r="V338" s="45"/>
      <c r="W338" s="45"/>
      <c r="X338" s="45"/>
      <c r="Y338" s="45"/>
      <c r="Z338" s="45"/>
      <c r="AA338" s="45"/>
      <c r="AB338" s="45"/>
      <c r="AC338" s="42"/>
      <c r="AD338" s="112" t="s">
        <v>24</v>
      </c>
      <c r="AE338" s="112"/>
      <c r="AF338" s="45"/>
      <c r="AG338" s="45"/>
      <c r="AH338" s="45"/>
      <c r="AI338" s="45"/>
      <c r="AJ338" s="45"/>
      <c r="AK338" s="45"/>
      <c r="AL338" s="45"/>
      <c r="AM338" s="45"/>
      <c r="AN338" s="45"/>
      <c r="AO338" s="45"/>
      <c r="AP338" s="6"/>
      <c r="AQ338" s="112" t="s">
        <v>24</v>
      </c>
      <c r="AR338" s="112"/>
      <c r="AS338" s="45"/>
      <c r="AT338" s="45"/>
      <c r="AU338" s="45"/>
      <c r="AV338" s="45"/>
      <c r="AW338" s="45"/>
      <c r="AX338" s="45"/>
      <c r="AY338" s="45"/>
      <c r="AZ338" s="45"/>
      <c r="BA338" s="45"/>
      <c r="BB338" s="45"/>
      <c r="BC338" s="42"/>
      <c r="BD338" s="112" t="s">
        <v>24</v>
      </c>
      <c r="BE338" s="112"/>
      <c r="BF338" s="45"/>
      <c r="BG338" s="45"/>
      <c r="BH338" s="45"/>
      <c r="BI338" s="45"/>
      <c r="BJ338" s="45"/>
      <c r="BK338" s="45"/>
      <c r="BL338" s="45"/>
      <c r="BM338" s="45"/>
      <c r="BN338" s="45"/>
      <c r="BO338" s="45"/>
      <c r="BQ338" s="112" t="s">
        <v>24</v>
      </c>
      <c r="BR338" s="112"/>
      <c r="BS338" s="45"/>
      <c r="BT338" s="45"/>
      <c r="BU338" s="45"/>
      <c r="BV338" s="45"/>
      <c r="BW338" s="45"/>
      <c r="BX338" s="45"/>
      <c r="BY338" s="45"/>
      <c r="BZ338" s="45"/>
      <c r="CA338" s="45"/>
      <c r="CB338" s="45"/>
      <c r="CC338" s="42"/>
      <c r="CD338" s="112" t="s">
        <v>24</v>
      </c>
      <c r="CE338" s="112"/>
      <c r="CF338" s="45"/>
      <c r="CG338" s="45"/>
      <c r="CH338" s="45"/>
      <c r="CI338" s="45"/>
      <c r="CJ338" s="45"/>
      <c r="CK338" s="45"/>
      <c r="CL338" s="45"/>
      <c r="CM338" s="45"/>
      <c r="CN338" s="45"/>
      <c r="CO338" s="45"/>
      <c r="CQ338" s="112" t="s">
        <v>24</v>
      </c>
      <c r="CR338" s="112"/>
      <c r="CS338" s="45"/>
      <c r="CT338" s="45"/>
      <c r="CU338" s="45"/>
      <c r="CV338" s="45"/>
      <c r="CW338" s="45"/>
      <c r="CX338" s="45"/>
      <c r="CY338" s="45"/>
      <c r="CZ338" s="45"/>
      <c r="DA338" s="45"/>
      <c r="DB338" s="45"/>
      <c r="DC338" s="42"/>
      <c r="DD338" s="112" t="s">
        <v>24</v>
      </c>
      <c r="DE338" s="112"/>
      <c r="DF338" s="45"/>
      <c r="DG338" s="45"/>
      <c r="DH338" s="45"/>
      <c r="DI338" s="45"/>
      <c r="DJ338" s="45"/>
      <c r="DK338" s="45"/>
      <c r="DL338" s="45"/>
      <c r="DM338" s="45"/>
      <c r="DN338" s="45"/>
      <c r="DO338" s="45"/>
    </row>
    <row r="339" spans="2:119" ht="28.9" customHeight="1" x14ac:dyDescent="0.45">
      <c r="B339" s="99"/>
      <c r="C339" s="42"/>
      <c r="D339" s="112"/>
      <c r="E339" s="112"/>
      <c r="F339" s="108" t="s">
        <v>12</v>
      </c>
      <c r="G339" s="108"/>
      <c r="H339" s="108"/>
      <c r="I339" s="108"/>
      <c r="J339" s="108"/>
      <c r="K339" s="108"/>
      <c r="L339" s="108"/>
      <c r="M339" s="108"/>
      <c r="N339" s="108"/>
      <c r="O339" s="108"/>
      <c r="P339" s="42"/>
      <c r="Q339" s="112"/>
      <c r="R339" s="112"/>
      <c r="S339" s="108" t="s">
        <v>12</v>
      </c>
      <c r="T339" s="108"/>
      <c r="U339" s="108"/>
      <c r="V339" s="108"/>
      <c r="W339" s="108"/>
      <c r="X339" s="108"/>
      <c r="Y339" s="108"/>
      <c r="Z339" s="108"/>
      <c r="AA339" s="108"/>
      <c r="AB339" s="108"/>
      <c r="AC339" s="42"/>
      <c r="AD339" s="112"/>
      <c r="AE339" s="112"/>
      <c r="AF339" s="108" t="s">
        <v>12</v>
      </c>
      <c r="AG339" s="108"/>
      <c r="AH339" s="108"/>
      <c r="AI339" s="108"/>
      <c r="AJ339" s="108"/>
      <c r="AK339" s="108"/>
      <c r="AL339" s="108"/>
      <c r="AM339" s="108"/>
      <c r="AN339" s="108"/>
      <c r="AO339" s="108"/>
      <c r="AP339" s="6"/>
      <c r="AQ339" s="112"/>
      <c r="AR339" s="112"/>
      <c r="AS339" s="108" t="s">
        <v>12</v>
      </c>
      <c r="AT339" s="108"/>
      <c r="AU339" s="108"/>
      <c r="AV339" s="108"/>
      <c r="AW339" s="108"/>
      <c r="AX339" s="108"/>
      <c r="AY339" s="108"/>
      <c r="AZ339" s="108"/>
      <c r="BA339" s="108"/>
      <c r="BB339" s="108"/>
      <c r="BC339" s="42"/>
      <c r="BD339" s="112"/>
      <c r="BE339" s="112"/>
      <c r="BF339" s="108" t="s">
        <v>12</v>
      </c>
      <c r="BG339" s="108"/>
      <c r="BH339" s="108"/>
      <c r="BI339" s="108"/>
      <c r="BJ339" s="108"/>
      <c r="BK339" s="108"/>
      <c r="BL339" s="108"/>
      <c r="BM339" s="108"/>
      <c r="BN339" s="108"/>
      <c r="BO339" s="108"/>
      <c r="BQ339" s="112"/>
      <c r="BR339" s="112"/>
      <c r="BS339" s="108" t="s">
        <v>12</v>
      </c>
      <c r="BT339" s="108"/>
      <c r="BU339" s="108"/>
      <c r="BV339" s="108"/>
      <c r="BW339" s="108"/>
      <c r="BX339" s="108"/>
      <c r="BY339" s="108"/>
      <c r="BZ339" s="108"/>
      <c r="CA339" s="108"/>
      <c r="CB339" s="108"/>
      <c r="CC339" s="42"/>
      <c r="CD339" s="112"/>
      <c r="CE339" s="112"/>
      <c r="CF339" s="108" t="s">
        <v>12</v>
      </c>
      <c r="CG339" s="108"/>
      <c r="CH339" s="108"/>
      <c r="CI339" s="108"/>
      <c r="CJ339" s="108"/>
      <c r="CK339" s="108"/>
      <c r="CL339" s="108"/>
      <c r="CM339" s="108"/>
      <c r="CN339" s="108"/>
      <c r="CO339" s="108"/>
      <c r="CQ339" s="112"/>
      <c r="CR339" s="112"/>
      <c r="CS339" s="108" t="s">
        <v>12</v>
      </c>
      <c r="CT339" s="108"/>
      <c r="CU339" s="108"/>
      <c r="CV339" s="108"/>
      <c r="CW339" s="108"/>
      <c r="CX339" s="108"/>
      <c r="CY339" s="108"/>
      <c r="CZ339" s="108"/>
      <c r="DA339" s="108"/>
      <c r="DB339" s="108"/>
      <c r="DC339" s="42"/>
      <c r="DD339" s="112"/>
      <c r="DE339" s="112"/>
      <c r="DF339" s="108" t="s">
        <v>12</v>
      </c>
      <c r="DG339" s="108"/>
      <c r="DH339" s="108"/>
      <c r="DI339" s="108"/>
      <c r="DJ339" s="108"/>
      <c r="DK339" s="108"/>
      <c r="DL339" s="108"/>
      <c r="DM339" s="108"/>
      <c r="DN339" s="108"/>
      <c r="DO339" s="108"/>
    </row>
    <row r="340" spans="2:119" ht="15" customHeight="1" x14ac:dyDescent="0.45">
      <c r="B340" s="99"/>
      <c r="C340" s="42"/>
      <c r="D340" s="113"/>
      <c r="E340" s="113"/>
      <c r="F340" s="9" t="s">
        <v>0</v>
      </c>
      <c r="G340" s="9">
        <v>1</v>
      </c>
      <c r="H340" s="9">
        <v>2</v>
      </c>
      <c r="I340" s="9">
        <v>3</v>
      </c>
      <c r="J340" s="9">
        <v>4</v>
      </c>
      <c r="K340" s="9">
        <v>5</v>
      </c>
      <c r="L340" s="9">
        <v>6</v>
      </c>
      <c r="M340" s="9">
        <v>7</v>
      </c>
      <c r="N340" s="9">
        <v>8</v>
      </c>
      <c r="O340" s="9">
        <v>9</v>
      </c>
      <c r="P340" s="42"/>
      <c r="Q340" s="113"/>
      <c r="R340" s="113"/>
      <c r="S340" s="9" t="s">
        <v>0</v>
      </c>
      <c r="T340" s="9">
        <v>1</v>
      </c>
      <c r="U340" s="9">
        <v>2</v>
      </c>
      <c r="V340" s="9">
        <v>3</v>
      </c>
      <c r="W340" s="9">
        <v>4</v>
      </c>
      <c r="X340" s="9">
        <v>5</v>
      </c>
      <c r="Y340" s="9">
        <v>6</v>
      </c>
      <c r="Z340" s="9">
        <v>7</v>
      </c>
      <c r="AA340" s="9">
        <v>8</v>
      </c>
      <c r="AB340" s="9">
        <v>9</v>
      </c>
      <c r="AC340" s="42"/>
      <c r="AD340" s="113"/>
      <c r="AE340" s="113"/>
      <c r="AF340" s="9" t="s">
        <v>0</v>
      </c>
      <c r="AG340" s="9">
        <v>1</v>
      </c>
      <c r="AH340" s="9">
        <v>2</v>
      </c>
      <c r="AI340" s="9">
        <v>3</v>
      </c>
      <c r="AJ340" s="9">
        <v>4</v>
      </c>
      <c r="AK340" s="9">
        <v>5</v>
      </c>
      <c r="AL340" s="9">
        <v>6</v>
      </c>
      <c r="AM340" s="9">
        <v>7</v>
      </c>
      <c r="AN340" s="9">
        <v>8</v>
      </c>
      <c r="AO340" s="9">
        <v>9</v>
      </c>
      <c r="AP340" s="6"/>
      <c r="AQ340" s="113"/>
      <c r="AR340" s="113"/>
      <c r="AS340" s="9" t="s">
        <v>0</v>
      </c>
      <c r="AT340" s="9">
        <v>1</v>
      </c>
      <c r="AU340" s="9">
        <v>2</v>
      </c>
      <c r="AV340" s="9">
        <v>3</v>
      </c>
      <c r="AW340" s="9">
        <v>4</v>
      </c>
      <c r="AX340" s="9">
        <v>5</v>
      </c>
      <c r="AY340" s="9">
        <v>6</v>
      </c>
      <c r="AZ340" s="9">
        <v>7</v>
      </c>
      <c r="BA340" s="9">
        <v>8</v>
      </c>
      <c r="BB340" s="9">
        <v>9</v>
      </c>
      <c r="BC340" s="42"/>
      <c r="BD340" s="113"/>
      <c r="BE340" s="113"/>
      <c r="BF340" s="9" t="s">
        <v>0</v>
      </c>
      <c r="BG340" s="9">
        <v>1</v>
      </c>
      <c r="BH340" s="9">
        <v>2</v>
      </c>
      <c r="BI340" s="9">
        <v>3</v>
      </c>
      <c r="BJ340" s="9">
        <v>4</v>
      </c>
      <c r="BK340" s="9">
        <v>5</v>
      </c>
      <c r="BL340" s="9">
        <v>6</v>
      </c>
      <c r="BM340" s="9">
        <v>7</v>
      </c>
      <c r="BN340" s="9">
        <v>8</v>
      </c>
      <c r="BO340" s="9">
        <v>9</v>
      </c>
      <c r="BQ340" s="113"/>
      <c r="BR340" s="113"/>
      <c r="BS340" s="9" t="s">
        <v>0</v>
      </c>
      <c r="BT340" s="9">
        <v>1</v>
      </c>
      <c r="BU340" s="9">
        <v>2</v>
      </c>
      <c r="BV340" s="9">
        <v>3</v>
      </c>
      <c r="BW340" s="9">
        <v>4</v>
      </c>
      <c r="BX340" s="9">
        <v>5</v>
      </c>
      <c r="BY340" s="9">
        <v>6</v>
      </c>
      <c r="BZ340" s="9">
        <v>7</v>
      </c>
      <c r="CA340" s="9">
        <v>8</v>
      </c>
      <c r="CB340" s="9">
        <v>9</v>
      </c>
      <c r="CC340" s="42"/>
      <c r="CD340" s="113"/>
      <c r="CE340" s="113"/>
      <c r="CF340" s="9" t="s">
        <v>0</v>
      </c>
      <c r="CG340" s="9">
        <v>1</v>
      </c>
      <c r="CH340" s="9">
        <v>2</v>
      </c>
      <c r="CI340" s="9">
        <v>3</v>
      </c>
      <c r="CJ340" s="9">
        <v>4</v>
      </c>
      <c r="CK340" s="9">
        <v>5</v>
      </c>
      <c r="CL340" s="9">
        <v>6</v>
      </c>
      <c r="CM340" s="9">
        <v>7</v>
      </c>
      <c r="CN340" s="9">
        <v>8</v>
      </c>
      <c r="CO340" s="9">
        <v>9</v>
      </c>
      <c r="CQ340" s="113"/>
      <c r="CR340" s="113"/>
      <c r="CS340" s="9" t="s">
        <v>0</v>
      </c>
      <c r="CT340" s="9">
        <v>1</v>
      </c>
      <c r="CU340" s="9">
        <v>2</v>
      </c>
      <c r="CV340" s="9">
        <v>3</v>
      </c>
      <c r="CW340" s="9">
        <v>4</v>
      </c>
      <c r="CX340" s="9">
        <v>5</v>
      </c>
      <c r="CY340" s="9">
        <v>6</v>
      </c>
      <c r="CZ340" s="9">
        <v>7</v>
      </c>
      <c r="DA340" s="9">
        <v>8</v>
      </c>
      <c r="DB340" s="9">
        <v>9</v>
      </c>
      <c r="DC340" s="42"/>
      <c r="DD340" s="113"/>
      <c r="DE340" s="113"/>
      <c r="DF340" s="9" t="s">
        <v>0</v>
      </c>
      <c r="DG340" s="9">
        <v>1</v>
      </c>
      <c r="DH340" s="9">
        <v>2</v>
      </c>
      <c r="DI340" s="9">
        <v>3</v>
      </c>
      <c r="DJ340" s="9">
        <v>4</v>
      </c>
      <c r="DK340" s="9">
        <v>5</v>
      </c>
      <c r="DL340" s="9">
        <v>6</v>
      </c>
      <c r="DM340" s="9">
        <v>7</v>
      </c>
      <c r="DN340" s="9">
        <v>8</v>
      </c>
      <c r="DO340" s="9">
        <v>9</v>
      </c>
    </row>
    <row r="341" spans="2:119" ht="16.25" customHeight="1" x14ac:dyDescent="0.45">
      <c r="B341" s="134" t="s">
        <v>33</v>
      </c>
      <c r="C341" s="42"/>
      <c r="D341" s="109" t="s">
        <v>13</v>
      </c>
      <c r="E341" s="46" t="s">
        <v>1</v>
      </c>
      <c r="F341" s="107">
        <v>0</v>
      </c>
      <c r="G341" s="107">
        <v>0</v>
      </c>
      <c r="H341" s="107">
        <v>0</v>
      </c>
      <c r="I341" s="107">
        <v>0</v>
      </c>
      <c r="J341" s="107">
        <v>0</v>
      </c>
      <c r="K341" s="107">
        <v>0</v>
      </c>
      <c r="L341" s="107">
        <v>0</v>
      </c>
      <c r="M341" s="107">
        <v>0</v>
      </c>
      <c r="N341" s="107">
        <v>0</v>
      </c>
      <c r="O341" s="107">
        <v>0</v>
      </c>
      <c r="P341" s="42"/>
      <c r="Q341" s="109" t="s">
        <v>13</v>
      </c>
      <c r="R341" s="46" t="s">
        <v>1</v>
      </c>
      <c r="S341" s="107">
        <v>0</v>
      </c>
      <c r="T341" s="107">
        <v>0</v>
      </c>
      <c r="U341" s="107">
        <v>0</v>
      </c>
      <c r="V341" s="107">
        <v>0</v>
      </c>
      <c r="W341" s="107">
        <v>0</v>
      </c>
      <c r="X341" s="107">
        <v>0</v>
      </c>
      <c r="Y341" s="107">
        <v>0</v>
      </c>
      <c r="Z341" s="107">
        <v>0</v>
      </c>
      <c r="AA341" s="107">
        <v>0</v>
      </c>
      <c r="AB341" s="107">
        <v>0</v>
      </c>
      <c r="AC341" s="42"/>
      <c r="AD341" s="109" t="s">
        <v>13</v>
      </c>
      <c r="AE341" s="46" t="s">
        <v>1</v>
      </c>
      <c r="AF341" s="107">
        <v>0</v>
      </c>
      <c r="AG341" s="107">
        <v>0</v>
      </c>
      <c r="AH341" s="107">
        <v>0</v>
      </c>
      <c r="AI341" s="107">
        <v>0</v>
      </c>
      <c r="AJ341" s="107">
        <v>0</v>
      </c>
      <c r="AK341" s="107">
        <v>0</v>
      </c>
      <c r="AL341" s="107">
        <v>0</v>
      </c>
      <c r="AM341" s="107">
        <v>0</v>
      </c>
      <c r="AN341" s="107">
        <v>0</v>
      </c>
      <c r="AO341" s="107">
        <v>0</v>
      </c>
      <c r="AP341" s="6"/>
      <c r="AQ341" s="109" t="s">
        <v>13</v>
      </c>
      <c r="AR341" s="46" t="s">
        <v>1</v>
      </c>
      <c r="AS341" s="107">
        <v>0</v>
      </c>
      <c r="AT341" s="107">
        <v>0</v>
      </c>
      <c r="AU341" s="107">
        <v>0</v>
      </c>
      <c r="AV341" s="107">
        <v>0</v>
      </c>
      <c r="AW341" s="107">
        <v>0</v>
      </c>
      <c r="AX341" s="107">
        <v>0</v>
      </c>
      <c r="AY341" s="107">
        <v>0</v>
      </c>
      <c r="AZ341" s="107">
        <v>0</v>
      </c>
      <c r="BA341" s="107">
        <v>0</v>
      </c>
      <c r="BB341" s="107">
        <v>0</v>
      </c>
      <c r="BC341" s="42"/>
      <c r="BD341" s="109" t="s">
        <v>13</v>
      </c>
      <c r="BE341" s="46" t="s">
        <v>1</v>
      </c>
      <c r="BF341" s="103">
        <v>0</v>
      </c>
      <c r="BG341" s="103">
        <v>0</v>
      </c>
      <c r="BH341" s="103">
        <v>0</v>
      </c>
      <c r="BI341" s="103">
        <v>0</v>
      </c>
      <c r="BJ341" s="103">
        <v>0</v>
      </c>
      <c r="BK341" s="103">
        <v>0</v>
      </c>
      <c r="BL341" s="103">
        <v>0</v>
      </c>
      <c r="BM341" s="103">
        <v>0</v>
      </c>
      <c r="BN341" s="103">
        <v>0</v>
      </c>
      <c r="BO341" s="103">
        <v>0</v>
      </c>
      <c r="BQ341" s="109" t="s">
        <v>13</v>
      </c>
      <c r="BR341" s="46" t="s">
        <v>1</v>
      </c>
      <c r="BS341" s="103">
        <v>0</v>
      </c>
      <c r="BT341" s="103">
        <v>0</v>
      </c>
      <c r="BU341" s="103">
        <v>0</v>
      </c>
      <c r="BV341" s="103">
        <v>0</v>
      </c>
      <c r="BW341" s="103">
        <v>0</v>
      </c>
      <c r="BX341" s="103">
        <v>0</v>
      </c>
      <c r="BY341" s="103">
        <v>0</v>
      </c>
      <c r="BZ341" s="103">
        <v>0</v>
      </c>
      <c r="CA341" s="103">
        <v>0</v>
      </c>
      <c r="CB341" s="103">
        <v>0</v>
      </c>
      <c r="CC341" s="42"/>
      <c r="CD341" s="109" t="s">
        <v>13</v>
      </c>
      <c r="CE341" s="46" t="s">
        <v>1</v>
      </c>
      <c r="CF341" s="103">
        <v>0</v>
      </c>
      <c r="CG341" s="103">
        <v>0</v>
      </c>
      <c r="CH341" s="103">
        <v>0</v>
      </c>
      <c r="CI341" s="103">
        <v>0</v>
      </c>
      <c r="CJ341" s="103">
        <v>0</v>
      </c>
      <c r="CK341" s="103">
        <v>0</v>
      </c>
      <c r="CL341" s="103">
        <v>0</v>
      </c>
      <c r="CM341" s="103">
        <v>0</v>
      </c>
      <c r="CN341" s="103">
        <v>0</v>
      </c>
      <c r="CO341" s="103">
        <v>0</v>
      </c>
      <c r="CQ341" s="109" t="s">
        <v>13</v>
      </c>
      <c r="CR341" s="46" t="s">
        <v>1</v>
      </c>
      <c r="CS341" s="103">
        <v>0</v>
      </c>
      <c r="CT341" s="103">
        <v>0</v>
      </c>
      <c r="CU341" s="103">
        <v>0</v>
      </c>
      <c r="CV341" s="103">
        <v>0</v>
      </c>
      <c r="CW341" s="103">
        <v>0</v>
      </c>
      <c r="CX341" s="103">
        <v>0</v>
      </c>
      <c r="CY341" s="103">
        <v>0</v>
      </c>
      <c r="CZ341" s="103">
        <v>0</v>
      </c>
      <c r="DA341" s="103">
        <v>0</v>
      </c>
      <c r="DB341" s="103">
        <v>0</v>
      </c>
      <c r="DC341" s="42"/>
      <c r="DD341" s="109" t="s">
        <v>13</v>
      </c>
      <c r="DE341" s="46" t="s">
        <v>1</v>
      </c>
      <c r="DF341" s="103">
        <v>0</v>
      </c>
      <c r="DG341" s="103">
        <v>0</v>
      </c>
      <c r="DH341" s="103">
        <v>0</v>
      </c>
      <c r="DI341" s="103">
        <v>0</v>
      </c>
      <c r="DJ341" s="103">
        <v>0</v>
      </c>
      <c r="DK341" s="103">
        <v>0</v>
      </c>
      <c r="DL341" s="103">
        <v>0</v>
      </c>
      <c r="DM341" s="103">
        <v>0</v>
      </c>
      <c r="DN341" s="103">
        <v>0</v>
      </c>
      <c r="DO341" s="103">
        <v>0</v>
      </c>
    </row>
    <row r="342" spans="2:119" ht="16.25" customHeight="1" x14ac:dyDescent="0.45">
      <c r="B342" s="134"/>
      <c r="C342" s="42"/>
      <c r="D342" s="110"/>
      <c r="E342" s="46">
        <v>1</v>
      </c>
      <c r="F342" s="107">
        <v>0</v>
      </c>
      <c r="G342" s="107">
        <v>0</v>
      </c>
      <c r="H342" s="107">
        <v>0</v>
      </c>
      <c r="I342" s="107">
        <v>0</v>
      </c>
      <c r="J342" s="107">
        <v>0</v>
      </c>
      <c r="K342" s="107">
        <v>0</v>
      </c>
      <c r="L342" s="107">
        <v>0</v>
      </c>
      <c r="M342" s="107">
        <v>0</v>
      </c>
      <c r="N342" s="107">
        <v>0</v>
      </c>
      <c r="O342" s="107">
        <v>0</v>
      </c>
      <c r="P342" s="42"/>
      <c r="Q342" s="110"/>
      <c r="R342" s="46">
        <v>1</v>
      </c>
      <c r="S342" s="107">
        <v>0</v>
      </c>
      <c r="T342" s="107">
        <v>0</v>
      </c>
      <c r="U342" s="107">
        <v>0</v>
      </c>
      <c r="V342" s="107">
        <v>0</v>
      </c>
      <c r="W342" s="107">
        <v>0</v>
      </c>
      <c r="X342" s="107">
        <v>0</v>
      </c>
      <c r="Y342" s="107">
        <v>0</v>
      </c>
      <c r="Z342" s="107">
        <v>0</v>
      </c>
      <c r="AA342" s="107">
        <v>0</v>
      </c>
      <c r="AB342" s="107">
        <v>0</v>
      </c>
      <c r="AC342" s="42"/>
      <c r="AD342" s="110"/>
      <c r="AE342" s="46">
        <v>1</v>
      </c>
      <c r="AF342" s="107">
        <v>0</v>
      </c>
      <c r="AG342" s="107">
        <v>0</v>
      </c>
      <c r="AH342" s="107">
        <v>0</v>
      </c>
      <c r="AI342" s="107">
        <v>0</v>
      </c>
      <c r="AJ342" s="107">
        <v>0</v>
      </c>
      <c r="AK342" s="107">
        <v>0</v>
      </c>
      <c r="AL342" s="107">
        <v>0</v>
      </c>
      <c r="AM342" s="107">
        <v>0</v>
      </c>
      <c r="AN342" s="107">
        <v>0</v>
      </c>
      <c r="AO342" s="107">
        <v>0</v>
      </c>
      <c r="AP342" s="6"/>
      <c r="AQ342" s="110"/>
      <c r="AR342" s="46">
        <v>1</v>
      </c>
      <c r="AS342" s="107">
        <v>0</v>
      </c>
      <c r="AT342" s="107">
        <v>0</v>
      </c>
      <c r="AU342" s="107">
        <v>0</v>
      </c>
      <c r="AV342" s="107">
        <v>0</v>
      </c>
      <c r="AW342" s="107">
        <v>0</v>
      </c>
      <c r="AX342" s="107">
        <v>0</v>
      </c>
      <c r="AY342" s="107">
        <v>0</v>
      </c>
      <c r="AZ342" s="107">
        <v>0</v>
      </c>
      <c r="BA342" s="107">
        <v>0</v>
      </c>
      <c r="BB342" s="107">
        <v>0</v>
      </c>
      <c r="BC342" s="42"/>
      <c r="BD342" s="110"/>
      <c r="BE342" s="46">
        <v>1</v>
      </c>
      <c r="BF342" s="103">
        <v>0</v>
      </c>
      <c r="BG342" s="103">
        <v>0</v>
      </c>
      <c r="BH342" s="103">
        <v>0</v>
      </c>
      <c r="BI342" s="103">
        <v>0</v>
      </c>
      <c r="BJ342" s="103">
        <v>0</v>
      </c>
      <c r="BK342" s="103">
        <v>0</v>
      </c>
      <c r="BL342" s="103">
        <v>0</v>
      </c>
      <c r="BM342" s="103">
        <v>0</v>
      </c>
      <c r="BN342" s="103">
        <v>0</v>
      </c>
      <c r="BO342" s="103">
        <v>0</v>
      </c>
      <c r="BQ342" s="110"/>
      <c r="BR342" s="46">
        <v>1</v>
      </c>
      <c r="BS342" s="103">
        <v>0</v>
      </c>
      <c r="BT342" s="103">
        <v>0</v>
      </c>
      <c r="BU342" s="103">
        <v>0</v>
      </c>
      <c r="BV342" s="103">
        <v>0</v>
      </c>
      <c r="BW342" s="103">
        <v>0</v>
      </c>
      <c r="BX342" s="103">
        <v>0</v>
      </c>
      <c r="BY342" s="103">
        <v>0</v>
      </c>
      <c r="BZ342" s="103">
        <v>0</v>
      </c>
      <c r="CA342" s="103">
        <v>0</v>
      </c>
      <c r="CB342" s="103">
        <v>0</v>
      </c>
      <c r="CC342" s="42"/>
      <c r="CD342" s="110"/>
      <c r="CE342" s="46">
        <v>1</v>
      </c>
      <c r="CF342" s="103">
        <v>0</v>
      </c>
      <c r="CG342" s="103">
        <v>0</v>
      </c>
      <c r="CH342" s="103">
        <v>0</v>
      </c>
      <c r="CI342" s="103">
        <v>0</v>
      </c>
      <c r="CJ342" s="103">
        <v>0</v>
      </c>
      <c r="CK342" s="103">
        <v>0</v>
      </c>
      <c r="CL342" s="103">
        <v>0</v>
      </c>
      <c r="CM342" s="103">
        <v>0</v>
      </c>
      <c r="CN342" s="103">
        <v>0</v>
      </c>
      <c r="CO342" s="103">
        <v>0</v>
      </c>
      <c r="CQ342" s="110"/>
      <c r="CR342" s="46">
        <v>1</v>
      </c>
      <c r="CS342" s="103">
        <v>0</v>
      </c>
      <c r="CT342" s="103">
        <v>0</v>
      </c>
      <c r="CU342" s="103">
        <v>0</v>
      </c>
      <c r="CV342" s="103">
        <v>0</v>
      </c>
      <c r="CW342" s="103">
        <v>0</v>
      </c>
      <c r="CX342" s="103">
        <v>0</v>
      </c>
      <c r="CY342" s="103">
        <v>0</v>
      </c>
      <c r="CZ342" s="103">
        <v>0</v>
      </c>
      <c r="DA342" s="103">
        <v>0</v>
      </c>
      <c r="DB342" s="103">
        <v>0</v>
      </c>
      <c r="DC342" s="42"/>
      <c r="DD342" s="110"/>
      <c r="DE342" s="46">
        <v>1</v>
      </c>
      <c r="DF342" s="103">
        <v>0</v>
      </c>
      <c r="DG342" s="103">
        <v>0</v>
      </c>
      <c r="DH342" s="103">
        <v>0</v>
      </c>
      <c r="DI342" s="103">
        <v>0</v>
      </c>
      <c r="DJ342" s="103">
        <v>0</v>
      </c>
      <c r="DK342" s="103">
        <v>0</v>
      </c>
      <c r="DL342" s="103">
        <v>0</v>
      </c>
      <c r="DM342" s="103">
        <v>0</v>
      </c>
      <c r="DN342" s="103">
        <v>0</v>
      </c>
      <c r="DO342" s="103">
        <v>0</v>
      </c>
    </row>
    <row r="343" spans="2:119" ht="16.25" customHeight="1" x14ac:dyDescent="0.45">
      <c r="B343" s="134"/>
      <c r="C343" s="42"/>
      <c r="D343" s="110"/>
      <c r="E343" s="46" t="s">
        <v>2</v>
      </c>
      <c r="F343" s="103">
        <v>3</v>
      </c>
      <c r="G343" s="103">
        <v>4</v>
      </c>
      <c r="H343" s="103">
        <v>1</v>
      </c>
      <c r="I343" s="103">
        <v>2</v>
      </c>
      <c r="J343" s="103">
        <v>0</v>
      </c>
      <c r="K343" s="103">
        <v>0</v>
      </c>
      <c r="L343" s="103">
        <v>0</v>
      </c>
      <c r="M343" s="103">
        <v>0</v>
      </c>
      <c r="N343" s="103">
        <v>0</v>
      </c>
      <c r="O343" s="103">
        <v>0</v>
      </c>
      <c r="P343" s="42"/>
      <c r="Q343" s="110"/>
      <c r="R343" s="46" t="s">
        <v>2</v>
      </c>
      <c r="S343" s="103">
        <v>0</v>
      </c>
      <c r="T343" s="103">
        <v>0</v>
      </c>
      <c r="U343" s="103">
        <v>0</v>
      </c>
      <c r="V343" s="103">
        <v>0</v>
      </c>
      <c r="W343" s="103">
        <v>0</v>
      </c>
      <c r="X343" s="103">
        <v>0</v>
      </c>
      <c r="Y343" s="103">
        <v>0</v>
      </c>
      <c r="Z343" s="103">
        <v>0</v>
      </c>
      <c r="AA343" s="103">
        <v>0</v>
      </c>
      <c r="AB343" s="103">
        <v>0</v>
      </c>
      <c r="AC343" s="42"/>
      <c r="AD343" s="110"/>
      <c r="AE343" s="46" t="s">
        <v>2</v>
      </c>
      <c r="AF343" s="103">
        <v>3</v>
      </c>
      <c r="AG343" s="103">
        <v>4</v>
      </c>
      <c r="AH343" s="103">
        <v>1</v>
      </c>
      <c r="AI343" s="103">
        <v>2</v>
      </c>
      <c r="AJ343" s="103">
        <v>0</v>
      </c>
      <c r="AK343" s="103">
        <v>0</v>
      </c>
      <c r="AL343" s="103">
        <v>0</v>
      </c>
      <c r="AM343" s="103">
        <v>0</v>
      </c>
      <c r="AN343" s="103">
        <v>0</v>
      </c>
      <c r="AO343" s="103">
        <v>0</v>
      </c>
      <c r="AP343" s="6"/>
      <c r="AQ343" s="110"/>
      <c r="AR343" s="46" t="s">
        <v>2</v>
      </c>
      <c r="AS343" s="103">
        <v>1</v>
      </c>
      <c r="AT343" s="103">
        <v>2</v>
      </c>
      <c r="AU343" s="103">
        <v>1</v>
      </c>
      <c r="AV343" s="103">
        <v>0</v>
      </c>
      <c r="AW343" s="103">
        <v>0</v>
      </c>
      <c r="AX343" s="103">
        <v>0</v>
      </c>
      <c r="AY343" s="103">
        <v>0</v>
      </c>
      <c r="AZ343" s="103">
        <v>0</v>
      </c>
      <c r="BA343" s="103">
        <v>0</v>
      </c>
      <c r="BB343" s="103">
        <v>0</v>
      </c>
      <c r="BC343" s="42"/>
      <c r="BD343" s="110"/>
      <c r="BE343" s="46" t="s">
        <v>2</v>
      </c>
      <c r="BF343" s="103">
        <v>2</v>
      </c>
      <c r="BG343" s="103">
        <v>2</v>
      </c>
      <c r="BH343" s="103">
        <v>0</v>
      </c>
      <c r="BI343" s="103">
        <v>2</v>
      </c>
      <c r="BJ343" s="103">
        <v>0</v>
      </c>
      <c r="BK343" s="103">
        <v>0</v>
      </c>
      <c r="BL343" s="103">
        <v>0</v>
      </c>
      <c r="BM343" s="103">
        <v>0</v>
      </c>
      <c r="BN343" s="103">
        <v>0</v>
      </c>
      <c r="BO343" s="103">
        <v>0</v>
      </c>
      <c r="BQ343" s="110"/>
      <c r="BR343" s="46" t="s">
        <v>2</v>
      </c>
      <c r="BS343" s="103">
        <v>2</v>
      </c>
      <c r="BT343" s="103">
        <v>2</v>
      </c>
      <c r="BU343" s="103">
        <v>1</v>
      </c>
      <c r="BV343" s="103">
        <v>1</v>
      </c>
      <c r="BW343" s="103">
        <v>0</v>
      </c>
      <c r="BX343" s="103">
        <v>0</v>
      </c>
      <c r="BY343" s="103">
        <v>0</v>
      </c>
      <c r="BZ343" s="103">
        <v>0</v>
      </c>
      <c r="CA343" s="103">
        <v>0</v>
      </c>
      <c r="CB343" s="103">
        <v>0</v>
      </c>
      <c r="CC343" s="42"/>
      <c r="CD343" s="110"/>
      <c r="CE343" s="46" t="s">
        <v>2</v>
      </c>
      <c r="CF343" s="103">
        <v>1</v>
      </c>
      <c r="CG343" s="103">
        <v>2</v>
      </c>
      <c r="CH343" s="103">
        <v>0</v>
      </c>
      <c r="CI343" s="103">
        <v>1</v>
      </c>
      <c r="CJ343" s="103">
        <v>0</v>
      </c>
      <c r="CK343" s="103">
        <v>0</v>
      </c>
      <c r="CL343" s="103">
        <v>0</v>
      </c>
      <c r="CM343" s="103">
        <v>0</v>
      </c>
      <c r="CN343" s="103">
        <v>0</v>
      </c>
      <c r="CO343" s="103">
        <v>0</v>
      </c>
      <c r="CQ343" s="110"/>
      <c r="CR343" s="46" t="s">
        <v>2</v>
      </c>
      <c r="CS343" s="103">
        <v>0</v>
      </c>
      <c r="CT343" s="103">
        <v>1</v>
      </c>
      <c r="CU343" s="103">
        <v>0</v>
      </c>
      <c r="CV343" s="103">
        <v>1</v>
      </c>
      <c r="CW343" s="103">
        <v>0</v>
      </c>
      <c r="CX343" s="103">
        <v>0</v>
      </c>
      <c r="CY343" s="103">
        <v>0</v>
      </c>
      <c r="CZ343" s="103">
        <v>0</v>
      </c>
      <c r="DA343" s="103">
        <v>0</v>
      </c>
      <c r="DB343" s="103">
        <v>0</v>
      </c>
      <c r="DC343" s="42"/>
      <c r="DD343" s="110"/>
      <c r="DE343" s="46" t="s">
        <v>2</v>
      </c>
      <c r="DF343" s="103">
        <v>3</v>
      </c>
      <c r="DG343" s="103">
        <v>3</v>
      </c>
      <c r="DH343" s="103">
        <v>1</v>
      </c>
      <c r="DI343" s="103">
        <v>1</v>
      </c>
      <c r="DJ343" s="103">
        <v>0</v>
      </c>
      <c r="DK343" s="103">
        <v>0</v>
      </c>
      <c r="DL343" s="103">
        <v>0</v>
      </c>
      <c r="DM343" s="103">
        <v>0</v>
      </c>
      <c r="DN343" s="103">
        <v>0</v>
      </c>
      <c r="DO343" s="103">
        <v>0</v>
      </c>
    </row>
    <row r="344" spans="2:119" ht="16.25" customHeight="1" x14ac:dyDescent="0.45">
      <c r="B344" s="134"/>
      <c r="C344" s="42"/>
      <c r="D344" s="110"/>
      <c r="E344" s="46" t="s">
        <v>3</v>
      </c>
      <c r="F344" s="103">
        <v>0</v>
      </c>
      <c r="G344" s="103">
        <v>11</v>
      </c>
      <c r="H344" s="103">
        <v>7</v>
      </c>
      <c r="I344" s="103">
        <v>5</v>
      </c>
      <c r="J344" s="103">
        <v>0</v>
      </c>
      <c r="K344" s="103">
        <v>0</v>
      </c>
      <c r="L344" s="103">
        <v>0</v>
      </c>
      <c r="M344" s="103">
        <v>0</v>
      </c>
      <c r="N344" s="103">
        <v>0</v>
      </c>
      <c r="O344" s="103">
        <v>0</v>
      </c>
      <c r="P344" s="42"/>
      <c r="Q344" s="110"/>
      <c r="R344" s="46" t="s">
        <v>3</v>
      </c>
      <c r="S344" s="103">
        <v>0</v>
      </c>
      <c r="T344" s="103">
        <v>0</v>
      </c>
      <c r="U344" s="103">
        <v>0</v>
      </c>
      <c r="V344" s="103">
        <v>0</v>
      </c>
      <c r="W344" s="103">
        <v>0</v>
      </c>
      <c r="X344" s="103">
        <v>0</v>
      </c>
      <c r="Y344" s="103">
        <v>0</v>
      </c>
      <c r="Z344" s="103">
        <v>0</v>
      </c>
      <c r="AA344" s="103">
        <v>0</v>
      </c>
      <c r="AB344" s="103">
        <v>0</v>
      </c>
      <c r="AC344" s="42"/>
      <c r="AD344" s="110"/>
      <c r="AE344" s="46" t="s">
        <v>3</v>
      </c>
      <c r="AF344" s="103">
        <v>0</v>
      </c>
      <c r="AG344" s="103">
        <v>11</v>
      </c>
      <c r="AH344" s="103">
        <v>7</v>
      </c>
      <c r="AI344" s="103">
        <v>5</v>
      </c>
      <c r="AJ344" s="103">
        <v>0</v>
      </c>
      <c r="AK344" s="103">
        <v>0</v>
      </c>
      <c r="AL344" s="103">
        <v>0</v>
      </c>
      <c r="AM344" s="103">
        <v>0</v>
      </c>
      <c r="AN344" s="103">
        <v>0</v>
      </c>
      <c r="AO344" s="103">
        <v>0</v>
      </c>
      <c r="AP344" s="6"/>
      <c r="AQ344" s="110"/>
      <c r="AR344" s="46" t="s">
        <v>3</v>
      </c>
      <c r="AS344" s="103">
        <v>0</v>
      </c>
      <c r="AT344" s="103">
        <v>2</v>
      </c>
      <c r="AU344" s="103">
        <v>1</v>
      </c>
      <c r="AV344" s="103">
        <v>0</v>
      </c>
      <c r="AW344" s="103">
        <v>0</v>
      </c>
      <c r="AX344" s="103">
        <v>0</v>
      </c>
      <c r="AY344" s="103">
        <v>0</v>
      </c>
      <c r="AZ344" s="103">
        <v>0</v>
      </c>
      <c r="BA344" s="103">
        <v>0</v>
      </c>
      <c r="BB344" s="103">
        <v>0</v>
      </c>
      <c r="BC344" s="42"/>
      <c r="BD344" s="110"/>
      <c r="BE344" s="46" t="s">
        <v>3</v>
      </c>
      <c r="BF344" s="103">
        <v>0</v>
      </c>
      <c r="BG344" s="103">
        <v>9</v>
      </c>
      <c r="BH344" s="103">
        <v>6</v>
      </c>
      <c r="BI344" s="103">
        <v>5</v>
      </c>
      <c r="BJ344" s="103">
        <v>0</v>
      </c>
      <c r="BK344" s="103">
        <v>0</v>
      </c>
      <c r="BL344" s="103">
        <v>0</v>
      </c>
      <c r="BM344" s="103">
        <v>0</v>
      </c>
      <c r="BN344" s="103">
        <v>0</v>
      </c>
      <c r="BO344" s="103">
        <v>0</v>
      </c>
      <c r="BQ344" s="110"/>
      <c r="BR344" s="46" t="s">
        <v>3</v>
      </c>
      <c r="BS344" s="103">
        <v>0</v>
      </c>
      <c r="BT344" s="103">
        <v>3</v>
      </c>
      <c r="BU344" s="103">
        <v>5</v>
      </c>
      <c r="BV344" s="103">
        <v>2</v>
      </c>
      <c r="BW344" s="103">
        <v>0</v>
      </c>
      <c r="BX344" s="103">
        <v>0</v>
      </c>
      <c r="BY344" s="103">
        <v>0</v>
      </c>
      <c r="BZ344" s="103">
        <v>0</v>
      </c>
      <c r="CA344" s="103">
        <v>0</v>
      </c>
      <c r="CB344" s="103">
        <v>0</v>
      </c>
      <c r="CC344" s="42"/>
      <c r="CD344" s="110"/>
      <c r="CE344" s="46" t="s">
        <v>3</v>
      </c>
      <c r="CF344" s="103">
        <v>0</v>
      </c>
      <c r="CG344" s="103">
        <v>8</v>
      </c>
      <c r="CH344" s="103">
        <v>2</v>
      </c>
      <c r="CI344" s="103">
        <v>3</v>
      </c>
      <c r="CJ344" s="103">
        <v>0</v>
      </c>
      <c r="CK344" s="103">
        <v>0</v>
      </c>
      <c r="CL344" s="103">
        <v>0</v>
      </c>
      <c r="CM344" s="103">
        <v>0</v>
      </c>
      <c r="CN344" s="103">
        <v>0</v>
      </c>
      <c r="CO344" s="103">
        <v>0</v>
      </c>
      <c r="CQ344" s="110"/>
      <c r="CR344" s="46" t="s">
        <v>3</v>
      </c>
      <c r="CS344" s="103">
        <v>0</v>
      </c>
      <c r="CT344" s="103">
        <v>1</v>
      </c>
      <c r="CU344" s="103">
        <v>2</v>
      </c>
      <c r="CV344" s="103">
        <v>2</v>
      </c>
      <c r="CW344" s="103">
        <v>0</v>
      </c>
      <c r="CX344" s="103">
        <v>0</v>
      </c>
      <c r="CY344" s="103">
        <v>0</v>
      </c>
      <c r="CZ344" s="103">
        <v>0</v>
      </c>
      <c r="DA344" s="103">
        <v>0</v>
      </c>
      <c r="DB344" s="103">
        <v>0</v>
      </c>
      <c r="DC344" s="42"/>
      <c r="DD344" s="110"/>
      <c r="DE344" s="46" t="s">
        <v>3</v>
      </c>
      <c r="DF344" s="103">
        <v>0</v>
      </c>
      <c r="DG344" s="103">
        <v>10</v>
      </c>
      <c r="DH344" s="103">
        <v>5</v>
      </c>
      <c r="DI344" s="103">
        <v>3</v>
      </c>
      <c r="DJ344" s="103">
        <v>0</v>
      </c>
      <c r="DK344" s="103">
        <v>0</v>
      </c>
      <c r="DL344" s="103">
        <v>0</v>
      </c>
      <c r="DM344" s="103">
        <v>0</v>
      </c>
      <c r="DN344" s="103">
        <v>0</v>
      </c>
      <c r="DO344" s="103">
        <v>0</v>
      </c>
    </row>
    <row r="345" spans="2:119" ht="16.25" customHeight="1" x14ac:dyDescent="0.45">
      <c r="B345" s="134"/>
      <c r="C345" s="42"/>
      <c r="D345" s="110"/>
      <c r="E345" s="46" t="s">
        <v>4</v>
      </c>
      <c r="F345" s="103">
        <v>6</v>
      </c>
      <c r="G345" s="103">
        <v>9</v>
      </c>
      <c r="H345" s="103">
        <v>5</v>
      </c>
      <c r="I345" s="103">
        <v>6</v>
      </c>
      <c r="J345" s="103">
        <v>2</v>
      </c>
      <c r="K345" s="103">
        <v>0</v>
      </c>
      <c r="L345" s="103">
        <v>1</v>
      </c>
      <c r="M345" s="103">
        <v>0</v>
      </c>
      <c r="N345" s="103">
        <v>0</v>
      </c>
      <c r="O345" s="103">
        <v>0</v>
      </c>
      <c r="P345" s="42"/>
      <c r="Q345" s="110"/>
      <c r="R345" s="46" t="s">
        <v>4</v>
      </c>
      <c r="S345" s="103">
        <v>0</v>
      </c>
      <c r="T345" s="103">
        <v>1</v>
      </c>
      <c r="U345" s="103">
        <v>0</v>
      </c>
      <c r="V345" s="103">
        <v>0</v>
      </c>
      <c r="W345" s="103">
        <v>0</v>
      </c>
      <c r="X345" s="103">
        <v>0</v>
      </c>
      <c r="Y345" s="103">
        <v>0</v>
      </c>
      <c r="Z345" s="103">
        <v>0</v>
      </c>
      <c r="AA345" s="103">
        <v>0</v>
      </c>
      <c r="AB345" s="103">
        <v>0</v>
      </c>
      <c r="AC345" s="42"/>
      <c r="AD345" s="110"/>
      <c r="AE345" s="46" t="s">
        <v>4</v>
      </c>
      <c r="AF345" s="103">
        <v>6</v>
      </c>
      <c r="AG345" s="103">
        <v>8</v>
      </c>
      <c r="AH345" s="103">
        <v>5</v>
      </c>
      <c r="AI345" s="103">
        <v>6</v>
      </c>
      <c r="AJ345" s="103">
        <v>2</v>
      </c>
      <c r="AK345" s="103">
        <v>0</v>
      </c>
      <c r="AL345" s="103">
        <v>1</v>
      </c>
      <c r="AM345" s="103">
        <v>0</v>
      </c>
      <c r="AN345" s="103">
        <v>0</v>
      </c>
      <c r="AO345" s="103">
        <v>0</v>
      </c>
      <c r="AP345" s="6"/>
      <c r="AQ345" s="110"/>
      <c r="AR345" s="46" t="s">
        <v>4</v>
      </c>
      <c r="AS345" s="103">
        <v>2</v>
      </c>
      <c r="AT345" s="103">
        <v>4</v>
      </c>
      <c r="AU345" s="103">
        <v>1</v>
      </c>
      <c r="AV345" s="103">
        <v>1</v>
      </c>
      <c r="AW345" s="103">
        <v>0</v>
      </c>
      <c r="AX345" s="103">
        <v>0</v>
      </c>
      <c r="AY345" s="103">
        <v>0</v>
      </c>
      <c r="AZ345" s="103">
        <v>0</v>
      </c>
      <c r="BA345" s="103">
        <v>0</v>
      </c>
      <c r="BB345" s="103">
        <v>0</v>
      </c>
      <c r="BC345" s="42"/>
      <c r="BD345" s="110"/>
      <c r="BE345" s="46" t="s">
        <v>4</v>
      </c>
      <c r="BF345" s="103">
        <v>4</v>
      </c>
      <c r="BG345" s="103">
        <v>5</v>
      </c>
      <c r="BH345" s="103">
        <v>4</v>
      </c>
      <c r="BI345" s="103">
        <v>5</v>
      </c>
      <c r="BJ345" s="103">
        <v>2</v>
      </c>
      <c r="BK345" s="103">
        <v>0</v>
      </c>
      <c r="BL345" s="103">
        <v>1</v>
      </c>
      <c r="BM345" s="103">
        <v>0</v>
      </c>
      <c r="BN345" s="103">
        <v>0</v>
      </c>
      <c r="BO345" s="103">
        <v>0</v>
      </c>
      <c r="BQ345" s="110"/>
      <c r="BR345" s="46" t="s">
        <v>4</v>
      </c>
      <c r="BS345" s="103">
        <v>2</v>
      </c>
      <c r="BT345" s="103">
        <v>4</v>
      </c>
      <c r="BU345" s="103">
        <v>1</v>
      </c>
      <c r="BV345" s="103">
        <v>1</v>
      </c>
      <c r="BW345" s="103">
        <v>0</v>
      </c>
      <c r="BX345" s="103">
        <v>0</v>
      </c>
      <c r="BY345" s="103">
        <v>0</v>
      </c>
      <c r="BZ345" s="103">
        <v>0</v>
      </c>
      <c r="CA345" s="103">
        <v>0</v>
      </c>
      <c r="CB345" s="103">
        <v>0</v>
      </c>
      <c r="CC345" s="42"/>
      <c r="CD345" s="110"/>
      <c r="CE345" s="46" t="s">
        <v>4</v>
      </c>
      <c r="CF345" s="103">
        <v>4</v>
      </c>
      <c r="CG345" s="103">
        <v>5</v>
      </c>
      <c r="CH345" s="103">
        <v>4</v>
      </c>
      <c r="CI345" s="103">
        <v>5</v>
      </c>
      <c r="CJ345" s="103">
        <v>2</v>
      </c>
      <c r="CK345" s="103">
        <v>0</v>
      </c>
      <c r="CL345" s="103">
        <v>1</v>
      </c>
      <c r="CM345" s="103">
        <v>0</v>
      </c>
      <c r="CN345" s="103">
        <v>0</v>
      </c>
      <c r="CO345" s="103">
        <v>0</v>
      </c>
      <c r="CQ345" s="110"/>
      <c r="CR345" s="46" t="s">
        <v>4</v>
      </c>
      <c r="CS345" s="103">
        <v>2</v>
      </c>
      <c r="CT345" s="103">
        <v>1</v>
      </c>
      <c r="CU345" s="103">
        <v>0</v>
      </c>
      <c r="CV345" s="103">
        <v>2</v>
      </c>
      <c r="CW345" s="103">
        <v>0</v>
      </c>
      <c r="CX345" s="103">
        <v>0</v>
      </c>
      <c r="CY345" s="103">
        <v>0</v>
      </c>
      <c r="CZ345" s="103">
        <v>0</v>
      </c>
      <c r="DA345" s="103">
        <v>0</v>
      </c>
      <c r="DB345" s="103">
        <v>0</v>
      </c>
      <c r="DC345" s="42"/>
      <c r="DD345" s="110"/>
      <c r="DE345" s="46" t="s">
        <v>4</v>
      </c>
      <c r="DF345" s="103">
        <v>4</v>
      </c>
      <c r="DG345" s="103">
        <v>8</v>
      </c>
      <c r="DH345" s="103">
        <v>5</v>
      </c>
      <c r="DI345" s="103">
        <v>4</v>
      </c>
      <c r="DJ345" s="103">
        <v>2</v>
      </c>
      <c r="DK345" s="103">
        <v>0</v>
      </c>
      <c r="DL345" s="103">
        <v>1</v>
      </c>
      <c r="DM345" s="103">
        <v>0</v>
      </c>
      <c r="DN345" s="103">
        <v>0</v>
      </c>
      <c r="DO345" s="103">
        <v>0</v>
      </c>
    </row>
    <row r="346" spans="2:119" ht="16.25" customHeight="1" x14ac:dyDescent="0.45">
      <c r="B346" s="134"/>
      <c r="C346" s="42"/>
      <c r="D346" s="110"/>
      <c r="E346" s="46" t="s">
        <v>5</v>
      </c>
      <c r="F346" s="103">
        <v>2</v>
      </c>
      <c r="G346" s="103">
        <v>22</v>
      </c>
      <c r="H346" s="103">
        <v>23</v>
      </c>
      <c r="I346" s="103">
        <v>13</v>
      </c>
      <c r="J346" s="103">
        <v>0</v>
      </c>
      <c r="K346" s="103">
        <v>2</v>
      </c>
      <c r="L346" s="103">
        <v>0</v>
      </c>
      <c r="M346" s="103">
        <v>1</v>
      </c>
      <c r="N346" s="103">
        <v>0</v>
      </c>
      <c r="O346" s="103">
        <v>0</v>
      </c>
      <c r="P346" s="42"/>
      <c r="Q346" s="110"/>
      <c r="R346" s="46" t="s">
        <v>5</v>
      </c>
      <c r="S346" s="103">
        <v>0</v>
      </c>
      <c r="T346" s="103">
        <v>0</v>
      </c>
      <c r="U346" s="103">
        <v>0</v>
      </c>
      <c r="V346" s="103">
        <v>2</v>
      </c>
      <c r="W346" s="103">
        <v>0</v>
      </c>
      <c r="X346" s="103">
        <v>0</v>
      </c>
      <c r="Y346" s="103">
        <v>0</v>
      </c>
      <c r="Z346" s="103">
        <v>0</v>
      </c>
      <c r="AA346" s="103">
        <v>0</v>
      </c>
      <c r="AB346" s="103">
        <v>0</v>
      </c>
      <c r="AC346" s="42"/>
      <c r="AD346" s="110"/>
      <c r="AE346" s="46" t="s">
        <v>5</v>
      </c>
      <c r="AF346" s="103">
        <v>2</v>
      </c>
      <c r="AG346" s="103">
        <v>22</v>
      </c>
      <c r="AH346" s="103">
        <v>23</v>
      </c>
      <c r="AI346" s="103">
        <v>11</v>
      </c>
      <c r="AJ346" s="103">
        <v>0</v>
      </c>
      <c r="AK346" s="103">
        <v>2</v>
      </c>
      <c r="AL346" s="103">
        <v>0</v>
      </c>
      <c r="AM346" s="103">
        <v>1</v>
      </c>
      <c r="AN346" s="103">
        <v>0</v>
      </c>
      <c r="AO346" s="103">
        <v>0</v>
      </c>
      <c r="AP346" s="6"/>
      <c r="AQ346" s="110"/>
      <c r="AR346" s="46" t="s">
        <v>5</v>
      </c>
      <c r="AS346" s="103">
        <v>2</v>
      </c>
      <c r="AT346" s="103">
        <v>8</v>
      </c>
      <c r="AU346" s="103">
        <v>4</v>
      </c>
      <c r="AV346" s="103">
        <v>3</v>
      </c>
      <c r="AW346" s="103">
        <v>0</v>
      </c>
      <c r="AX346" s="103">
        <v>1</v>
      </c>
      <c r="AY346" s="103">
        <v>0</v>
      </c>
      <c r="AZ346" s="103">
        <v>0</v>
      </c>
      <c r="BA346" s="103">
        <v>0</v>
      </c>
      <c r="BB346" s="103">
        <v>0</v>
      </c>
      <c r="BC346" s="42"/>
      <c r="BD346" s="110"/>
      <c r="BE346" s="46" t="s">
        <v>5</v>
      </c>
      <c r="BF346" s="103">
        <v>0</v>
      </c>
      <c r="BG346" s="103">
        <v>14</v>
      </c>
      <c r="BH346" s="103">
        <v>19</v>
      </c>
      <c r="BI346" s="103">
        <v>10</v>
      </c>
      <c r="BJ346" s="103">
        <v>0</v>
      </c>
      <c r="BK346" s="103">
        <v>1</v>
      </c>
      <c r="BL346" s="103">
        <v>0</v>
      </c>
      <c r="BM346" s="103">
        <v>1</v>
      </c>
      <c r="BN346" s="103">
        <v>0</v>
      </c>
      <c r="BO346" s="103">
        <v>0</v>
      </c>
      <c r="BQ346" s="110"/>
      <c r="BR346" s="46" t="s">
        <v>5</v>
      </c>
      <c r="BS346" s="103">
        <v>1</v>
      </c>
      <c r="BT346" s="103">
        <v>8</v>
      </c>
      <c r="BU346" s="103">
        <v>8</v>
      </c>
      <c r="BV346" s="103">
        <v>5</v>
      </c>
      <c r="BW346" s="103">
        <v>0</v>
      </c>
      <c r="BX346" s="103">
        <v>1</v>
      </c>
      <c r="BY346" s="103">
        <v>0</v>
      </c>
      <c r="BZ346" s="103">
        <v>0</v>
      </c>
      <c r="CA346" s="103">
        <v>0</v>
      </c>
      <c r="CB346" s="103">
        <v>0</v>
      </c>
      <c r="CC346" s="42"/>
      <c r="CD346" s="110"/>
      <c r="CE346" s="46" t="s">
        <v>5</v>
      </c>
      <c r="CF346" s="103">
        <v>1</v>
      </c>
      <c r="CG346" s="103">
        <v>14</v>
      </c>
      <c r="CH346" s="103">
        <v>15</v>
      </c>
      <c r="CI346" s="103">
        <v>8</v>
      </c>
      <c r="CJ346" s="103">
        <v>0</v>
      </c>
      <c r="CK346" s="103">
        <v>1</v>
      </c>
      <c r="CL346" s="103">
        <v>0</v>
      </c>
      <c r="CM346" s="103">
        <v>1</v>
      </c>
      <c r="CN346" s="103">
        <v>0</v>
      </c>
      <c r="CO346" s="103">
        <v>0</v>
      </c>
      <c r="CQ346" s="110"/>
      <c r="CR346" s="46" t="s">
        <v>5</v>
      </c>
      <c r="CS346" s="103">
        <v>0</v>
      </c>
      <c r="CT346" s="103">
        <v>2</v>
      </c>
      <c r="CU346" s="103">
        <v>2</v>
      </c>
      <c r="CV346" s="103">
        <v>2</v>
      </c>
      <c r="CW346" s="103">
        <v>0</v>
      </c>
      <c r="CX346" s="103">
        <v>0</v>
      </c>
      <c r="CY346" s="103">
        <v>0</v>
      </c>
      <c r="CZ346" s="103">
        <v>0</v>
      </c>
      <c r="DA346" s="103">
        <v>0</v>
      </c>
      <c r="DB346" s="103">
        <v>0</v>
      </c>
      <c r="DC346" s="42"/>
      <c r="DD346" s="110"/>
      <c r="DE346" s="46" t="s">
        <v>5</v>
      </c>
      <c r="DF346" s="103">
        <v>2</v>
      </c>
      <c r="DG346" s="103">
        <v>20</v>
      </c>
      <c r="DH346" s="103">
        <v>21</v>
      </c>
      <c r="DI346" s="103">
        <v>11</v>
      </c>
      <c r="DJ346" s="103">
        <v>0</v>
      </c>
      <c r="DK346" s="103">
        <v>2</v>
      </c>
      <c r="DL346" s="103">
        <v>0</v>
      </c>
      <c r="DM346" s="103">
        <v>1</v>
      </c>
      <c r="DN346" s="103">
        <v>0</v>
      </c>
      <c r="DO346" s="103">
        <v>0</v>
      </c>
    </row>
    <row r="347" spans="2:119" ht="16.25" customHeight="1" x14ac:dyDescent="0.45">
      <c r="B347" s="134"/>
      <c r="C347" s="42"/>
      <c r="D347" s="110"/>
      <c r="E347" s="46" t="s">
        <v>6</v>
      </c>
      <c r="F347" s="103">
        <v>17</v>
      </c>
      <c r="G347" s="103">
        <v>43</v>
      </c>
      <c r="H347" s="103">
        <v>53</v>
      </c>
      <c r="I347" s="103">
        <v>32</v>
      </c>
      <c r="J347" s="103">
        <v>11</v>
      </c>
      <c r="K347" s="103">
        <v>6</v>
      </c>
      <c r="L347" s="103">
        <v>3</v>
      </c>
      <c r="M347" s="103">
        <v>0</v>
      </c>
      <c r="N347" s="103">
        <v>0</v>
      </c>
      <c r="O347" s="103">
        <v>0</v>
      </c>
      <c r="P347" s="42"/>
      <c r="Q347" s="110"/>
      <c r="R347" s="46" t="s">
        <v>6</v>
      </c>
      <c r="S347" s="103">
        <v>1</v>
      </c>
      <c r="T347" s="103">
        <v>1</v>
      </c>
      <c r="U347" s="103">
        <v>3</v>
      </c>
      <c r="V347" s="103">
        <v>5</v>
      </c>
      <c r="W347" s="103">
        <v>0</v>
      </c>
      <c r="X347" s="103">
        <v>1</v>
      </c>
      <c r="Y347" s="103">
        <v>0</v>
      </c>
      <c r="Z347" s="103">
        <v>0</v>
      </c>
      <c r="AA347" s="103">
        <v>0</v>
      </c>
      <c r="AB347" s="103">
        <v>0</v>
      </c>
      <c r="AC347" s="42"/>
      <c r="AD347" s="110"/>
      <c r="AE347" s="46" t="s">
        <v>6</v>
      </c>
      <c r="AF347" s="103">
        <v>16</v>
      </c>
      <c r="AG347" s="103">
        <v>42</v>
      </c>
      <c r="AH347" s="103">
        <v>50</v>
      </c>
      <c r="AI347" s="103">
        <v>27</v>
      </c>
      <c r="AJ347" s="103">
        <v>11</v>
      </c>
      <c r="AK347" s="103">
        <v>5</v>
      </c>
      <c r="AL347" s="103">
        <v>3</v>
      </c>
      <c r="AM347" s="103">
        <v>0</v>
      </c>
      <c r="AN347" s="103">
        <v>0</v>
      </c>
      <c r="AO347" s="103">
        <v>0</v>
      </c>
      <c r="AP347" s="6"/>
      <c r="AQ347" s="110"/>
      <c r="AR347" s="46" t="s">
        <v>6</v>
      </c>
      <c r="AS347" s="103">
        <v>8</v>
      </c>
      <c r="AT347" s="103">
        <v>14</v>
      </c>
      <c r="AU347" s="103">
        <v>11</v>
      </c>
      <c r="AV347" s="103">
        <v>5</v>
      </c>
      <c r="AW347" s="103">
        <v>1</v>
      </c>
      <c r="AX347" s="103">
        <v>0</v>
      </c>
      <c r="AY347" s="103">
        <v>1</v>
      </c>
      <c r="AZ347" s="103">
        <v>0</v>
      </c>
      <c r="BA347" s="103">
        <v>0</v>
      </c>
      <c r="BB347" s="103">
        <v>0</v>
      </c>
      <c r="BC347" s="42"/>
      <c r="BD347" s="110"/>
      <c r="BE347" s="46" t="s">
        <v>6</v>
      </c>
      <c r="BF347" s="103">
        <v>9</v>
      </c>
      <c r="BG347" s="103">
        <v>29</v>
      </c>
      <c r="BH347" s="103">
        <v>42</v>
      </c>
      <c r="BI347" s="103">
        <v>27</v>
      </c>
      <c r="BJ347" s="103">
        <v>10</v>
      </c>
      <c r="BK347" s="103">
        <v>6</v>
      </c>
      <c r="BL347" s="103">
        <v>2</v>
      </c>
      <c r="BM347" s="103">
        <v>0</v>
      </c>
      <c r="BN347" s="103">
        <v>0</v>
      </c>
      <c r="BO347" s="103">
        <v>0</v>
      </c>
      <c r="BQ347" s="110"/>
      <c r="BR347" s="46" t="s">
        <v>6</v>
      </c>
      <c r="BS347" s="103">
        <v>4</v>
      </c>
      <c r="BT347" s="103">
        <v>8</v>
      </c>
      <c r="BU347" s="103">
        <v>15</v>
      </c>
      <c r="BV347" s="103">
        <v>6</v>
      </c>
      <c r="BW347" s="103">
        <v>1</v>
      </c>
      <c r="BX347" s="103">
        <v>1</v>
      </c>
      <c r="BY347" s="103">
        <v>1</v>
      </c>
      <c r="BZ347" s="103">
        <v>0</v>
      </c>
      <c r="CA347" s="103">
        <v>0</v>
      </c>
      <c r="CB347" s="103">
        <v>0</v>
      </c>
      <c r="CC347" s="42"/>
      <c r="CD347" s="110"/>
      <c r="CE347" s="46" t="s">
        <v>6</v>
      </c>
      <c r="CF347" s="103">
        <v>13</v>
      </c>
      <c r="CG347" s="103">
        <v>35</v>
      </c>
      <c r="CH347" s="103">
        <v>38</v>
      </c>
      <c r="CI347" s="103">
        <v>26</v>
      </c>
      <c r="CJ347" s="103">
        <v>10</v>
      </c>
      <c r="CK347" s="103">
        <v>5</v>
      </c>
      <c r="CL347" s="103">
        <v>2</v>
      </c>
      <c r="CM347" s="103">
        <v>0</v>
      </c>
      <c r="CN347" s="103">
        <v>0</v>
      </c>
      <c r="CO347" s="103">
        <v>0</v>
      </c>
      <c r="CQ347" s="110"/>
      <c r="CR347" s="46" t="s">
        <v>6</v>
      </c>
      <c r="CS347" s="103">
        <v>1</v>
      </c>
      <c r="CT347" s="103">
        <v>7</v>
      </c>
      <c r="CU347" s="103">
        <v>5</v>
      </c>
      <c r="CV347" s="103">
        <v>3</v>
      </c>
      <c r="CW347" s="103">
        <v>2</v>
      </c>
      <c r="CX347" s="103">
        <v>2</v>
      </c>
      <c r="CY347" s="103">
        <v>1</v>
      </c>
      <c r="CZ347" s="103">
        <v>0</v>
      </c>
      <c r="DA347" s="103">
        <v>0</v>
      </c>
      <c r="DB347" s="103">
        <v>0</v>
      </c>
      <c r="DC347" s="42"/>
      <c r="DD347" s="110"/>
      <c r="DE347" s="46" t="s">
        <v>6</v>
      </c>
      <c r="DF347" s="103">
        <v>16</v>
      </c>
      <c r="DG347" s="103">
        <v>36</v>
      </c>
      <c r="DH347" s="103">
        <v>48</v>
      </c>
      <c r="DI347" s="103">
        <v>29</v>
      </c>
      <c r="DJ347" s="103">
        <v>9</v>
      </c>
      <c r="DK347" s="103">
        <v>4</v>
      </c>
      <c r="DL347" s="103">
        <v>2</v>
      </c>
      <c r="DM347" s="103">
        <v>0</v>
      </c>
      <c r="DN347" s="103">
        <v>0</v>
      </c>
      <c r="DO347" s="103">
        <v>0</v>
      </c>
    </row>
    <row r="348" spans="2:119" ht="16.25" customHeight="1" x14ac:dyDescent="0.45">
      <c r="B348" s="134"/>
      <c r="C348" s="42"/>
      <c r="D348" s="110"/>
      <c r="E348" s="46" t="s">
        <v>7</v>
      </c>
      <c r="F348" s="103">
        <v>14</v>
      </c>
      <c r="G348" s="103">
        <v>70</v>
      </c>
      <c r="H348" s="103">
        <v>96</v>
      </c>
      <c r="I348" s="103">
        <v>111</v>
      </c>
      <c r="J348" s="103">
        <v>40</v>
      </c>
      <c r="K348" s="103">
        <v>12</v>
      </c>
      <c r="L348" s="103">
        <v>8</v>
      </c>
      <c r="M348" s="103">
        <v>5</v>
      </c>
      <c r="N348" s="103">
        <v>2</v>
      </c>
      <c r="O348" s="103">
        <v>1</v>
      </c>
      <c r="P348" s="42"/>
      <c r="Q348" s="110"/>
      <c r="R348" s="46" t="s">
        <v>7</v>
      </c>
      <c r="S348" s="103">
        <v>2</v>
      </c>
      <c r="T348" s="103">
        <v>2</v>
      </c>
      <c r="U348" s="103">
        <v>7</v>
      </c>
      <c r="V348" s="103">
        <v>8</v>
      </c>
      <c r="W348" s="103">
        <v>6</v>
      </c>
      <c r="X348" s="103">
        <v>3</v>
      </c>
      <c r="Y348" s="103">
        <v>2</v>
      </c>
      <c r="Z348" s="103">
        <v>1</v>
      </c>
      <c r="AA348" s="103">
        <v>1</v>
      </c>
      <c r="AB348" s="103">
        <v>0</v>
      </c>
      <c r="AC348" s="42"/>
      <c r="AD348" s="110"/>
      <c r="AE348" s="46" t="s">
        <v>7</v>
      </c>
      <c r="AF348" s="103">
        <v>12</v>
      </c>
      <c r="AG348" s="103">
        <v>68</v>
      </c>
      <c r="AH348" s="103">
        <v>89</v>
      </c>
      <c r="AI348" s="103">
        <v>103</v>
      </c>
      <c r="AJ348" s="103">
        <v>34</v>
      </c>
      <c r="AK348" s="103">
        <v>9</v>
      </c>
      <c r="AL348" s="103">
        <v>6</v>
      </c>
      <c r="AM348" s="103">
        <v>4</v>
      </c>
      <c r="AN348" s="103">
        <v>1</v>
      </c>
      <c r="AO348" s="103">
        <v>1</v>
      </c>
      <c r="AP348" s="6"/>
      <c r="AQ348" s="110"/>
      <c r="AR348" s="46" t="s">
        <v>7</v>
      </c>
      <c r="AS348" s="103">
        <v>8</v>
      </c>
      <c r="AT348" s="103">
        <v>20</v>
      </c>
      <c r="AU348" s="103">
        <v>29</v>
      </c>
      <c r="AV348" s="103">
        <v>20</v>
      </c>
      <c r="AW348" s="103">
        <v>8</v>
      </c>
      <c r="AX348" s="103">
        <v>2</v>
      </c>
      <c r="AY348" s="103">
        <v>1</v>
      </c>
      <c r="AZ348" s="103">
        <v>2</v>
      </c>
      <c r="BA348" s="103">
        <v>0</v>
      </c>
      <c r="BB348" s="103">
        <v>0</v>
      </c>
      <c r="BC348" s="42"/>
      <c r="BD348" s="110"/>
      <c r="BE348" s="46" t="s">
        <v>7</v>
      </c>
      <c r="BF348" s="103">
        <v>6</v>
      </c>
      <c r="BG348" s="103">
        <v>50</v>
      </c>
      <c r="BH348" s="103">
        <v>67</v>
      </c>
      <c r="BI348" s="103">
        <v>91</v>
      </c>
      <c r="BJ348" s="103">
        <v>32</v>
      </c>
      <c r="BK348" s="103">
        <v>10</v>
      </c>
      <c r="BL348" s="103">
        <v>7</v>
      </c>
      <c r="BM348" s="103">
        <v>3</v>
      </c>
      <c r="BN348" s="103">
        <v>2</v>
      </c>
      <c r="BO348" s="103">
        <v>1</v>
      </c>
      <c r="BQ348" s="110"/>
      <c r="BR348" s="46" t="s">
        <v>7</v>
      </c>
      <c r="BS348" s="103">
        <v>2</v>
      </c>
      <c r="BT348" s="103">
        <v>14</v>
      </c>
      <c r="BU348" s="103">
        <v>16</v>
      </c>
      <c r="BV348" s="103">
        <v>14</v>
      </c>
      <c r="BW348" s="103">
        <v>5</v>
      </c>
      <c r="BX348" s="103">
        <v>1</v>
      </c>
      <c r="BY348" s="103">
        <v>3</v>
      </c>
      <c r="BZ348" s="103">
        <v>1</v>
      </c>
      <c r="CA348" s="103">
        <v>0</v>
      </c>
      <c r="CB348" s="103">
        <v>0</v>
      </c>
      <c r="CC348" s="42"/>
      <c r="CD348" s="110"/>
      <c r="CE348" s="46" t="s">
        <v>7</v>
      </c>
      <c r="CF348" s="103">
        <v>12</v>
      </c>
      <c r="CG348" s="103">
        <v>56</v>
      </c>
      <c r="CH348" s="103">
        <v>80</v>
      </c>
      <c r="CI348" s="103">
        <v>97</v>
      </c>
      <c r="CJ348" s="103">
        <v>35</v>
      </c>
      <c r="CK348" s="103">
        <v>11</v>
      </c>
      <c r="CL348" s="103">
        <v>5</v>
      </c>
      <c r="CM348" s="103">
        <v>4</v>
      </c>
      <c r="CN348" s="103">
        <v>2</v>
      </c>
      <c r="CO348" s="103">
        <v>1</v>
      </c>
      <c r="CQ348" s="110"/>
      <c r="CR348" s="46" t="s">
        <v>7</v>
      </c>
      <c r="CS348" s="103">
        <v>1</v>
      </c>
      <c r="CT348" s="103">
        <v>9</v>
      </c>
      <c r="CU348" s="103">
        <v>13</v>
      </c>
      <c r="CV348" s="103">
        <v>12</v>
      </c>
      <c r="CW348" s="103">
        <v>10</v>
      </c>
      <c r="CX348" s="103">
        <v>3</v>
      </c>
      <c r="CY348" s="103">
        <v>0</v>
      </c>
      <c r="CZ348" s="103">
        <v>2</v>
      </c>
      <c r="DA348" s="103">
        <v>0</v>
      </c>
      <c r="DB348" s="103">
        <v>0</v>
      </c>
      <c r="DC348" s="42"/>
      <c r="DD348" s="110"/>
      <c r="DE348" s="46" t="s">
        <v>7</v>
      </c>
      <c r="DF348" s="103">
        <v>13</v>
      </c>
      <c r="DG348" s="103">
        <v>61</v>
      </c>
      <c r="DH348" s="103">
        <v>83</v>
      </c>
      <c r="DI348" s="103">
        <v>99</v>
      </c>
      <c r="DJ348" s="103">
        <v>30</v>
      </c>
      <c r="DK348" s="103">
        <v>9</v>
      </c>
      <c r="DL348" s="103">
        <v>8</v>
      </c>
      <c r="DM348" s="103">
        <v>3</v>
      </c>
      <c r="DN348" s="103">
        <v>2</v>
      </c>
      <c r="DO348" s="103">
        <v>1</v>
      </c>
    </row>
    <row r="349" spans="2:119" ht="16.25" customHeight="1" x14ac:dyDescent="0.45">
      <c r="B349" s="134"/>
      <c r="C349" s="42"/>
      <c r="D349" s="110"/>
      <c r="E349" s="46" t="s">
        <v>8</v>
      </c>
      <c r="F349" s="103">
        <v>14</v>
      </c>
      <c r="G349" s="103">
        <v>39</v>
      </c>
      <c r="H349" s="103">
        <v>104</v>
      </c>
      <c r="I349" s="103">
        <v>174</v>
      </c>
      <c r="J349" s="103">
        <v>79</v>
      </c>
      <c r="K349" s="103">
        <v>63</v>
      </c>
      <c r="L349" s="103">
        <v>37</v>
      </c>
      <c r="M349" s="103">
        <v>18</v>
      </c>
      <c r="N349" s="103">
        <v>3</v>
      </c>
      <c r="O349" s="103">
        <v>0</v>
      </c>
      <c r="P349" s="42"/>
      <c r="Q349" s="110"/>
      <c r="R349" s="46" t="s">
        <v>8</v>
      </c>
      <c r="S349" s="103">
        <v>1</v>
      </c>
      <c r="T349" s="103">
        <v>2</v>
      </c>
      <c r="U349" s="103">
        <v>7</v>
      </c>
      <c r="V349" s="103">
        <v>19</v>
      </c>
      <c r="W349" s="103">
        <v>7</v>
      </c>
      <c r="X349" s="103">
        <v>13</v>
      </c>
      <c r="Y349" s="103">
        <v>7</v>
      </c>
      <c r="Z349" s="103">
        <v>4</v>
      </c>
      <c r="AA349" s="103">
        <v>0</v>
      </c>
      <c r="AB349" s="103">
        <v>0</v>
      </c>
      <c r="AC349" s="42"/>
      <c r="AD349" s="110"/>
      <c r="AE349" s="46" t="s">
        <v>8</v>
      </c>
      <c r="AF349" s="103">
        <v>13</v>
      </c>
      <c r="AG349" s="103">
        <v>37</v>
      </c>
      <c r="AH349" s="103">
        <v>97</v>
      </c>
      <c r="AI349" s="103">
        <v>155</v>
      </c>
      <c r="AJ349" s="103">
        <v>72</v>
      </c>
      <c r="AK349" s="103">
        <v>50</v>
      </c>
      <c r="AL349" s="103">
        <v>30</v>
      </c>
      <c r="AM349" s="103">
        <v>14</v>
      </c>
      <c r="AN349" s="103">
        <v>3</v>
      </c>
      <c r="AO349" s="103">
        <v>0</v>
      </c>
      <c r="AP349" s="6"/>
      <c r="AQ349" s="110"/>
      <c r="AR349" s="46" t="s">
        <v>8</v>
      </c>
      <c r="AS349" s="103">
        <v>7</v>
      </c>
      <c r="AT349" s="103">
        <v>15</v>
      </c>
      <c r="AU349" s="103">
        <v>28</v>
      </c>
      <c r="AV349" s="103">
        <v>39</v>
      </c>
      <c r="AW349" s="103">
        <v>7</v>
      </c>
      <c r="AX349" s="103">
        <v>11</v>
      </c>
      <c r="AY349" s="103">
        <v>5</v>
      </c>
      <c r="AZ349" s="103">
        <v>3</v>
      </c>
      <c r="BA349" s="103">
        <v>0</v>
      </c>
      <c r="BB349" s="103">
        <v>0</v>
      </c>
      <c r="BC349" s="42"/>
      <c r="BD349" s="110"/>
      <c r="BE349" s="46" t="s">
        <v>8</v>
      </c>
      <c r="BF349" s="103">
        <v>7</v>
      </c>
      <c r="BG349" s="103">
        <v>24</v>
      </c>
      <c r="BH349" s="103">
        <v>76</v>
      </c>
      <c r="BI349" s="103">
        <v>135</v>
      </c>
      <c r="BJ349" s="103">
        <v>72</v>
      </c>
      <c r="BK349" s="103">
        <v>52</v>
      </c>
      <c r="BL349" s="103">
        <v>32</v>
      </c>
      <c r="BM349" s="103">
        <v>15</v>
      </c>
      <c r="BN349" s="103">
        <v>3</v>
      </c>
      <c r="BO349" s="103">
        <v>0</v>
      </c>
      <c r="BQ349" s="110"/>
      <c r="BR349" s="46" t="s">
        <v>8</v>
      </c>
      <c r="BS349" s="103">
        <v>2</v>
      </c>
      <c r="BT349" s="103">
        <v>6</v>
      </c>
      <c r="BU349" s="103">
        <v>7</v>
      </c>
      <c r="BV349" s="103">
        <v>15</v>
      </c>
      <c r="BW349" s="103">
        <v>5</v>
      </c>
      <c r="BX349" s="103">
        <v>5</v>
      </c>
      <c r="BY349" s="103">
        <v>3</v>
      </c>
      <c r="BZ349" s="103">
        <v>2</v>
      </c>
      <c r="CA349" s="103">
        <v>0</v>
      </c>
      <c r="CB349" s="103">
        <v>0</v>
      </c>
      <c r="CC349" s="42"/>
      <c r="CD349" s="110"/>
      <c r="CE349" s="46" t="s">
        <v>8</v>
      </c>
      <c r="CF349" s="103">
        <v>12</v>
      </c>
      <c r="CG349" s="103">
        <v>33</v>
      </c>
      <c r="CH349" s="103">
        <v>97</v>
      </c>
      <c r="CI349" s="103">
        <v>159</v>
      </c>
      <c r="CJ349" s="103">
        <v>74</v>
      </c>
      <c r="CK349" s="103">
        <v>58</v>
      </c>
      <c r="CL349" s="103">
        <v>34</v>
      </c>
      <c r="CM349" s="103">
        <v>16</v>
      </c>
      <c r="CN349" s="103">
        <v>3</v>
      </c>
      <c r="CO349" s="103">
        <v>0</v>
      </c>
      <c r="CQ349" s="110"/>
      <c r="CR349" s="46" t="s">
        <v>8</v>
      </c>
      <c r="CS349" s="103">
        <v>1</v>
      </c>
      <c r="CT349" s="103">
        <v>6</v>
      </c>
      <c r="CU349" s="103">
        <v>18</v>
      </c>
      <c r="CV349" s="103">
        <v>20</v>
      </c>
      <c r="CW349" s="103">
        <v>10</v>
      </c>
      <c r="CX349" s="103">
        <v>12</v>
      </c>
      <c r="CY349" s="103">
        <v>7</v>
      </c>
      <c r="CZ349" s="103">
        <v>4</v>
      </c>
      <c r="DA349" s="103">
        <v>0</v>
      </c>
      <c r="DB349" s="103">
        <v>0</v>
      </c>
      <c r="DC349" s="42"/>
      <c r="DD349" s="110"/>
      <c r="DE349" s="46" t="s">
        <v>8</v>
      </c>
      <c r="DF349" s="103">
        <v>13</v>
      </c>
      <c r="DG349" s="103">
        <v>33</v>
      </c>
      <c r="DH349" s="103">
        <v>86</v>
      </c>
      <c r="DI349" s="103">
        <v>154</v>
      </c>
      <c r="DJ349" s="103">
        <v>69</v>
      </c>
      <c r="DK349" s="103">
        <v>51</v>
      </c>
      <c r="DL349" s="103">
        <v>30</v>
      </c>
      <c r="DM349" s="103">
        <v>14</v>
      </c>
      <c r="DN349" s="103">
        <v>3</v>
      </c>
      <c r="DO349" s="103">
        <v>0</v>
      </c>
    </row>
    <row r="350" spans="2:119" ht="16.25" customHeight="1" x14ac:dyDescent="0.45">
      <c r="B350" s="134"/>
      <c r="C350" s="42"/>
      <c r="D350" s="110"/>
      <c r="E350" s="46" t="s">
        <v>9</v>
      </c>
      <c r="F350" s="103">
        <v>11</v>
      </c>
      <c r="G350" s="103">
        <v>18</v>
      </c>
      <c r="H350" s="103">
        <v>98</v>
      </c>
      <c r="I350" s="103">
        <v>171</v>
      </c>
      <c r="J350" s="103">
        <v>130</v>
      </c>
      <c r="K350" s="103">
        <v>106</v>
      </c>
      <c r="L350" s="103">
        <v>90</v>
      </c>
      <c r="M350" s="103">
        <v>33</v>
      </c>
      <c r="N350" s="103">
        <v>8</v>
      </c>
      <c r="O350" s="103">
        <v>7</v>
      </c>
      <c r="P350" s="42"/>
      <c r="Q350" s="110"/>
      <c r="R350" s="46" t="s">
        <v>9</v>
      </c>
      <c r="S350" s="103">
        <v>0</v>
      </c>
      <c r="T350" s="103">
        <v>0</v>
      </c>
      <c r="U350" s="103">
        <v>5</v>
      </c>
      <c r="V350" s="103">
        <v>14</v>
      </c>
      <c r="W350" s="103">
        <v>6</v>
      </c>
      <c r="X350" s="103">
        <v>11</v>
      </c>
      <c r="Y350" s="103">
        <v>14</v>
      </c>
      <c r="Z350" s="103">
        <v>8</v>
      </c>
      <c r="AA350" s="103">
        <v>1</v>
      </c>
      <c r="AB350" s="103">
        <v>0</v>
      </c>
      <c r="AC350" s="42"/>
      <c r="AD350" s="110"/>
      <c r="AE350" s="46" t="s">
        <v>9</v>
      </c>
      <c r="AF350" s="103">
        <v>11</v>
      </c>
      <c r="AG350" s="103">
        <v>18</v>
      </c>
      <c r="AH350" s="103">
        <v>93</v>
      </c>
      <c r="AI350" s="103">
        <v>157</v>
      </c>
      <c r="AJ350" s="103">
        <v>124</v>
      </c>
      <c r="AK350" s="103">
        <v>95</v>
      </c>
      <c r="AL350" s="103">
        <v>76</v>
      </c>
      <c r="AM350" s="103">
        <v>25</v>
      </c>
      <c r="AN350" s="103">
        <v>7</v>
      </c>
      <c r="AO350" s="103">
        <v>7</v>
      </c>
      <c r="AP350" s="6"/>
      <c r="AQ350" s="110"/>
      <c r="AR350" s="46" t="s">
        <v>9</v>
      </c>
      <c r="AS350" s="103">
        <v>3</v>
      </c>
      <c r="AT350" s="103">
        <v>5</v>
      </c>
      <c r="AU350" s="103">
        <v>19</v>
      </c>
      <c r="AV350" s="103">
        <v>34</v>
      </c>
      <c r="AW350" s="103">
        <v>23</v>
      </c>
      <c r="AX350" s="103">
        <v>8</v>
      </c>
      <c r="AY350" s="103">
        <v>5</v>
      </c>
      <c r="AZ350" s="103">
        <v>1</v>
      </c>
      <c r="BA350" s="103">
        <v>0</v>
      </c>
      <c r="BB350" s="103">
        <v>0</v>
      </c>
      <c r="BC350" s="42"/>
      <c r="BD350" s="110"/>
      <c r="BE350" s="46" t="s">
        <v>9</v>
      </c>
      <c r="BF350" s="103">
        <v>8</v>
      </c>
      <c r="BG350" s="103">
        <v>13</v>
      </c>
      <c r="BH350" s="103">
        <v>79</v>
      </c>
      <c r="BI350" s="103">
        <v>137</v>
      </c>
      <c r="BJ350" s="103">
        <v>107</v>
      </c>
      <c r="BK350" s="103">
        <v>98</v>
      </c>
      <c r="BL350" s="103">
        <v>85</v>
      </c>
      <c r="BM350" s="103">
        <v>32</v>
      </c>
      <c r="BN350" s="103">
        <v>8</v>
      </c>
      <c r="BO350" s="103">
        <v>7</v>
      </c>
      <c r="BQ350" s="110"/>
      <c r="BR350" s="46" t="s">
        <v>9</v>
      </c>
      <c r="BS350" s="103">
        <v>1</v>
      </c>
      <c r="BT350" s="103">
        <v>2</v>
      </c>
      <c r="BU350" s="103">
        <v>5</v>
      </c>
      <c r="BV350" s="103">
        <v>7</v>
      </c>
      <c r="BW350" s="103">
        <v>4</v>
      </c>
      <c r="BX350" s="103">
        <v>6</v>
      </c>
      <c r="BY350" s="103">
        <v>4</v>
      </c>
      <c r="BZ350" s="103">
        <v>3</v>
      </c>
      <c r="CA350" s="103">
        <v>0</v>
      </c>
      <c r="CB350" s="103">
        <v>1</v>
      </c>
      <c r="CC350" s="42"/>
      <c r="CD350" s="110"/>
      <c r="CE350" s="46" t="s">
        <v>9</v>
      </c>
      <c r="CF350" s="103">
        <v>10</v>
      </c>
      <c r="CG350" s="103">
        <v>16</v>
      </c>
      <c r="CH350" s="103">
        <v>93</v>
      </c>
      <c r="CI350" s="103">
        <v>164</v>
      </c>
      <c r="CJ350" s="103">
        <v>126</v>
      </c>
      <c r="CK350" s="103">
        <v>100</v>
      </c>
      <c r="CL350" s="103">
        <v>86</v>
      </c>
      <c r="CM350" s="103">
        <v>30</v>
      </c>
      <c r="CN350" s="103">
        <v>8</v>
      </c>
      <c r="CO350" s="103">
        <v>6</v>
      </c>
      <c r="CQ350" s="110"/>
      <c r="CR350" s="46" t="s">
        <v>9</v>
      </c>
      <c r="CS350" s="103">
        <v>0</v>
      </c>
      <c r="CT350" s="103">
        <v>2</v>
      </c>
      <c r="CU350" s="103">
        <v>9</v>
      </c>
      <c r="CV350" s="103">
        <v>14</v>
      </c>
      <c r="CW350" s="103">
        <v>12</v>
      </c>
      <c r="CX350" s="103">
        <v>10</v>
      </c>
      <c r="CY350" s="103">
        <v>13</v>
      </c>
      <c r="CZ350" s="103">
        <v>8</v>
      </c>
      <c r="DA350" s="103">
        <v>1</v>
      </c>
      <c r="DB350" s="103">
        <v>0</v>
      </c>
      <c r="DC350" s="42"/>
      <c r="DD350" s="110"/>
      <c r="DE350" s="46" t="s">
        <v>9</v>
      </c>
      <c r="DF350" s="103">
        <v>11</v>
      </c>
      <c r="DG350" s="103">
        <v>16</v>
      </c>
      <c r="DH350" s="103">
        <v>89</v>
      </c>
      <c r="DI350" s="103">
        <v>157</v>
      </c>
      <c r="DJ350" s="103">
        <v>118</v>
      </c>
      <c r="DK350" s="103">
        <v>96</v>
      </c>
      <c r="DL350" s="103">
        <v>77</v>
      </c>
      <c r="DM350" s="103">
        <v>25</v>
      </c>
      <c r="DN350" s="103">
        <v>7</v>
      </c>
      <c r="DO350" s="103">
        <v>7</v>
      </c>
    </row>
    <row r="351" spans="2:119" ht="16.25" customHeight="1" x14ac:dyDescent="0.45">
      <c r="B351" s="134"/>
      <c r="C351" s="42"/>
      <c r="D351" s="110"/>
      <c r="E351" s="46" t="s">
        <v>10</v>
      </c>
      <c r="F351" s="103">
        <v>1</v>
      </c>
      <c r="G351" s="103">
        <v>6</v>
      </c>
      <c r="H351" s="103">
        <v>41</v>
      </c>
      <c r="I351" s="103">
        <v>98</v>
      </c>
      <c r="J351" s="103">
        <v>97</v>
      </c>
      <c r="K351" s="103">
        <v>140</v>
      </c>
      <c r="L351" s="103">
        <v>152</v>
      </c>
      <c r="M351" s="103">
        <v>83</v>
      </c>
      <c r="N351" s="103">
        <v>58</v>
      </c>
      <c r="O351" s="103">
        <v>14</v>
      </c>
      <c r="P351" s="42"/>
      <c r="Q351" s="110"/>
      <c r="R351" s="46" t="s">
        <v>10</v>
      </c>
      <c r="S351" s="103">
        <v>0</v>
      </c>
      <c r="T351" s="103">
        <v>0</v>
      </c>
      <c r="U351" s="103">
        <v>2</v>
      </c>
      <c r="V351" s="103">
        <v>5</v>
      </c>
      <c r="W351" s="103">
        <v>7</v>
      </c>
      <c r="X351" s="103">
        <v>15</v>
      </c>
      <c r="Y351" s="103">
        <v>31</v>
      </c>
      <c r="Z351" s="103">
        <v>16</v>
      </c>
      <c r="AA351" s="103">
        <v>11</v>
      </c>
      <c r="AB351" s="103">
        <v>4</v>
      </c>
      <c r="AC351" s="42"/>
      <c r="AD351" s="110"/>
      <c r="AE351" s="46" t="s">
        <v>10</v>
      </c>
      <c r="AF351" s="103">
        <v>1</v>
      </c>
      <c r="AG351" s="103">
        <v>6</v>
      </c>
      <c r="AH351" s="103">
        <v>39</v>
      </c>
      <c r="AI351" s="103">
        <v>93</v>
      </c>
      <c r="AJ351" s="103">
        <v>90</v>
      </c>
      <c r="AK351" s="103">
        <v>125</v>
      </c>
      <c r="AL351" s="103">
        <v>121</v>
      </c>
      <c r="AM351" s="103">
        <v>67</v>
      </c>
      <c r="AN351" s="103">
        <v>47</v>
      </c>
      <c r="AO351" s="103">
        <v>10</v>
      </c>
      <c r="AP351" s="6"/>
      <c r="AQ351" s="110"/>
      <c r="AR351" s="46" t="s">
        <v>10</v>
      </c>
      <c r="AS351" s="103">
        <v>1</v>
      </c>
      <c r="AT351" s="103">
        <v>2</v>
      </c>
      <c r="AU351" s="103">
        <v>11</v>
      </c>
      <c r="AV351" s="103">
        <v>15</v>
      </c>
      <c r="AW351" s="103">
        <v>5</v>
      </c>
      <c r="AX351" s="103">
        <v>16</v>
      </c>
      <c r="AY351" s="103">
        <v>15</v>
      </c>
      <c r="AZ351" s="103">
        <v>6</v>
      </c>
      <c r="BA351" s="103">
        <v>1</v>
      </c>
      <c r="BB351" s="103">
        <v>0</v>
      </c>
      <c r="BC351" s="42"/>
      <c r="BD351" s="110"/>
      <c r="BE351" s="46" t="s">
        <v>10</v>
      </c>
      <c r="BF351" s="103">
        <v>0</v>
      </c>
      <c r="BG351" s="103">
        <v>4</v>
      </c>
      <c r="BH351" s="103">
        <v>30</v>
      </c>
      <c r="BI351" s="103">
        <v>83</v>
      </c>
      <c r="BJ351" s="103">
        <v>92</v>
      </c>
      <c r="BK351" s="103">
        <v>124</v>
      </c>
      <c r="BL351" s="103">
        <v>137</v>
      </c>
      <c r="BM351" s="103">
        <v>77</v>
      </c>
      <c r="BN351" s="103">
        <v>57</v>
      </c>
      <c r="BO351" s="103">
        <v>14</v>
      </c>
      <c r="BQ351" s="110"/>
      <c r="BR351" s="46" t="s">
        <v>10</v>
      </c>
      <c r="BS351" s="103">
        <v>0</v>
      </c>
      <c r="BT351" s="103">
        <v>2</v>
      </c>
      <c r="BU351" s="103">
        <v>1</v>
      </c>
      <c r="BV351" s="103">
        <v>6</v>
      </c>
      <c r="BW351" s="103">
        <v>4</v>
      </c>
      <c r="BX351" s="103">
        <v>6</v>
      </c>
      <c r="BY351" s="103">
        <v>4</v>
      </c>
      <c r="BZ351" s="103">
        <v>3</v>
      </c>
      <c r="CA351" s="103">
        <v>4</v>
      </c>
      <c r="CB351" s="103">
        <v>1</v>
      </c>
      <c r="CC351" s="42"/>
      <c r="CD351" s="110"/>
      <c r="CE351" s="46" t="s">
        <v>10</v>
      </c>
      <c r="CF351" s="103">
        <v>1</v>
      </c>
      <c r="CG351" s="103">
        <v>4</v>
      </c>
      <c r="CH351" s="103">
        <v>40</v>
      </c>
      <c r="CI351" s="103">
        <v>92</v>
      </c>
      <c r="CJ351" s="103">
        <v>93</v>
      </c>
      <c r="CK351" s="103">
        <v>134</v>
      </c>
      <c r="CL351" s="103">
        <v>148</v>
      </c>
      <c r="CM351" s="103">
        <v>80</v>
      </c>
      <c r="CN351" s="103">
        <v>54</v>
      </c>
      <c r="CO351" s="103">
        <v>13</v>
      </c>
      <c r="CQ351" s="110"/>
      <c r="CR351" s="46" t="s">
        <v>10</v>
      </c>
      <c r="CS351" s="103">
        <v>0</v>
      </c>
      <c r="CT351" s="103">
        <v>2</v>
      </c>
      <c r="CU351" s="103">
        <v>4</v>
      </c>
      <c r="CV351" s="103">
        <v>12</v>
      </c>
      <c r="CW351" s="103">
        <v>9</v>
      </c>
      <c r="CX351" s="103">
        <v>13</v>
      </c>
      <c r="CY351" s="103">
        <v>19</v>
      </c>
      <c r="CZ351" s="103">
        <v>9</v>
      </c>
      <c r="DA351" s="103">
        <v>6</v>
      </c>
      <c r="DB351" s="103">
        <v>0</v>
      </c>
      <c r="DC351" s="42"/>
      <c r="DD351" s="110"/>
      <c r="DE351" s="46" t="s">
        <v>10</v>
      </c>
      <c r="DF351" s="103">
        <v>1</v>
      </c>
      <c r="DG351" s="103">
        <v>4</v>
      </c>
      <c r="DH351" s="103">
        <v>37</v>
      </c>
      <c r="DI351" s="103">
        <v>86</v>
      </c>
      <c r="DJ351" s="103">
        <v>88</v>
      </c>
      <c r="DK351" s="103">
        <v>127</v>
      </c>
      <c r="DL351" s="103">
        <v>133</v>
      </c>
      <c r="DM351" s="103">
        <v>74</v>
      </c>
      <c r="DN351" s="103">
        <v>52</v>
      </c>
      <c r="DO351" s="103">
        <v>14</v>
      </c>
    </row>
    <row r="352" spans="2:119" ht="16.25" customHeight="1" x14ac:dyDescent="0.45">
      <c r="B352" s="134"/>
      <c r="C352" s="42"/>
      <c r="D352" s="111"/>
      <c r="E352" s="46" t="s">
        <v>11</v>
      </c>
      <c r="F352" s="103">
        <v>0</v>
      </c>
      <c r="G352" s="103">
        <v>0</v>
      </c>
      <c r="H352" s="103">
        <v>3</v>
      </c>
      <c r="I352" s="103">
        <v>9</v>
      </c>
      <c r="J352" s="103">
        <v>21</v>
      </c>
      <c r="K352" s="103">
        <v>24</v>
      </c>
      <c r="L352" s="103">
        <v>45</v>
      </c>
      <c r="M352" s="103">
        <v>24</v>
      </c>
      <c r="N352" s="103">
        <v>29</v>
      </c>
      <c r="O352" s="103">
        <v>22</v>
      </c>
      <c r="P352" s="42"/>
      <c r="Q352" s="111"/>
      <c r="R352" s="46" t="s">
        <v>11</v>
      </c>
      <c r="S352" s="103">
        <v>0</v>
      </c>
      <c r="T352" s="103">
        <v>0</v>
      </c>
      <c r="U352" s="103">
        <v>0</v>
      </c>
      <c r="V352" s="103">
        <v>1</v>
      </c>
      <c r="W352" s="103">
        <v>3</v>
      </c>
      <c r="X352" s="103">
        <v>3</v>
      </c>
      <c r="Y352" s="103">
        <v>9</v>
      </c>
      <c r="Z352" s="103">
        <v>5</v>
      </c>
      <c r="AA352" s="103">
        <v>11</v>
      </c>
      <c r="AB352" s="103">
        <v>8</v>
      </c>
      <c r="AC352" s="42"/>
      <c r="AD352" s="111"/>
      <c r="AE352" s="46" t="s">
        <v>11</v>
      </c>
      <c r="AF352" s="103">
        <v>0</v>
      </c>
      <c r="AG352" s="103">
        <v>0</v>
      </c>
      <c r="AH352" s="103">
        <v>3</v>
      </c>
      <c r="AI352" s="103">
        <v>8</v>
      </c>
      <c r="AJ352" s="103">
        <v>18</v>
      </c>
      <c r="AK352" s="103">
        <v>21</v>
      </c>
      <c r="AL352" s="103">
        <v>36</v>
      </c>
      <c r="AM352" s="103">
        <v>19</v>
      </c>
      <c r="AN352" s="103">
        <v>18</v>
      </c>
      <c r="AO352" s="103">
        <v>14</v>
      </c>
      <c r="AP352" s="6"/>
      <c r="AQ352" s="111"/>
      <c r="AR352" s="46" t="s">
        <v>11</v>
      </c>
      <c r="AS352" s="103">
        <v>0</v>
      </c>
      <c r="AT352" s="103">
        <v>0</v>
      </c>
      <c r="AU352" s="103">
        <v>1</v>
      </c>
      <c r="AV352" s="103">
        <v>1</v>
      </c>
      <c r="AW352" s="103">
        <v>1</v>
      </c>
      <c r="AX352" s="103">
        <v>2</v>
      </c>
      <c r="AY352" s="103">
        <v>1</v>
      </c>
      <c r="AZ352" s="103">
        <v>0</v>
      </c>
      <c r="BA352" s="103">
        <v>3</v>
      </c>
      <c r="BB352" s="103">
        <v>0</v>
      </c>
      <c r="BC352" s="42"/>
      <c r="BD352" s="111"/>
      <c r="BE352" s="46" t="s">
        <v>11</v>
      </c>
      <c r="BF352" s="103">
        <v>0</v>
      </c>
      <c r="BG352" s="103">
        <v>0</v>
      </c>
      <c r="BH352" s="103">
        <v>2</v>
      </c>
      <c r="BI352" s="103">
        <v>8</v>
      </c>
      <c r="BJ352" s="103">
        <v>20</v>
      </c>
      <c r="BK352" s="103">
        <v>22</v>
      </c>
      <c r="BL352" s="103">
        <v>44</v>
      </c>
      <c r="BM352" s="103">
        <v>24</v>
      </c>
      <c r="BN352" s="103">
        <v>26</v>
      </c>
      <c r="BO352" s="103">
        <v>22</v>
      </c>
      <c r="BQ352" s="111"/>
      <c r="BR352" s="46" t="s">
        <v>11</v>
      </c>
      <c r="BS352" s="103">
        <v>0</v>
      </c>
      <c r="BT352" s="103">
        <v>0</v>
      </c>
      <c r="BU352" s="103">
        <v>0</v>
      </c>
      <c r="BV352" s="103">
        <v>1</v>
      </c>
      <c r="BW352" s="103">
        <v>2</v>
      </c>
      <c r="BX352" s="103">
        <v>0</v>
      </c>
      <c r="BY352" s="103">
        <v>0</v>
      </c>
      <c r="BZ352" s="103">
        <v>1</v>
      </c>
      <c r="CA352" s="103">
        <v>1</v>
      </c>
      <c r="CB352" s="103">
        <v>0</v>
      </c>
      <c r="CC352" s="42"/>
      <c r="CD352" s="111"/>
      <c r="CE352" s="46" t="s">
        <v>11</v>
      </c>
      <c r="CF352" s="103">
        <v>0</v>
      </c>
      <c r="CG352" s="103">
        <v>0</v>
      </c>
      <c r="CH352" s="103">
        <v>3</v>
      </c>
      <c r="CI352" s="103">
        <v>8</v>
      </c>
      <c r="CJ352" s="103">
        <v>19</v>
      </c>
      <c r="CK352" s="103">
        <v>24</v>
      </c>
      <c r="CL352" s="103">
        <v>45</v>
      </c>
      <c r="CM352" s="103">
        <v>23</v>
      </c>
      <c r="CN352" s="103">
        <v>28</v>
      </c>
      <c r="CO352" s="103">
        <v>22</v>
      </c>
      <c r="CQ352" s="111"/>
      <c r="CR352" s="46" t="s">
        <v>11</v>
      </c>
      <c r="CS352" s="103">
        <v>0</v>
      </c>
      <c r="CT352" s="103">
        <v>0</v>
      </c>
      <c r="CU352" s="103">
        <v>0</v>
      </c>
      <c r="CV352" s="103">
        <v>0</v>
      </c>
      <c r="CW352" s="103">
        <v>2</v>
      </c>
      <c r="CX352" s="103">
        <v>2</v>
      </c>
      <c r="CY352" s="103">
        <v>4</v>
      </c>
      <c r="CZ352" s="103">
        <v>0</v>
      </c>
      <c r="DA352" s="103">
        <v>4</v>
      </c>
      <c r="DB352" s="103">
        <v>1</v>
      </c>
      <c r="DC352" s="42"/>
      <c r="DD352" s="111"/>
      <c r="DE352" s="46" t="s">
        <v>11</v>
      </c>
      <c r="DF352" s="103">
        <v>0</v>
      </c>
      <c r="DG352" s="103">
        <v>0</v>
      </c>
      <c r="DH352" s="103">
        <v>3</v>
      </c>
      <c r="DI352" s="103">
        <v>9</v>
      </c>
      <c r="DJ352" s="103">
        <v>19</v>
      </c>
      <c r="DK352" s="103">
        <v>22</v>
      </c>
      <c r="DL352" s="103">
        <v>41</v>
      </c>
      <c r="DM352" s="103">
        <v>24</v>
      </c>
      <c r="DN352" s="103">
        <v>25</v>
      </c>
      <c r="DO352" s="103">
        <v>21</v>
      </c>
    </row>
    <row r="353" spans="2:119" ht="22.5" x14ac:dyDescent="0.45">
      <c r="B353" s="99"/>
      <c r="C353" s="42"/>
      <c r="D353" s="42"/>
      <c r="E353" s="42"/>
      <c r="F353" s="42"/>
      <c r="G353" s="42"/>
      <c r="H353" s="42"/>
      <c r="I353" s="42"/>
      <c r="J353" s="42"/>
      <c r="K353" s="42"/>
      <c r="L353" s="42"/>
      <c r="M353" s="42"/>
      <c r="N353" s="42"/>
      <c r="O353" s="42"/>
      <c r="P353" s="42"/>
      <c r="Q353" s="42"/>
      <c r="R353" s="42"/>
      <c r="S353" s="42"/>
      <c r="T353" s="42"/>
      <c r="U353" s="42"/>
      <c r="V353" s="42"/>
      <c r="W353" s="42"/>
      <c r="X353" s="42"/>
      <c r="Y353" s="42"/>
      <c r="Z353" s="42"/>
      <c r="AA353" s="42"/>
      <c r="AB353" s="42"/>
      <c r="AC353" s="42"/>
      <c r="AD353" s="42"/>
      <c r="AE353" s="42"/>
      <c r="AF353" s="42"/>
      <c r="AG353" s="42"/>
      <c r="AH353" s="42"/>
      <c r="AI353" s="42"/>
      <c r="AJ353" s="42"/>
      <c r="AK353" s="42"/>
      <c r="AL353" s="42"/>
      <c r="AM353" s="42"/>
      <c r="AN353" s="42"/>
      <c r="AO353" s="42"/>
      <c r="AP353" s="6"/>
      <c r="AQ353" s="42"/>
      <c r="AR353" s="42"/>
      <c r="AS353" s="42"/>
      <c r="AT353" s="42"/>
      <c r="AU353" s="42"/>
      <c r="AV353" s="42"/>
      <c r="AW353" s="42"/>
      <c r="AX353" s="42"/>
      <c r="AY353" s="42"/>
      <c r="AZ353" s="42"/>
      <c r="BA353" s="42"/>
      <c r="BB353" s="42"/>
      <c r="BC353" s="42"/>
      <c r="BD353" s="42"/>
      <c r="BE353" s="42"/>
      <c r="BF353" s="42"/>
      <c r="BG353" s="42"/>
      <c r="BH353" s="42"/>
      <c r="BI353" s="42"/>
      <c r="BJ353" s="42"/>
      <c r="BK353" s="42"/>
      <c r="BL353" s="42"/>
      <c r="BM353" s="42"/>
      <c r="BN353" s="42"/>
      <c r="BO353" s="42"/>
      <c r="BQ353" s="42"/>
      <c r="BR353" s="42"/>
      <c r="BS353" s="42"/>
      <c r="BT353" s="42"/>
      <c r="BU353" s="42"/>
      <c r="BV353" s="42"/>
      <c r="BW353" s="42"/>
      <c r="BX353" s="42"/>
      <c r="BY353" s="42"/>
      <c r="BZ353" s="42"/>
      <c r="CA353" s="42"/>
      <c r="CB353" s="42"/>
      <c r="CC353" s="42"/>
      <c r="CD353" s="42"/>
      <c r="CE353" s="42"/>
      <c r="CF353" s="42"/>
      <c r="CG353" s="42"/>
      <c r="CH353" s="42"/>
      <c r="CI353" s="42"/>
      <c r="CJ353" s="42"/>
      <c r="CK353" s="42"/>
      <c r="CL353" s="42"/>
      <c r="CM353" s="42"/>
      <c r="CN353" s="42"/>
      <c r="CO353" s="42"/>
      <c r="CQ353" s="42"/>
      <c r="CR353" s="42"/>
      <c r="CS353" s="42"/>
      <c r="CT353" s="42"/>
      <c r="CU353" s="42"/>
      <c r="CV353" s="42"/>
      <c r="CW353" s="42"/>
      <c r="CX353" s="42"/>
      <c r="CY353" s="42"/>
      <c r="CZ353" s="42"/>
      <c r="DA353" s="42"/>
      <c r="DB353" s="42"/>
      <c r="DC353" s="42"/>
      <c r="DD353" s="42"/>
      <c r="DE353" s="42"/>
      <c r="DF353" s="42"/>
      <c r="DG353" s="42"/>
      <c r="DH353" s="42"/>
      <c r="DI353" s="42"/>
      <c r="DJ353" s="42"/>
      <c r="DK353" s="42"/>
      <c r="DL353" s="42"/>
      <c r="DM353" s="42"/>
      <c r="DN353" s="42"/>
      <c r="DO353" s="42"/>
    </row>
    <row r="354" spans="2:119" ht="18.75" customHeight="1" x14ac:dyDescent="0.55000000000000004">
      <c r="B354" s="99"/>
      <c r="C354" s="42"/>
      <c r="D354" s="112" t="s">
        <v>16</v>
      </c>
      <c r="E354" s="112"/>
      <c r="F354" s="45"/>
      <c r="G354" s="45"/>
      <c r="H354" s="45"/>
      <c r="I354" s="45"/>
      <c r="J354" s="45"/>
      <c r="K354" s="45"/>
      <c r="L354" s="45"/>
      <c r="M354" s="45"/>
      <c r="N354" s="45"/>
      <c r="O354" s="45"/>
      <c r="P354" s="42"/>
      <c r="Q354" s="112" t="s">
        <v>16</v>
      </c>
      <c r="R354" s="112"/>
      <c r="S354" s="45"/>
      <c r="T354" s="45"/>
      <c r="U354" s="45"/>
      <c r="V354" s="45"/>
      <c r="W354" s="45"/>
      <c r="X354" s="45"/>
      <c r="Y354" s="45"/>
      <c r="Z354" s="45"/>
      <c r="AA354" s="45"/>
      <c r="AB354" s="45"/>
      <c r="AC354" s="42"/>
      <c r="AD354" s="112" t="s">
        <v>16</v>
      </c>
      <c r="AE354" s="112"/>
      <c r="AF354" s="45"/>
      <c r="AG354" s="45"/>
      <c r="AH354" s="45"/>
      <c r="AI354" s="45"/>
      <c r="AJ354" s="45"/>
      <c r="AK354" s="45"/>
      <c r="AL354" s="45"/>
      <c r="AM354" s="45"/>
      <c r="AN354" s="45"/>
      <c r="AO354" s="45"/>
      <c r="AP354" s="6"/>
      <c r="AQ354" s="112" t="s">
        <v>16</v>
      </c>
      <c r="AR354" s="112"/>
      <c r="AS354" s="45"/>
      <c r="AT354" s="45"/>
      <c r="AU354" s="45"/>
      <c r="AV354" s="45"/>
      <c r="AW354" s="45"/>
      <c r="AX354" s="45"/>
      <c r="AY354" s="45"/>
      <c r="AZ354" s="45"/>
      <c r="BA354" s="45"/>
      <c r="BB354" s="45"/>
      <c r="BC354" s="42"/>
      <c r="BD354" s="112" t="s">
        <v>16</v>
      </c>
      <c r="BE354" s="112"/>
      <c r="BF354" s="45"/>
      <c r="BG354" s="45"/>
      <c r="BH354" s="45"/>
      <c r="BI354" s="45"/>
      <c r="BJ354" s="45"/>
      <c r="BK354" s="45"/>
      <c r="BL354" s="45"/>
      <c r="BM354" s="45"/>
      <c r="BN354" s="45"/>
      <c r="BO354" s="45"/>
      <c r="BQ354" s="112" t="s">
        <v>16</v>
      </c>
      <c r="BR354" s="112"/>
      <c r="BS354" s="45"/>
      <c r="BT354" s="45"/>
      <c r="BU354" s="45"/>
      <c r="BV354" s="45"/>
      <c r="BW354" s="45"/>
      <c r="BX354" s="45"/>
      <c r="BY354" s="45"/>
      <c r="BZ354" s="45"/>
      <c r="CA354" s="45"/>
      <c r="CB354" s="45"/>
      <c r="CC354" s="42"/>
      <c r="CD354" s="112" t="s">
        <v>16</v>
      </c>
      <c r="CE354" s="112"/>
      <c r="CF354" s="45"/>
      <c r="CG354" s="45"/>
      <c r="CH354" s="45"/>
      <c r="CI354" s="45"/>
      <c r="CJ354" s="45"/>
      <c r="CK354" s="45"/>
      <c r="CL354" s="45"/>
      <c r="CM354" s="45"/>
      <c r="CN354" s="45"/>
      <c r="CO354" s="45"/>
      <c r="CQ354" s="112" t="s">
        <v>16</v>
      </c>
      <c r="CR354" s="112"/>
      <c r="CS354" s="45"/>
      <c r="CT354" s="45"/>
      <c r="CU354" s="45"/>
      <c r="CV354" s="45"/>
      <c r="CW354" s="45"/>
      <c r="CX354" s="45"/>
      <c r="CY354" s="45"/>
      <c r="CZ354" s="45"/>
      <c r="DA354" s="45"/>
      <c r="DB354" s="45"/>
      <c r="DC354" s="42"/>
      <c r="DD354" s="112" t="s">
        <v>16</v>
      </c>
      <c r="DE354" s="112"/>
      <c r="DF354" s="45"/>
      <c r="DG354" s="45"/>
      <c r="DH354" s="45"/>
      <c r="DI354" s="45"/>
      <c r="DJ354" s="45"/>
      <c r="DK354" s="45"/>
      <c r="DL354" s="45"/>
      <c r="DM354" s="45"/>
      <c r="DN354" s="45"/>
      <c r="DO354" s="45"/>
    </row>
    <row r="355" spans="2:119" ht="28.9" customHeight="1" x14ac:dyDescent="0.45">
      <c r="B355" s="99"/>
      <c r="C355" s="42"/>
      <c r="D355" s="112"/>
      <c r="E355" s="112"/>
      <c r="F355" s="108" t="s">
        <v>12</v>
      </c>
      <c r="G355" s="108"/>
      <c r="H355" s="108"/>
      <c r="I355" s="108"/>
      <c r="J355" s="108"/>
      <c r="K355" s="108"/>
      <c r="L355" s="108"/>
      <c r="M355" s="108"/>
      <c r="N355" s="108"/>
      <c r="O355" s="108"/>
      <c r="P355" s="42"/>
      <c r="Q355" s="112"/>
      <c r="R355" s="112"/>
      <c r="S355" s="108" t="s">
        <v>12</v>
      </c>
      <c r="T355" s="108"/>
      <c r="U355" s="108"/>
      <c r="V355" s="108"/>
      <c r="W355" s="108"/>
      <c r="X355" s="108"/>
      <c r="Y355" s="108"/>
      <c r="Z355" s="108"/>
      <c r="AA355" s="108"/>
      <c r="AB355" s="108"/>
      <c r="AC355" s="42"/>
      <c r="AD355" s="112"/>
      <c r="AE355" s="112"/>
      <c r="AF355" s="131" t="s">
        <v>12</v>
      </c>
      <c r="AG355" s="132"/>
      <c r="AH355" s="132"/>
      <c r="AI355" s="132"/>
      <c r="AJ355" s="132"/>
      <c r="AK355" s="132"/>
      <c r="AL355" s="132"/>
      <c r="AM355" s="132"/>
      <c r="AN355" s="132"/>
      <c r="AO355" s="133"/>
      <c r="AP355" s="6"/>
      <c r="AQ355" s="112"/>
      <c r="AR355" s="112"/>
      <c r="AS355" s="108" t="s">
        <v>12</v>
      </c>
      <c r="AT355" s="108"/>
      <c r="AU355" s="108"/>
      <c r="AV355" s="108"/>
      <c r="AW355" s="108"/>
      <c r="AX355" s="108"/>
      <c r="AY355" s="108"/>
      <c r="AZ355" s="108"/>
      <c r="BA355" s="108"/>
      <c r="BB355" s="108"/>
      <c r="BC355" s="42"/>
      <c r="BD355" s="112"/>
      <c r="BE355" s="112"/>
      <c r="BF355" s="108" t="s">
        <v>12</v>
      </c>
      <c r="BG355" s="108"/>
      <c r="BH355" s="108"/>
      <c r="BI355" s="108"/>
      <c r="BJ355" s="108"/>
      <c r="BK355" s="108"/>
      <c r="BL355" s="108"/>
      <c r="BM355" s="108"/>
      <c r="BN355" s="108"/>
      <c r="BO355" s="108"/>
      <c r="BQ355" s="112"/>
      <c r="BR355" s="112"/>
      <c r="BS355" s="108" t="s">
        <v>12</v>
      </c>
      <c r="BT355" s="108"/>
      <c r="BU355" s="108"/>
      <c r="BV355" s="108"/>
      <c r="BW355" s="108"/>
      <c r="BX355" s="108"/>
      <c r="BY355" s="108"/>
      <c r="BZ355" s="108"/>
      <c r="CA355" s="108"/>
      <c r="CB355" s="108"/>
      <c r="CC355" s="42"/>
      <c r="CD355" s="112"/>
      <c r="CE355" s="112"/>
      <c r="CF355" s="108" t="s">
        <v>12</v>
      </c>
      <c r="CG355" s="108"/>
      <c r="CH355" s="108"/>
      <c r="CI355" s="108"/>
      <c r="CJ355" s="108"/>
      <c r="CK355" s="108"/>
      <c r="CL355" s="108"/>
      <c r="CM355" s="108"/>
      <c r="CN355" s="108"/>
      <c r="CO355" s="108"/>
      <c r="CQ355" s="112"/>
      <c r="CR355" s="112"/>
      <c r="CS355" s="108" t="s">
        <v>12</v>
      </c>
      <c r="CT355" s="108"/>
      <c r="CU355" s="108"/>
      <c r="CV355" s="108"/>
      <c r="CW355" s="108"/>
      <c r="CX355" s="108"/>
      <c r="CY355" s="108"/>
      <c r="CZ355" s="108"/>
      <c r="DA355" s="108"/>
      <c r="DB355" s="108"/>
      <c r="DC355" s="42"/>
      <c r="DD355" s="112"/>
      <c r="DE355" s="112"/>
      <c r="DF355" s="108" t="s">
        <v>12</v>
      </c>
      <c r="DG355" s="108"/>
      <c r="DH355" s="108"/>
      <c r="DI355" s="108"/>
      <c r="DJ355" s="108"/>
      <c r="DK355" s="108"/>
      <c r="DL355" s="108"/>
      <c r="DM355" s="108"/>
      <c r="DN355" s="108"/>
      <c r="DO355" s="108"/>
    </row>
    <row r="356" spans="2:119" ht="15" customHeight="1" x14ac:dyDescent="0.45">
      <c r="B356" s="99"/>
      <c r="C356" s="42"/>
      <c r="D356" s="113"/>
      <c r="E356" s="113"/>
      <c r="F356" s="9" t="s">
        <v>0</v>
      </c>
      <c r="G356" s="9">
        <v>1</v>
      </c>
      <c r="H356" s="9">
        <v>2</v>
      </c>
      <c r="I356" s="9">
        <v>3</v>
      </c>
      <c r="J356" s="9">
        <v>4</v>
      </c>
      <c r="K356" s="9">
        <v>5</v>
      </c>
      <c r="L356" s="9">
        <v>6</v>
      </c>
      <c r="M356" s="9">
        <v>7</v>
      </c>
      <c r="N356" s="9">
        <v>8</v>
      </c>
      <c r="O356" s="9">
        <v>9</v>
      </c>
      <c r="P356" s="42"/>
      <c r="Q356" s="113"/>
      <c r="R356" s="113"/>
      <c r="S356" s="9" t="s">
        <v>0</v>
      </c>
      <c r="T356" s="9">
        <v>1</v>
      </c>
      <c r="U356" s="9">
        <v>2</v>
      </c>
      <c r="V356" s="9">
        <v>3</v>
      </c>
      <c r="W356" s="9">
        <v>4</v>
      </c>
      <c r="X356" s="9">
        <v>5</v>
      </c>
      <c r="Y356" s="9">
        <v>6</v>
      </c>
      <c r="Z356" s="9">
        <v>7</v>
      </c>
      <c r="AA356" s="9">
        <v>8</v>
      </c>
      <c r="AB356" s="9">
        <v>9</v>
      </c>
      <c r="AC356" s="42"/>
      <c r="AD356" s="113"/>
      <c r="AE356" s="113"/>
      <c r="AF356" s="9" t="s">
        <v>0</v>
      </c>
      <c r="AG356" s="9">
        <v>1</v>
      </c>
      <c r="AH356" s="9">
        <v>2</v>
      </c>
      <c r="AI356" s="9">
        <v>3</v>
      </c>
      <c r="AJ356" s="9">
        <v>4</v>
      </c>
      <c r="AK356" s="9">
        <v>5</v>
      </c>
      <c r="AL356" s="9">
        <v>6</v>
      </c>
      <c r="AM356" s="9">
        <v>7</v>
      </c>
      <c r="AN356" s="9">
        <v>8</v>
      </c>
      <c r="AO356" s="9">
        <v>9</v>
      </c>
      <c r="AP356" s="6"/>
      <c r="AQ356" s="113"/>
      <c r="AR356" s="113"/>
      <c r="AS356" s="9" t="s">
        <v>0</v>
      </c>
      <c r="AT356" s="9">
        <v>1</v>
      </c>
      <c r="AU356" s="9">
        <v>2</v>
      </c>
      <c r="AV356" s="9">
        <v>3</v>
      </c>
      <c r="AW356" s="9">
        <v>4</v>
      </c>
      <c r="AX356" s="9">
        <v>5</v>
      </c>
      <c r="AY356" s="9">
        <v>6</v>
      </c>
      <c r="AZ356" s="9">
        <v>7</v>
      </c>
      <c r="BA356" s="9">
        <v>8</v>
      </c>
      <c r="BB356" s="9">
        <v>9</v>
      </c>
      <c r="BC356" s="42"/>
      <c r="BD356" s="113"/>
      <c r="BE356" s="113"/>
      <c r="BF356" s="9" t="s">
        <v>0</v>
      </c>
      <c r="BG356" s="9">
        <v>1</v>
      </c>
      <c r="BH356" s="9">
        <v>2</v>
      </c>
      <c r="BI356" s="9">
        <v>3</v>
      </c>
      <c r="BJ356" s="9">
        <v>4</v>
      </c>
      <c r="BK356" s="9">
        <v>5</v>
      </c>
      <c r="BL356" s="9">
        <v>6</v>
      </c>
      <c r="BM356" s="9">
        <v>7</v>
      </c>
      <c r="BN356" s="9">
        <v>8</v>
      </c>
      <c r="BO356" s="9">
        <v>9</v>
      </c>
      <c r="BQ356" s="113"/>
      <c r="BR356" s="113"/>
      <c r="BS356" s="9" t="s">
        <v>0</v>
      </c>
      <c r="BT356" s="9">
        <v>1</v>
      </c>
      <c r="BU356" s="9">
        <v>2</v>
      </c>
      <c r="BV356" s="9">
        <v>3</v>
      </c>
      <c r="BW356" s="9">
        <v>4</v>
      </c>
      <c r="BX356" s="9">
        <v>5</v>
      </c>
      <c r="BY356" s="9">
        <v>6</v>
      </c>
      <c r="BZ356" s="9">
        <v>7</v>
      </c>
      <c r="CA356" s="9">
        <v>8</v>
      </c>
      <c r="CB356" s="9">
        <v>9</v>
      </c>
      <c r="CC356" s="42"/>
      <c r="CD356" s="113"/>
      <c r="CE356" s="113"/>
      <c r="CF356" s="9" t="s">
        <v>0</v>
      </c>
      <c r="CG356" s="9">
        <v>1</v>
      </c>
      <c r="CH356" s="9">
        <v>2</v>
      </c>
      <c r="CI356" s="9">
        <v>3</v>
      </c>
      <c r="CJ356" s="9">
        <v>4</v>
      </c>
      <c r="CK356" s="9">
        <v>5</v>
      </c>
      <c r="CL356" s="9">
        <v>6</v>
      </c>
      <c r="CM356" s="9">
        <v>7</v>
      </c>
      <c r="CN356" s="9">
        <v>8</v>
      </c>
      <c r="CO356" s="9">
        <v>9</v>
      </c>
      <c r="CQ356" s="113"/>
      <c r="CR356" s="113"/>
      <c r="CS356" s="9" t="s">
        <v>0</v>
      </c>
      <c r="CT356" s="9">
        <v>1</v>
      </c>
      <c r="CU356" s="9">
        <v>2</v>
      </c>
      <c r="CV356" s="9">
        <v>3</v>
      </c>
      <c r="CW356" s="9">
        <v>4</v>
      </c>
      <c r="CX356" s="9">
        <v>5</v>
      </c>
      <c r="CY356" s="9">
        <v>6</v>
      </c>
      <c r="CZ356" s="9">
        <v>7</v>
      </c>
      <c r="DA356" s="9">
        <v>8</v>
      </c>
      <c r="DB356" s="9">
        <v>9</v>
      </c>
      <c r="DC356" s="42"/>
      <c r="DD356" s="113"/>
      <c r="DE356" s="113"/>
      <c r="DF356" s="9" t="s">
        <v>0</v>
      </c>
      <c r="DG356" s="9">
        <v>1</v>
      </c>
      <c r="DH356" s="9">
        <v>2</v>
      </c>
      <c r="DI356" s="9">
        <v>3</v>
      </c>
      <c r="DJ356" s="9">
        <v>4</v>
      </c>
      <c r="DK356" s="9">
        <v>5</v>
      </c>
      <c r="DL356" s="9">
        <v>6</v>
      </c>
      <c r="DM356" s="9">
        <v>7</v>
      </c>
      <c r="DN356" s="9">
        <v>8</v>
      </c>
      <c r="DO356" s="9">
        <v>9</v>
      </c>
    </row>
    <row r="357" spans="2:119" ht="16.25" customHeight="1" x14ac:dyDescent="0.45">
      <c r="B357" s="99"/>
      <c r="C357" s="42"/>
      <c r="D357" s="109" t="s">
        <v>13</v>
      </c>
      <c r="E357" s="47" t="s">
        <v>1</v>
      </c>
      <c r="F357" s="103" t="s">
        <v>128</v>
      </c>
      <c r="G357" s="103" t="s">
        <v>128</v>
      </c>
      <c r="H357" s="103" t="s">
        <v>128</v>
      </c>
      <c r="I357" s="103" t="s">
        <v>128</v>
      </c>
      <c r="J357" s="103" t="s">
        <v>128</v>
      </c>
      <c r="K357" s="103" t="s">
        <v>128</v>
      </c>
      <c r="L357" s="103" t="s">
        <v>128</v>
      </c>
      <c r="M357" s="103" t="s">
        <v>128</v>
      </c>
      <c r="N357" s="103" t="s">
        <v>128</v>
      </c>
      <c r="O357" s="17" t="s">
        <v>128</v>
      </c>
      <c r="P357" s="42"/>
      <c r="Q357" s="109" t="s">
        <v>13</v>
      </c>
      <c r="R357" s="46" t="s">
        <v>1</v>
      </c>
      <c r="S357" s="103" t="s">
        <v>128</v>
      </c>
      <c r="T357" s="103" t="s">
        <v>128</v>
      </c>
      <c r="U357" s="103" t="s">
        <v>128</v>
      </c>
      <c r="V357" s="103" t="s">
        <v>128</v>
      </c>
      <c r="W357" s="103" t="s">
        <v>128</v>
      </c>
      <c r="X357" s="103" t="s">
        <v>128</v>
      </c>
      <c r="Y357" s="103" t="s">
        <v>128</v>
      </c>
      <c r="Z357" s="103" t="s">
        <v>128</v>
      </c>
      <c r="AA357" s="103" t="s">
        <v>128</v>
      </c>
      <c r="AB357" s="17" t="s">
        <v>128</v>
      </c>
      <c r="AC357" s="42"/>
      <c r="AD357" s="109" t="s">
        <v>13</v>
      </c>
      <c r="AE357" s="46" t="s">
        <v>1</v>
      </c>
      <c r="AF357" s="103" t="s">
        <v>128</v>
      </c>
      <c r="AG357" s="103" t="s">
        <v>128</v>
      </c>
      <c r="AH357" s="103" t="s">
        <v>128</v>
      </c>
      <c r="AI357" s="103" t="s">
        <v>128</v>
      </c>
      <c r="AJ357" s="103" t="s">
        <v>128</v>
      </c>
      <c r="AK357" s="103" t="s">
        <v>128</v>
      </c>
      <c r="AL357" s="103" t="s">
        <v>128</v>
      </c>
      <c r="AM357" s="103" t="s">
        <v>128</v>
      </c>
      <c r="AN357" s="103" t="s">
        <v>128</v>
      </c>
      <c r="AO357" s="17" t="s">
        <v>128</v>
      </c>
      <c r="AP357" s="6"/>
      <c r="AQ357" s="109" t="s">
        <v>13</v>
      </c>
      <c r="AR357" s="46" t="s">
        <v>1</v>
      </c>
      <c r="AS357" s="103" t="s">
        <v>128</v>
      </c>
      <c r="AT357" s="103" t="s">
        <v>128</v>
      </c>
      <c r="AU357" s="103" t="s">
        <v>128</v>
      </c>
      <c r="AV357" s="103" t="s">
        <v>128</v>
      </c>
      <c r="AW357" s="103" t="s">
        <v>128</v>
      </c>
      <c r="AX357" s="103" t="s">
        <v>128</v>
      </c>
      <c r="AY357" s="103" t="s">
        <v>128</v>
      </c>
      <c r="AZ357" s="103" t="s">
        <v>128</v>
      </c>
      <c r="BA357" s="103" t="s">
        <v>128</v>
      </c>
      <c r="BB357" s="17" t="s">
        <v>128</v>
      </c>
      <c r="BC357" s="42"/>
      <c r="BD357" s="109" t="s">
        <v>13</v>
      </c>
      <c r="BE357" s="46" t="s">
        <v>1</v>
      </c>
      <c r="BF357" s="103" t="s">
        <v>128</v>
      </c>
      <c r="BG357" s="103" t="s">
        <v>128</v>
      </c>
      <c r="BH357" s="103" t="s">
        <v>128</v>
      </c>
      <c r="BI357" s="103" t="s">
        <v>128</v>
      </c>
      <c r="BJ357" s="103" t="s">
        <v>128</v>
      </c>
      <c r="BK357" s="103" t="s">
        <v>128</v>
      </c>
      <c r="BL357" s="103" t="s">
        <v>128</v>
      </c>
      <c r="BM357" s="103" t="s">
        <v>128</v>
      </c>
      <c r="BN357" s="103" t="s">
        <v>128</v>
      </c>
      <c r="BO357" s="17" t="s">
        <v>128</v>
      </c>
      <c r="BQ357" s="109" t="s">
        <v>13</v>
      </c>
      <c r="BR357" s="46" t="s">
        <v>1</v>
      </c>
      <c r="BS357" s="103" t="s">
        <v>128</v>
      </c>
      <c r="BT357" s="103" t="s">
        <v>128</v>
      </c>
      <c r="BU357" s="103" t="s">
        <v>128</v>
      </c>
      <c r="BV357" s="103" t="s">
        <v>128</v>
      </c>
      <c r="BW357" s="103" t="s">
        <v>128</v>
      </c>
      <c r="BX357" s="103" t="s">
        <v>128</v>
      </c>
      <c r="BY357" s="103" t="s">
        <v>128</v>
      </c>
      <c r="BZ357" s="103" t="s">
        <v>128</v>
      </c>
      <c r="CA357" s="103" t="s">
        <v>128</v>
      </c>
      <c r="CB357" s="17" t="s">
        <v>128</v>
      </c>
      <c r="CC357" s="42"/>
      <c r="CD357" s="109" t="s">
        <v>13</v>
      </c>
      <c r="CE357" s="46" t="s">
        <v>1</v>
      </c>
      <c r="CF357" s="103" t="s">
        <v>128</v>
      </c>
      <c r="CG357" s="103" t="s">
        <v>128</v>
      </c>
      <c r="CH357" s="103" t="s">
        <v>128</v>
      </c>
      <c r="CI357" s="103" t="s">
        <v>128</v>
      </c>
      <c r="CJ357" s="103" t="s">
        <v>128</v>
      </c>
      <c r="CK357" s="103" t="s">
        <v>128</v>
      </c>
      <c r="CL357" s="103" t="s">
        <v>128</v>
      </c>
      <c r="CM357" s="103" t="s">
        <v>128</v>
      </c>
      <c r="CN357" s="103" t="s">
        <v>128</v>
      </c>
      <c r="CO357" s="17" t="s">
        <v>128</v>
      </c>
      <c r="CQ357" s="109" t="s">
        <v>13</v>
      </c>
      <c r="CR357" s="46" t="s">
        <v>1</v>
      </c>
      <c r="CS357" s="103" t="s">
        <v>128</v>
      </c>
      <c r="CT357" s="103" t="s">
        <v>128</v>
      </c>
      <c r="CU357" s="103" t="s">
        <v>128</v>
      </c>
      <c r="CV357" s="103" t="s">
        <v>128</v>
      </c>
      <c r="CW357" s="103" t="s">
        <v>128</v>
      </c>
      <c r="CX357" s="103" t="s">
        <v>128</v>
      </c>
      <c r="CY357" s="103" t="s">
        <v>128</v>
      </c>
      <c r="CZ357" s="103" t="s">
        <v>128</v>
      </c>
      <c r="DA357" s="103" t="s">
        <v>128</v>
      </c>
      <c r="DB357" s="17" t="s">
        <v>128</v>
      </c>
      <c r="DC357" s="42"/>
      <c r="DD357" s="109" t="s">
        <v>13</v>
      </c>
      <c r="DE357" s="46" t="s">
        <v>1</v>
      </c>
      <c r="DF357" s="103" t="s">
        <v>128</v>
      </c>
      <c r="DG357" s="103" t="s">
        <v>128</v>
      </c>
      <c r="DH357" s="103" t="s">
        <v>128</v>
      </c>
      <c r="DI357" s="103" t="s">
        <v>128</v>
      </c>
      <c r="DJ357" s="103" t="s">
        <v>128</v>
      </c>
      <c r="DK357" s="103" t="s">
        <v>128</v>
      </c>
      <c r="DL357" s="103" t="s">
        <v>128</v>
      </c>
      <c r="DM357" s="103" t="s">
        <v>128</v>
      </c>
      <c r="DN357" s="103" t="s">
        <v>128</v>
      </c>
      <c r="DO357" s="17" t="s">
        <v>128</v>
      </c>
    </row>
    <row r="358" spans="2:119" ht="16.25" customHeight="1" x14ac:dyDescent="0.45">
      <c r="B358" s="99"/>
      <c r="C358" s="42"/>
      <c r="D358" s="110"/>
      <c r="E358" s="47">
        <v>1</v>
      </c>
      <c r="F358" s="103" t="s">
        <v>128</v>
      </c>
      <c r="G358" s="103" t="s">
        <v>128</v>
      </c>
      <c r="H358" s="103" t="s">
        <v>128</v>
      </c>
      <c r="I358" s="103" t="s">
        <v>128</v>
      </c>
      <c r="J358" s="103" t="s">
        <v>128</v>
      </c>
      <c r="K358" s="103" t="s">
        <v>128</v>
      </c>
      <c r="L358" s="103" t="s">
        <v>128</v>
      </c>
      <c r="M358" s="103" t="s">
        <v>128</v>
      </c>
      <c r="N358" s="103" t="s">
        <v>128</v>
      </c>
      <c r="O358" s="103" t="s">
        <v>128</v>
      </c>
      <c r="P358" s="42"/>
      <c r="Q358" s="110"/>
      <c r="R358" s="46">
        <v>1</v>
      </c>
      <c r="S358" s="103" t="s">
        <v>128</v>
      </c>
      <c r="T358" s="103" t="s">
        <v>128</v>
      </c>
      <c r="U358" s="103" t="s">
        <v>128</v>
      </c>
      <c r="V358" s="103" t="s">
        <v>128</v>
      </c>
      <c r="W358" s="103" t="s">
        <v>128</v>
      </c>
      <c r="X358" s="103" t="s">
        <v>128</v>
      </c>
      <c r="Y358" s="103" t="s">
        <v>128</v>
      </c>
      <c r="Z358" s="103" t="s">
        <v>128</v>
      </c>
      <c r="AA358" s="103" t="s">
        <v>128</v>
      </c>
      <c r="AB358" s="103" t="s">
        <v>128</v>
      </c>
      <c r="AC358" s="42"/>
      <c r="AD358" s="110"/>
      <c r="AE358" s="46">
        <v>1</v>
      </c>
      <c r="AF358" s="103" t="s">
        <v>128</v>
      </c>
      <c r="AG358" s="103" t="s">
        <v>128</v>
      </c>
      <c r="AH358" s="103" t="s">
        <v>128</v>
      </c>
      <c r="AI358" s="103" t="s">
        <v>128</v>
      </c>
      <c r="AJ358" s="103" t="s">
        <v>128</v>
      </c>
      <c r="AK358" s="103" t="s">
        <v>128</v>
      </c>
      <c r="AL358" s="103" t="s">
        <v>128</v>
      </c>
      <c r="AM358" s="103" t="s">
        <v>128</v>
      </c>
      <c r="AN358" s="103" t="s">
        <v>128</v>
      </c>
      <c r="AO358" s="103" t="s">
        <v>128</v>
      </c>
      <c r="AP358" s="6"/>
      <c r="AQ358" s="110"/>
      <c r="AR358" s="46">
        <v>1</v>
      </c>
      <c r="AS358" s="103" t="s">
        <v>128</v>
      </c>
      <c r="AT358" s="103" t="s">
        <v>128</v>
      </c>
      <c r="AU358" s="103" t="s">
        <v>128</v>
      </c>
      <c r="AV358" s="103" t="s">
        <v>128</v>
      </c>
      <c r="AW358" s="103" t="s">
        <v>128</v>
      </c>
      <c r="AX358" s="103" t="s">
        <v>128</v>
      </c>
      <c r="AY358" s="103" t="s">
        <v>128</v>
      </c>
      <c r="AZ358" s="103" t="s">
        <v>128</v>
      </c>
      <c r="BA358" s="103" t="s">
        <v>128</v>
      </c>
      <c r="BB358" s="103" t="s">
        <v>128</v>
      </c>
      <c r="BC358" s="42"/>
      <c r="BD358" s="110"/>
      <c r="BE358" s="46">
        <v>1</v>
      </c>
      <c r="BF358" s="103" t="s">
        <v>128</v>
      </c>
      <c r="BG358" s="103" t="s">
        <v>128</v>
      </c>
      <c r="BH358" s="103" t="s">
        <v>128</v>
      </c>
      <c r="BI358" s="103" t="s">
        <v>128</v>
      </c>
      <c r="BJ358" s="103" t="s">
        <v>128</v>
      </c>
      <c r="BK358" s="103" t="s">
        <v>128</v>
      </c>
      <c r="BL358" s="103" t="s">
        <v>128</v>
      </c>
      <c r="BM358" s="103" t="s">
        <v>128</v>
      </c>
      <c r="BN358" s="103" t="s">
        <v>128</v>
      </c>
      <c r="BO358" s="103" t="s">
        <v>128</v>
      </c>
      <c r="BQ358" s="110"/>
      <c r="BR358" s="46">
        <v>1</v>
      </c>
      <c r="BS358" s="103" t="s">
        <v>128</v>
      </c>
      <c r="BT358" s="103" t="s">
        <v>128</v>
      </c>
      <c r="BU358" s="103" t="s">
        <v>128</v>
      </c>
      <c r="BV358" s="103" t="s">
        <v>128</v>
      </c>
      <c r="BW358" s="103" t="s">
        <v>128</v>
      </c>
      <c r="BX358" s="103" t="s">
        <v>128</v>
      </c>
      <c r="BY358" s="103" t="s">
        <v>128</v>
      </c>
      <c r="BZ358" s="103" t="s">
        <v>128</v>
      </c>
      <c r="CA358" s="103" t="s">
        <v>128</v>
      </c>
      <c r="CB358" s="103" t="s">
        <v>128</v>
      </c>
      <c r="CC358" s="42"/>
      <c r="CD358" s="110"/>
      <c r="CE358" s="46">
        <v>1</v>
      </c>
      <c r="CF358" s="103" t="s">
        <v>128</v>
      </c>
      <c r="CG358" s="103" t="s">
        <v>128</v>
      </c>
      <c r="CH358" s="103" t="s">
        <v>128</v>
      </c>
      <c r="CI358" s="103" t="s">
        <v>128</v>
      </c>
      <c r="CJ358" s="103" t="s">
        <v>128</v>
      </c>
      <c r="CK358" s="103" t="s">
        <v>128</v>
      </c>
      <c r="CL358" s="103" t="s">
        <v>128</v>
      </c>
      <c r="CM358" s="103" t="s">
        <v>128</v>
      </c>
      <c r="CN358" s="103" t="s">
        <v>128</v>
      </c>
      <c r="CO358" s="103" t="s">
        <v>128</v>
      </c>
      <c r="CQ358" s="110"/>
      <c r="CR358" s="46">
        <v>1</v>
      </c>
      <c r="CS358" s="103" t="s">
        <v>128</v>
      </c>
      <c r="CT358" s="103" t="s">
        <v>128</v>
      </c>
      <c r="CU358" s="103" t="s">
        <v>128</v>
      </c>
      <c r="CV358" s="103" t="s">
        <v>128</v>
      </c>
      <c r="CW358" s="103" t="s">
        <v>128</v>
      </c>
      <c r="CX358" s="103" t="s">
        <v>128</v>
      </c>
      <c r="CY358" s="103" t="s">
        <v>128</v>
      </c>
      <c r="CZ358" s="103" t="s">
        <v>128</v>
      </c>
      <c r="DA358" s="103" t="s">
        <v>128</v>
      </c>
      <c r="DB358" s="103" t="s">
        <v>128</v>
      </c>
      <c r="DC358" s="42"/>
      <c r="DD358" s="110"/>
      <c r="DE358" s="46">
        <v>1</v>
      </c>
      <c r="DF358" s="103" t="s">
        <v>128</v>
      </c>
      <c r="DG358" s="103" t="s">
        <v>128</v>
      </c>
      <c r="DH358" s="103" t="s">
        <v>128</v>
      </c>
      <c r="DI358" s="103" t="s">
        <v>128</v>
      </c>
      <c r="DJ358" s="103" t="s">
        <v>128</v>
      </c>
      <c r="DK358" s="103" t="s">
        <v>128</v>
      </c>
      <c r="DL358" s="103" t="s">
        <v>128</v>
      </c>
      <c r="DM358" s="103" t="s">
        <v>128</v>
      </c>
      <c r="DN358" s="103" t="s">
        <v>128</v>
      </c>
      <c r="DO358" s="103" t="s">
        <v>128</v>
      </c>
    </row>
    <row r="359" spans="2:119" ht="16.25" customHeight="1" x14ac:dyDescent="0.45">
      <c r="B359" s="99"/>
      <c r="C359" s="42"/>
      <c r="D359" s="110"/>
      <c r="E359" s="47" t="s">
        <v>2</v>
      </c>
      <c r="F359" s="103">
        <v>30</v>
      </c>
      <c r="G359" s="103">
        <v>40</v>
      </c>
      <c r="H359" s="103">
        <v>10</v>
      </c>
      <c r="I359" s="103">
        <v>20</v>
      </c>
      <c r="J359" s="103">
        <v>0</v>
      </c>
      <c r="K359" s="103">
        <v>0</v>
      </c>
      <c r="L359" s="103">
        <v>0</v>
      </c>
      <c r="M359" s="103">
        <v>0</v>
      </c>
      <c r="N359" s="103">
        <v>0</v>
      </c>
      <c r="O359" s="103">
        <v>0</v>
      </c>
      <c r="P359" s="42"/>
      <c r="Q359" s="110"/>
      <c r="R359" s="46" t="s">
        <v>2</v>
      </c>
      <c r="S359" s="103" t="s">
        <v>128</v>
      </c>
      <c r="T359" s="103" t="s">
        <v>128</v>
      </c>
      <c r="U359" s="103" t="s">
        <v>128</v>
      </c>
      <c r="V359" s="103" t="s">
        <v>128</v>
      </c>
      <c r="W359" s="103" t="s">
        <v>128</v>
      </c>
      <c r="X359" s="103" t="s">
        <v>128</v>
      </c>
      <c r="Y359" s="103" t="s">
        <v>128</v>
      </c>
      <c r="Z359" s="103" t="s">
        <v>128</v>
      </c>
      <c r="AA359" s="103" t="s">
        <v>128</v>
      </c>
      <c r="AB359" s="103" t="s">
        <v>128</v>
      </c>
      <c r="AC359" s="42"/>
      <c r="AD359" s="110"/>
      <c r="AE359" s="46" t="s">
        <v>2</v>
      </c>
      <c r="AF359" s="103">
        <v>30</v>
      </c>
      <c r="AG359" s="103">
        <v>40</v>
      </c>
      <c r="AH359" s="103">
        <v>10</v>
      </c>
      <c r="AI359" s="103">
        <v>20</v>
      </c>
      <c r="AJ359" s="103">
        <v>0</v>
      </c>
      <c r="AK359" s="103">
        <v>0</v>
      </c>
      <c r="AL359" s="103">
        <v>0</v>
      </c>
      <c r="AM359" s="103">
        <v>0</v>
      </c>
      <c r="AN359" s="103">
        <v>0</v>
      </c>
      <c r="AO359" s="103">
        <v>0</v>
      </c>
      <c r="AP359" s="6"/>
      <c r="AQ359" s="110"/>
      <c r="AR359" s="46" t="s">
        <v>2</v>
      </c>
      <c r="AS359" s="103">
        <v>25</v>
      </c>
      <c r="AT359" s="103">
        <v>50</v>
      </c>
      <c r="AU359" s="103">
        <v>25</v>
      </c>
      <c r="AV359" s="103">
        <v>0</v>
      </c>
      <c r="AW359" s="103">
        <v>0</v>
      </c>
      <c r="AX359" s="103">
        <v>0</v>
      </c>
      <c r="AY359" s="103">
        <v>0</v>
      </c>
      <c r="AZ359" s="103">
        <v>0</v>
      </c>
      <c r="BA359" s="103">
        <v>0</v>
      </c>
      <c r="BB359" s="103">
        <v>0</v>
      </c>
      <c r="BC359" s="42"/>
      <c r="BD359" s="110"/>
      <c r="BE359" s="46" t="s">
        <v>2</v>
      </c>
      <c r="BF359" s="103">
        <v>33.333333333333329</v>
      </c>
      <c r="BG359" s="103">
        <v>33.333333333333329</v>
      </c>
      <c r="BH359" s="103">
        <v>0</v>
      </c>
      <c r="BI359" s="103">
        <v>33.333333333333329</v>
      </c>
      <c r="BJ359" s="103">
        <v>0</v>
      </c>
      <c r="BK359" s="103">
        <v>0</v>
      </c>
      <c r="BL359" s="103">
        <v>0</v>
      </c>
      <c r="BM359" s="103">
        <v>0</v>
      </c>
      <c r="BN359" s="103">
        <v>0</v>
      </c>
      <c r="BO359" s="103">
        <v>0</v>
      </c>
      <c r="BQ359" s="110"/>
      <c r="BR359" s="46" t="s">
        <v>2</v>
      </c>
      <c r="BS359" s="103">
        <v>33.333333333333329</v>
      </c>
      <c r="BT359" s="103">
        <v>33.333333333333329</v>
      </c>
      <c r="BU359" s="103">
        <v>16.666666666666664</v>
      </c>
      <c r="BV359" s="103">
        <v>16.666666666666664</v>
      </c>
      <c r="BW359" s="103">
        <v>0</v>
      </c>
      <c r="BX359" s="103">
        <v>0</v>
      </c>
      <c r="BY359" s="103">
        <v>0</v>
      </c>
      <c r="BZ359" s="103">
        <v>0</v>
      </c>
      <c r="CA359" s="103">
        <v>0</v>
      </c>
      <c r="CB359" s="103">
        <v>0</v>
      </c>
      <c r="CC359" s="42"/>
      <c r="CD359" s="110"/>
      <c r="CE359" s="46" t="s">
        <v>2</v>
      </c>
      <c r="CF359" s="103">
        <v>25</v>
      </c>
      <c r="CG359" s="103">
        <v>50</v>
      </c>
      <c r="CH359" s="103">
        <v>0</v>
      </c>
      <c r="CI359" s="103">
        <v>25</v>
      </c>
      <c r="CJ359" s="103">
        <v>0</v>
      </c>
      <c r="CK359" s="103">
        <v>0</v>
      </c>
      <c r="CL359" s="103">
        <v>0</v>
      </c>
      <c r="CM359" s="103">
        <v>0</v>
      </c>
      <c r="CN359" s="103">
        <v>0</v>
      </c>
      <c r="CO359" s="103">
        <v>0</v>
      </c>
      <c r="CQ359" s="110"/>
      <c r="CR359" s="46" t="s">
        <v>2</v>
      </c>
      <c r="CS359" s="103">
        <v>0</v>
      </c>
      <c r="CT359" s="103">
        <v>50</v>
      </c>
      <c r="CU359" s="103">
        <v>0</v>
      </c>
      <c r="CV359" s="103">
        <v>50</v>
      </c>
      <c r="CW359" s="103">
        <v>0</v>
      </c>
      <c r="CX359" s="103">
        <v>0</v>
      </c>
      <c r="CY359" s="103">
        <v>0</v>
      </c>
      <c r="CZ359" s="103">
        <v>0</v>
      </c>
      <c r="DA359" s="103">
        <v>0</v>
      </c>
      <c r="DB359" s="103">
        <v>0</v>
      </c>
      <c r="DC359" s="42"/>
      <c r="DD359" s="110"/>
      <c r="DE359" s="46" t="s">
        <v>2</v>
      </c>
      <c r="DF359" s="103">
        <v>37.5</v>
      </c>
      <c r="DG359" s="103">
        <v>37.5</v>
      </c>
      <c r="DH359" s="103">
        <v>12.5</v>
      </c>
      <c r="DI359" s="103">
        <v>12.5</v>
      </c>
      <c r="DJ359" s="103">
        <v>0</v>
      </c>
      <c r="DK359" s="103">
        <v>0</v>
      </c>
      <c r="DL359" s="103">
        <v>0</v>
      </c>
      <c r="DM359" s="103">
        <v>0</v>
      </c>
      <c r="DN359" s="103">
        <v>0</v>
      </c>
      <c r="DO359" s="103">
        <v>0</v>
      </c>
    </row>
    <row r="360" spans="2:119" ht="16.25" customHeight="1" x14ac:dyDescent="0.45">
      <c r="B360" s="99"/>
      <c r="C360" s="42"/>
      <c r="D360" s="110"/>
      <c r="E360" s="47" t="s">
        <v>3</v>
      </c>
      <c r="F360" s="103">
        <v>0</v>
      </c>
      <c r="G360" s="103">
        <v>47.826086956521742</v>
      </c>
      <c r="H360" s="103">
        <v>30.434782608695656</v>
      </c>
      <c r="I360" s="103">
        <v>21.739130434782609</v>
      </c>
      <c r="J360" s="103">
        <v>0</v>
      </c>
      <c r="K360" s="103">
        <v>0</v>
      </c>
      <c r="L360" s="103">
        <v>0</v>
      </c>
      <c r="M360" s="103">
        <v>0</v>
      </c>
      <c r="N360" s="103">
        <v>0</v>
      </c>
      <c r="O360" s="103">
        <v>0</v>
      </c>
      <c r="P360" s="42"/>
      <c r="Q360" s="110"/>
      <c r="R360" s="46" t="s">
        <v>3</v>
      </c>
      <c r="S360" s="103" t="s">
        <v>128</v>
      </c>
      <c r="T360" s="103" t="s">
        <v>128</v>
      </c>
      <c r="U360" s="103" t="s">
        <v>128</v>
      </c>
      <c r="V360" s="103" t="s">
        <v>128</v>
      </c>
      <c r="W360" s="103" t="s">
        <v>128</v>
      </c>
      <c r="X360" s="103" t="s">
        <v>128</v>
      </c>
      <c r="Y360" s="103" t="s">
        <v>128</v>
      </c>
      <c r="Z360" s="103" t="s">
        <v>128</v>
      </c>
      <c r="AA360" s="103" t="s">
        <v>128</v>
      </c>
      <c r="AB360" s="103" t="s">
        <v>128</v>
      </c>
      <c r="AC360" s="42"/>
      <c r="AD360" s="110"/>
      <c r="AE360" s="46" t="s">
        <v>3</v>
      </c>
      <c r="AF360" s="103">
        <v>0</v>
      </c>
      <c r="AG360" s="103">
        <v>47.826086956521742</v>
      </c>
      <c r="AH360" s="103">
        <v>30.434782608695656</v>
      </c>
      <c r="AI360" s="103">
        <v>21.739130434782609</v>
      </c>
      <c r="AJ360" s="103">
        <v>0</v>
      </c>
      <c r="AK360" s="103">
        <v>0</v>
      </c>
      <c r="AL360" s="103">
        <v>0</v>
      </c>
      <c r="AM360" s="103">
        <v>0</v>
      </c>
      <c r="AN360" s="103">
        <v>0</v>
      </c>
      <c r="AO360" s="103">
        <v>0</v>
      </c>
      <c r="AP360" s="6"/>
      <c r="AQ360" s="110"/>
      <c r="AR360" s="46" t="s">
        <v>3</v>
      </c>
      <c r="AS360" s="103">
        <v>0</v>
      </c>
      <c r="AT360" s="103">
        <v>66.666666666666657</v>
      </c>
      <c r="AU360" s="103">
        <v>33.333333333333329</v>
      </c>
      <c r="AV360" s="103">
        <v>0</v>
      </c>
      <c r="AW360" s="103">
        <v>0</v>
      </c>
      <c r="AX360" s="103">
        <v>0</v>
      </c>
      <c r="AY360" s="103">
        <v>0</v>
      </c>
      <c r="AZ360" s="103">
        <v>0</v>
      </c>
      <c r="BA360" s="103">
        <v>0</v>
      </c>
      <c r="BB360" s="103">
        <v>0</v>
      </c>
      <c r="BC360" s="42"/>
      <c r="BD360" s="110"/>
      <c r="BE360" s="46" t="s">
        <v>3</v>
      </c>
      <c r="BF360" s="103">
        <v>0</v>
      </c>
      <c r="BG360" s="103">
        <v>45</v>
      </c>
      <c r="BH360" s="103">
        <v>30</v>
      </c>
      <c r="BI360" s="103">
        <v>25</v>
      </c>
      <c r="BJ360" s="103">
        <v>0</v>
      </c>
      <c r="BK360" s="103">
        <v>0</v>
      </c>
      <c r="BL360" s="103">
        <v>0</v>
      </c>
      <c r="BM360" s="103">
        <v>0</v>
      </c>
      <c r="BN360" s="103">
        <v>0</v>
      </c>
      <c r="BO360" s="103">
        <v>0</v>
      </c>
      <c r="BQ360" s="110"/>
      <c r="BR360" s="46" t="s">
        <v>3</v>
      </c>
      <c r="BS360" s="103">
        <v>0</v>
      </c>
      <c r="BT360" s="103">
        <v>30</v>
      </c>
      <c r="BU360" s="103">
        <v>50</v>
      </c>
      <c r="BV360" s="103">
        <v>20</v>
      </c>
      <c r="BW360" s="103">
        <v>0</v>
      </c>
      <c r="BX360" s="103">
        <v>0</v>
      </c>
      <c r="BY360" s="103">
        <v>0</v>
      </c>
      <c r="BZ360" s="103">
        <v>0</v>
      </c>
      <c r="CA360" s="103">
        <v>0</v>
      </c>
      <c r="CB360" s="103">
        <v>0</v>
      </c>
      <c r="CC360" s="42"/>
      <c r="CD360" s="110"/>
      <c r="CE360" s="46" t="s">
        <v>3</v>
      </c>
      <c r="CF360" s="103">
        <v>0</v>
      </c>
      <c r="CG360" s="103">
        <v>61.53846153846154</v>
      </c>
      <c r="CH360" s="103">
        <v>15.384615384615385</v>
      </c>
      <c r="CI360" s="103">
        <v>23.076923076923077</v>
      </c>
      <c r="CJ360" s="103">
        <v>0</v>
      </c>
      <c r="CK360" s="103">
        <v>0</v>
      </c>
      <c r="CL360" s="103">
        <v>0</v>
      </c>
      <c r="CM360" s="103">
        <v>0</v>
      </c>
      <c r="CN360" s="103">
        <v>0</v>
      </c>
      <c r="CO360" s="103">
        <v>0</v>
      </c>
      <c r="CQ360" s="110"/>
      <c r="CR360" s="46" t="s">
        <v>3</v>
      </c>
      <c r="CS360" s="103">
        <v>0</v>
      </c>
      <c r="CT360" s="103">
        <v>20</v>
      </c>
      <c r="CU360" s="103">
        <v>40</v>
      </c>
      <c r="CV360" s="103">
        <v>40</v>
      </c>
      <c r="CW360" s="103">
        <v>0</v>
      </c>
      <c r="CX360" s="103">
        <v>0</v>
      </c>
      <c r="CY360" s="103">
        <v>0</v>
      </c>
      <c r="CZ360" s="103">
        <v>0</v>
      </c>
      <c r="DA360" s="103">
        <v>0</v>
      </c>
      <c r="DB360" s="103">
        <v>0</v>
      </c>
      <c r="DC360" s="42"/>
      <c r="DD360" s="110"/>
      <c r="DE360" s="46" t="s">
        <v>3</v>
      </c>
      <c r="DF360" s="103">
        <v>0</v>
      </c>
      <c r="DG360" s="103">
        <v>55.555555555555557</v>
      </c>
      <c r="DH360" s="103">
        <v>27.777777777777779</v>
      </c>
      <c r="DI360" s="103">
        <v>16.666666666666664</v>
      </c>
      <c r="DJ360" s="103">
        <v>0</v>
      </c>
      <c r="DK360" s="103">
        <v>0</v>
      </c>
      <c r="DL360" s="103">
        <v>0</v>
      </c>
      <c r="DM360" s="103">
        <v>0</v>
      </c>
      <c r="DN360" s="103">
        <v>0</v>
      </c>
      <c r="DO360" s="103">
        <v>0</v>
      </c>
    </row>
    <row r="361" spans="2:119" ht="16.25" customHeight="1" x14ac:dyDescent="0.45">
      <c r="B361" s="99"/>
      <c r="C361" s="42"/>
      <c r="D361" s="110"/>
      <c r="E361" s="47" t="s">
        <v>4</v>
      </c>
      <c r="F361" s="103">
        <v>20.689655172413794</v>
      </c>
      <c r="G361" s="103">
        <v>31.03448275862069</v>
      </c>
      <c r="H361" s="103">
        <v>17.241379310344829</v>
      </c>
      <c r="I361" s="103">
        <v>20.689655172413794</v>
      </c>
      <c r="J361" s="103">
        <v>6.8965517241379306</v>
      </c>
      <c r="K361" s="103">
        <v>0</v>
      </c>
      <c r="L361" s="103">
        <v>3.4482758620689653</v>
      </c>
      <c r="M361" s="103">
        <v>0</v>
      </c>
      <c r="N361" s="103">
        <v>0</v>
      </c>
      <c r="O361" s="103">
        <v>0</v>
      </c>
      <c r="P361" s="42"/>
      <c r="Q361" s="110"/>
      <c r="R361" s="46" t="s">
        <v>4</v>
      </c>
      <c r="S361" s="103">
        <v>0</v>
      </c>
      <c r="T361" s="103">
        <v>100</v>
      </c>
      <c r="U361" s="103">
        <v>0</v>
      </c>
      <c r="V361" s="103">
        <v>0</v>
      </c>
      <c r="W361" s="103">
        <v>0</v>
      </c>
      <c r="X361" s="103">
        <v>0</v>
      </c>
      <c r="Y361" s="103">
        <v>0</v>
      </c>
      <c r="Z361" s="103">
        <v>0</v>
      </c>
      <c r="AA361" s="103">
        <v>0</v>
      </c>
      <c r="AB361" s="103">
        <v>0</v>
      </c>
      <c r="AC361" s="42"/>
      <c r="AD361" s="110"/>
      <c r="AE361" s="46" t="s">
        <v>4</v>
      </c>
      <c r="AF361" s="103">
        <v>21.428571428571427</v>
      </c>
      <c r="AG361" s="103">
        <v>28.571428571428569</v>
      </c>
      <c r="AH361" s="103">
        <v>17.857142857142858</v>
      </c>
      <c r="AI361" s="103">
        <v>21.428571428571427</v>
      </c>
      <c r="AJ361" s="103">
        <v>7.1428571428571423</v>
      </c>
      <c r="AK361" s="103">
        <v>0</v>
      </c>
      <c r="AL361" s="103">
        <v>3.5714285714285712</v>
      </c>
      <c r="AM361" s="103">
        <v>0</v>
      </c>
      <c r="AN361" s="103">
        <v>0</v>
      </c>
      <c r="AO361" s="103">
        <v>0</v>
      </c>
      <c r="AP361" s="6"/>
      <c r="AQ361" s="110"/>
      <c r="AR361" s="46" t="s">
        <v>4</v>
      </c>
      <c r="AS361" s="103">
        <v>25</v>
      </c>
      <c r="AT361" s="103">
        <v>50</v>
      </c>
      <c r="AU361" s="103">
        <v>12.5</v>
      </c>
      <c r="AV361" s="103">
        <v>12.5</v>
      </c>
      <c r="AW361" s="103">
        <v>0</v>
      </c>
      <c r="AX361" s="103">
        <v>0</v>
      </c>
      <c r="AY361" s="103">
        <v>0</v>
      </c>
      <c r="AZ361" s="103">
        <v>0</v>
      </c>
      <c r="BA361" s="103">
        <v>0</v>
      </c>
      <c r="BB361" s="103">
        <v>0</v>
      </c>
      <c r="BC361" s="42"/>
      <c r="BD361" s="110"/>
      <c r="BE361" s="46" t="s">
        <v>4</v>
      </c>
      <c r="BF361" s="103">
        <v>19.047619047619047</v>
      </c>
      <c r="BG361" s="103">
        <v>23.809523809523807</v>
      </c>
      <c r="BH361" s="103">
        <v>19.047619047619047</v>
      </c>
      <c r="BI361" s="103">
        <v>23.809523809523807</v>
      </c>
      <c r="BJ361" s="103">
        <v>9.5238095238095237</v>
      </c>
      <c r="BK361" s="103">
        <v>0</v>
      </c>
      <c r="BL361" s="103">
        <v>4.7619047619047619</v>
      </c>
      <c r="BM361" s="103">
        <v>0</v>
      </c>
      <c r="BN361" s="103">
        <v>0</v>
      </c>
      <c r="BO361" s="103">
        <v>0</v>
      </c>
      <c r="BQ361" s="110"/>
      <c r="BR361" s="46" t="s">
        <v>4</v>
      </c>
      <c r="BS361" s="103">
        <v>25</v>
      </c>
      <c r="BT361" s="103">
        <v>50</v>
      </c>
      <c r="BU361" s="103">
        <v>12.5</v>
      </c>
      <c r="BV361" s="103">
        <v>12.5</v>
      </c>
      <c r="BW361" s="103">
        <v>0</v>
      </c>
      <c r="BX361" s="103">
        <v>0</v>
      </c>
      <c r="BY361" s="103">
        <v>0</v>
      </c>
      <c r="BZ361" s="103">
        <v>0</v>
      </c>
      <c r="CA361" s="103">
        <v>0</v>
      </c>
      <c r="CB361" s="103">
        <v>0</v>
      </c>
      <c r="CC361" s="42"/>
      <c r="CD361" s="110"/>
      <c r="CE361" s="46" t="s">
        <v>4</v>
      </c>
      <c r="CF361" s="103">
        <v>19.047619047619047</v>
      </c>
      <c r="CG361" s="103">
        <v>23.809523809523807</v>
      </c>
      <c r="CH361" s="103">
        <v>19.047619047619047</v>
      </c>
      <c r="CI361" s="103">
        <v>23.809523809523807</v>
      </c>
      <c r="CJ361" s="103">
        <v>9.5238095238095237</v>
      </c>
      <c r="CK361" s="103">
        <v>0</v>
      </c>
      <c r="CL361" s="103">
        <v>4.7619047619047619</v>
      </c>
      <c r="CM361" s="103">
        <v>0</v>
      </c>
      <c r="CN361" s="103">
        <v>0</v>
      </c>
      <c r="CO361" s="103">
        <v>0</v>
      </c>
      <c r="CQ361" s="110"/>
      <c r="CR361" s="46" t="s">
        <v>4</v>
      </c>
      <c r="CS361" s="103">
        <v>40</v>
      </c>
      <c r="CT361" s="103">
        <v>20</v>
      </c>
      <c r="CU361" s="103">
        <v>0</v>
      </c>
      <c r="CV361" s="103">
        <v>40</v>
      </c>
      <c r="CW361" s="103">
        <v>0</v>
      </c>
      <c r="CX361" s="103">
        <v>0</v>
      </c>
      <c r="CY361" s="103">
        <v>0</v>
      </c>
      <c r="CZ361" s="103">
        <v>0</v>
      </c>
      <c r="DA361" s="103">
        <v>0</v>
      </c>
      <c r="DB361" s="103">
        <v>0</v>
      </c>
      <c r="DC361" s="42"/>
      <c r="DD361" s="110"/>
      <c r="DE361" s="46" t="s">
        <v>4</v>
      </c>
      <c r="DF361" s="103">
        <v>16.666666666666664</v>
      </c>
      <c r="DG361" s="103">
        <v>33.333333333333329</v>
      </c>
      <c r="DH361" s="103">
        <v>20.833333333333336</v>
      </c>
      <c r="DI361" s="103">
        <v>16.666666666666664</v>
      </c>
      <c r="DJ361" s="103">
        <v>8.3333333333333321</v>
      </c>
      <c r="DK361" s="103">
        <v>0</v>
      </c>
      <c r="DL361" s="103">
        <v>4.1666666666666661</v>
      </c>
      <c r="DM361" s="103">
        <v>0</v>
      </c>
      <c r="DN361" s="103">
        <v>0</v>
      </c>
      <c r="DO361" s="103">
        <v>0</v>
      </c>
    </row>
    <row r="362" spans="2:119" ht="16.25" customHeight="1" x14ac:dyDescent="0.45">
      <c r="B362" s="99"/>
      <c r="C362" s="42"/>
      <c r="D362" s="110"/>
      <c r="E362" s="47" t="s">
        <v>5</v>
      </c>
      <c r="F362" s="103">
        <v>3.1746031746031744</v>
      </c>
      <c r="G362" s="103">
        <v>34.920634920634917</v>
      </c>
      <c r="H362" s="103">
        <v>36.507936507936506</v>
      </c>
      <c r="I362" s="103">
        <v>20.634920634920633</v>
      </c>
      <c r="J362" s="103">
        <v>0</v>
      </c>
      <c r="K362" s="103">
        <v>3.1746031746031744</v>
      </c>
      <c r="L362" s="103">
        <v>0</v>
      </c>
      <c r="M362" s="103">
        <v>1.5873015873015872</v>
      </c>
      <c r="N362" s="103">
        <v>0</v>
      </c>
      <c r="O362" s="103">
        <v>0</v>
      </c>
      <c r="P362" s="42"/>
      <c r="Q362" s="110"/>
      <c r="R362" s="46" t="s">
        <v>5</v>
      </c>
      <c r="S362" s="103">
        <v>0</v>
      </c>
      <c r="T362" s="103">
        <v>0</v>
      </c>
      <c r="U362" s="103">
        <v>0</v>
      </c>
      <c r="V362" s="103">
        <v>100</v>
      </c>
      <c r="W362" s="103">
        <v>0</v>
      </c>
      <c r="X362" s="103">
        <v>0</v>
      </c>
      <c r="Y362" s="103">
        <v>0</v>
      </c>
      <c r="Z362" s="103">
        <v>0</v>
      </c>
      <c r="AA362" s="103">
        <v>0</v>
      </c>
      <c r="AB362" s="103">
        <v>0</v>
      </c>
      <c r="AC362" s="42"/>
      <c r="AD362" s="110"/>
      <c r="AE362" s="46" t="s">
        <v>5</v>
      </c>
      <c r="AF362" s="103">
        <v>3.278688524590164</v>
      </c>
      <c r="AG362" s="103">
        <v>36.065573770491802</v>
      </c>
      <c r="AH362" s="103">
        <v>37.704918032786885</v>
      </c>
      <c r="AI362" s="103">
        <v>18.032786885245901</v>
      </c>
      <c r="AJ362" s="103">
        <v>0</v>
      </c>
      <c r="AK362" s="103">
        <v>3.278688524590164</v>
      </c>
      <c r="AL362" s="103">
        <v>0</v>
      </c>
      <c r="AM362" s="103">
        <v>1.639344262295082</v>
      </c>
      <c r="AN362" s="103">
        <v>0</v>
      </c>
      <c r="AO362" s="103">
        <v>0</v>
      </c>
      <c r="AP362" s="6"/>
      <c r="AQ362" s="110"/>
      <c r="AR362" s="46" t="s">
        <v>5</v>
      </c>
      <c r="AS362" s="103">
        <v>11.111111111111111</v>
      </c>
      <c r="AT362" s="103">
        <v>44.444444444444443</v>
      </c>
      <c r="AU362" s="103">
        <v>22.222222222222221</v>
      </c>
      <c r="AV362" s="103">
        <v>16.666666666666664</v>
      </c>
      <c r="AW362" s="103">
        <v>0</v>
      </c>
      <c r="AX362" s="103">
        <v>5.5555555555555554</v>
      </c>
      <c r="AY362" s="103">
        <v>0</v>
      </c>
      <c r="AZ362" s="103">
        <v>0</v>
      </c>
      <c r="BA362" s="103">
        <v>0</v>
      </c>
      <c r="BB362" s="103">
        <v>0</v>
      </c>
      <c r="BC362" s="42"/>
      <c r="BD362" s="110"/>
      <c r="BE362" s="46" t="s">
        <v>5</v>
      </c>
      <c r="BF362" s="103">
        <v>0</v>
      </c>
      <c r="BG362" s="103">
        <v>31.111111111111111</v>
      </c>
      <c r="BH362" s="103">
        <v>42.222222222222221</v>
      </c>
      <c r="BI362" s="103">
        <v>22.222222222222221</v>
      </c>
      <c r="BJ362" s="103">
        <v>0</v>
      </c>
      <c r="BK362" s="103">
        <v>2.2222222222222223</v>
      </c>
      <c r="BL362" s="103">
        <v>0</v>
      </c>
      <c r="BM362" s="103">
        <v>2.2222222222222223</v>
      </c>
      <c r="BN362" s="103">
        <v>0</v>
      </c>
      <c r="BO362" s="103">
        <v>0</v>
      </c>
      <c r="BQ362" s="110"/>
      <c r="BR362" s="46" t="s">
        <v>5</v>
      </c>
      <c r="BS362" s="103">
        <v>4.3478260869565215</v>
      </c>
      <c r="BT362" s="103">
        <v>34.782608695652172</v>
      </c>
      <c r="BU362" s="103">
        <v>34.782608695652172</v>
      </c>
      <c r="BV362" s="103">
        <v>21.739130434782609</v>
      </c>
      <c r="BW362" s="103">
        <v>0</v>
      </c>
      <c r="BX362" s="103">
        <v>4.3478260869565215</v>
      </c>
      <c r="BY362" s="103">
        <v>0</v>
      </c>
      <c r="BZ362" s="103">
        <v>0</v>
      </c>
      <c r="CA362" s="103">
        <v>0</v>
      </c>
      <c r="CB362" s="103">
        <v>0</v>
      </c>
      <c r="CC362" s="42"/>
      <c r="CD362" s="110"/>
      <c r="CE362" s="46" t="s">
        <v>5</v>
      </c>
      <c r="CF362" s="103">
        <v>2.5</v>
      </c>
      <c r="CG362" s="103">
        <v>35</v>
      </c>
      <c r="CH362" s="103">
        <v>37.5</v>
      </c>
      <c r="CI362" s="103">
        <v>20</v>
      </c>
      <c r="CJ362" s="103">
        <v>0</v>
      </c>
      <c r="CK362" s="103">
        <v>2.5</v>
      </c>
      <c r="CL362" s="103">
        <v>0</v>
      </c>
      <c r="CM362" s="103">
        <v>2.5</v>
      </c>
      <c r="CN362" s="103">
        <v>0</v>
      </c>
      <c r="CO362" s="103">
        <v>0</v>
      </c>
      <c r="CQ362" s="110"/>
      <c r="CR362" s="46" t="s">
        <v>5</v>
      </c>
      <c r="CS362" s="103">
        <v>0</v>
      </c>
      <c r="CT362" s="103">
        <v>33.333333333333329</v>
      </c>
      <c r="CU362" s="103">
        <v>33.333333333333329</v>
      </c>
      <c r="CV362" s="103">
        <v>33.333333333333329</v>
      </c>
      <c r="CW362" s="103">
        <v>0</v>
      </c>
      <c r="CX362" s="103">
        <v>0</v>
      </c>
      <c r="CY362" s="103">
        <v>0</v>
      </c>
      <c r="CZ362" s="103">
        <v>0</v>
      </c>
      <c r="DA362" s="103">
        <v>0</v>
      </c>
      <c r="DB362" s="103">
        <v>0</v>
      </c>
      <c r="DC362" s="42"/>
      <c r="DD362" s="110"/>
      <c r="DE362" s="46" t="s">
        <v>5</v>
      </c>
      <c r="DF362" s="103">
        <v>3.5087719298245612</v>
      </c>
      <c r="DG362" s="103">
        <v>35.087719298245609</v>
      </c>
      <c r="DH362" s="103">
        <v>36.84210526315789</v>
      </c>
      <c r="DI362" s="103">
        <v>19.298245614035086</v>
      </c>
      <c r="DJ362" s="103">
        <v>0</v>
      </c>
      <c r="DK362" s="103">
        <v>3.5087719298245612</v>
      </c>
      <c r="DL362" s="103">
        <v>0</v>
      </c>
      <c r="DM362" s="103">
        <v>1.7543859649122806</v>
      </c>
      <c r="DN362" s="103">
        <v>0</v>
      </c>
      <c r="DO362" s="103">
        <v>0</v>
      </c>
    </row>
    <row r="363" spans="2:119" ht="16.25" customHeight="1" x14ac:dyDescent="0.45">
      <c r="B363" s="99"/>
      <c r="C363" s="42"/>
      <c r="D363" s="110"/>
      <c r="E363" s="47" t="s">
        <v>6</v>
      </c>
      <c r="F363" s="103">
        <v>10.303030303030303</v>
      </c>
      <c r="G363" s="103">
        <v>26.060606060606062</v>
      </c>
      <c r="H363" s="103">
        <v>32.121212121212125</v>
      </c>
      <c r="I363" s="103">
        <v>19.393939393939394</v>
      </c>
      <c r="J363" s="103">
        <v>6.666666666666667</v>
      </c>
      <c r="K363" s="103">
        <v>3.6363636363636362</v>
      </c>
      <c r="L363" s="103">
        <v>1.8181818181818181</v>
      </c>
      <c r="M363" s="103">
        <v>0</v>
      </c>
      <c r="N363" s="103">
        <v>0</v>
      </c>
      <c r="O363" s="103">
        <v>0</v>
      </c>
      <c r="P363" s="42"/>
      <c r="Q363" s="110"/>
      <c r="R363" s="46" t="s">
        <v>6</v>
      </c>
      <c r="S363" s="103">
        <v>9.0909090909090917</v>
      </c>
      <c r="T363" s="103">
        <v>9.0909090909090917</v>
      </c>
      <c r="U363" s="103">
        <v>27.27272727272727</v>
      </c>
      <c r="V363" s="103">
        <v>45.454545454545453</v>
      </c>
      <c r="W363" s="103">
        <v>0</v>
      </c>
      <c r="X363" s="103">
        <v>9.0909090909090917</v>
      </c>
      <c r="Y363" s="103">
        <v>0</v>
      </c>
      <c r="Z363" s="103">
        <v>0</v>
      </c>
      <c r="AA363" s="103">
        <v>0</v>
      </c>
      <c r="AB363" s="103">
        <v>0</v>
      </c>
      <c r="AC363" s="42"/>
      <c r="AD363" s="110"/>
      <c r="AE363" s="46" t="s">
        <v>6</v>
      </c>
      <c r="AF363" s="103">
        <v>10.38961038961039</v>
      </c>
      <c r="AG363" s="103">
        <v>27.27272727272727</v>
      </c>
      <c r="AH363" s="103">
        <v>32.467532467532465</v>
      </c>
      <c r="AI363" s="103">
        <v>17.532467532467532</v>
      </c>
      <c r="AJ363" s="103">
        <v>7.1428571428571423</v>
      </c>
      <c r="AK363" s="103">
        <v>3.2467532467532463</v>
      </c>
      <c r="AL363" s="103">
        <v>1.948051948051948</v>
      </c>
      <c r="AM363" s="103">
        <v>0</v>
      </c>
      <c r="AN363" s="103">
        <v>0</v>
      </c>
      <c r="AO363" s="103">
        <v>0</v>
      </c>
      <c r="AP363" s="6"/>
      <c r="AQ363" s="110"/>
      <c r="AR363" s="46" t="s">
        <v>6</v>
      </c>
      <c r="AS363" s="103">
        <v>20</v>
      </c>
      <c r="AT363" s="103">
        <v>35</v>
      </c>
      <c r="AU363" s="103">
        <v>27.500000000000004</v>
      </c>
      <c r="AV363" s="103">
        <v>12.5</v>
      </c>
      <c r="AW363" s="103">
        <v>2.5</v>
      </c>
      <c r="AX363" s="103">
        <v>0</v>
      </c>
      <c r="AY363" s="103">
        <v>2.5</v>
      </c>
      <c r="AZ363" s="103">
        <v>0</v>
      </c>
      <c r="BA363" s="103">
        <v>0</v>
      </c>
      <c r="BB363" s="103">
        <v>0</v>
      </c>
      <c r="BC363" s="42"/>
      <c r="BD363" s="110"/>
      <c r="BE363" s="46" t="s">
        <v>6</v>
      </c>
      <c r="BF363" s="103">
        <v>7.1999999999999993</v>
      </c>
      <c r="BG363" s="103">
        <v>23.200000000000003</v>
      </c>
      <c r="BH363" s="103">
        <v>33.6</v>
      </c>
      <c r="BI363" s="103">
        <v>21.6</v>
      </c>
      <c r="BJ363" s="103">
        <v>8</v>
      </c>
      <c r="BK363" s="103">
        <v>4.8</v>
      </c>
      <c r="BL363" s="103">
        <v>1.6</v>
      </c>
      <c r="BM363" s="103">
        <v>0</v>
      </c>
      <c r="BN363" s="103">
        <v>0</v>
      </c>
      <c r="BO363" s="103">
        <v>0</v>
      </c>
      <c r="BQ363" s="110"/>
      <c r="BR363" s="46" t="s">
        <v>6</v>
      </c>
      <c r="BS363" s="103">
        <v>11.111111111111111</v>
      </c>
      <c r="BT363" s="103">
        <v>22.222222222222221</v>
      </c>
      <c r="BU363" s="103">
        <v>41.666666666666671</v>
      </c>
      <c r="BV363" s="103">
        <v>16.666666666666664</v>
      </c>
      <c r="BW363" s="103">
        <v>2.7777777777777777</v>
      </c>
      <c r="BX363" s="103">
        <v>2.7777777777777777</v>
      </c>
      <c r="BY363" s="103">
        <v>2.7777777777777777</v>
      </c>
      <c r="BZ363" s="103">
        <v>0</v>
      </c>
      <c r="CA363" s="103">
        <v>0</v>
      </c>
      <c r="CB363" s="103">
        <v>0</v>
      </c>
      <c r="CC363" s="42"/>
      <c r="CD363" s="110"/>
      <c r="CE363" s="46" t="s">
        <v>6</v>
      </c>
      <c r="CF363" s="103">
        <v>10.077519379844961</v>
      </c>
      <c r="CG363" s="103">
        <v>27.131782945736433</v>
      </c>
      <c r="CH363" s="103">
        <v>29.457364341085274</v>
      </c>
      <c r="CI363" s="103">
        <v>20.155038759689923</v>
      </c>
      <c r="CJ363" s="103">
        <v>7.7519379844961236</v>
      </c>
      <c r="CK363" s="103">
        <v>3.8759689922480618</v>
      </c>
      <c r="CL363" s="103">
        <v>1.5503875968992249</v>
      </c>
      <c r="CM363" s="103">
        <v>0</v>
      </c>
      <c r="CN363" s="103">
        <v>0</v>
      </c>
      <c r="CO363" s="103">
        <v>0</v>
      </c>
      <c r="CQ363" s="110"/>
      <c r="CR363" s="46" t="s">
        <v>6</v>
      </c>
      <c r="CS363" s="103">
        <v>4.7619047619047619</v>
      </c>
      <c r="CT363" s="103">
        <v>33.333333333333329</v>
      </c>
      <c r="CU363" s="103">
        <v>23.809523809523807</v>
      </c>
      <c r="CV363" s="103">
        <v>14.285714285714285</v>
      </c>
      <c r="CW363" s="103">
        <v>9.5238095238095237</v>
      </c>
      <c r="CX363" s="103">
        <v>9.5238095238095237</v>
      </c>
      <c r="CY363" s="103">
        <v>4.7619047619047619</v>
      </c>
      <c r="CZ363" s="103">
        <v>0</v>
      </c>
      <c r="DA363" s="103">
        <v>0</v>
      </c>
      <c r="DB363" s="103">
        <v>0</v>
      </c>
      <c r="DC363" s="42"/>
      <c r="DD363" s="110"/>
      <c r="DE363" s="46" t="s">
        <v>6</v>
      </c>
      <c r="DF363" s="103">
        <v>11.111111111111111</v>
      </c>
      <c r="DG363" s="103">
        <v>25</v>
      </c>
      <c r="DH363" s="103">
        <v>33.333333333333329</v>
      </c>
      <c r="DI363" s="103">
        <v>20.138888888888889</v>
      </c>
      <c r="DJ363" s="103">
        <v>6.25</v>
      </c>
      <c r="DK363" s="103">
        <v>2.7777777777777777</v>
      </c>
      <c r="DL363" s="103">
        <v>1.3888888888888888</v>
      </c>
      <c r="DM363" s="103">
        <v>0</v>
      </c>
      <c r="DN363" s="103">
        <v>0</v>
      </c>
      <c r="DO363" s="103">
        <v>0</v>
      </c>
    </row>
    <row r="364" spans="2:119" ht="16.25" customHeight="1" x14ac:dyDescent="0.45">
      <c r="B364" s="99"/>
      <c r="C364" s="42"/>
      <c r="D364" s="110"/>
      <c r="E364" s="47" t="s">
        <v>7</v>
      </c>
      <c r="F364" s="103">
        <v>3.8997214484679668</v>
      </c>
      <c r="G364" s="103">
        <v>19.498607242339833</v>
      </c>
      <c r="H364" s="103">
        <v>26.740947075208915</v>
      </c>
      <c r="I364" s="103">
        <v>30.919220055710305</v>
      </c>
      <c r="J364" s="103">
        <v>11.142061281337048</v>
      </c>
      <c r="K364" s="103">
        <v>3.3426183844011144</v>
      </c>
      <c r="L364" s="103">
        <v>2.2284122562674096</v>
      </c>
      <c r="M364" s="103">
        <v>1.392757660167131</v>
      </c>
      <c r="N364" s="103">
        <v>0.55710306406685239</v>
      </c>
      <c r="O364" s="103">
        <v>0.2785515320334262</v>
      </c>
      <c r="P364" s="42"/>
      <c r="Q364" s="110"/>
      <c r="R364" s="46" t="s">
        <v>7</v>
      </c>
      <c r="S364" s="103">
        <v>6.25</v>
      </c>
      <c r="T364" s="103">
        <v>6.25</v>
      </c>
      <c r="U364" s="103">
        <v>21.875</v>
      </c>
      <c r="V364" s="103">
        <v>25</v>
      </c>
      <c r="W364" s="103">
        <v>18.75</v>
      </c>
      <c r="X364" s="103">
        <v>9.375</v>
      </c>
      <c r="Y364" s="103">
        <v>6.25</v>
      </c>
      <c r="Z364" s="103">
        <v>3.125</v>
      </c>
      <c r="AA364" s="103">
        <v>3.125</v>
      </c>
      <c r="AB364" s="103">
        <v>0</v>
      </c>
      <c r="AC364" s="42"/>
      <c r="AD364" s="110"/>
      <c r="AE364" s="46" t="s">
        <v>7</v>
      </c>
      <c r="AF364" s="103">
        <v>3.669724770642202</v>
      </c>
      <c r="AG364" s="103">
        <v>20.795107033639145</v>
      </c>
      <c r="AH364" s="103">
        <v>27.217125382262996</v>
      </c>
      <c r="AI364" s="103">
        <v>31.49847094801223</v>
      </c>
      <c r="AJ364" s="103">
        <v>10.397553516819572</v>
      </c>
      <c r="AK364" s="103">
        <v>2.7522935779816518</v>
      </c>
      <c r="AL364" s="103">
        <v>1.834862385321101</v>
      </c>
      <c r="AM364" s="103">
        <v>1.2232415902140672</v>
      </c>
      <c r="AN364" s="103">
        <v>0.3058103975535168</v>
      </c>
      <c r="AO364" s="103">
        <v>0.3058103975535168</v>
      </c>
      <c r="AP364" s="6"/>
      <c r="AQ364" s="110"/>
      <c r="AR364" s="46" t="s">
        <v>7</v>
      </c>
      <c r="AS364" s="103">
        <v>8.8888888888888893</v>
      </c>
      <c r="AT364" s="103">
        <v>22.222222222222221</v>
      </c>
      <c r="AU364" s="103">
        <v>32.222222222222221</v>
      </c>
      <c r="AV364" s="103">
        <v>22.222222222222221</v>
      </c>
      <c r="AW364" s="103">
        <v>8.8888888888888893</v>
      </c>
      <c r="AX364" s="103">
        <v>2.2222222222222223</v>
      </c>
      <c r="AY364" s="103">
        <v>1.1111111111111112</v>
      </c>
      <c r="AZ364" s="103">
        <v>2.2222222222222223</v>
      </c>
      <c r="BA364" s="103">
        <v>0</v>
      </c>
      <c r="BB364" s="103">
        <v>0</v>
      </c>
      <c r="BC364" s="42"/>
      <c r="BD364" s="110"/>
      <c r="BE364" s="46" t="s">
        <v>7</v>
      </c>
      <c r="BF364" s="103">
        <v>2.2304832713754648</v>
      </c>
      <c r="BG364" s="103">
        <v>18.587360594795538</v>
      </c>
      <c r="BH364" s="103">
        <v>24.907063197026023</v>
      </c>
      <c r="BI364" s="103">
        <v>33.828996282527882</v>
      </c>
      <c r="BJ364" s="103">
        <v>11.895910780669144</v>
      </c>
      <c r="BK364" s="103">
        <v>3.7174721189591078</v>
      </c>
      <c r="BL364" s="103">
        <v>2.6022304832713754</v>
      </c>
      <c r="BM364" s="103">
        <v>1.1152416356877324</v>
      </c>
      <c r="BN364" s="103">
        <v>0.74349442379182151</v>
      </c>
      <c r="BO364" s="103">
        <v>0.37174721189591076</v>
      </c>
      <c r="BQ364" s="110"/>
      <c r="BR364" s="46" t="s">
        <v>7</v>
      </c>
      <c r="BS364" s="103">
        <v>3.5714285714285712</v>
      </c>
      <c r="BT364" s="103">
        <v>25</v>
      </c>
      <c r="BU364" s="103">
        <v>28.571428571428569</v>
      </c>
      <c r="BV364" s="103">
        <v>25</v>
      </c>
      <c r="BW364" s="103">
        <v>8.9285714285714288</v>
      </c>
      <c r="BX364" s="103">
        <v>1.7857142857142856</v>
      </c>
      <c r="BY364" s="103">
        <v>5.3571428571428568</v>
      </c>
      <c r="BZ364" s="103">
        <v>1.7857142857142856</v>
      </c>
      <c r="CA364" s="103">
        <v>0</v>
      </c>
      <c r="CB364" s="103">
        <v>0</v>
      </c>
      <c r="CC364" s="42"/>
      <c r="CD364" s="110"/>
      <c r="CE364" s="46" t="s">
        <v>7</v>
      </c>
      <c r="CF364" s="103">
        <v>3.9603960396039604</v>
      </c>
      <c r="CG364" s="103">
        <v>18.481848184818482</v>
      </c>
      <c r="CH364" s="103">
        <v>26.402640264026399</v>
      </c>
      <c r="CI364" s="103">
        <v>32.013201320132012</v>
      </c>
      <c r="CJ364" s="103">
        <v>11.55115511551155</v>
      </c>
      <c r="CK364" s="103">
        <v>3.6303630363036308</v>
      </c>
      <c r="CL364" s="103">
        <v>1.6501650165016499</v>
      </c>
      <c r="CM364" s="103">
        <v>1.3201320132013201</v>
      </c>
      <c r="CN364" s="103">
        <v>0.66006600660066006</v>
      </c>
      <c r="CO364" s="103">
        <v>0.33003300330033003</v>
      </c>
      <c r="CQ364" s="110"/>
      <c r="CR364" s="46" t="s">
        <v>7</v>
      </c>
      <c r="CS364" s="103">
        <v>2</v>
      </c>
      <c r="CT364" s="103">
        <v>18</v>
      </c>
      <c r="CU364" s="103">
        <v>26</v>
      </c>
      <c r="CV364" s="103">
        <v>24</v>
      </c>
      <c r="CW364" s="103">
        <v>20</v>
      </c>
      <c r="CX364" s="103">
        <v>6</v>
      </c>
      <c r="CY364" s="103">
        <v>0</v>
      </c>
      <c r="CZ364" s="103">
        <v>4</v>
      </c>
      <c r="DA364" s="103">
        <v>0</v>
      </c>
      <c r="DB364" s="103">
        <v>0</v>
      </c>
      <c r="DC364" s="42"/>
      <c r="DD364" s="110"/>
      <c r="DE364" s="46" t="s">
        <v>7</v>
      </c>
      <c r="DF364" s="103">
        <v>4.2071197411003238</v>
      </c>
      <c r="DG364" s="103">
        <v>19.741100323624593</v>
      </c>
      <c r="DH364" s="103">
        <v>26.860841423948216</v>
      </c>
      <c r="DI364" s="103">
        <v>32.038834951456316</v>
      </c>
      <c r="DJ364" s="103">
        <v>9.7087378640776691</v>
      </c>
      <c r="DK364" s="103">
        <v>2.912621359223301</v>
      </c>
      <c r="DL364" s="103">
        <v>2.5889967637540456</v>
      </c>
      <c r="DM364" s="103">
        <v>0.97087378640776689</v>
      </c>
      <c r="DN364" s="103">
        <v>0.64724919093851141</v>
      </c>
      <c r="DO364" s="103">
        <v>0.3236245954692557</v>
      </c>
    </row>
    <row r="365" spans="2:119" ht="16.25" customHeight="1" x14ac:dyDescent="0.45">
      <c r="B365" s="99"/>
      <c r="C365" s="42"/>
      <c r="D365" s="110"/>
      <c r="E365" s="47" t="s">
        <v>8</v>
      </c>
      <c r="F365" s="103">
        <v>2.6365348399246704</v>
      </c>
      <c r="G365" s="103">
        <v>7.3446327683615822</v>
      </c>
      <c r="H365" s="103">
        <v>19.58568738229755</v>
      </c>
      <c r="I365" s="103">
        <v>32.7683615819209</v>
      </c>
      <c r="J365" s="103">
        <v>14.87758945386064</v>
      </c>
      <c r="K365" s="103">
        <v>11.864406779661017</v>
      </c>
      <c r="L365" s="103">
        <v>6.9679849340866298</v>
      </c>
      <c r="M365" s="103">
        <v>3.3898305084745761</v>
      </c>
      <c r="N365" s="103">
        <v>0.56497175141242939</v>
      </c>
      <c r="O365" s="103">
        <v>0</v>
      </c>
      <c r="P365" s="42"/>
      <c r="Q365" s="110"/>
      <c r="R365" s="46" t="s">
        <v>8</v>
      </c>
      <c r="S365" s="103">
        <v>1.6666666666666667</v>
      </c>
      <c r="T365" s="103">
        <v>3.3333333333333335</v>
      </c>
      <c r="U365" s="103">
        <v>11.666666666666666</v>
      </c>
      <c r="V365" s="103">
        <v>31.666666666666664</v>
      </c>
      <c r="W365" s="103">
        <v>11.666666666666666</v>
      </c>
      <c r="X365" s="103">
        <v>21.666666666666668</v>
      </c>
      <c r="Y365" s="103">
        <v>11.666666666666666</v>
      </c>
      <c r="Z365" s="103">
        <v>6.666666666666667</v>
      </c>
      <c r="AA365" s="103">
        <v>0</v>
      </c>
      <c r="AB365" s="103">
        <v>0</v>
      </c>
      <c r="AC365" s="42"/>
      <c r="AD365" s="110"/>
      <c r="AE365" s="46" t="s">
        <v>8</v>
      </c>
      <c r="AF365" s="103">
        <v>2.7600849256900215</v>
      </c>
      <c r="AG365" s="103">
        <v>7.8556263269639066</v>
      </c>
      <c r="AH365" s="103">
        <v>20.594479830148622</v>
      </c>
      <c r="AI365" s="103">
        <v>32.908704883227173</v>
      </c>
      <c r="AJ365" s="103">
        <v>15.286624203821656</v>
      </c>
      <c r="AK365" s="103">
        <v>10.615711252653929</v>
      </c>
      <c r="AL365" s="103">
        <v>6.369426751592357</v>
      </c>
      <c r="AM365" s="103">
        <v>2.9723991507431</v>
      </c>
      <c r="AN365" s="103">
        <v>0.63694267515923575</v>
      </c>
      <c r="AO365" s="103">
        <v>0</v>
      </c>
      <c r="AP365" s="6"/>
      <c r="AQ365" s="110"/>
      <c r="AR365" s="46" t="s">
        <v>8</v>
      </c>
      <c r="AS365" s="103">
        <v>6.0869565217391308</v>
      </c>
      <c r="AT365" s="103">
        <v>13.043478260869565</v>
      </c>
      <c r="AU365" s="103">
        <v>24.347826086956523</v>
      </c>
      <c r="AV365" s="103">
        <v>33.913043478260867</v>
      </c>
      <c r="AW365" s="103">
        <v>6.0869565217391308</v>
      </c>
      <c r="AX365" s="103">
        <v>9.5652173913043477</v>
      </c>
      <c r="AY365" s="103">
        <v>4.3478260869565215</v>
      </c>
      <c r="AZ365" s="103">
        <v>2.6086956521739131</v>
      </c>
      <c r="BA365" s="103">
        <v>0</v>
      </c>
      <c r="BB365" s="103">
        <v>0</v>
      </c>
      <c r="BC365" s="42"/>
      <c r="BD365" s="110"/>
      <c r="BE365" s="46" t="s">
        <v>8</v>
      </c>
      <c r="BF365" s="103">
        <v>1.6826923076923077</v>
      </c>
      <c r="BG365" s="103">
        <v>5.7692307692307692</v>
      </c>
      <c r="BH365" s="103">
        <v>18.269230769230766</v>
      </c>
      <c r="BI365" s="103">
        <v>32.45192307692308</v>
      </c>
      <c r="BJ365" s="103">
        <v>17.307692307692307</v>
      </c>
      <c r="BK365" s="103">
        <v>12.5</v>
      </c>
      <c r="BL365" s="103">
        <v>7.6923076923076925</v>
      </c>
      <c r="BM365" s="103">
        <v>3.6057692307692304</v>
      </c>
      <c r="BN365" s="103">
        <v>0.72115384615384615</v>
      </c>
      <c r="BO365" s="103">
        <v>0</v>
      </c>
      <c r="BQ365" s="110"/>
      <c r="BR365" s="46" t="s">
        <v>8</v>
      </c>
      <c r="BS365" s="103">
        <v>4.4444444444444446</v>
      </c>
      <c r="BT365" s="103">
        <v>13.333333333333334</v>
      </c>
      <c r="BU365" s="103">
        <v>15.555555555555555</v>
      </c>
      <c r="BV365" s="103">
        <v>33.333333333333329</v>
      </c>
      <c r="BW365" s="103">
        <v>11.111111111111111</v>
      </c>
      <c r="BX365" s="103">
        <v>11.111111111111111</v>
      </c>
      <c r="BY365" s="103">
        <v>6.666666666666667</v>
      </c>
      <c r="BZ365" s="103">
        <v>4.4444444444444446</v>
      </c>
      <c r="CA365" s="103">
        <v>0</v>
      </c>
      <c r="CB365" s="103">
        <v>0</v>
      </c>
      <c r="CC365" s="42"/>
      <c r="CD365" s="110"/>
      <c r="CE365" s="46" t="s">
        <v>8</v>
      </c>
      <c r="CF365" s="103">
        <v>2.4691358024691357</v>
      </c>
      <c r="CG365" s="103">
        <v>6.7901234567901234</v>
      </c>
      <c r="CH365" s="103">
        <v>19.958847736625515</v>
      </c>
      <c r="CI365" s="103">
        <v>32.716049382716051</v>
      </c>
      <c r="CJ365" s="103">
        <v>15.22633744855967</v>
      </c>
      <c r="CK365" s="103">
        <v>11.934156378600823</v>
      </c>
      <c r="CL365" s="103">
        <v>6.9958847736625511</v>
      </c>
      <c r="CM365" s="103">
        <v>3.2921810699588478</v>
      </c>
      <c r="CN365" s="103">
        <v>0.61728395061728392</v>
      </c>
      <c r="CO365" s="103">
        <v>0</v>
      </c>
      <c r="CQ365" s="110"/>
      <c r="CR365" s="46" t="s">
        <v>8</v>
      </c>
      <c r="CS365" s="103">
        <v>1.2820512820512819</v>
      </c>
      <c r="CT365" s="103">
        <v>7.6923076923076925</v>
      </c>
      <c r="CU365" s="103">
        <v>23.076923076923077</v>
      </c>
      <c r="CV365" s="103">
        <v>25.641025641025639</v>
      </c>
      <c r="CW365" s="103">
        <v>12.820512820512819</v>
      </c>
      <c r="CX365" s="103">
        <v>15.384615384615385</v>
      </c>
      <c r="CY365" s="103">
        <v>8.9743589743589745</v>
      </c>
      <c r="CZ365" s="103">
        <v>5.1282051282051277</v>
      </c>
      <c r="DA365" s="103">
        <v>0</v>
      </c>
      <c r="DB365" s="103">
        <v>0</v>
      </c>
      <c r="DC365" s="42"/>
      <c r="DD365" s="110"/>
      <c r="DE365" s="46" t="s">
        <v>8</v>
      </c>
      <c r="DF365" s="103">
        <v>2.869757174392936</v>
      </c>
      <c r="DG365" s="103">
        <v>7.2847682119205297</v>
      </c>
      <c r="DH365" s="103">
        <v>18.984547461368653</v>
      </c>
      <c r="DI365" s="103">
        <v>33.995584988962477</v>
      </c>
      <c r="DJ365" s="103">
        <v>15.231788079470199</v>
      </c>
      <c r="DK365" s="103">
        <v>11.258278145695364</v>
      </c>
      <c r="DL365" s="103">
        <v>6.6225165562913908</v>
      </c>
      <c r="DM365" s="103">
        <v>3.0905077262693159</v>
      </c>
      <c r="DN365" s="103">
        <v>0.66225165562913912</v>
      </c>
      <c r="DO365" s="103">
        <v>0</v>
      </c>
    </row>
    <row r="366" spans="2:119" ht="16.25" customHeight="1" x14ac:dyDescent="0.45">
      <c r="B366" s="99"/>
      <c r="C366" s="42"/>
      <c r="D366" s="110"/>
      <c r="E366" s="47" t="s">
        <v>9</v>
      </c>
      <c r="F366" s="103">
        <v>1.6369047619047621</v>
      </c>
      <c r="G366" s="103">
        <v>2.6785714285714284</v>
      </c>
      <c r="H366" s="103">
        <v>14.583333333333334</v>
      </c>
      <c r="I366" s="103">
        <v>25.446428571428569</v>
      </c>
      <c r="J366" s="103">
        <v>19.345238095238095</v>
      </c>
      <c r="K366" s="103">
        <v>15.773809523809524</v>
      </c>
      <c r="L366" s="103">
        <v>13.392857142857142</v>
      </c>
      <c r="M366" s="103">
        <v>4.9107142857142856</v>
      </c>
      <c r="N366" s="103">
        <v>1.1904761904761905</v>
      </c>
      <c r="O366" s="103">
        <v>1.0416666666666665</v>
      </c>
      <c r="P366" s="42"/>
      <c r="Q366" s="110"/>
      <c r="R366" s="46" t="s">
        <v>9</v>
      </c>
      <c r="S366" s="103">
        <v>0</v>
      </c>
      <c r="T366" s="103">
        <v>0</v>
      </c>
      <c r="U366" s="103">
        <v>8.4745762711864394</v>
      </c>
      <c r="V366" s="103">
        <v>23.728813559322035</v>
      </c>
      <c r="W366" s="103">
        <v>10.16949152542373</v>
      </c>
      <c r="X366" s="103">
        <v>18.64406779661017</v>
      </c>
      <c r="Y366" s="103">
        <v>23.728813559322035</v>
      </c>
      <c r="Z366" s="103">
        <v>13.559322033898304</v>
      </c>
      <c r="AA366" s="103">
        <v>1.6949152542372881</v>
      </c>
      <c r="AB366" s="103">
        <v>0</v>
      </c>
      <c r="AC366" s="42"/>
      <c r="AD366" s="110"/>
      <c r="AE366" s="46" t="s">
        <v>9</v>
      </c>
      <c r="AF366" s="103">
        <v>1.794453507340946</v>
      </c>
      <c r="AG366" s="103">
        <v>2.9363784665579118</v>
      </c>
      <c r="AH366" s="103">
        <v>15.171288743882544</v>
      </c>
      <c r="AI366" s="103">
        <v>25.611745513866229</v>
      </c>
      <c r="AJ366" s="103">
        <v>20.228384991843392</v>
      </c>
      <c r="AK366" s="103">
        <v>15.497553017944535</v>
      </c>
      <c r="AL366" s="103">
        <v>12.398042414355629</v>
      </c>
      <c r="AM366" s="103">
        <v>4.0783034257748776</v>
      </c>
      <c r="AN366" s="103">
        <v>1.1419249592169658</v>
      </c>
      <c r="AO366" s="103">
        <v>1.1419249592169658</v>
      </c>
      <c r="AP366" s="6"/>
      <c r="AQ366" s="110"/>
      <c r="AR366" s="46" t="s">
        <v>9</v>
      </c>
      <c r="AS366" s="103">
        <v>3.0612244897959182</v>
      </c>
      <c r="AT366" s="103">
        <v>5.1020408163265305</v>
      </c>
      <c r="AU366" s="103">
        <v>19.387755102040817</v>
      </c>
      <c r="AV366" s="103">
        <v>34.693877551020407</v>
      </c>
      <c r="AW366" s="103">
        <v>23.469387755102041</v>
      </c>
      <c r="AX366" s="103">
        <v>8.1632653061224492</v>
      </c>
      <c r="AY366" s="103">
        <v>5.1020408163265305</v>
      </c>
      <c r="AZ366" s="103">
        <v>1.0204081632653061</v>
      </c>
      <c r="BA366" s="103">
        <v>0</v>
      </c>
      <c r="BB366" s="103">
        <v>0</v>
      </c>
      <c r="BC366" s="42"/>
      <c r="BD366" s="110"/>
      <c r="BE366" s="46" t="s">
        <v>9</v>
      </c>
      <c r="BF366" s="103">
        <v>1.3937282229965158</v>
      </c>
      <c r="BG366" s="103">
        <v>2.264808362369338</v>
      </c>
      <c r="BH366" s="103">
        <v>13.763066202090593</v>
      </c>
      <c r="BI366" s="103">
        <v>23.867595818815332</v>
      </c>
      <c r="BJ366" s="103">
        <v>18.641114982578397</v>
      </c>
      <c r="BK366" s="103">
        <v>17.073170731707318</v>
      </c>
      <c r="BL366" s="103">
        <v>14.80836236933798</v>
      </c>
      <c r="BM366" s="103">
        <v>5.5749128919860631</v>
      </c>
      <c r="BN366" s="103">
        <v>1.3937282229965158</v>
      </c>
      <c r="BO366" s="103">
        <v>1.2195121951219512</v>
      </c>
      <c r="BQ366" s="110"/>
      <c r="BR366" s="46" t="s">
        <v>9</v>
      </c>
      <c r="BS366" s="103">
        <v>3.0303030303030303</v>
      </c>
      <c r="BT366" s="103">
        <v>6.0606060606060606</v>
      </c>
      <c r="BU366" s="103">
        <v>15.151515151515152</v>
      </c>
      <c r="BV366" s="103">
        <v>21.212121212121211</v>
      </c>
      <c r="BW366" s="103">
        <v>12.121212121212121</v>
      </c>
      <c r="BX366" s="103">
        <v>18.181818181818183</v>
      </c>
      <c r="BY366" s="103">
        <v>12.121212121212121</v>
      </c>
      <c r="BZ366" s="103">
        <v>9.0909090909090917</v>
      </c>
      <c r="CA366" s="103">
        <v>0</v>
      </c>
      <c r="CB366" s="103">
        <v>3.0303030303030303</v>
      </c>
      <c r="CC366" s="42"/>
      <c r="CD366" s="110"/>
      <c r="CE366" s="46" t="s">
        <v>9</v>
      </c>
      <c r="CF366" s="103">
        <v>1.5649452269170578</v>
      </c>
      <c r="CG366" s="103">
        <v>2.5039123630672928</v>
      </c>
      <c r="CH366" s="103">
        <v>14.553990610328638</v>
      </c>
      <c r="CI366" s="103">
        <v>25.665101721439747</v>
      </c>
      <c r="CJ366" s="103">
        <v>19.718309859154928</v>
      </c>
      <c r="CK366" s="103">
        <v>15.649452269170579</v>
      </c>
      <c r="CL366" s="103">
        <v>13.458528951486699</v>
      </c>
      <c r="CM366" s="103">
        <v>4.6948356807511731</v>
      </c>
      <c r="CN366" s="103">
        <v>1.2519561815336464</v>
      </c>
      <c r="CO366" s="103">
        <v>0.93896713615023475</v>
      </c>
      <c r="CQ366" s="110"/>
      <c r="CR366" s="46" t="s">
        <v>9</v>
      </c>
      <c r="CS366" s="103">
        <v>0</v>
      </c>
      <c r="CT366" s="103">
        <v>2.8985507246376812</v>
      </c>
      <c r="CU366" s="103">
        <v>13.043478260869565</v>
      </c>
      <c r="CV366" s="103">
        <v>20.289855072463769</v>
      </c>
      <c r="CW366" s="103">
        <v>17.391304347826086</v>
      </c>
      <c r="CX366" s="103">
        <v>14.492753623188406</v>
      </c>
      <c r="CY366" s="103">
        <v>18.840579710144929</v>
      </c>
      <c r="CZ366" s="103">
        <v>11.594202898550725</v>
      </c>
      <c r="DA366" s="103">
        <v>1.4492753623188406</v>
      </c>
      <c r="DB366" s="103">
        <v>0</v>
      </c>
      <c r="DC366" s="42"/>
      <c r="DD366" s="110"/>
      <c r="DE366" s="46" t="s">
        <v>9</v>
      </c>
      <c r="DF366" s="103">
        <v>1.8242122719734661</v>
      </c>
      <c r="DG366" s="103">
        <v>2.6533996683250414</v>
      </c>
      <c r="DH366" s="103">
        <v>14.759535655058043</v>
      </c>
      <c r="DI366" s="103">
        <v>26.036484245439468</v>
      </c>
      <c r="DJ366" s="103">
        <v>19.568822553897181</v>
      </c>
      <c r="DK366" s="103">
        <v>15.920398009950249</v>
      </c>
      <c r="DL366" s="103">
        <v>12.769485903814262</v>
      </c>
      <c r="DM366" s="103">
        <v>4.1459369817578775</v>
      </c>
      <c r="DN366" s="103">
        <v>1.1608623548922055</v>
      </c>
      <c r="DO366" s="103">
        <v>1.1608623548922055</v>
      </c>
    </row>
    <row r="367" spans="2:119" ht="16.25" customHeight="1" x14ac:dyDescent="0.45">
      <c r="B367" s="99"/>
      <c r="C367" s="42"/>
      <c r="D367" s="110"/>
      <c r="E367" s="47" t="s">
        <v>10</v>
      </c>
      <c r="F367" s="103">
        <v>0.14492753623188406</v>
      </c>
      <c r="G367" s="103">
        <v>0.86956521739130432</v>
      </c>
      <c r="H367" s="103">
        <v>5.9420289855072461</v>
      </c>
      <c r="I367" s="103">
        <v>14.202898550724639</v>
      </c>
      <c r="J367" s="103">
        <v>14.057971014492754</v>
      </c>
      <c r="K367" s="103">
        <v>20.289855072463769</v>
      </c>
      <c r="L367" s="103">
        <v>22.028985507246375</v>
      </c>
      <c r="M367" s="103">
        <v>12.028985507246377</v>
      </c>
      <c r="N367" s="103">
        <v>8.4057971014492754</v>
      </c>
      <c r="O367" s="103">
        <v>2.0289855072463765</v>
      </c>
      <c r="P367" s="42"/>
      <c r="Q367" s="110"/>
      <c r="R367" s="46" t="s">
        <v>10</v>
      </c>
      <c r="S367" s="103">
        <v>0</v>
      </c>
      <c r="T367" s="103">
        <v>0</v>
      </c>
      <c r="U367" s="103">
        <v>2.197802197802198</v>
      </c>
      <c r="V367" s="103">
        <v>5.4945054945054945</v>
      </c>
      <c r="W367" s="103">
        <v>7.6923076923076925</v>
      </c>
      <c r="X367" s="103">
        <v>16.483516483516482</v>
      </c>
      <c r="Y367" s="103">
        <v>34.065934065934066</v>
      </c>
      <c r="Z367" s="103">
        <v>17.582417582417584</v>
      </c>
      <c r="AA367" s="103">
        <v>12.087912087912088</v>
      </c>
      <c r="AB367" s="103">
        <v>4.395604395604396</v>
      </c>
      <c r="AC367" s="42"/>
      <c r="AD367" s="110"/>
      <c r="AE367" s="46" t="s">
        <v>10</v>
      </c>
      <c r="AF367" s="103">
        <v>0.1669449081803005</v>
      </c>
      <c r="AG367" s="103">
        <v>1.001669449081803</v>
      </c>
      <c r="AH367" s="103">
        <v>6.5108514190317202</v>
      </c>
      <c r="AI367" s="103">
        <v>15.525876460767945</v>
      </c>
      <c r="AJ367" s="103">
        <v>15.025041736227045</v>
      </c>
      <c r="AK367" s="103">
        <v>20.868113522537563</v>
      </c>
      <c r="AL367" s="103">
        <v>20.20033388981636</v>
      </c>
      <c r="AM367" s="103">
        <v>11.185308848080133</v>
      </c>
      <c r="AN367" s="103">
        <v>7.8464106844741242</v>
      </c>
      <c r="AO367" s="103">
        <v>1.669449081803005</v>
      </c>
      <c r="AP367" s="6"/>
      <c r="AQ367" s="110"/>
      <c r="AR367" s="46" t="s">
        <v>10</v>
      </c>
      <c r="AS367" s="103">
        <v>1.3888888888888888</v>
      </c>
      <c r="AT367" s="103">
        <v>2.7777777777777777</v>
      </c>
      <c r="AU367" s="103">
        <v>15.277777777777779</v>
      </c>
      <c r="AV367" s="103">
        <v>20.833333333333336</v>
      </c>
      <c r="AW367" s="103">
        <v>6.9444444444444446</v>
      </c>
      <c r="AX367" s="103">
        <v>22.222222222222221</v>
      </c>
      <c r="AY367" s="103">
        <v>20.833333333333336</v>
      </c>
      <c r="AZ367" s="103">
        <v>8.3333333333333321</v>
      </c>
      <c r="BA367" s="103">
        <v>1.3888888888888888</v>
      </c>
      <c r="BB367" s="103">
        <v>0</v>
      </c>
      <c r="BC367" s="42"/>
      <c r="BD367" s="110"/>
      <c r="BE367" s="46" t="s">
        <v>10</v>
      </c>
      <c r="BF367" s="103">
        <v>0</v>
      </c>
      <c r="BG367" s="103">
        <v>0.64724919093851141</v>
      </c>
      <c r="BH367" s="103">
        <v>4.8543689320388346</v>
      </c>
      <c r="BI367" s="103">
        <v>13.430420711974108</v>
      </c>
      <c r="BJ367" s="103">
        <v>14.886731391585762</v>
      </c>
      <c r="BK367" s="103">
        <v>20.064724919093852</v>
      </c>
      <c r="BL367" s="103">
        <v>22.168284789644012</v>
      </c>
      <c r="BM367" s="103">
        <v>12.459546925566343</v>
      </c>
      <c r="BN367" s="103">
        <v>9.2233009708737868</v>
      </c>
      <c r="BO367" s="103">
        <v>2.2653721682847898</v>
      </c>
      <c r="BQ367" s="110"/>
      <c r="BR367" s="46" t="s">
        <v>10</v>
      </c>
      <c r="BS367" s="103">
        <v>0</v>
      </c>
      <c r="BT367" s="103">
        <v>6.4516129032258061</v>
      </c>
      <c r="BU367" s="103">
        <v>3.225806451612903</v>
      </c>
      <c r="BV367" s="103">
        <v>19.35483870967742</v>
      </c>
      <c r="BW367" s="103">
        <v>12.903225806451612</v>
      </c>
      <c r="BX367" s="103">
        <v>19.35483870967742</v>
      </c>
      <c r="BY367" s="103">
        <v>12.903225806451612</v>
      </c>
      <c r="BZ367" s="103">
        <v>9.67741935483871</v>
      </c>
      <c r="CA367" s="103">
        <v>12.903225806451612</v>
      </c>
      <c r="CB367" s="103">
        <v>3.225806451612903</v>
      </c>
      <c r="CC367" s="42"/>
      <c r="CD367" s="110"/>
      <c r="CE367" s="46" t="s">
        <v>10</v>
      </c>
      <c r="CF367" s="103">
        <v>0.15174506828528073</v>
      </c>
      <c r="CG367" s="103">
        <v>0.60698027314112291</v>
      </c>
      <c r="CH367" s="103">
        <v>6.0698027314112295</v>
      </c>
      <c r="CI367" s="103">
        <v>13.960546282245827</v>
      </c>
      <c r="CJ367" s="103">
        <v>14.112291350531109</v>
      </c>
      <c r="CK367" s="103">
        <v>20.333839150227618</v>
      </c>
      <c r="CL367" s="103">
        <v>22.458270106221548</v>
      </c>
      <c r="CM367" s="103">
        <v>12.139605462822459</v>
      </c>
      <c r="CN367" s="103">
        <v>8.1942336874051591</v>
      </c>
      <c r="CO367" s="103">
        <v>1.9726858877086493</v>
      </c>
      <c r="CQ367" s="110"/>
      <c r="CR367" s="46" t="s">
        <v>10</v>
      </c>
      <c r="CS367" s="103">
        <v>0</v>
      </c>
      <c r="CT367" s="103">
        <v>2.7027027027027026</v>
      </c>
      <c r="CU367" s="103">
        <v>5.4054054054054053</v>
      </c>
      <c r="CV367" s="103">
        <v>16.216216216216218</v>
      </c>
      <c r="CW367" s="103">
        <v>12.162162162162163</v>
      </c>
      <c r="CX367" s="103">
        <v>17.567567567567568</v>
      </c>
      <c r="CY367" s="103">
        <v>25.675675675675674</v>
      </c>
      <c r="CZ367" s="103">
        <v>12.162162162162163</v>
      </c>
      <c r="DA367" s="103">
        <v>8.1081081081081088</v>
      </c>
      <c r="DB367" s="103">
        <v>0</v>
      </c>
      <c r="DC367" s="42"/>
      <c r="DD367" s="110"/>
      <c r="DE367" s="46" t="s">
        <v>10</v>
      </c>
      <c r="DF367" s="103">
        <v>0.16233766233766234</v>
      </c>
      <c r="DG367" s="103">
        <v>0.64935064935064934</v>
      </c>
      <c r="DH367" s="103">
        <v>6.0064935064935066</v>
      </c>
      <c r="DI367" s="103">
        <v>13.961038961038961</v>
      </c>
      <c r="DJ367" s="103">
        <v>14.285714285714285</v>
      </c>
      <c r="DK367" s="103">
        <v>20.616883116883116</v>
      </c>
      <c r="DL367" s="103">
        <v>21.59090909090909</v>
      </c>
      <c r="DM367" s="103">
        <v>12.012987012987013</v>
      </c>
      <c r="DN367" s="103">
        <v>8.4415584415584419</v>
      </c>
      <c r="DO367" s="103">
        <v>2.2727272727272729</v>
      </c>
    </row>
    <row r="368" spans="2:119" ht="16.25" customHeight="1" x14ac:dyDescent="0.45">
      <c r="B368" s="99"/>
      <c r="C368" s="42"/>
      <c r="D368" s="111"/>
      <c r="E368" s="47" t="s">
        <v>11</v>
      </c>
      <c r="F368" s="103">
        <v>0</v>
      </c>
      <c r="G368" s="103">
        <v>0</v>
      </c>
      <c r="H368" s="103">
        <v>1.6949152542372881</v>
      </c>
      <c r="I368" s="103">
        <v>5.0847457627118651</v>
      </c>
      <c r="J368" s="103">
        <v>11.864406779661017</v>
      </c>
      <c r="K368" s="103">
        <v>13.559322033898304</v>
      </c>
      <c r="L368" s="103">
        <v>25.423728813559322</v>
      </c>
      <c r="M368" s="103">
        <v>13.559322033898304</v>
      </c>
      <c r="N368" s="103">
        <v>16.38418079096045</v>
      </c>
      <c r="O368" s="103">
        <v>12.429378531073446</v>
      </c>
      <c r="P368" s="42"/>
      <c r="Q368" s="111"/>
      <c r="R368" s="46" t="s">
        <v>11</v>
      </c>
      <c r="S368" s="103">
        <v>0</v>
      </c>
      <c r="T368" s="103">
        <v>0</v>
      </c>
      <c r="U368" s="103">
        <v>0</v>
      </c>
      <c r="V368" s="103">
        <v>2.5</v>
      </c>
      <c r="W368" s="103">
        <v>7.5</v>
      </c>
      <c r="X368" s="103">
        <v>7.5</v>
      </c>
      <c r="Y368" s="103">
        <v>22.5</v>
      </c>
      <c r="Z368" s="103">
        <v>12.5</v>
      </c>
      <c r="AA368" s="103">
        <v>27.500000000000004</v>
      </c>
      <c r="AB368" s="103">
        <v>20</v>
      </c>
      <c r="AC368" s="42"/>
      <c r="AD368" s="111"/>
      <c r="AE368" s="46" t="s">
        <v>11</v>
      </c>
      <c r="AF368" s="103">
        <v>0</v>
      </c>
      <c r="AG368" s="103">
        <v>0</v>
      </c>
      <c r="AH368" s="103">
        <v>2.1897810218978102</v>
      </c>
      <c r="AI368" s="103">
        <v>5.8394160583941606</v>
      </c>
      <c r="AJ368" s="103">
        <v>13.138686131386862</v>
      </c>
      <c r="AK368" s="103">
        <v>15.328467153284672</v>
      </c>
      <c r="AL368" s="103">
        <v>26.277372262773724</v>
      </c>
      <c r="AM368" s="103">
        <v>13.868613138686131</v>
      </c>
      <c r="AN368" s="103">
        <v>13.138686131386862</v>
      </c>
      <c r="AO368" s="103">
        <v>10.218978102189782</v>
      </c>
      <c r="AP368" s="6"/>
      <c r="AQ368" s="111"/>
      <c r="AR368" s="46" t="s">
        <v>11</v>
      </c>
      <c r="AS368" s="103">
        <v>0</v>
      </c>
      <c r="AT368" s="103">
        <v>0</v>
      </c>
      <c r="AU368" s="103">
        <v>11.111111111111111</v>
      </c>
      <c r="AV368" s="103">
        <v>11.111111111111111</v>
      </c>
      <c r="AW368" s="103">
        <v>11.111111111111111</v>
      </c>
      <c r="AX368" s="103">
        <v>22.222222222222221</v>
      </c>
      <c r="AY368" s="103">
        <v>11.111111111111111</v>
      </c>
      <c r="AZ368" s="103">
        <v>0</v>
      </c>
      <c r="BA368" s="103">
        <v>33.333333333333329</v>
      </c>
      <c r="BB368" s="103">
        <v>0</v>
      </c>
      <c r="BC368" s="42"/>
      <c r="BD368" s="111"/>
      <c r="BE368" s="46" t="s">
        <v>11</v>
      </c>
      <c r="BF368" s="103">
        <v>0</v>
      </c>
      <c r="BG368" s="103">
        <v>0</v>
      </c>
      <c r="BH368" s="103">
        <v>1.1904761904761905</v>
      </c>
      <c r="BI368" s="103">
        <v>4.7619047619047619</v>
      </c>
      <c r="BJ368" s="103">
        <v>11.904761904761903</v>
      </c>
      <c r="BK368" s="103">
        <v>13.095238095238097</v>
      </c>
      <c r="BL368" s="103">
        <v>26.190476190476193</v>
      </c>
      <c r="BM368" s="103">
        <v>14.285714285714285</v>
      </c>
      <c r="BN368" s="103">
        <v>15.476190476190476</v>
      </c>
      <c r="BO368" s="103">
        <v>13.095238095238097</v>
      </c>
      <c r="BQ368" s="111"/>
      <c r="BR368" s="46" t="s">
        <v>11</v>
      </c>
      <c r="BS368" s="103">
        <v>0</v>
      </c>
      <c r="BT368" s="103">
        <v>0</v>
      </c>
      <c r="BU368" s="103">
        <v>0</v>
      </c>
      <c r="BV368" s="103">
        <v>20</v>
      </c>
      <c r="BW368" s="103">
        <v>40</v>
      </c>
      <c r="BX368" s="103">
        <v>0</v>
      </c>
      <c r="BY368" s="103">
        <v>0</v>
      </c>
      <c r="BZ368" s="103">
        <v>20</v>
      </c>
      <c r="CA368" s="103">
        <v>20</v>
      </c>
      <c r="CB368" s="103">
        <v>0</v>
      </c>
      <c r="CC368" s="42"/>
      <c r="CD368" s="111"/>
      <c r="CE368" s="46" t="s">
        <v>11</v>
      </c>
      <c r="CF368" s="103">
        <v>0</v>
      </c>
      <c r="CG368" s="103">
        <v>0</v>
      </c>
      <c r="CH368" s="103">
        <v>1.7441860465116279</v>
      </c>
      <c r="CI368" s="103">
        <v>4.6511627906976747</v>
      </c>
      <c r="CJ368" s="103">
        <v>11.046511627906977</v>
      </c>
      <c r="CK368" s="103">
        <v>13.953488372093023</v>
      </c>
      <c r="CL368" s="103">
        <v>26.162790697674421</v>
      </c>
      <c r="CM368" s="103">
        <v>13.372093023255813</v>
      </c>
      <c r="CN368" s="103">
        <v>16.279069767441861</v>
      </c>
      <c r="CO368" s="103">
        <v>12.790697674418606</v>
      </c>
      <c r="CQ368" s="111"/>
      <c r="CR368" s="46" t="s">
        <v>11</v>
      </c>
      <c r="CS368" s="103">
        <v>0</v>
      </c>
      <c r="CT368" s="103">
        <v>0</v>
      </c>
      <c r="CU368" s="103">
        <v>0</v>
      </c>
      <c r="CV368" s="103">
        <v>0</v>
      </c>
      <c r="CW368" s="103">
        <v>15.384615384615385</v>
      </c>
      <c r="CX368" s="103">
        <v>15.384615384615385</v>
      </c>
      <c r="CY368" s="103">
        <v>30.76923076923077</v>
      </c>
      <c r="CZ368" s="103">
        <v>0</v>
      </c>
      <c r="DA368" s="103">
        <v>30.76923076923077</v>
      </c>
      <c r="DB368" s="103">
        <v>7.6923076923076925</v>
      </c>
      <c r="DC368" s="42"/>
      <c r="DD368" s="111"/>
      <c r="DE368" s="46" t="s">
        <v>11</v>
      </c>
      <c r="DF368" s="103">
        <v>0</v>
      </c>
      <c r="DG368" s="103">
        <v>0</v>
      </c>
      <c r="DH368" s="103">
        <v>1.8292682926829267</v>
      </c>
      <c r="DI368" s="103">
        <v>5.4878048780487809</v>
      </c>
      <c r="DJ368" s="103">
        <v>11.585365853658537</v>
      </c>
      <c r="DK368" s="103">
        <v>13.414634146341465</v>
      </c>
      <c r="DL368" s="103">
        <v>25</v>
      </c>
      <c r="DM368" s="103">
        <v>14.634146341463413</v>
      </c>
      <c r="DN368" s="103">
        <v>15.24390243902439</v>
      </c>
      <c r="DO368" s="103">
        <v>12.804878048780488</v>
      </c>
    </row>
    <row r="369" spans="2:119" x14ac:dyDescent="0.45">
      <c r="B369" s="99"/>
      <c r="C369" s="42"/>
      <c r="D369" s="42"/>
      <c r="E369" s="42"/>
      <c r="F369" s="42"/>
      <c r="G369" s="42"/>
      <c r="H369" s="42"/>
      <c r="I369" s="42"/>
      <c r="J369" s="42"/>
      <c r="K369" s="42"/>
      <c r="L369" s="42"/>
      <c r="M369" s="42"/>
      <c r="N369" s="42"/>
      <c r="O369" s="42"/>
      <c r="P369" s="42"/>
      <c r="Q369" s="42"/>
      <c r="R369" s="42"/>
      <c r="S369" s="42"/>
      <c r="T369" s="42"/>
      <c r="U369" s="42"/>
      <c r="V369" s="42"/>
      <c r="W369" s="42"/>
      <c r="X369" s="42"/>
      <c r="Y369" s="42"/>
      <c r="Z369" s="42"/>
      <c r="AA369" s="42"/>
      <c r="AB369" s="42"/>
      <c r="AC369" s="42"/>
      <c r="AD369" s="42"/>
      <c r="AE369" s="42"/>
      <c r="AF369" s="42"/>
      <c r="AG369" s="42"/>
      <c r="AH369" s="42"/>
      <c r="AI369" s="42"/>
      <c r="AJ369" s="42"/>
      <c r="AK369" s="42"/>
      <c r="AL369" s="42"/>
      <c r="AM369" s="42"/>
      <c r="AN369" s="42"/>
      <c r="AO369" s="42"/>
      <c r="AQ369" s="42"/>
      <c r="AR369" s="42"/>
      <c r="AS369" s="42"/>
      <c r="AT369" s="42"/>
      <c r="AU369" s="42"/>
      <c r="AV369" s="42"/>
      <c r="AW369" s="42"/>
      <c r="AX369" s="42"/>
      <c r="AY369" s="42"/>
      <c r="AZ369" s="42"/>
      <c r="BA369" s="42"/>
      <c r="BB369" s="42"/>
      <c r="BC369" s="42"/>
      <c r="BD369" s="42"/>
      <c r="BE369" s="42"/>
      <c r="BF369" s="42"/>
      <c r="BG369" s="42"/>
      <c r="BH369" s="42"/>
      <c r="BI369" s="42"/>
      <c r="BJ369" s="42"/>
      <c r="BK369" s="42"/>
      <c r="BL369" s="42"/>
      <c r="BM369" s="42"/>
      <c r="BN369" s="42"/>
      <c r="BO369" s="42"/>
      <c r="BQ369" s="42"/>
      <c r="BR369" s="42"/>
      <c r="BS369" s="42"/>
      <c r="BT369" s="42"/>
      <c r="BU369" s="42"/>
      <c r="BV369" s="42"/>
      <c r="BW369" s="42"/>
      <c r="BX369" s="42"/>
      <c r="BY369" s="42"/>
      <c r="BZ369" s="42"/>
      <c r="CA369" s="42"/>
      <c r="CB369" s="42"/>
      <c r="CC369" s="42"/>
      <c r="CD369" s="42"/>
      <c r="CE369" s="42"/>
      <c r="CF369" s="42"/>
      <c r="CG369" s="42"/>
      <c r="CH369" s="42"/>
      <c r="CI369" s="42"/>
      <c r="CJ369" s="42"/>
      <c r="CK369" s="42"/>
      <c r="CL369" s="42"/>
      <c r="CM369" s="42"/>
      <c r="CN369" s="42"/>
      <c r="CO369" s="42"/>
      <c r="CQ369" s="42"/>
      <c r="CR369" s="42"/>
      <c r="CS369" s="42"/>
      <c r="CT369" s="42"/>
      <c r="CU369" s="42"/>
      <c r="CV369" s="42"/>
      <c r="CW369" s="42"/>
      <c r="CX369" s="42"/>
      <c r="CY369" s="42"/>
      <c r="CZ369" s="42"/>
      <c r="DA369" s="42"/>
      <c r="DB369" s="42"/>
      <c r="DC369" s="42"/>
      <c r="DD369" s="42"/>
      <c r="DE369" s="42"/>
      <c r="DF369" s="42"/>
      <c r="DG369" s="42"/>
      <c r="DH369" s="42"/>
      <c r="DI369" s="42"/>
      <c r="DJ369" s="42"/>
      <c r="DK369" s="42"/>
      <c r="DL369" s="42"/>
      <c r="DM369" s="42"/>
      <c r="DN369" s="42"/>
      <c r="DO369" s="42"/>
    </row>
    <row r="370" spans="2:119" x14ac:dyDescent="0.45">
      <c r="B370" s="99"/>
      <c r="C370" s="42"/>
      <c r="D370" s="42"/>
      <c r="E370" s="42"/>
      <c r="F370" s="42"/>
      <c r="G370" s="42"/>
      <c r="H370" s="42"/>
      <c r="I370" s="42"/>
      <c r="J370" s="42"/>
      <c r="K370" s="42"/>
      <c r="L370" s="42"/>
      <c r="M370" s="42"/>
      <c r="N370" s="42"/>
      <c r="O370" s="42"/>
      <c r="P370" s="42"/>
      <c r="Q370" s="42"/>
      <c r="R370" s="42"/>
      <c r="S370" s="42"/>
      <c r="T370" s="42"/>
      <c r="U370" s="42"/>
      <c r="V370" s="42"/>
      <c r="W370" s="42"/>
      <c r="X370" s="42"/>
      <c r="Y370" s="42"/>
      <c r="Z370" s="42"/>
      <c r="AA370" s="42"/>
      <c r="AB370" s="42"/>
      <c r="AC370" s="42"/>
      <c r="AD370" s="42"/>
      <c r="AE370" s="42"/>
      <c r="AF370" s="42"/>
      <c r="AG370" s="42"/>
      <c r="AH370" s="42"/>
      <c r="AI370" s="42"/>
      <c r="AJ370" s="42"/>
      <c r="AK370" s="42"/>
      <c r="AL370" s="42"/>
      <c r="AM370" s="42"/>
      <c r="AN370" s="42"/>
      <c r="AO370" s="42"/>
      <c r="AQ370" s="42"/>
      <c r="AR370" s="42"/>
      <c r="AS370" s="42"/>
      <c r="AT370" s="42"/>
      <c r="AU370" s="42"/>
      <c r="AV370" s="42"/>
      <c r="AW370" s="42"/>
      <c r="AX370" s="42"/>
      <c r="AY370" s="42"/>
      <c r="AZ370" s="42"/>
      <c r="BA370" s="42"/>
      <c r="BB370" s="42"/>
      <c r="BC370" s="42"/>
      <c r="BD370" s="42"/>
      <c r="BE370" s="42"/>
      <c r="BF370" s="42"/>
      <c r="BG370" s="42"/>
      <c r="BH370" s="42"/>
      <c r="BI370" s="42"/>
      <c r="BJ370" s="42"/>
      <c r="BK370" s="42"/>
      <c r="BL370" s="42"/>
      <c r="BM370" s="42"/>
      <c r="BN370" s="42"/>
      <c r="BO370" s="42"/>
      <c r="BQ370" s="42"/>
      <c r="BR370" s="42"/>
      <c r="BS370" s="42"/>
      <c r="BT370" s="42"/>
      <c r="BU370" s="42"/>
      <c r="BV370" s="42"/>
      <c r="BW370" s="42"/>
      <c r="BX370" s="42"/>
      <c r="BY370" s="42"/>
      <c r="BZ370" s="42"/>
      <c r="CA370" s="42"/>
      <c r="CB370" s="42"/>
      <c r="CC370" s="42"/>
      <c r="CD370" s="42"/>
      <c r="CE370" s="42"/>
      <c r="CF370" s="42"/>
      <c r="CG370" s="42"/>
      <c r="CH370" s="42"/>
      <c r="CI370" s="42"/>
      <c r="CJ370" s="42"/>
      <c r="CK370" s="42"/>
      <c r="CL370" s="42"/>
      <c r="CM370" s="42"/>
      <c r="CN370" s="42"/>
      <c r="CO370" s="42"/>
      <c r="CQ370" s="42"/>
      <c r="CR370" s="42"/>
      <c r="CS370" s="42"/>
      <c r="CT370" s="42"/>
      <c r="CU370" s="42"/>
      <c r="CV370" s="42"/>
      <c r="CW370" s="42"/>
      <c r="CX370" s="42"/>
      <c r="CY370" s="42"/>
      <c r="CZ370" s="42"/>
      <c r="DA370" s="42"/>
      <c r="DB370" s="42"/>
      <c r="DC370" s="42"/>
      <c r="DD370" s="42"/>
      <c r="DE370" s="42"/>
      <c r="DF370" s="42"/>
      <c r="DG370" s="42"/>
      <c r="DH370" s="42"/>
      <c r="DI370" s="42"/>
      <c r="DJ370" s="42"/>
      <c r="DK370" s="42"/>
      <c r="DL370" s="42"/>
      <c r="DM370" s="42"/>
      <c r="DN370" s="42"/>
      <c r="DO370" s="42"/>
    </row>
    <row r="371" spans="2:119" ht="18.75" customHeight="1" x14ac:dyDescent="0.55000000000000004">
      <c r="B371" s="99"/>
      <c r="C371" s="42"/>
      <c r="D371" s="112" t="s">
        <v>24</v>
      </c>
      <c r="E371" s="112"/>
      <c r="F371" s="45"/>
      <c r="G371" s="45"/>
      <c r="H371" s="45"/>
      <c r="I371" s="45"/>
      <c r="J371" s="45"/>
      <c r="K371" s="45"/>
      <c r="L371" s="45"/>
      <c r="M371" s="45"/>
      <c r="N371" s="45"/>
      <c r="O371" s="45"/>
      <c r="P371" s="42"/>
      <c r="Q371" s="112" t="s">
        <v>24</v>
      </c>
      <c r="R371" s="112"/>
      <c r="S371" s="45"/>
      <c r="T371" s="45"/>
      <c r="U371" s="45"/>
      <c r="V371" s="45"/>
      <c r="W371" s="45"/>
      <c r="X371" s="45"/>
      <c r="Y371" s="45"/>
      <c r="Z371" s="45"/>
      <c r="AA371" s="45"/>
      <c r="AB371" s="45"/>
      <c r="AC371" s="42"/>
      <c r="AD371" s="112" t="s">
        <v>24</v>
      </c>
      <c r="AE371" s="112"/>
      <c r="AF371" s="45"/>
      <c r="AG371" s="45"/>
      <c r="AH371" s="45"/>
      <c r="AI371" s="45"/>
      <c r="AJ371" s="45"/>
      <c r="AK371" s="45"/>
      <c r="AL371" s="45"/>
      <c r="AM371" s="45"/>
      <c r="AN371" s="45"/>
      <c r="AO371" s="45"/>
      <c r="AP371" s="6"/>
      <c r="AQ371" s="112" t="s">
        <v>24</v>
      </c>
      <c r="AR371" s="112"/>
      <c r="AS371" s="45"/>
      <c r="AT371" s="45"/>
      <c r="AU371" s="45"/>
      <c r="AV371" s="45"/>
      <c r="AW371" s="45"/>
      <c r="AX371" s="45"/>
      <c r="AY371" s="45"/>
      <c r="AZ371" s="45"/>
      <c r="BA371" s="45"/>
      <c r="BB371" s="45"/>
      <c r="BC371" s="42"/>
      <c r="BD371" s="112" t="s">
        <v>24</v>
      </c>
      <c r="BE371" s="112"/>
      <c r="BF371" s="45"/>
      <c r="BG371" s="45"/>
      <c r="BH371" s="45"/>
      <c r="BI371" s="45"/>
      <c r="BJ371" s="45"/>
      <c r="BK371" s="45"/>
      <c r="BL371" s="45"/>
      <c r="BM371" s="45"/>
      <c r="BN371" s="45"/>
      <c r="BO371" s="45"/>
      <c r="BQ371" s="112" t="s">
        <v>24</v>
      </c>
      <c r="BR371" s="112"/>
      <c r="BS371" s="45"/>
      <c r="BT371" s="45"/>
      <c r="BU371" s="45"/>
      <c r="BV371" s="45"/>
      <c r="BW371" s="45"/>
      <c r="BX371" s="45"/>
      <c r="BY371" s="45"/>
      <c r="BZ371" s="45"/>
      <c r="CA371" s="45"/>
      <c r="CB371" s="45"/>
      <c r="CC371" s="42"/>
      <c r="CD371" s="112" t="s">
        <v>24</v>
      </c>
      <c r="CE371" s="112"/>
      <c r="CF371" s="45"/>
      <c r="CG371" s="45"/>
      <c r="CH371" s="45"/>
      <c r="CI371" s="45"/>
      <c r="CJ371" s="45"/>
      <c r="CK371" s="45"/>
      <c r="CL371" s="45"/>
      <c r="CM371" s="45"/>
      <c r="CN371" s="45"/>
      <c r="CO371" s="45"/>
      <c r="CQ371" s="112" t="s">
        <v>24</v>
      </c>
      <c r="CR371" s="112"/>
      <c r="CS371" s="45"/>
      <c r="CT371" s="45"/>
      <c r="CU371" s="45"/>
      <c r="CV371" s="45"/>
      <c r="CW371" s="45"/>
      <c r="CX371" s="45"/>
      <c r="CY371" s="45"/>
      <c r="CZ371" s="45"/>
      <c r="DA371" s="45"/>
      <c r="DB371" s="45"/>
      <c r="DC371" s="42"/>
      <c r="DD371" s="112" t="s">
        <v>24</v>
      </c>
      <c r="DE371" s="112"/>
      <c r="DF371" s="45"/>
      <c r="DG371" s="45"/>
      <c r="DH371" s="45"/>
      <c r="DI371" s="45"/>
      <c r="DJ371" s="45"/>
      <c r="DK371" s="45"/>
      <c r="DL371" s="45"/>
      <c r="DM371" s="45"/>
      <c r="DN371" s="45"/>
      <c r="DO371" s="45"/>
    </row>
    <row r="372" spans="2:119" ht="28.9" customHeight="1" x14ac:dyDescent="0.45">
      <c r="B372" s="99"/>
      <c r="C372" s="42"/>
      <c r="D372" s="112"/>
      <c r="E372" s="112"/>
      <c r="F372" s="108" t="s">
        <v>12</v>
      </c>
      <c r="G372" s="108"/>
      <c r="H372" s="108"/>
      <c r="I372" s="108"/>
      <c r="J372" s="108"/>
      <c r="K372" s="108"/>
      <c r="L372" s="108"/>
      <c r="M372" s="108"/>
      <c r="N372" s="108"/>
      <c r="O372" s="108"/>
      <c r="P372" s="42"/>
      <c r="Q372" s="112"/>
      <c r="R372" s="112"/>
      <c r="S372" s="108" t="s">
        <v>12</v>
      </c>
      <c r="T372" s="108"/>
      <c r="U372" s="108"/>
      <c r="V372" s="108"/>
      <c r="W372" s="108"/>
      <c r="X372" s="108"/>
      <c r="Y372" s="108"/>
      <c r="Z372" s="108"/>
      <c r="AA372" s="108"/>
      <c r="AB372" s="108"/>
      <c r="AC372" s="42"/>
      <c r="AD372" s="112"/>
      <c r="AE372" s="112"/>
      <c r="AF372" s="108" t="s">
        <v>12</v>
      </c>
      <c r="AG372" s="108"/>
      <c r="AH372" s="108"/>
      <c r="AI372" s="108"/>
      <c r="AJ372" s="108"/>
      <c r="AK372" s="108"/>
      <c r="AL372" s="108"/>
      <c r="AM372" s="108"/>
      <c r="AN372" s="108"/>
      <c r="AO372" s="108"/>
      <c r="AP372" s="6"/>
      <c r="AQ372" s="112"/>
      <c r="AR372" s="112"/>
      <c r="AS372" s="108" t="s">
        <v>12</v>
      </c>
      <c r="AT372" s="108"/>
      <c r="AU372" s="108"/>
      <c r="AV372" s="108"/>
      <c r="AW372" s="108"/>
      <c r="AX372" s="108"/>
      <c r="AY372" s="108"/>
      <c r="AZ372" s="108"/>
      <c r="BA372" s="108"/>
      <c r="BB372" s="108"/>
      <c r="BC372" s="42"/>
      <c r="BD372" s="112"/>
      <c r="BE372" s="112"/>
      <c r="BF372" s="108" t="s">
        <v>12</v>
      </c>
      <c r="BG372" s="108"/>
      <c r="BH372" s="108"/>
      <c r="BI372" s="108"/>
      <c r="BJ372" s="108"/>
      <c r="BK372" s="108"/>
      <c r="BL372" s="108"/>
      <c r="BM372" s="108"/>
      <c r="BN372" s="108"/>
      <c r="BO372" s="108"/>
      <c r="BQ372" s="112"/>
      <c r="BR372" s="112"/>
      <c r="BS372" s="108" t="s">
        <v>12</v>
      </c>
      <c r="BT372" s="108"/>
      <c r="BU372" s="108"/>
      <c r="BV372" s="108"/>
      <c r="BW372" s="108"/>
      <c r="BX372" s="108"/>
      <c r="BY372" s="108"/>
      <c r="BZ372" s="108"/>
      <c r="CA372" s="108"/>
      <c r="CB372" s="108"/>
      <c r="CC372" s="42"/>
      <c r="CD372" s="112"/>
      <c r="CE372" s="112"/>
      <c r="CF372" s="108" t="s">
        <v>12</v>
      </c>
      <c r="CG372" s="108"/>
      <c r="CH372" s="108"/>
      <c r="CI372" s="108"/>
      <c r="CJ372" s="108"/>
      <c r="CK372" s="108"/>
      <c r="CL372" s="108"/>
      <c r="CM372" s="108"/>
      <c r="CN372" s="108"/>
      <c r="CO372" s="108"/>
      <c r="CQ372" s="112"/>
      <c r="CR372" s="112"/>
      <c r="CS372" s="108" t="s">
        <v>12</v>
      </c>
      <c r="CT372" s="108"/>
      <c r="CU372" s="108"/>
      <c r="CV372" s="108"/>
      <c r="CW372" s="108"/>
      <c r="CX372" s="108"/>
      <c r="CY372" s="108"/>
      <c r="CZ372" s="108"/>
      <c r="DA372" s="108"/>
      <c r="DB372" s="108"/>
      <c r="DC372" s="42"/>
      <c r="DD372" s="112"/>
      <c r="DE372" s="112"/>
      <c r="DF372" s="108" t="s">
        <v>12</v>
      </c>
      <c r="DG372" s="108"/>
      <c r="DH372" s="108"/>
      <c r="DI372" s="108"/>
      <c r="DJ372" s="108"/>
      <c r="DK372" s="108"/>
      <c r="DL372" s="108"/>
      <c r="DM372" s="108"/>
      <c r="DN372" s="108"/>
      <c r="DO372" s="108"/>
    </row>
    <row r="373" spans="2:119" ht="15" customHeight="1" x14ac:dyDescent="0.45">
      <c r="B373" s="99"/>
      <c r="C373" s="42"/>
      <c r="D373" s="113"/>
      <c r="E373" s="113"/>
      <c r="F373" s="9" t="s">
        <v>0</v>
      </c>
      <c r="G373" s="9">
        <v>1</v>
      </c>
      <c r="H373" s="9">
        <v>2</v>
      </c>
      <c r="I373" s="9">
        <v>3</v>
      </c>
      <c r="J373" s="9">
        <v>4</v>
      </c>
      <c r="K373" s="9">
        <v>5</v>
      </c>
      <c r="L373" s="9">
        <v>6</v>
      </c>
      <c r="M373" s="9">
        <v>7</v>
      </c>
      <c r="N373" s="9">
        <v>8</v>
      </c>
      <c r="O373" s="9">
        <v>9</v>
      </c>
      <c r="P373" s="42"/>
      <c r="Q373" s="113"/>
      <c r="R373" s="113"/>
      <c r="S373" s="9" t="s">
        <v>0</v>
      </c>
      <c r="T373" s="9">
        <v>1</v>
      </c>
      <c r="U373" s="9">
        <v>2</v>
      </c>
      <c r="V373" s="9">
        <v>3</v>
      </c>
      <c r="W373" s="9">
        <v>4</v>
      </c>
      <c r="X373" s="9">
        <v>5</v>
      </c>
      <c r="Y373" s="9">
        <v>6</v>
      </c>
      <c r="Z373" s="9">
        <v>7</v>
      </c>
      <c r="AA373" s="9">
        <v>8</v>
      </c>
      <c r="AB373" s="9">
        <v>9</v>
      </c>
      <c r="AC373" s="42"/>
      <c r="AD373" s="113"/>
      <c r="AE373" s="113"/>
      <c r="AF373" s="9" t="s">
        <v>0</v>
      </c>
      <c r="AG373" s="9">
        <v>1</v>
      </c>
      <c r="AH373" s="9">
        <v>2</v>
      </c>
      <c r="AI373" s="9">
        <v>3</v>
      </c>
      <c r="AJ373" s="9">
        <v>4</v>
      </c>
      <c r="AK373" s="9">
        <v>5</v>
      </c>
      <c r="AL373" s="9">
        <v>6</v>
      </c>
      <c r="AM373" s="9">
        <v>7</v>
      </c>
      <c r="AN373" s="9">
        <v>8</v>
      </c>
      <c r="AO373" s="9">
        <v>9</v>
      </c>
      <c r="AP373" s="6"/>
      <c r="AQ373" s="113"/>
      <c r="AR373" s="113"/>
      <c r="AS373" s="9" t="s">
        <v>0</v>
      </c>
      <c r="AT373" s="9">
        <v>1</v>
      </c>
      <c r="AU373" s="9">
        <v>2</v>
      </c>
      <c r="AV373" s="9">
        <v>3</v>
      </c>
      <c r="AW373" s="9">
        <v>4</v>
      </c>
      <c r="AX373" s="9">
        <v>5</v>
      </c>
      <c r="AY373" s="9">
        <v>6</v>
      </c>
      <c r="AZ373" s="9">
        <v>7</v>
      </c>
      <c r="BA373" s="9">
        <v>8</v>
      </c>
      <c r="BB373" s="9">
        <v>9</v>
      </c>
      <c r="BC373" s="42"/>
      <c r="BD373" s="113"/>
      <c r="BE373" s="113"/>
      <c r="BF373" s="9" t="s">
        <v>0</v>
      </c>
      <c r="BG373" s="9">
        <v>1</v>
      </c>
      <c r="BH373" s="9">
        <v>2</v>
      </c>
      <c r="BI373" s="9">
        <v>3</v>
      </c>
      <c r="BJ373" s="9">
        <v>4</v>
      </c>
      <c r="BK373" s="9">
        <v>5</v>
      </c>
      <c r="BL373" s="9">
        <v>6</v>
      </c>
      <c r="BM373" s="9">
        <v>7</v>
      </c>
      <c r="BN373" s="9">
        <v>8</v>
      </c>
      <c r="BO373" s="9">
        <v>9</v>
      </c>
      <c r="BQ373" s="113"/>
      <c r="BR373" s="113"/>
      <c r="BS373" s="9" t="s">
        <v>0</v>
      </c>
      <c r="BT373" s="9">
        <v>1</v>
      </c>
      <c r="BU373" s="9">
        <v>2</v>
      </c>
      <c r="BV373" s="9">
        <v>3</v>
      </c>
      <c r="BW373" s="9">
        <v>4</v>
      </c>
      <c r="BX373" s="9">
        <v>5</v>
      </c>
      <c r="BY373" s="9">
        <v>6</v>
      </c>
      <c r="BZ373" s="9">
        <v>7</v>
      </c>
      <c r="CA373" s="9">
        <v>8</v>
      </c>
      <c r="CB373" s="9">
        <v>9</v>
      </c>
      <c r="CC373" s="42"/>
      <c r="CD373" s="113"/>
      <c r="CE373" s="113"/>
      <c r="CF373" s="9" t="s">
        <v>0</v>
      </c>
      <c r="CG373" s="9">
        <v>1</v>
      </c>
      <c r="CH373" s="9">
        <v>2</v>
      </c>
      <c r="CI373" s="9">
        <v>3</v>
      </c>
      <c r="CJ373" s="9">
        <v>4</v>
      </c>
      <c r="CK373" s="9">
        <v>5</v>
      </c>
      <c r="CL373" s="9">
        <v>6</v>
      </c>
      <c r="CM373" s="9">
        <v>7</v>
      </c>
      <c r="CN373" s="9">
        <v>8</v>
      </c>
      <c r="CO373" s="9">
        <v>9</v>
      </c>
      <c r="CQ373" s="113"/>
      <c r="CR373" s="113"/>
      <c r="CS373" s="9" t="s">
        <v>0</v>
      </c>
      <c r="CT373" s="9">
        <v>1</v>
      </c>
      <c r="CU373" s="9">
        <v>2</v>
      </c>
      <c r="CV373" s="9">
        <v>3</v>
      </c>
      <c r="CW373" s="9">
        <v>4</v>
      </c>
      <c r="CX373" s="9">
        <v>5</v>
      </c>
      <c r="CY373" s="9">
        <v>6</v>
      </c>
      <c r="CZ373" s="9">
        <v>7</v>
      </c>
      <c r="DA373" s="9">
        <v>8</v>
      </c>
      <c r="DB373" s="9">
        <v>9</v>
      </c>
      <c r="DC373" s="42"/>
      <c r="DD373" s="113"/>
      <c r="DE373" s="113"/>
      <c r="DF373" s="9" t="s">
        <v>0</v>
      </c>
      <c r="DG373" s="9">
        <v>1</v>
      </c>
      <c r="DH373" s="9">
        <v>2</v>
      </c>
      <c r="DI373" s="9">
        <v>3</v>
      </c>
      <c r="DJ373" s="9">
        <v>4</v>
      </c>
      <c r="DK373" s="9">
        <v>5</v>
      </c>
      <c r="DL373" s="9">
        <v>6</v>
      </c>
      <c r="DM373" s="9">
        <v>7</v>
      </c>
      <c r="DN373" s="9">
        <v>8</v>
      </c>
      <c r="DO373" s="9">
        <v>9</v>
      </c>
    </row>
    <row r="374" spans="2:119" ht="16.25" customHeight="1" x14ac:dyDescent="0.45">
      <c r="B374" s="134" t="s">
        <v>32</v>
      </c>
      <c r="C374" s="42"/>
      <c r="D374" s="109" t="s">
        <v>13</v>
      </c>
      <c r="E374" s="46" t="s">
        <v>1</v>
      </c>
      <c r="F374" s="103">
        <v>0</v>
      </c>
      <c r="G374" s="103">
        <v>3</v>
      </c>
      <c r="H374" s="103">
        <v>2</v>
      </c>
      <c r="I374" s="103">
        <v>4</v>
      </c>
      <c r="J374" s="103">
        <v>0</v>
      </c>
      <c r="K374" s="103">
        <v>1</v>
      </c>
      <c r="L374" s="103">
        <v>0</v>
      </c>
      <c r="M374" s="103">
        <v>0</v>
      </c>
      <c r="N374" s="103">
        <v>0</v>
      </c>
      <c r="O374" s="17">
        <v>0</v>
      </c>
      <c r="P374" s="42"/>
      <c r="Q374" s="109" t="s">
        <v>13</v>
      </c>
      <c r="R374" s="46" t="s">
        <v>1</v>
      </c>
      <c r="S374" s="103">
        <v>0</v>
      </c>
      <c r="T374" s="103">
        <v>1</v>
      </c>
      <c r="U374" s="103">
        <v>1</v>
      </c>
      <c r="V374" s="103">
        <v>3</v>
      </c>
      <c r="W374" s="103">
        <v>0</v>
      </c>
      <c r="X374" s="103">
        <v>0</v>
      </c>
      <c r="Y374" s="103">
        <v>0</v>
      </c>
      <c r="Z374" s="103">
        <v>0</v>
      </c>
      <c r="AA374" s="103">
        <v>0</v>
      </c>
      <c r="AB374" s="17">
        <v>0</v>
      </c>
      <c r="AC374" s="42"/>
      <c r="AD374" s="109" t="s">
        <v>13</v>
      </c>
      <c r="AE374" s="46" t="s">
        <v>1</v>
      </c>
      <c r="AF374" s="103">
        <v>0</v>
      </c>
      <c r="AG374" s="103">
        <v>2</v>
      </c>
      <c r="AH374" s="103">
        <v>1</v>
      </c>
      <c r="AI374" s="103">
        <v>1</v>
      </c>
      <c r="AJ374" s="103">
        <v>0</v>
      </c>
      <c r="AK374" s="103">
        <v>1</v>
      </c>
      <c r="AL374" s="103">
        <v>0</v>
      </c>
      <c r="AM374" s="103">
        <v>0</v>
      </c>
      <c r="AN374" s="103">
        <v>0</v>
      </c>
      <c r="AO374" s="17">
        <v>0</v>
      </c>
      <c r="AP374" s="6"/>
      <c r="AQ374" s="109" t="s">
        <v>13</v>
      </c>
      <c r="AR374" s="46" t="s">
        <v>1</v>
      </c>
      <c r="AS374" s="103">
        <v>0</v>
      </c>
      <c r="AT374" s="103">
        <v>1</v>
      </c>
      <c r="AU374" s="103">
        <v>1</v>
      </c>
      <c r="AV374" s="103">
        <v>2</v>
      </c>
      <c r="AW374" s="103">
        <v>0</v>
      </c>
      <c r="AX374" s="103">
        <v>1</v>
      </c>
      <c r="AY374" s="103">
        <v>0</v>
      </c>
      <c r="AZ374" s="103">
        <v>0</v>
      </c>
      <c r="BA374" s="103">
        <v>0</v>
      </c>
      <c r="BB374" s="17">
        <v>0</v>
      </c>
      <c r="BC374" s="42"/>
      <c r="BD374" s="109" t="s">
        <v>13</v>
      </c>
      <c r="BE374" s="46" t="s">
        <v>1</v>
      </c>
      <c r="BF374" s="103">
        <v>0</v>
      </c>
      <c r="BG374" s="103">
        <v>2</v>
      </c>
      <c r="BH374" s="103">
        <v>1</v>
      </c>
      <c r="BI374" s="103">
        <v>2</v>
      </c>
      <c r="BJ374" s="103">
        <v>0</v>
      </c>
      <c r="BK374" s="103">
        <v>0</v>
      </c>
      <c r="BL374" s="103">
        <v>0</v>
      </c>
      <c r="BM374" s="103">
        <v>0</v>
      </c>
      <c r="BN374" s="103">
        <v>0</v>
      </c>
      <c r="BO374" s="17">
        <v>0</v>
      </c>
      <c r="BQ374" s="109" t="s">
        <v>13</v>
      </c>
      <c r="BR374" s="46" t="s">
        <v>1</v>
      </c>
      <c r="BS374" s="103">
        <v>0</v>
      </c>
      <c r="BT374" s="103">
        <v>0</v>
      </c>
      <c r="BU374" s="103">
        <v>1</v>
      </c>
      <c r="BV374" s="103">
        <v>1</v>
      </c>
      <c r="BW374" s="103">
        <v>0</v>
      </c>
      <c r="BX374" s="103">
        <v>0</v>
      </c>
      <c r="BY374" s="103">
        <v>0</v>
      </c>
      <c r="BZ374" s="103">
        <v>0</v>
      </c>
      <c r="CA374" s="103">
        <v>0</v>
      </c>
      <c r="CB374" s="17">
        <v>0</v>
      </c>
      <c r="CC374" s="42"/>
      <c r="CD374" s="109" t="s">
        <v>13</v>
      </c>
      <c r="CE374" s="46" t="s">
        <v>1</v>
      </c>
      <c r="CF374" s="103">
        <v>0</v>
      </c>
      <c r="CG374" s="103">
        <v>3</v>
      </c>
      <c r="CH374" s="103">
        <v>1</v>
      </c>
      <c r="CI374" s="103">
        <v>3</v>
      </c>
      <c r="CJ374" s="103">
        <v>0</v>
      </c>
      <c r="CK374" s="103">
        <v>1</v>
      </c>
      <c r="CL374" s="103">
        <v>0</v>
      </c>
      <c r="CM374" s="103">
        <v>0</v>
      </c>
      <c r="CN374" s="103">
        <v>0</v>
      </c>
      <c r="CO374" s="17">
        <v>0</v>
      </c>
      <c r="CQ374" s="109" t="s">
        <v>13</v>
      </c>
      <c r="CR374" s="46" t="s">
        <v>1</v>
      </c>
      <c r="CS374" s="103">
        <v>0</v>
      </c>
      <c r="CT374" s="103">
        <v>3</v>
      </c>
      <c r="CU374" s="103">
        <v>1</v>
      </c>
      <c r="CV374" s="103">
        <v>2</v>
      </c>
      <c r="CW374" s="103">
        <v>0</v>
      </c>
      <c r="CX374" s="103">
        <v>1</v>
      </c>
      <c r="CY374" s="103">
        <v>0</v>
      </c>
      <c r="CZ374" s="103">
        <v>0</v>
      </c>
      <c r="DA374" s="103">
        <v>0</v>
      </c>
      <c r="DB374" s="17">
        <v>0</v>
      </c>
      <c r="DC374" s="42"/>
      <c r="DD374" s="109" t="s">
        <v>13</v>
      </c>
      <c r="DE374" s="46" t="s">
        <v>1</v>
      </c>
      <c r="DF374" s="103">
        <v>0</v>
      </c>
      <c r="DG374" s="103">
        <v>0</v>
      </c>
      <c r="DH374" s="103">
        <v>1</v>
      </c>
      <c r="DI374" s="103">
        <v>2</v>
      </c>
      <c r="DJ374" s="103">
        <v>0</v>
      </c>
      <c r="DK374" s="103">
        <v>0</v>
      </c>
      <c r="DL374" s="103">
        <v>0</v>
      </c>
      <c r="DM374" s="103">
        <v>0</v>
      </c>
      <c r="DN374" s="103">
        <v>0</v>
      </c>
      <c r="DO374" s="17">
        <v>0</v>
      </c>
    </row>
    <row r="375" spans="2:119" ht="16.25" customHeight="1" x14ac:dyDescent="0.45">
      <c r="B375" s="134"/>
      <c r="C375" s="42"/>
      <c r="D375" s="110"/>
      <c r="E375" s="46">
        <v>1</v>
      </c>
      <c r="F375" s="103">
        <v>1</v>
      </c>
      <c r="G375" s="103">
        <v>6</v>
      </c>
      <c r="H375" s="103">
        <v>1</v>
      </c>
      <c r="I375" s="103">
        <v>4</v>
      </c>
      <c r="J375" s="103">
        <v>0</v>
      </c>
      <c r="K375" s="103">
        <v>1</v>
      </c>
      <c r="L375" s="103">
        <v>1</v>
      </c>
      <c r="M375" s="103">
        <v>0</v>
      </c>
      <c r="N375" s="103">
        <v>2</v>
      </c>
      <c r="O375" s="103">
        <v>0</v>
      </c>
      <c r="P375" s="42"/>
      <c r="Q375" s="110"/>
      <c r="R375" s="46">
        <v>1</v>
      </c>
      <c r="S375" s="103">
        <v>0</v>
      </c>
      <c r="T375" s="103">
        <v>1</v>
      </c>
      <c r="U375" s="103">
        <v>0</v>
      </c>
      <c r="V375" s="103">
        <v>3</v>
      </c>
      <c r="W375" s="103">
        <v>0</v>
      </c>
      <c r="X375" s="103">
        <v>1</v>
      </c>
      <c r="Y375" s="103">
        <v>0</v>
      </c>
      <c r="Z375" s="103">
        <v>0</v>
      </c>
      <c r="AA375" s="103">
        <v>0</v>
      </c>
      <c r="AB375" s="103">
        <v>0</v>
      </c>
      <c r="AC375" s="42"/>
      <c r="AD375" s="110"/>
      <c r="AE375" s="46">
        <v>1</v>
      </c>
      <c r="AF375" s="103">
        <v>1</v>
      </c>
      <c r="AG375" s="103">
        <v>5</v>
      </c>
      <c r="AH375" s="103">
        <v>1</v>
      </c>
      <c r="AI375" s="103">
        <v>1</v>
      </c>
      <c r="AJ375" s="103">
        <v>0</v>
      </c>
      <c r="AK375" s="103">
        <v>0</v>
      </c>
      <c r="AL375" s="103">
        <v>1</v>
      </c>
      <c r="AM375" s="103">
        <v>0</v>
      </c>
      <c r="AN375" s="103">
        <v>2</v>
      </c>
      <c r="AO375" s="103">
        <v>0</v>
      </c>
      <c r="AP375" s="6"/>
      <c r="AQ375" s="110"/>
      <c r="AR375" s="46">
        <v>1</v>
      </c>
      <c r="AS375" s="103">
        <v>0</v>
      </c>
      <c r="AT375" s="103">
        <v>3</v>
      </c>
      <c r="AU375" s="103">
        <v>1</v>
      </c>
      <c r="AV375" s="103">
        <v>1</v>
      </c>
      <c r="AW375" s="103">
        <v>0</v>
      </c>
      <c r="AX375" s="103">
        <v>0</v>
      </c>
      <c r="AY375" s="103">
        <v>1</v>
      </c>
      <c r="AZ375" s="103">
        <v>0</v>
      </c>
      <c r="BA375" s="103">
        <v>1</v>
      </c>
      <c r="BB375" s="103">
        <v>0</v>
      </c>
      <c r="BC375" s="42"/>
      <c r="BD375" s="110"/>
      <c r="BE375" s="46">
        <v>1</v>
      </c>
      <c r="BF375" s="103">
        <v>1</v>
      </c>
      <c r="BG375" s="103">
        <v>3</v>
      </c>
      <c r="BH375" s="103">
        <v>0</v>
      </c>
      <c r="BI375" s="103">
        <v>3</v>
      </c>
      <c r="BJ375" s="103">
        <v>0</v>
      </c>
      <c r="BK375" s="103">
        <v>1</v>
      </c>
      <c r="BL375" s="103">
        <v>0</v>
      </c>
      <c r="BM375" s="103">
        <v>0</v>
      </c>
      <c r="BN375" s="103">
        <v>1</v>
      </c>
      <c r="BO375" s="103">
        <v>0</v>
      </c>
      <c r="BQ375" s="110"/>
      <c r="BR375" s="46">
        <v>1</v>
      </c>
      <c r="BS375" s="103">
        <v>1</v>
      </c>
      <c r="BT375" s="103">
        <v>3</v>
      </c>
      <c r="BU375" s="103">
        <v>0</v>
      </c>
      <c r="BV375" s="103">
        <v>0</v>
      </c>
      <c r="BW375" s="103">
        <v>0</v>
      </c>
      <c r="BX375" s="103">
        <v>0</v>
      </c>
      <c r="BY375" s="103">
        <v>0</v>
      </c>
      <c r="BZ375" s="103">
        <v>0</v>
      </c>
      <c r="CA375" s="103">
        <v>0</v>
      </c>
      <c r="CB375" s="103">
        <v>0</v>
      </c>
      <c r="CC375" s="42"/>
      <c r="CD375" s="110"/>
      <c r="CE375" s="46">
        <v>1</v>
      </c>
      <c r="CF375" s="103">
        <v>0</v>
      </c>
      <c r="CG375" s="103">
        <v>3</v>
      </c>
      <c r="CH375" s="103">
        <v>1</v>
      </c>
      <c r="CI375" s="103">
        <v>4</v>
      </c>
      <c r="CJ375" s="103">
        <v>0</v>
      </c>
      <c r="CK375" s="103">
        <v>1</v>
      </c>
      <c r="CL375" s="103">
        <v>1</v>
      </c>
      <c r="CM375" s="103">
        <v>0</v>
      </c>
      <c r="CN375" s="103">
        <v>2</v>
      </c>
      <c r="CO375" s="103">
        <v>0</v>
      </c>
      <c r="CQ375" s="110"/>
      <c r="CR375" s="46">
        <v>1</v>
      </c>
      <c r="CS375" s="103">
        <v>0</v>
      </c>
      <c r="CT375" s="103">
        <v>5</v>
      </c>
      <c r="CU375" s="103">
        <v>1</v>
      </c>
      <c r="CV375" s="103">
        <v>4</v>
      </c>
      <c r="CW375" s="103">
        <v>0</v>
      </c>
      <c r="CX375" s="103">
        <v>1</v>
      </c>
      <c r="CY375" s="103">
        <v>1</v>
      </c>
      <c r="CZ375" s="103">
        <v>0</v>
      </c>
      <c r="DA375" s="103">
        <v>2</v>
      </c>
      <c r="DB375" s="103">
        <v>0</v>
      </c>
      <c r="DC375" s="42"/>
      <c r="DD375" s="110"/>
      <c r="DE375" s="46">
        <v>1</v>
      </c>
      <c r="DF375" s="103">
        <v>1</v>
      </c>
      <c r="DG375" s="103">
        <v>1</v>
      </c>
      <c r="DH375" s="103">
        <v>0</v>
      </c>
      <c r="DI375" s="103">
        <v>0</v>
      </c>
      <c r="DJ375" s="103">
        <v>0</v>
      </c>
      <c r="DK375" s="103">
        <v>0</v>
      </c>
      <c r="DL375" s="103">
        <v>0</v>
      </c>
      <c r="DM375" s="103">
        <v>0</v>
      </c>
      <c r="DN375" s="103">
        <v>0</v>
      </c>
      <c r="DO375" s="103">
        <v>0</v>
      </c>
    </row>
    <row r="376" spans="2:119" ht="16.25" customHeight="1" x14ac:dyDescent="0.45">
      <c r="B376" s="134"/>
      <c r="C376" s="42"/>
      <c r="D376" s="110"/>
      <c r="E376" s="46" t="s">
        <v>2</v>
      </c>
      <c r="F376" s="103">
        <v>89</v>
      </c>
      <c r="G376" s="103">
        <v>227</v>
      </c>
      <c r="H376" s="103">
        <v>124</v>
      </c>
      <c r="I376" s="103">
        <v>67</v>
      </c>
      <c r="J376" s="103">
        <v>23</v>
      </c>
      <c r="K376" s="103">
        <v>20</v>
      </c>
      <c r="L376" s="103">
        <v>11</v>
      </c>
      <c r="M376" s="103">
        <v>4</v>
      </c>
      <c r="N376" s="103">
        <v>0</v>
      </c>
      <c r="O376" s="103">
        <v>1</v>
      </c>
      <c r="P376" s="42"/>
      <c r="Q376" s="110"/>
      <c r="R376" s="46" t="s">
        <v>2</v>
      </c>
      <c r="S376" s="103">
        <v>31</v>
      </c>
      <c r="T376" s="103">
        <v>96</v>
      </c>
      <c r="U376" s="103">
        <v>49</v>
      </c>
      <c r="V376" s="103">
        <v>20</v>
      </c>
      <c r="W376" s="103">
        <v>7</v>
      </c>
      <c r="X376" s="103">
        <v>13</v>
      </c>
      <c r="Y376" s="103">
        <v>3</v>
      </c>
      <c r="Z376" s="103">
        <v>2</v>
      </c>
      <c r="AA376" s="103">
        <v>0</v>
      </c>
      <c r="AB376" s="103">
        <v>1</v>
      </c>
      <c r="AC376" s="42"/>
      <c r="AD376" s="110"/>
      <c r="AE376" s="46" t="s">
        <v>2</v>
      </c>
      <c r="AF376" s="103">
        <v>58</v>
      </c>
      <c r="AG376" s="103">
        <v>131</v>
      </c>
      <c r="AH376" s="103">
        <v>75</v>
      </c>
      <c r="AI376" s="103">
        <v>47</v>
      </c>
      <c r="AJ376" s="103">
        <v>16</v>
      </c>
      <c r="AK376" s="103">
        <v>7</v>
      </c>
      <c r="AL376" s="103">
        <v>8</v>
      </c>
      <c r="AM376" s="103">
        <v>2</v>
      </c>
      <c r="AN376" s="103">
        <v>0</v>
      </c>
      <c r="AO376" s="103">
        <v>0</v>
      </c>
      <c r="AP376" s="6"/>
      <c r="AQ376" s="110"/>
      <c r="AR376" s="46" t="s">
        <v>2</v>
      </c>
      <c r="AS376" s="103">
        <v>52</v>
      </c>
      <c r="AT376" s="103">
        <v>104</v>
      </c>
      <c r="AU376" s="103">
        <v>48</v>
      </c>
      <c r="AV376" s="103">
        <v>20</v>
      </c>
      <c r="AW376" s="103">
        <v>8</v>
      </c>
      <c r="AX376" s="103">
        <v>7</v>
      </c>
      <c r="AY376" s="103">
        <v>1</v>
      </c>
      <c r="AZ376" s="103">
        <v>2</v>
      </c>
      <c r="BA376" s="103">
        <v>0</v>
      </c>
      <c r="BB376" s="103">
        <v>0</v>
      </c>
      <c r="BC376" s="42"/>
      <c r="BD376" s="110"/>
      <c r="BE376" s="46" t="s">
        <v>2</v>
      </c>
      <c r="BF376" s="103">
        <v>37</v>
      </c>
      <c r="BG376" s="103">
        <v>123</v>
      </c>
      <c r="BH376" s="103">
        <v>76</v>
      </c>
      <c r="BI376" s="103">
        <v>47</v>
      </c>
      <c r="BJ376" s="103">
        <v>15</v>
      </c>
      <c r="BK376" s="103">
        <v>13</v>
      </c>
      <c r="BL376" s="103">
        <v>10</v>
      </c>
      <c r="BM376" s="103">
        <v>2</v>
      </c>
      <c r="BN376" s="103">
        <v>0</v>
      </c>
      <c r="BO376" s="103">
        <v>1</v>
      </c>
      <c r="BQ376" s="110"/>
      <c r="BR376" s="46" t="s">
        <v>2</v>
      </c>
      <c r="BS376" s="103">
        <v>47</v>
      </c>
      <c r="BT376" s="103">
        <v>130</v>
      </c>
      <c r="BU376" s="103">
        <v>61</v>
      </c>
      <c r="BV376" s="103">
        <v>28</v>
      </c>
      <c r="BW376" s="103">
        <v>5</v>
      </c>
      <c r="BX376" s="103">
        <v>3</v>
      </c>
      <c r="BY376" s="103">
        <v>5</v>
      </c>
      <c r="BZ376" s="103">
        <v>1</v>
      </c>
      <c r="CA376" s="103">
        <v>0</v>
      </c>
      <c r="CB376" s="103">
        <v>0</v>
      </c>
      <c r="CC376" s="42"/>
      <c r="CD376" s="110"/>
      <c r="CE376" s="46" t="s">
        <v>2</v>
      </c>
      <c r="CF376" s="103">
        <v>42</v>
      </c>
      <c r="CG376" s="103">
        <v>97</v>
      </c>
      <c r="CH376" s="103">
        <v>63</v>
      </c>
      <c r="CI376" s="103">
        <v>39</v>
      </c>
      <c r="CJ376" s="103">
        <v>18</v>
      </c>
      <c r="CK376" s="103">
        <v>17</v>
      </c>
      <c r="CL376" s="103">
        <v>6</v>
      </c>
      <c r="CM376" s="103">
        <v>3</v>
      </c>
      <c r="CN376" s="103">
        <v>0</v>
      </c>
      <c r="CO376" s="103">
        <v>1</v>
      </c>
      <c r="CQ376" s="110"/>
      <c r="CR376" s="46" t="s">
        <v>2</v>
      </c>
      <c r="CS376" s="103">
        <v>32</v>
      </c>
      <c r="CT376" s="103">
        <v>97</v>
      </c>
      <c r="CU376" s="103">
        <v>55</v>
      </c>
      <c r="CV376" s="103">
        <v>48</v>
      </c>
      <c r="CW376" s="103">
        <v>15</v>
      </c>
      <c r="CX376" s="103">
        <v>19</v>
      </c>
      <c r="CY376" s="103">
        <v>8</v>
      </c>
      <c r="CZ376" s="103">
        <v>4</v>
      </c>
      <c r="DA376" s="103">
        <v>0</v>
      </c>
      <c r="DB376" s="103">
        <v>1</v>
      </c>
      <c r="DC376" s="42"/>
      <c r="DD376" s="110"/>
      <c r="DE376" s="46" t="s">
        <v>2</v>
      </c>
      <c r="DF376" s="103">
        <v>57</v>
      </c>
      <c r="DG376" s="103">
        <v>130</v>
      </c>
      <c r="DH376" s="103">
        <v>69</v>
      </c>
      <c r="DI376" s="103">
        <v>19</v>
      </c>
      <c r="DJ376" s="103">
        <v>8</v>
      </c>
      <c r="DK376" s="103">
        <v>1</v>
      </c>
      <c r="DL376" s="103">
        <v>3</v>
      </c>
      <c r="DM376" s="103">
        <v>0</v>
      </c>
      <c r="DN376" s="103">
        <v>0</v>
      </c>
      <c r="DO376" s="103">
        <v>0</v>
      </c>
    </row>
    <row r="377" spans="2:119" ht="16.25" customHeight="1" x14ac:dyDescent="0.45">
      <c r="B377" s="134"/>
      <c r="C377" s="42"/>
      <c r="D377" s="110"/>
      <c r="E377" s="46" t="s">
        <v>3</v>
      </c>
      <c r="F377" s="103">
        <v>57</v>
      </c>
      <c r="G377" s="103">
        <v>190</v>
      </c>
      <c r="H377" s="103">
        <v>165</v>
      </c>
      <c r="I377" s="103">
        <v>98</v>
      </c>
      <c r="J377" s="103">
        <v>24</v>
      </c>
      <c r="K377" s="103">
        <v>16</v>
      </c>
      <c r="L377" s="103">
        <v>5</v>
      </c>
      <c r="M377" s="103">
        <v>0</v>
      </c>
      <c r="N377" s="103">
        <v>1</v>
      </c>
      <c r="O377" s="103">
        <v>0</v>
      </c>
      <c r="P377" s="42"/>
      <c r="Q377" s="110"/>
      <c r="R377" s="46" t="s">
        <v>3</v>
      </c>
      <c r="S377" s="103">
        <v>18</v>
      </c>
      <c r="T377" s="103">
        <v>77</v>
      </c>
      <c r="U377" s="103">
        <v>67</v>
      </c>
      <c r="V377" s="103">
        <v>30</v>
      </c>
      <c r="W377" s="103">
        <v>11</v>
      </c>
      <c r="X377" s="103">
        <v>6</v>
      </c>
      <c r="Y377" s="103">
        <v>2</v>
      </c>
      <c r="Z377" s="103">
        <v>0</v>
      </c>
      <c r="AA377" s="103">
        <v>1</v>
      </c>
      <c r="AB377" s="103">
        <v>0</v>
      </c>
      <c r="AC377" s="42"/>
      <c r="AD377" s="110"/>
      <c r="AE377" s="46" t="s">
        <v>3</v>
      </c>
      <c r="AF377" s="103">
        <v>39</v>
      </c>
      <c r="AG377" s="103">
        <v>113</v>
      </c>
      <c r="AH377" s="103">
        <v>98</v>
      </c>
      <c r="AI377" s="103">
        <v>68</v>
      </c>
      <c r="AJ377" s="103">
        <v>13</v>
      </c>
      <c r="AK377" s="103">
        <v>10</v>
      </c>
      <c r="AL377" s="103">
        <v>3</v>
      </c>
      <c r="AM377" s="103">
        <v>0</v>
      </c>
      <c r="AN377" s="103">
        <v>0</v>
      </c>
      <c r="AO377" s="103">
        <v>0</v>
      </c>
      <c r="AP377" s="6"/>
      <c r="AQ377" s="110"/>
      <c r="AR377" s="46" t="s">
        <v>3</v>
      </c>
      <c r="AS377" s="103">
        <v>25</v>
      </c>
      <c r="AT377" s="103">
        <v>81</v>
      </c>
      <c r="AU377" s="103">
        <v>60</v>
      </c>
      <c r="AV377" s="103">
        <v>35</v>
      </c>
      <c r="AW377" s="103">
        <v>5</v>
      </c>
      <c r="AX377" s="103">
        <v>6</v>
      </c>
      <c r="AY377" s="103">
        <v>1</v>
      </c>
      <c r="AZ377" s="103">
        <v>0</v>
      </c>
      <c r="BA377" s="103">
        <v>1</v>
      </c>
      <c r="BB377" s="103">
        <v>0</v>
      </c>
      <c r="BC377" s="42"/>
      <c r="BD377" s="110"/>
      <c r="BE377" s="46" t="s">
        <v>3</v>
      </c>
      <c r="BF377" s="103">
        <v>32</v>
      </c>
      <c r="BG377" s="103">
        <v>109</v>
      </c>
      <c r="BH377" s="103">
        <v>105</v>
      </c>
      <c r="BI377" s="103">
        <v>63</v>
      </c>
      <c r="BJ377" s="103">
        <v>19</v>
      </c>
      <c r="BK377" s="103">
        <v>10</v>
      </c>
      <c r="BL377" s="103">
        <v>4</v>
      </c>
      <c r="BM377" s="103">
        <v>0</v>
      </c>
      <c r="BN377" s="103">
        <v>0</v>
      </c>
      <c r="BO377" s="103">
        <v>0</v>
      </c>
      <c r="BQ377" s="110"/>
      <c r="BR377" s="46" t="s">
        <v>3</v>
      </c>
      <c r="BS377" s="103">
        <v>32</v>
      </c>
      <c r="BT377" s="103">
        <v>96</v>
      </c>
      <c r="BU377" s="103">
        <v>69</v>
      </c>
      <c r="BV377" s="103">
        <v>39</v>
      </c>
      <c r="BW377" s="103">
        <v>11</v>
      </c>
      <c r="BX377" s="103">
        <v>4</v>
      </c>
      <c r="BY377" s="103">
        <v>1</v>
      </c>
      <c r="BZ377" s="103">
        <v>0</v>
      </c>
      <c r="CA377" s="103">
        <v>0</v>
      </c>
      <c r="CB377" s="103">
        <v>0</v>
      </c>
      <c r="CC377" s="42"/>
      <c r="CD377" s="110"/>
      <c r="CE377" s="46" t="s">
        <v>3</v>
      </c>
      <c r="CF377" s="103">
        <v>25</v>
      </c>
      <c r="CG377" s="103">
        <v>94</v>
      </c>
      <c r="CH377" s="103">
        <v>96</v>
      </c>
      <c r="CI377" s="103">
        <v>59</v>
      </c>
      <c r="CJ377" s="103">
        <v>13</v>
      </c>
      <c r="CK377" s="103">
        <v>12</v>
      </c>
      <c r="CL377" s="103">
        <v>4</v>
      </c>
      <c r="CM377" s="103">
        <v>0</v>
      </c>
      <c r="CN377" s="103">
        <v>1</v>
      </c>
      <c r="CO377" s="103">
        <v>0</v>
      </c>
      <c r="CQ377" s="110"/>
      <c r="CR377" s="46" t="s">
        <v>3</v>
      </c>
      <c r="CS377" s="103">
        <v>14</v>
      </c>
      <c r="CT377" s="103">
        <v>59</v>
      </c>
      <c r="CU377" s="103">
        <v>50</v>
      </c>
      <c r="CV377" s="103">
        <v>46</v>
      </c>
      <c r="CW377" s="103">
        <v>15</v>
      </c>
      <c r="CX377" s="103">
        <v>9</v>
      </c>
      <c r="CY377" s="103">
        <v>2</v>
      </c>
      <c r="CZ377" s="103">
        <v>0</v>
      </c>
      <c r="DA377" s="103">
        <v>1</v>
      </c>
      <c r="DB377" s="103">
        <v>0</v>
      </c>
      <c r="DC377" s="42"/>
      <c r="DD377" s="110"/>
      <c r="DE377" s="46" t="s">
        <v>3</v>
      </c>
      <c r="DF377" s="103">
        <v>43</v>
      </c>
      <c r="DG377" s="103">
        <v>131</v>
      </c>
      <c r="DH377" s="103">
        <v>115</v>
      </c>
      <c r="DI377" s="103">
        <v>52</v>
      </c>
      <c r="DJ377" s="103">
        <v>9</v>
      </c>
      <c r="DK377" s="103">
        <v>7</v>
      </c>
      <c r="DL377" s="103">
        <v>3</v>
      </c>
      <c r="DM377" s="103">
        <v>0</v>
      </c>
      <c r="DN377" s="103">
        <v>0</v>
      </c>
      <c r="DO377" s="103">
        <v>0</v>
      </c>
    </row>
    <row r="378" spans="2:119" ht="16.25" customHeight="1" x14ac:dyDescent="0.45">
      <c r="B378" s="134"/>
      <c r="C378" s="42"/>
      <c r="D378" s="110"/>
      <c r="E378" s="46" t="s">
        <v>4</v>
      </c>
      <c r="F378" s="103">
        <v>92</v>
      </c>
      <c r="G378" s="103">
        <v>290</v>
      </c>
      <c r="H378" s="103">
        <v>327</v>
      </c>
      <c r="I378" s="103">
        <v>236</v>
      </c>
      <c r="J378" s="103">
        <v>52</v>
      </c>
      <c r="K378" s="103">
        <v>39</v>
      </c>
      <c r="L378" s="103">
        <v>16</v>
      </c>
      <c r="M378" s="103">
        <v>4</v>
      </c>
      <c r="N378" s="103">
        <v>2</v>
      </c>
      <c r="O378" s="103">
        <v>0</v>
      </c>
      <c r="P378" s="42"/>
      <c r="Q378" s="110"/>
      <c r="R378" s="46" t="s">
        <v>4</v>
      </c>
      <c r="S378" s="103">
        <v>26</v>
      </c>
      <c r="T378" s="103">
        <v>119</v>
      </c>
      <c r="U378" s="103">
        <v>149</v>
      </c>
      <c r="V378" s="103">
        <v>101</v>
      </c>
      <c r="W378" s="103">
        <v>22</v>
      </c>
      <c r="X378" s="103">
        <v>16</v>
      </c>
      <c r="Y378" s="103">
        <v>5</v>
      </c>
      <c r="Z378" s="103">
        <v>2</v>
      </c>
      <c r="AA378" s="103">
        <v>1</v>
      </c>
      <c r="AB378" s="103">
        <v>0</v>
      </c>
      <c r="AC378" s="42"/>
      <c r="AD378" s="110"/>
      <c r="AE378" s="46" t="s">
        <v>4</v>
      </c>
      <c r="AF378" s="103">
        <v>66</v>
      </c>
      <c r="AG378" s="103">
        <v>171</v>
      </c>
      <c r="AH378" s="103">
        <v>178</v>
      </c>
      <c r="AI378" s="103">
        <v>135</v>
      </c>
      <c r="AJ378" s="103">
        <v>30</v>
      </c>
      <c r="AK378" s="103">
        <v>23</v>
      </c>
      <c r="AL378" s="103">
        <v>11</v>
      </c>
      <c r="AM378" s="103">
        <v>2</v>
      </c>
      <c r="AN378" s="103">
        <v>1</v>
      </c>
      <c r="AO378" s="103">
        <v>0</v>
      </c>
      <c r="AP378" s="6"/>
      <c r="AQ378" s="110"/>
      <c r="AR378" s="46" t="s">
        <v>4</v>
      </c>
      <c r="AS378" s="103">
        <v>47</v>
      </c>
      <c r="AT378" s="103">
        <v>127</v>
      </c>
      <c r="AU378" s="103">
        <v>131</v>
      </c>
      <c r="AV378" s="103">
        <v>75</v>
      </c>
      <c r="AW378" s="103">
        <v>16</v>
      </c>
      <c r="AX378" s="103">
        <v>9</v>
      </c>
      <c r="AY378" s="103">
        <v>1</v>
      </c>
      <c r="AZ378" s="103">
        <v>1</v>
      </c>
      <c r="BA378" s="103">
        <v>1</v>
      </c>
      <c r="BB378" s="103">
        <v>0</v>
      </c>
      <c r="BC378" s="42"/>
      <c r="BD378" s="110"/>
      <c r="BE378" s="46" t="s">
        <v>4</v>
      </c>
      <c r="BF378" s="103">
        <v>45</v>
      </c>
      <c r="BG378" s="103">
        <v>163</v>
      </c>
      <c r="BH378" s="103">
        <v>196</v>
      </c>
      <c r="BI378" s="103">
        <v>161</v>
      </c>
      <c r="BJ378" s="103">
        <v>36</v>
      </c>
      <c r="BK378" s="103">
        <v>30</v>
      </c>
      <c r="BL378" s="103">
        <v>15</v>
      </c>
      <c r="BM378" s="103">
        <v>3</v>
      </c>
      <c r="BN378" s="103">
        <v>1</v>
      </c>
      <c r="BO378" s="103">
        <v>0</v>
      </c>
      <c r="BQ378" s="110"/>
      <c r="BR378" s="46" t="s">
        <v>4</v>
      </c>
      <c r="BS378" s="103">
        <v>41</v>
      </c>
      <c r="BT378" s="103">
        <v>109</v>
      </c>
      <c r="BU378" s="103">
        <v>126</v>
      </c>
      <c r="BV378" s="103">
        <v>74</v>
      </c>
      <c r="BW378" s="103">
        <v>14</v>
      </c>
      <c r="BX378" s="103">
        <v>10</v>
      </c>
      <c r="BY378" s="103">
        <v>4</v>
      </c>
      <c r="BZ378" s="103">
        <v>0</v>
      </c>
      <c r="CA378" s="103">
        <v>0</v>
      </c>
      <c r="CB378" s="103">
        <v>0</v>
      </c>
      <c r="CC378" s="42"/>
      <c r="CD378" s="110"/>
      <c r="CE378" s="46" t="s">
        <v>4</v>
      </c>
      <c r="CF378" s="103">
        <v>51</v>
      </c>
      <c r="CG378" s="103">
        <v>181</v>
      </c>
      <c r="CH378" s="103">
        <v>201</v>
      </c>
      <c r="CI378" s="103">
        <v>162</v>
      </c>
      <c r="CJ378" s="103">
        <v>38</v>
      </c>
      <c r="CK378" s="103">
        <v>29</v>
      </c>
      <c r="CL378" s="103">
        <v>12</v>
      </c>
      <c r="CM378" s="103">
        <v>4</v>
      </c>
      <c r="CN378" s="103">
        <v>2</v>
      </c>
      <c r="CO378" s="103">
        <v>0</v>
      </c>
      <c r="CQ378" s="110"/>
      <c r="CR378" s="46" t="s">
        <v>4</v>
      </c>
      <c r="CS378" s="103">
        <v>12</v>
      </c>
      <c r="CT378" s="103">
        <v>70</v>
      </c>
      <c r="CU378" s="103">
        <v>94</v>
      </c>
      <c r="CV378" s="103">
        <v>87</v>
      </c>
      <c r="CW378" s="103">
        <v>21</v>
      </c>
      <c r="CX378" s="103">
        <v>25</v>
      </c>
      <c r="CY378" s="103">
        <v>9</v>
      </c>
      <c r="CZ378" s="103">
        <v>4</v>
      </c>
      <c r="DA378" s="103">
        <v>2</v>
      </c>
      <c r="DB378" s="103">
        <v>0</v>
      </c>
      <c r="DC378" s="42"/>
      <c r="DD378" s="110"/>
      <c r="DE378" s="46" t="s">
        <v>4</v>
      </c>
      <c r="DF378" s="103">
        <v>80</v>
      </c>
      <c r="DG378" s="103">
        <v>220</v>
      </c>
      <c r="DH378" s="103">
        <v>233</v>
      </c>
      <c r="DI378" s="103">
        <v>149</v>
      </c>
      <c r="DJ378" s="103">
        <v>31</v>
      </c>
      <c r="DK378" s="103">
        <v>14</v>
      </c>
      <c r="DL378" s="103">
        <v>7</v>
      </c>
      <c r="DM378" s="103">
        <v>0</v>
      </c>
      <c r="DN378" s="103">
        <v>0</v>
      </c>
      <c r="DO378" s="103">
        <v>0</v>
      </c>
    </row>
    <row r="379" spans="2:119" ht="16.25" customHeight="1" x14ac:dyDescent="0.45">
      <c r="B379" s="134"/>
      <c r="C379" s="42"/>
      <c r="D379" s="110"/>
      <c r="E379" s="46" t="s">
        <v>5</v>
      </c>
      <c r="F379" s="103">
        <v>111</v>
      </c>
      <c r="G379" s="103">
        <v>454</v>
      </c>
      <c r="H379" s="103">
        <v>688</v>
      </c>
      <c r="I379" s="103">
        <v>597</v>
      </c>
      <c r="J379" s="103">
        <v>207</v>
      </c>
      <c r="K379" s="103">
        <v>112</v>
      </c>
      <c r="L379" s="103">
        <v>52</v>
      </c>
      <c r="M379" s="103">
        <v>14</v>
      </c>
      <c r="N379" s="103">
        <v>2</v>
      </c>
      <c r="O379" s="103">
        <v>0</v>
      </c>
      <c r="P379" s="42"/>
      <c r="Q379" s="110"/>
      <c r="R379" s="46" t="s">
        <v>5</v>
      </c>
      <c r="S379" s="103">
        <v>26</v>
      </c>
      <c r="T379" s="103">
        <v>181</v>
      </c>
      <c r="U379" s="103">
        <v>314</v>
      </c>
      <c r="V379" s="103">
        <v>239</v>
      </c>
      <c r="W379" s="103">
        <v>98</v>
      </c>
      <c r="X379" s="103">
        <v>50</v>
      </c>
      <c r="Y379" s="103">
        <v>22</v>
      </c>
      <c r="Z379" s="103">
        <v>5</v>
      </c>
      <c r="AA379" s="103">
        <v>0</v>
      </c>
      <c r="AB379" s="103">
        <v>0</v>
      </c>
      <c r="AC379" s="42"/>
      <c r="AD379" s="110"/>
      <c r="AE379" s="46" t="s">
        <v>5</v>
      </c>
      <c r="AF379" s="103">
        <v>85</v>
      </c>
      <c r="AG379" s="103">
        <v>273</v>
      </c>
      <c r="AH379" s="103">
        <v>374</v>
      </c>
      <c r="AI379" s="103">
        <v>358</v>
      </c>
      <c r="AJ379" s="103">
        <v>109</v>
      </c>
      <c r="AK379" s="103">
        <v>62</v>
      </c>
      <c r="AL379" s="103">
        <v>30</v>
      </c>
      <c r="AM379" s="103">
        <v>9</v>
      </c>
      <c r="AN379" s="103">
        <v>2</v>
      </c>
      <c r="AO379" s="103">
        <v>0</v>
      </c>
      <c r="AP379" s="6"/>
      <c r="AQ379" s="110"/>
      <c r="AR379" s="46" t="s">
        <v>5</v>
      </c>
      <c r="AS379" s="103">
        <v>50</v>
      </c>
      <c r="AT379" s="103">
        <v>189</v>
      </c>
      <c r="AU379" s="103">
        <v>206</v>
      </c>
      <c r="AV379" s="103">
        <v>163</v>
      </c>
      <c r="AW379" s="103">
        <v>51</v>
      </c>
      <c r="AX379" s="103">
        <v>27</v>
      </c>
      <c r="AY379" s="103">
        <v>11</v>
      </c>
      <c r="AZ379" s="103">
        <v>4</v>
      </c>
      <c r="BA379" s="103">
        <v>1</v>
      </c>
      <c r="BB379" s="103">
        <v>0</v>
      </c>
      <c r="BC379" s="42"/>
      <c r="BD379" s="110"/>
      <c r="BE379" s="46" t="s">
        <v>5</v>
      </c>
      <c r="BF379" s="103">
        <v>61</v>
      </c>
      <c r="BG379" s="103">
        <v>265</v>
      </c>
      <c r="BH379" s="103">
        <v>482</v>
      </c>
      <c r="BI379" s="103">
        <v>434</v>
      </c>
      <c r="BJ379" s="103">
        <v>156</v>
      </c>
      <c r="BK379" s="103">
        <v>85</v>
      </c>
      <c r="BL379" s="103">
        <v>41</v>
      </c>
      <c r="BM379" s="103">
        <v>10</v>
      </c>
      <c r="BN379" s="103">
        <v>1</v>
      </c>
      <c r="BO379" s="103">
        <v>0</v>
      </c>
      <c r="BQ379" s="110"/>
      <c r="BR379" s="46" t="s">
        <v>5</v>
      </c>
      <c r="BS379" s="103">
        <v>42</v>
      </c>
      <c r="BT379" s="103">
        <v>136</v>
      </c>
      <c r="BU379" s="103">
        <v>148</v>
      </c>
      <c r="BV379" s="103">
        <v>130</v>
      </c>
      <c r="BW379" s="103">
        <v>45</v>
      </c>
      <c r="BX379" s="103">
        <v>25</v>
      </c>
      <c r="BY379" s="103">
        <v>13</v>
      </c>
      <c r="BZ379" s="103">
        <v>2</v>
      </c>
      <c r="CA379" s="103">
        <v>1</v>
      </c>
      <c r="CB379" s="103">
        <v>0</v>
      </c>
      <c r="CC379" s="42"/>
      <c r="CD379" s="110"/>
      <c r="CE379" s="46" t="s">
        <v>5</v>
      </c>
      <c r="CF379" s="103">
        <v>69</v>
      </c>
      <c r="CG379" s="103">
        <v>318</v>
      </c>
      <c r="CH379" s="103">
        <v>540</v>
      </c>
      <c r="CI379" s="103">
        <v>467</v>
      </c>
      <c r="CJ379" s="103">
        <v>162</v>
      </c>
      <c r="CK379" s="103">
        <v>87</v>
      </c>
      <c r="CL379" s="103">
        <v>39</v>
      </c>
      <c r="CM379" s="103">
        <v>12</v>
      </c>
      <c r="CN379" s="103">
        <v>1</v>
      </c>
      <c r="CO379" s="103">
        <v>0</v>
      </c>
      <c r="CQ379" s="110"/>
      <c r="CR379" s="46" t="s">
        <v>5</v>
      </c>
      <c r="CS379" s="103">
        <v>14</v>
      </c>
      <c r="CT379" s="103">
        <v>97</v>
      </c>
      <c r="CU379" s="103">
        <v>153</v>
      </c>
      <c r="CV379" s="103">
        <v>181</v>
      </c>
      <c r="CW379" s="103">
        <v>73</v>
      </c>
      <c r="CX379" s="103">
        <v>40</v>
      </c>
      <c r="CY379" s="103">
        <v>23</v>
      </c>
      <c r="CZ379" s="103">
        <v>8</v>
      </c>
      <c r="DA379" s="103">
        <v>1</v>
      </c>
      <c r="DB379" s="103">
        <v>0</v>
      </c>
      <c r="DC379" s="42"/>
      <c r="DD379" s="110"/>
      <c r="DE379" s="46" t="s">
        <v>5</v>
      </c>
      <c r="DF379" s="103">
        <v>97</v>
      </c>
      <c r="DG379" s="103">
        <v>357</v>
      </c>
      <c r="DH379" s="103">
        <v>535</v>
      </c>
      <c r="DI379" s="103">
        <v>416</v>
      </c>
      <c r="DJ379" s="103">
        <v>134</v>
      </c>
      <c r="DK379" s="103">
        <v>72</v>
      </c>
      <c r="DL379" s="103">
        <v>29</v>
      </c>
      <c r="DM379" s="103">
        <v>6</v>
      </c>
      <c r="DN379" s="103">
        <v>1</v>
      </c>
      <c r="DO379" s="103">
        <v>0</v>
      </c>
    </row>
    <row r="380" spans="2:119" ht="16.25" customHeight="1" x14ac:dyDescent="0.45">
      <c r="B380" s="134"/>
      <c r="C380" s="42"/>
      <c r="D380" s="110"/>
      <c r="E380" s="46" t="s">
        <v>6</v>
      </c>
      <c r="F380" s="103">
        <v>172</v>
      </c>
      <c r="G380" s="103">
        <v>758</v>
      </c>
      <c r="H380" s="103">
        <v>1540</v>
      </c>
      <c r="I380" s="103">
        <v>1721</v>
      </c>
      <c r="J380" s="103">
        <v>744</v>
      </c>
      <c r="K380" s="103">
        <v>455</v>
      </c>
      <c r="L380" s="103">
        <v>214</v>
      </c>
      <c r="M380" s="103">
        <v>47</v>
      </c>
      <c r="N380" s="103">
        <v>16</v>
      </c>
      <c r="O380" s="103">
        <v>5</v>
      </c>
      <c r="P380" s="42"/>
      <c r="Q380" s="110"/>
      <c r="R380" s="46" t="s">
        <v>6</v>
      </c>
      <c r="S380" s="103">
        <v>47</v>
      </c>
      <c r="T380" s="103">
        <v>252</v>
      </c>
      <c r="U380" s="103">
        <v>645</v>
      </c>
      <c r="V380" s="103">
        <v>788</v>
      </c>
      <c r="W380" s="103">
        <v>346</v>
      </c>
      <c r="X380" s="103">
        <v>206</v>
      </c>
      <c r="Y380" s="103">
        <v>108</v>
      </c>
      <c r="Z380" s="103">
        <v>27</v>
      </c>
      <c r="AA380" s="103">
        <v>9</v>
      </c>
      <c r="AB380" s="103">
        <v>4</v>
      </c>
      <c r="AC380" s="42"/>
      <c r="AD380" s="110"/>
      <c r="AE380" s="46" t="s">
        <v>6</v>
      </c>
      <c r="AF380" s="103">
        <v>125</v>
      </c>
      <c r="AG380" s="103">
        <v>506</v>
      </c>
      <c r="AH380" s="103">
        <v>895</v>
      </c>
      <c r="AI380" s="103">
        <v>933</v>
      </c>
      <c r="AJ380" s="103">
        <v>398</v>
      </c>
      <c r="AK380" s="103">
        <v>249</v>
      </c>
      <c r="AL380" s="103">
        <v>106</v>
      </c>
      <c r="AM380" s="103">
        <v>20</v>
      </c>
      <c r="AN380" s="103">
        <v>7</v>
      </c>
      <c r="AO380" s="103">
        <v>1</v>
      </c>
      <c r="AP380" s="6"/>
      <c r="AQ380" s="110"/>
      <c r="AR380" s="46" t="s">
        <v>6</v>
      </c>
      <c r="AS380" s="103">
        <v>74</v>
      </c>
      <c r="AT380" s="103">
        <v>316</v>
      </c>
      <c r="AU380" s="103">
        <v>527</v>
      </c>
      <c r="AV380" s="103">
        <v>463</v>
      </c>
      <c r="AW380" s="103">
        <v>161</v>
      </c>
      <c r="AX380" s="103">
        <v>100</v>
      </c>
      <c r="AY380" s="103">
        <v>35</v>
      </c>
      <c r="AZ380" s="103">
        <v>10</v>
      </c>
      <c r="BA380" s="103">
        <v>2</v>
      </c>
      <c r="BB380" s="103">
        <v>0</v>
      </c>
      <c r="BC380" s="42"/>
      <c r="BD380" s="110"/>
      <c r="BE380" s="46" t="s">
        <v>6</v>
      </c>
      <c r="BF380" s="103">
        <v>98</v>
      </c>
      <c r="BG380" s="103">
        <v>442</v>
      </c>
      <c r="BH380" s="103">
        <v>1013</v>
      </c>
      <c r="BI380" s="103">
        <v>1258</v>
      </c>
      <c r="BJ380" s="103">
        <v>583</v>
      </c>
      <c r="BK380" s="103">
        <v>355</v>
      </c>
      <c r="BL380" s="103">
        <v>179</v>
      </c>
      <c r="BM380" s="103">
        <v>37</v>
      </c>
      <c r="BN380" s="103">
        <v>14</v>
      </c>
      <c r="BO380" s="103">
        <v>5</v>
      </c>
      <c r="BQ380" s="110"/>
      <c r="BR380" s="46" t="s">
        <v>6</v>
      </c>
      <c r="BS380" s="103">
        <v>41</v>
      </c>
      <c r="BT380" s="103">
        <v>149</v>
      </c>
      <c r="BU380" s="103">
        <v>247</v>
      </c>
      <c r="BV380" s="103">
        <v>233</v>
      </c>
      <c r="BW380" s="103">
        <v>94</v>
      </c>
      <c r="BX380" s="103">
        <v>57</v>
      </c>
      <c r="BY380" s="103">
        <v>30</v>
      </c>
      <c r="BZ380" s="103">
        <v>7</v>
      </c>
      <c r="CA380" s="103">
        <v>2</v>
      </c>
      <c r="CB380" s="103">
        <v>1</v>
      </c>
      <c r="CC380" s="42"/>
      <c r="CD380" s="110"/>
      <c r="CE380" s="46" t="s">
        <v>6</v>
      </c>
      <c r="CF380" s="103">
        <v>131</v>
      </c>
      <c r="CG380" s="103">
        <v>609</v>
      </c>
      <c r="CH380" s="103">
        <v>1293</v>
      </c>
      <c r="CI380" s="103">
        <v>1488</v>
      </c>
      <c r="CJ380" s="103">
        <v>650</v>
      </c>
      <c r="CK380" s="103">
        <v>398</v>
      </c>
      <c r="CL380" s="103">
        <v>184</v>
      </c>
      <c r="CM380" s="103">
        <v>40</v>
      </c>
      <c r="CN380" s="103">
        <v>14</v>
      </c>
      <c r="CO380" s="103">
        <v>4</v>
      </c>
      <c r="CQ380" s="110"/>
      <c r="CR380" s="46" t="s">
        <v>6</v>
      </c>
      <c r="CS380" s="103">
        <v>24</v>
      </c>
      <c r="CT380" s="103">
        <v>130</v>
      </c>
      <c r="CU380" s="103">
        <v>297</v>
      </c>
      <c r="CV380" s="103">
        <v>376</v>
      </c>
      <c r="CW380" s="103">
        <v>190</v>
      </c>
      <c r="CX380" s="103">
        <v>137</v>
      </c>
      <c r="CY380" s="103">
        <v>69</v>
      </c>
      <c r="CZ380" s="103">
        <v>17</v>
      </c>
      <c r="DA380" s="103">
        <v>10</v>
      </c>
      <c r="DB380" s="103">
        <v>2</v>
      </c>
      <c r="DC380" s="42"/>
      <c r="DD380" s="110"/>
      <c r="DE380" s="46" t="s">
        <v>6</v>
      </c>
      <c r="DF380" s="103">
        <v>148</v>
      </c>
      <c r="DG380" s="103">
        <v>628</v>
      </c>
      <c r="DH380" s="103">
        <v>1243</v>
      </c>
      <c r="DI380" s="103">
        <v>1345</v>
      </c>
      <c r="DJ380" s="103">
        <v>554</v>
      </c>
      <c r="DK380" s="103">
        <v>318</v>
      </c>
      <c r="DL380" s="103">
        <v>145</v>
      </c>
      <c r="DM380" s="103">
        <v>30</v>
      </c>
      <c r="DN380" s="103">
        <v>6</v>
      </c>
      <c r="DO380" s="103">
        <v>3</v>
      </c>
    </row>
    <row r="381" spans="2:119" ht="16.25" customHeight="1" x14ac:dyDescent="0.45">
      <c r="B381" s="134"/>
      <c r="C381" s="42"/>
      <c r="D381" s="110"/>
      <c r="E381" s="46" t="s">
        <v>7</v>
      </c>
      <c r="F381" s="103">
        <v>216</v>
      </c>
      <c r="G381" s="103">
        <v>965</v>
      </c>
      <c r="H381" s="103">
        <v>2286</v>
      </c>
      <c r="I381" s="103">
        <v>3716</v>
      </c>
      <c r="J381" s="103">
        <v>2022</v>
      </c>
      <c r="K381" s="103">
        <v>1628</v>
      </c>
      <c r="L381" s="103">
        <v>813</v>
      </c>
      <c r="M381" s="103">
        <v>237</v>
      </c>
      <c r="N381" s="103">
        <v>79</v>
      </c>
      <c r="O381" s="103">
        <v>19</v>
      </c>
      <c r="P381" s="42"/>
      <c r="Q381" s="110"/>
      <c r="R381" s="46" t="s">
        <v>7</v>
      </c>
      <c r="S381" s="103">
        <v>54</v>
      </c>
      <c r="T381" s="103">
        <v>307</v>
      </c>
      <c r="U381" s="103">
        <v>894</v>
      </c>
      <c r="V381" s="103">
        <v>1575</v>
      </c>
      <c r="W381" s="103">
        <v>915</v>
      </c>
      <c r="X381" s="103">
        <v>780</v>
      </c>
      <c r="Y381" s="103">
        <v>430</v>
      </c>
      <c r="Z381" s="103">
        <v>120</v>
      </c>
      <c r="AA381" s="103">
        <v>40</v>
      </c>
      <c r="AB381" s="103">
        <v>8</v>
      </c>
      <c r="AC381" s="42"/>
      <c r="AD381" s="110"/>
      <c r="AE381" s="46" t="s">
        <v>7</v>
      </c>
      <c r="AF381" s="103">
        <v>162</v>
      </c>
      <c r="AG381" s="103">
        <v>658</v>
      </c>
      <c r="AH381" s="103">
        <v>1392</v>
      </c>
      <c r="AI381" s="103">
        <v>2141</v>
      </c>
      <c r="AJ381" s="103">
        <v>1107</v>
      </c>
      <c r="AK381" s="103">
        <v>848</v>
      </c>
      <c r="AL381" s="103">
        <v>383</v>
      </c>
      <c r="AM381" s="103">
        <v>117</v>
      </c>
      <c r="AN381" s="103">
        <v>39</v>
      </c>
      <c r="AO381" s="103">
        <v>11</v>
      </c>
      <c r="AP381" s="6"/>
      <c r="AQ381" s="110"/>
      <c r="AR381" s="46" t="s">
        <v>7</v>
      </c>
      <c r="AS381" s="103">
        <v>94</v>
      </c>
      <c r="AT381" s="103">
        <v>377</v>
      </c>
      <c r="AU381" s="103">
        <v>712</v>
      </c>
      <c r="AV381" s="103">
        <v>1021</v>
      </c>
      <c r="AW381" s="103">
        <v>467</v>
      </c>
      <c r="AX381" s="103">
        <v>314</v>
      </c>
      <c r="AY381" s="103">
        <v>153</v>
      </c>
      <c r="AZ381" s="103">
        <v>50</v>
      </c>
      <c r="BA381" s="103">
        <v>13</v>
      </c>
      <c r="BB381" s="103">
        <v>3</v>
      </c>
      <c r="BC381" s="42"/>
      <c r="BD381" s="110"/>
      <c r="BE381" s="46" t="s">
        <v>7</v>
      </c>
      <c r="BF381" s="103">
        <v>122</v>
      </c>
      <c r="BG381" s="103">
        <v>588</v>
      </c>
      <c r="BH381" s="103">
        <v>1574</v>
      </c>
      <c r="BI381" s="103">
        <v>2695</v>
      </c>
      <c r="BJ381" s="103">
        <v>1555</v>
      </c>
      <c r="BK381" s="103">
        <v>1314</v>
      </c>
      <c r="BL381" s="103">
        <v>660</v>
      </c>
      <c r="BM381" s="103">
        <v>187</v>
      </c>
      <c r="BN381" s="103">
        <v>66</v>
      </c>
      <c r="BO381" s="103">
        <v>16</v>
      </c>
      <c r="BQ381" s="110"/>
      <c r="BR381" s="46" t="s">
        <v>7</v>
      </c>
      <c r="BS381" s="103">
        <v>36</v>
      </c>
      <c r="BT381" s="103">
        <v>159</v>
      </c>
      <c r="BU381" s="103">
        <v>281</v>
      </c>
      <c r="BV381" s="103">
        <v>325</v>
      </c>
      <c r="BW381" s="103">
        <v>157</v>
      </c>
      <c r="BX381" s="103">
        <v>108</v>
      </c>
      <c r="BY381" s="103">
        <v>61</v>
      </c>
      <c r="BZ381" s="103">
        <v>21</v>
      </c>
      <c r="CA381" s="103">
        <v>10</v>
      </c>
      <c r="CB381" s="103">
        <v>3</v>
      </c>
      <c r="CC381" s="42"/>
      <c r="CD381" s="110"/>
      <c r="CE381" s="46" t="s">
        <v>7</v>
      </c>
      <c r="CF381" s="103">
        <v>180</v>
      </c>
      <c r="CG381" s="103">
        <v>806</v>
      </c>
      <c r="CH381" s="103">
        <v>2005</v>
      </c>
      <c r="CI381" s="103">
        <v>3391</v>
      </c>
      <c r="CJ381" s="103">
        <v>1865</v>
      </c>
      <c r="CK381" s="103">
        <v>1520</v>
      </c>
      <c r="CL381" s="103">
        <v>752</v>
      </c>
      <c r="CM381" s="103">
        <v>216</v>
      </c>
      <c r="CN381" s="103">
        <v>69</v>
      </c>
      <c r="CO381" s="103">
        <v>16</v>
      </c>
      <c r="CQ381" s="110"/>
      <c r="CR381" s="46" t="s">
        <v>7</v>
      </c>
      <c r="CS381" s="103">
        <v>23</v>
      </c>
      <c r="CT381" s="103">
        <v>133</v>
      </c>
      <c r="CU381" s="103">
        <v>365</v>
      </c>
      <c r="CV381" s="103">
        <v>754</v>
      </c>
      <c r="CW381" s="103">
        <v>474</v>
      </c>
      <c r="CX381" s="103">
        <v>401</v>
      </c>
      <c r="CY381" s="103">
        <v>192</v>
      </c>
      <c r="CZ381" s="103">
        <v>82</v>
      </c>
      <c r="DA381" s="103">
        <v>25</v>
      </c>
      <c r="DB381" s="103">
        <v>6</v>
      </c>
      <c r="DC381" s="42"/>
      <c r="DD381" s="110"/>
      <c r="DE381" s="46" t="s">
        <v>7</v>
      </c>
      <c r="DF381" s="103">
        <v>193</v>
      </c>
      <c r="DG381" s="103">
        <v>832</v>
      </c>
      <c r="DH381" s="103">
        <v>1921</v>
      </c>
      <c r="DI381" s="103">
        <v>2962</v>
      </c>
      <c r="DJ381" s="103">
        <v>1548</v>
      </c>
      <c r="DK381" s="103">
        <v>1227</v>
      </c>
      <c r="DL381" s="103">
        <v>621</v>
      </c>
      <c r="DM381" s="103">
        <v>155</v>
      </c>
      <c r="DN381" s="103">
        <v>54</v>
      </c>
      <c r="DO381" s="103">
        <v>13</v>
      </c>
    </row>
    <row r="382" spans="2:119" ht="16.25" customHeight="1" x14ac:dyDescent="0.45">
      <c r="B382" s="134"/>
      <c r="C382" s="42"/>
      <c r="D382" s="110"/>
      <c r="E382" s="46" t="s">
        <v>8</v>
      </c>
      <c r="F382" s="103">
        <v>167</v>
      </c>
      <c r="G382" s="103">
        <v>650</v>
      </c>
      <c r="H382" s="103">
        <v>1776</v>
      </c>
      <c r="I382" s="103">
        <v>4365</v>
      </c>
      <c r="J382" s="103">
        <v>3536</v>
      </c>
      <c r="K382" s="103">
        <v>3517</v>
      </c>
      <c r="L382" s="103">
        <v>2436</v>
      </c>
      <c r="M382" s="103">
        <v>924</v>
      </c>
      <c r="N382" s="103">
        <v>339</v>
      </c>
      <c r="O382" s="103">
        <v>109</v>
      </c>
      <c r="P382" s="42"/>
      <c r="Q382" s="110"/>
      <c r="R382" s="46" t="s">
        <v>8</v>
      </c>
      <c r="S382" s="103">
        <v>27</v>
      </c>
      <c r="T382" s="103">
        <v>186</v>
      </c>
      <c r="U382" s="103">
        <v>634</v>
      </c>
      <c r="V382" s="103">
        <v>1717</v>
      </c>
      <c r="W382" s="103">
        <v>1464</v>
      </c>
      <c r="X382" s="103">
        <v>1575</v>
      </c>
      <c r="Y382" s="103">
        <v>1204</v>
      </c>
      <c r="Z382" s="103">
        <v>471</v>
      </c>
      <c r="AA382" s="103">
        <v>193</v>
      </c>
      <c r="AB382" s="103">
        <v>62</v>
      </c>
      <c r="AC382" s="42"/>
      <c r="AD382" s="110"/>
      <c r="AE382" s="46" t="s">
        <v>8</v>
      </c>
      <c r="AF382" s="103">
        <v>140</v>
      </c>
      <c r="AG382" s="103">
        <v>464</v>
      </c>
      <c r="AH382" s="103">
        <v>1142</v>
      </c>
      <c r="AI382" s="103">
        <v>2648</v>
      </c>
      <c r="AJ382" s="103">
        <v>2072</v>
      </c>
      <c r="AK382" s="103">
        <v>1942</v>
      </c>
      <c r="AL382" s="103">
        <v>1232</v>
      </c>
      <c r="AM382" s="103">
        <v>453</v>
      </c>
      <c r="AN382" s="103">
        <v>146</v>
      </c>
      <c r="AO382" s="103">
        <v>47</v>
      </c>
      <c r="AP382" s="6"/>
      <c r="AQ382" s="110"/>
      <c r="AR382" s="46" t="s">
        <v>8</v>
      </c>
      <c r="AS382" s="103">
        <v>81</v>
      </c>
      <c r="AT382" s="103">
        <v>261</v>
      </c>
      <c r="AU382" s="103">
        <v>547</v>
      </c>
      <c r="AV382" s="103">
        <v>1094</v>
      </c>
      <c r="AW382" s="103">
        <v>739</v>
      </c>
      <c r="AX382" s="103">
        <v>667</v>
      </c>
      <c r="AY382" s="103">
        <v>409</v>
      </c>
      <c r="AZ382" s="103">
        <v>128</v>
      </c>
      <c r="BA382" s="103">
        <v>61</v>
      </c>
      <c r="BB382" s="103">
        <v>14</v>
      </c>
      <c r="BC382" s="42"/>
      <c r="BD382" s="110"/>
      <c r="BE382" s="46" t="s">
        <v>8</v>
      </c>
      <c r="BF382" s="103">
        <v>86</v>
      </c>
      <c r="BG382" s="103">
        <v>389</v>
      </c>
      <c r="BH382" s="103">
        <v>1229</v>
      </c>
      <c r="BI382" s="103">
        <v>3271</v>
      </c>
      <c r="BJ382" s="103">
        <v>2797</v>
      </c>
      <c r="BK382" s="103">
        <v>2850</v>
      </c>
      <c r="BL382" s="103">
        <v>2027</v>
      </c>
      <c r="BM382" s="103">
        <v>796</v>
      </c>
      <c r="BN382" s="103">
        <v>278</v>
      </c>
      <c r="BO382" s="103">
        <v>95</v>
      </c>
      <c r="BQ382" s="110"/>
      <c r="BR382" s="46" t="s">
        <v>8</v>
      </c>
      <c r="BS382" s="103">
        <v>33</v>
      </c>
      <c r="BT382" s="103">
        <v>79</v>
      </c>
      <c r="BU382" s="103">
        <v>163</v>
      </c>
      <c r="BV382" s="103">
        <v>306</v>
      </c>
      <c r="BW382" s="103">
        <v>173</v>
      </c>
      <c r="BX382" s="103">
        <v>161</v>
      </c>
      <c r="BY382" s="103">
        <v>105</v>
      </c>
      <c r="BZ382" s="103">
        <v>39</v>
      </c>
      <c r="CA382" s="103">
        <v>16</v>
      </c>
      <c r="CB382" s="103">
        <v>3</v>
      </c>
      <c r="CC382" s="42"/>
      <c r="CD382" s="110"/>
      <c r="CE382" s="46" t="s">
        <v>8</v>
      </c>
      <c r="CF382" s="103">
        <v>134</v>
      </c>
      <c r="CG382" s="103">
        <v>571</v>
      </c>
      <c r="CH382" s="103">
        <v>1613</v>
      </c>
      <c r="CI382" s="103">
        <v>4059</v>
      </c>
      <c r="CJ382" s="103">
        <v>3363</v>
      </c>
      <c r="CK382" s="103">
        <v>3356</v>
      </c>
      <c r="CL382" s="103">
        <v>2331</v>
      </c>
      <c r="CM382" s="103">
        <v>885</v>
      </c>
      <c r="CN382" s="103">
        <v>323</v>
      </c>
      <c r="CO382" s="103">
        <v>106</v>
      </c>
      <c r="CQ382" s="110"/>
      <c r="CR382" s="46" t="s">
        <v>8</v>
      </c>
      <c r="CS382" s="103">
        <v>12</v>
      </c>
      <c r="CT382" s="103">
        <v>68</v>
      </c>
      <c r="CU382" s="103">
        <v>240</v>
      </c>
      <c r="CV382" s="103">
        <v>741</v>
      </c>
      <c r="CW382" s="103">
        <v>601</v>
      </c>
      <c r="CX382" s="103">
        <v>666</v>
      </c>
      <c r="CY382" s="103">
        <v>517</v>
      </c>
      <c r="CZ382" s="103">
        <v>190</v>
      </c>
      <c r="DA382" s="103">
        <v>89</v>
      </c>
      <c r="DB382" s="103">
        <v>37</v>
      </c>
      <c r="DC382" s="42"/>
      <c r="DD382" s="110"/>
      <c r="DE382" s="46" t="s">
        <v>8</v>
      </c>
      <c r="DF382" s="103">
        <v>155</v>
      </c>
      <c r="DG382" s="103">
        <v>582</v>
      </c>
      <c r="DH382" s="103">
        <v>1536</v>
      </c>
      <c r="DI382" s="103">
        <v>3624</v>
      </c>
      <c r="DJ382" s="103">
        <v>2935</v>
      </c>
      <c r="DK382" s="103">
        <v>2851</v>
      </c>
      <c r="DL382" s="103">
        <v>1919</v>
      </c>
      <c r="DM382" s="103">
        <v>734</v>
      </c>
      <c r="DN382" s="103">
        <v>250</v>
      </c>
      <c r="DO382" s="103">
        <v>72</v>
      </c>
    </row>
    <row r="383" spans="2:119" ht="16.25" customHeight="1" x14ac:dyDescent="0.45">
      <c r="B383" s="134"/>
      <c r="C383" s="42"/>
      <c r="D383" s="110"/>
      <c r="E383" s="46" t="s">
        <v>9</v>
      </c>
      <c r="F383" s="103">
        <v>48</v>
      </c>
      <c r="G383" s="103">
        <v>262</v>
      </c>
      <c r="H383" s="103">
        <v>836</v>
      </c>
      <c r="I383" s="103">
        <v>2856</v>
      </c>
      <c r="J383" s="103">
        <v>3256</v>
      </c>
      <c r="K383" s="103">
        <v>4406</v>
      </c>
      <c r="L383" s="103">
        <v>4107</v>
      </c>
      <c r="M383" s="103">
        <v>2078</v>
      </c>
      <c r="N383" s="103">
        <v>1075</v>
      </c>
      <c r="O383" s="103">
        <v>428</v>
      </c>
      <c r="P383" s="42"/>
      <c r="Q383" s="110"/>
      <c r="R383" s="46" t="s">
        <v>9</v>
      </c>
      <c r="S383" s="103">
        <v>6</v>
      </c>
      <c r="T383" s="103">
        <v>63</v>
      </c>
      <c r="U383" s="103">
        <v>259</v>
      </c>
      <c r="V383" s="103">
        <v>948</v>
      </c>
      <c r="W383" s="103">
        <v>1186</v>
      </c>
      <c r="X383" s="103">
        <v>1727</v>
      </c>
      <c r="Y383" s="103">
        <v>1759</v>
      </c>
      <c r="Z383" s="103">
        <v>1012</v>
      </c>
      <c r="AA383" s="103">
        <v>560</v>
      </c>
      <c r="AB383" s="103">
        <v>247</v>
      </c>
      <c r="AC383" s="42"/>
      <c r="AD383" s="110"/>
      <c r="AE383" s="46" t="s">
        <v>9</v>
      </c>
      <c r="AF383" s="103">
        <v>42</v>
      </c>
      <c r="AG383" s="103">
        <v>199</v>
      </c>
      <c r="AH383" s="103">
        <v>577</v>
      </c>
      <c r="AI383" s="103">
        <v>1908</v>
      </c>
      <c r="AJ383" s="103">
        <v>2070</v>
      </c>
      <c r="AK383" s="103">
        <v>2679</v>
      </c>
      <c r="AL383" s="103">
        <v>2348</v>
      </c>
      <c r="AM383" s="103">
        <v>1066</v>
      </c>
      <c r="AN383" s="103">
        <v>515</v>
      </c>
      <c r="AO383" s="103">
        <v>181</v>
      </c>
      <c r="AP383" s="6"/>
      <c r="AQ383" s="110"/>
      <c r="AR383" s="46" t="s">
        <v>9</v>
      </c>
      <c r="AS383" s="103">
        <v>16</v>
      </c>
      <c r="AT383" s="103">
        <v>94</v>
      </c>
      <c r="AU383" s="103">
        <v>253</v>
      </c>
      <c r="AV383" s="103">
        <v>655</v>
      </c>
      <c r="AW383" s="103">
        <v>604</v>
      </c>
      <c r="AX383" s="103">
        <v>726</v>
      </c>
      <c r="AY383" s="103">
        <v>591</v>
      </c>
      <c r="AZ383" s="103">
        <v>250</v>
      </c>
      <c r="BA383" s="103">
        <v>125</v>
      </c>
      <c r="BB383" s="103">
        <v>46</v>
      </c>
      <c r="BC383" s="42"/>
      <c r="BD383" s="110"/>
      <c r="BE383" s="46" t="s">
        <v>9</v>
      </c>
      <c r="BF383" s="103">
        <v>32</v>
      </c>
      <c r="BG383" s="103">
        <v>168</v>
      </c>
      <c r="BH383" s="103">
        <v>583</v>
      </c>
      <c r="BI383" s="103">
        <v>2201</v>
      </c>
      <c r="BJ383" s="103">
        <v>2652</v>
      </c>
      <c r="BK383" s="103">
        <v>3680</v>
      </c>
      <c r="BL383" s="103">
        <v>3516</v>
      </c>
      <c r="BM383" s="103">
        <v>1828</v>
      </c>
      <c r="BN383" s="103">
        <v>950</v>
      </c>
      <c r="BO383" s="103">
        <v>382</v>
      </c>
      <c r="BQ383" s="110"/>
      <c r="BR383" s="46" t="s">
        <v>9</v>
      </c>
      <c r="BS383" s="103">
        <v>5</v>
      </c>
      <c r="BT383" s="103">
        <v>38</v>
      </c>
      <c r="BU383" s="103">
        <v>86</v>
      </c>
      <c r="BV383" s="103">
        <v>156</v>
      </c>
      <c r="BW383" s="103">
        <v>124</v>
      </c>
      <c r="BX383" s="103">
        <v>170</v>
      </c>
      <c r="BY383" s="103">
        <v>133</v>
      </c>
      <c r="BZ383" s="103">
        <v>77</v>
      </c>
      <c r="CA383" s="103">
        <v>29</v>
      </c>
      <c r="CB383" s="103">
        <v>24</v>
      </c>
      <c r="CC383" s="42"/>
      <c r="CD383" s="110"/>
      <c r="CE383" s="46" t="s">
        <v>9</v>
      </c>
      <c r="CF383" s="103">
        <v>43</v>
      </c>
      <c r="CG383" s="103">
        <v>224</v>
      </c>
      <c r="CH383" s="103">
        <v>750</v>
      </c>
      <c r="CI383" s="103">
        <v>2700</v>
      </c>
      <c r="CJ383" s="103">
        <v>3132</v>
      </c>
      <c r="CK383" s="103">
        <v>4236</v>
      </c>
      <c r="CL383" s="103">
        <v>3974</v>
      </c>
      <c r="CM383" s="103">
        <v>2001</v>
      </c>
      <c r="CN383" s="103">
        <v>1046</v>
      </c>
      <c r="CO383" s="103">
        <v>404</v>
      </c>
      <c r="CQ383" s="110"/>
      <c r="CR383" s="46" t="s">
        <v>9</v>
      </c>
      <c r="CS383" s="103">
        <v>6</v>
      </c>
      <c r="CT383" s="103">
        <v>31</v>
      </c>
      <c r="CU383" s="103">
        <v>101</v>
      </c>
      <c r="CV383" s="103">
        <v>368</v>
      </c>
      <c r="CW383" s="103">
        <v>491</v>
      </c>
      <c r="CX383" s="103">
        <v>643</v>
      </c>
      <c r="CY383" s="103">
        <v>688</v>
      </c>
      <c r="CZ383" s="103">
        <v>374</v>
      </c>
      <c r="DA383" s="103">
        <v>203</v>
      </c>
      <c r="DB383" s="103">
        <v>84</v>
      </c>
      <c r="DC383" s="42"/>
      <c r="DD383" s="110"/>
      <c r="DE383" s="46" t="s">
        <v>9</v>
      </c>
      <c r="DF383" s="103">
        <v>42</v>
      </c>
      <c r="DG383" s="103">
        <v>231</v>
      </c>
      <c r="DH383" s="103">
        <v>735</v>
      </c>
      <c r="DI383" s="103">
        <v>2488</v>
      </c>
      <c r="DJ383" s="103">
        <v>2765</v>
      </c>
      <c r="DK383" s="103">
        <v>3763</v>
      </c>
      <c r="DL383" s="103">
        <v>3419</v>
      </c>
      <c r="DM383" s="103">
        <v>1704</v>
      </c>
      <c r="DN383" s="103">
        <v>872</v>
      </c>
      <c r="DO383" s="103">
        <v>344</v>
      </c>
    </row>
    <row r="384" spans="2:119" ht="16.25" customHeight="1" x14ac:dyDescent="0.45">
      <c r="B384" s="134"/>
      <c r="C384" s="42"/>
      <c r="D384" s="110"/>
      <c r="E384" s="46" t="s">
        <v>10</v>
      </c>
      <c r="F384" s="103">
        <v>17</v>
      </c>
      <c r="G384" s="103">
        <v>61</v>
      </c>
      <c r="H384" s="103">
        <v>191</v>
      </c>
      <c r="I384" s="103">
        <v>866</v>
      </c>
      <c r="J384" s="103">
        <v>1491</v>
      </c>
      <c r="K384" s="103">
        <v>3006</v>
      </c>
      <c r="L384" s="103">
        <v>4318</v>
      </c>
      <c r="M384" s="103">
        <v>3165</v>
      </c>
      <c r="N384" s="103">
        <v>2172</v>
      </c>
      <c r="O384" s="103">
        <v>1257</v>
      </c>
      <c r="P384" s="42"/>
      <c r="Q384" s="110"/>
      <c r="R384" s="46" t="s">
        <v>10</v>
      </c>
      <c r="S384" s="103">
        <v>2</v>
      </c>
      <c r="T384" s="103">
        <v>10</v>
      </c>
      <c r="U384" s="103">
        <v>40</v>
      </c>
      <c r="V384" s="103">
        <v>235</v>
      </c>
      <c r="W384" s="103">
        <v>452</v>
      </c>
      <c r="X384" s="103">
        <v>901</v>
      </c>
      <c r="Y384" s="103">
        <v>1619</v>
      </c>
      <c r="Z384" s="103">
        <v>1289</v>
      </c>
      <c r="AA384" s="103">
        <v>974</v>
      </c>
      <c r="AB384" s="103">
        <v>603</v>
      </c>
      <c r="AC384" s="42"/>
      <c r="AD384" s="110"/>
      <c r="AE384" s="46" t="s">
        <v>10</v>
      </c>
      <c r="AF384" s="103">
        <v>15</v>
      </c>
      <c r="AG384" s="103">
        <v>51</v>
      </c>
      <c r="AH384" s="103">
        <v>151</v>
      </c>
      <c r="AI384" s="103">
        <v>631</v>
      </c>
      <c r="AJ384" s="103">
        <v>1039</v>
      </c>
      <c r="AK384" s="103">
        <v>2105</v>
      </c>
      <c r="AL384" s="103">
        <v>2699</v>
      </c>
      <c r="AM384" s="103">
        <v>1876</v>
      </c>
      <c r="AN384" s="103">
        <v>1198</v>
      </c>
      <c r="AO384" s="103">
        <v>654</v>
      </c>
      <c r="AP384" s="6"/>
      <c r="AQ384" s="110"/>
      <c r="AR384" s="46" t="s">
        <v>10</v>
      </c>
      <c r="AS384" s="103">
        <v>3</v>
      </c>
      <c r="AT384" s="103">
        <v>21</v>
      </c>
      <c r="AU384" s="103">
        <v>64</v>
      </c>
      <c r="AV384" s="103">
        <v>201</v>
      </c>
      <c r="AW384" s="103">
        <v>288</v>
      </c>
      <c r="AX384" s="103">
        <v>436</v>
      </c>
      <c r="AY384" s="103">
        <v>533</v>
      </c>
      <c r="AZ384" s="103">
        <v>317</v>
      </c>
      <c r="BA384" s="103">
        <v>199</v>
      </c>
      <c r="BB384" s="103">
        <v>102</v>
      </c>
      <c r="BC384" s="42"/>
      <c r="BD384" s="110"/>
      <c r="BE384" s="46" t="s">
        <v>10</v>
      </c>
      <c r="BF384" s="103">
        <v>14</v>
      </c>
      <c r="BG384" s="103">
        <v>40</v>
      </c>
      <c r="BH384" s="103">
        <v>127</v>
      </c>
      <c r="BI384" s="103">
        <v>665</v>
      </c>
      <c r="BJ384" s="103">
        <v>1203</v>
      </c>
      <c r="BK384" s="103">
        <v>2570</v>
      </c>
      <c r="BL384" s="103">
        <v>3785</v>
      </c>
      <c r="BM384" s="103">
        <v>2848</v>
      </c>
      <c r="BN384" s="103">
        <v>1973</v>
      </c>
      <c r="BO384" s="103">
        <v>1155</v>
      </c>
      <c r="BQ384" s="110"/>
      <c r="BR384" s="46" t="s">
        <v>10</v>
      </c>
      <c r="BS384" s="103">
        <v>2</v>
      </c>
      <c r="BT384" s="103">
        <v>6</v>
      </c>
      <c r="BU384" s="103">
        <v>20</v>
      </c>
      <c r="BV384" s="103">
        <v>64</v>
      </c>
      <c r="BW384" s="103">
        <v>71</v>
      </c>
      <c r="BX384" s="103">
        <v>111</v>
      </c>
      <c r="BY384" s="103">
        <v>123</v>
      </c>
      <c r="BZ384" s="103">
        <v>75</v>
      </c>
      <c r="CA384" s="103">
        <v>52</v>
      </c>
      <c r="CB384" s="103">
        <v>36</v>
      </c>
      <c r="CC384" s="42"/>
      <c r="CD384" s="110"/>
      <c r="CE384" s="46" t="s">
        <v>10</v>
      </c>
      <c r="CF384" s="103">
        <v>15</v>
      </c>
      <c r="CG384" s="103">
        <v>55</v>
      </c>
      <c r="CH384" s="103">
        <v>171</v>
      </c>
      <c r="CI384" s="103">
        <v>802</v>
      </c>
      <c r="CJ384" s="103">
        <v>1420</v>
      </c>
      <c r="CK384" s="103">
        <v>2895</v>
      </c>
      <c r="CL384" s="103">
        <v>4195</v>
      </c>
      <c r="CM384" s="103">
        <v>3090</v>
      </c>
      <c r="CN384" s="103">
        <v>2120</v>
      </c>
      <c r="CO384" s="103">
        <v>1221</v>
      </c>
      <c r="CQ384" s="110"/>
      <c r="CR384" s="46" t="s">
        <v>10</v>
      </c>
      <c r="CS384" s="103">
        <v>2</v>
      </c>
      <c r="CT384" s="103">
        <v>8</v>
      </c>
      <c r="CU384" s="103">
        <v>19</v>
      </c>
      <c r="CV384" s="103">
        <v>97</v>
      </c>
      <c r="CW384" s="103">
        <v>186</v>
      </c>
      <c r="CX384" s="103">
        <v>398</v>
      </c>
      <c r="CY384" s="103">
        <v>606</v>
      </c>
      <c r="CZ384" s="103">
        <v>498</v>
      </c>
      <c r="DA384" s="103">
        <v>392</v>
      </c>
      <c r="DB384" s="103">
        <v>231</v>
      </c>
      <c r="DC384" s="42"/>
      <c r="DD384" s="110"/>
      <c r="DE384" s="46" t="s">
        <v>10</v>
      </c>
      <c r="DF384" s="103">
        <v>15</v>
      </c>
      <c r="DG384" s="103">
        <v>53</v>
      </c>
      <c r="DH384" s="103">
        <v>172</v>
      </c>
      <c r="DI384" s="103">
        <v>769</v>
      </c>
      <c r="DJ384" s="103">
        <v>1305</v>
      </c>
      <c r="DK384" s="103">
        <v>2608</v>
      </c>
      <c r="DL384" s="103">
        <v>3712</v>
      </c>
      <c r="DM384" s="103">
        <v>2667</v>
      </c>
      <c r="DN384" s="103">
        <v>1780</v>
      </c>
      <c r="DO384" s="103">
        <v>1026</v>
      </c>
    </row>
    <row r="385" spans="2:119" ht="16.25" customHeight="1" x14ac:dyDescent="0.45">
      <c r="B385" s="134"/>
      <c r="C385" s="42"/>
      <c r="D385" s="111"/>
      <c r="E385" s="46" t="s">
        <v>11</v>
      </c>
      <c r="F385" s="103">
        <v>0</v>
      </c>
      <c r="G385" s="103">
        <v>0</v>
      </c>
      <c r="H385" s="103">
        <v>9</v>
      </c>
      <c r="I385" s="103">
        <v>38</v>
      </c>
      <c r="J385" s="103">
        <v>105</v>
      </c>
      <c r="K385" s="103">
        <v>266</v>
      </c>
      <c r="L385" s="103">
        <v>612</v>
      </c>
      <c r="M385" s="103">
        <v>745</v>
      </c>
      <c r="N385" s="103">
        <v>738</v>
      </c>
      <c r="O385" s="103">
        <v>702</v>
      </c>
      <c r="P385" s="42"/>
      <c r="Q385" s="111"/>
      <c r="R385" s="46" t="s">
        <v>11</v>
      </c>
      <c r="S385" s="103">
        <v>0</v>
      </c>
      <c r="T385" s="103">
        <v>0</v>
      </c>
      <c r="U385" s="103">
        <v>3</v>
      </c>
      <c r="V385" s="103">
        <v>9</v>
      </c>
      <c r="W385" s="103">
        <v>23</v>
      </c>
      <c r="X385" s="103">
        <v>74</v>
      </c>
      <c r="Y385" s="103">
        <v>187</v>
      </c>
      <c r="Z385" s="103">
        <v>276</v>
      </c>
      <c r="AA385" s="103">
        <v>304</v>
      </c>
      <c r="AB385" s="103">
        <v>344</v>
      </c>
      <c r="AC385" s="42"/>
      <c r="AD385" s="111"/>
      <c r="AE385" s="46" t="s">
        <v>11</v>
      </c>
      <c r="AF385" s="103">
        <v>0</v>
      </c>
      <c r="AG385" s="103">
        <v>0</v>
      </c>
      <c r="AH385" s="103">
        <v>6</v>
      </c>
      <c r="AI385" s="103">
        <v>29</v>
      </c>
      <c r="AJ385" s="103">
        <v>82</v>
      </c>
      <c r="AK385" s="103">
        <v>192</v>
      </c>
      <c r="AL385" s="103">
        <v>425</v>
      </c>
      <c r="AM385" s="103">
        <v>469</v>
      </c>
      <c r="AN385" s="103">
        <v>434</v>
      </c>
      <c r="AO385" s="103">
        <v>358</v>
      </c>
      <c r="AP385" s="6"/>
      <c r="AQ385" s="111"/>
      <c r="AR385" s="46" t="s">
        <v>11</v>
      </c>
      <c r="AS385" s="103">
        <v>0</v>
      </c>
      <c r="AT385" s="103">
        <v>0</v>
      </c>
      <c r="AU385" s="103">
        <v>3</v>
      </c>
      <c r="AV385" s="103">
        <v>9</v>
      </c>
      <c r="AW385" s="103">
        <v>19</v>
      </c>
      <c r="AX385" s="103">
        <v>37</v>
      </c>
      <c r="AY385" s="103">
        <v>55</v>
      </c>
      <c r="AZ385" s="103">
        <v>48</v>
      </c>
      <c r="BA385" s="103">
        <v>50</v>
      </c>
      <c r="BB385" s="103">
        <v>39</v>
      </c>
      <c r="BC385" s="42"/>
      <c r="BD385" s="111"/>
      <c r="BE385" s="46" t="s">
        <v>11</v>
      </c>
      <c r="BF385" s="103">
        <v>0</v>
      </c>
      <c r="BG385" s="103">
        <v>0</v>
      </c>
      <c r="BH385" s="103">
        <v>6</v>
      </c>
      <c r="BI385" s="103">
        <v>29</v>
      </c>
      <c r="BJ385" s="103">
        <v>86</v>
      </c>
      <c r="BK385" s="103">
        <v>229</v>
      </c>
      <c r="BL385" s="103">
        <v>557</v>
      </c>
      <c r="BM385" s="103">
        <v>697</v>
      </c>
      <c r="BN385" s="103">
        <v>688</v>
      </c>
      <c r="BO385" s="103">
        <v>663</v>
      </c>
      <c r="BQ385" s="111"/>
      <c r="BR385" s="46" t="s">
        <v>11</v>
      </c>
      <c r="BS385" s="103">
        <v>0</v>
      </c>
      <c r="BT385" s="103">
        <v>0</v>
      </c>
      <c r="BU385" s="103">
        <v>1</v>
      </c>
      <c r="BV385" s="103">
        <v>2</v>
      </c>
      <c r="BW385" s="103">
        <v>4</v>
      </c>
      <c r="BX385" s="103">
        <v>4</v>
      </c>
      <c r="BY385" s="103">
        <v>19</v>
      </c>
      <c r="BZ385" s="103">
        <v>15</v>
      </c>
      <c r="CA385" s="103">
        <v>9</v>
      </c>
      <c r="CB385" s="103">
        <v>20</v>
      </c>
      <c r="CC385" s="42"/>
      <c r="CD385" s="111"/>
      <c r="CE385" s="46" t="s">
        <v>11</v>
      </c>
      <c r="CF385" s="103">
        <v>0</v>
      </c>
      <c r="CG385" s="103">
        <v>0</v>
      </c>
      <c r="CH385" s="103">
        <v>8</v>
      </c>
      <c r="CI385" s="103">
        <v>36</v>
      </c>
      <c r="CJ385" s="103">
        <v>101</v>
      </c>
      <c r="CK385" s="103">
        <v>262</v>
      </c>
      <c r="CL385" s="103">
        <v>593</v>
      </c>
      <c r="CM385" s="103">
        <v>730</v>
      </c>
      <c r="CN385" s="103">
        <v>729</v>
      </c>
      <c r="CO385" s="103">
        <v>682</v>
      </c>
      <c r="CQ385" s="111"/>
      <c r="CR385" s="46" t="s">
        <v>11</v>
      </c>
      <c r="CS385" s="103">
        <v>0</v>
      </c>
      <c r="CT385" s="103">
        <v>0</v>
      </c>
      <c r="CU385" s="103">
        <v>0</v>
      </c>
      <c r="CV385" s="103">
        <v>3</v>
      </c>
      <c r="CW385" s="103">
        <v>12</v>
      </c>
      <c r="CX385" s="103">
        <v>29</v>
      </c>
      <c r="CY385" s="103">
        <v>64</v>
      </c>
      <c r="CZ385" s="103">
        <v>110</v>
      </c>
      <c r="DA385" s="103">
        <v>110</v>
      </c>
      <c r="DB385" s="103">
        <v>123</v>
      </c>
      <c r="DC385" s="42"/>
      <c r="DD385" s="111"/>
      <c r="DE385" s="46" t="s">
        <v>11</v>
      </c>
      <c r="DF385" s="103">
        <v>0</v>
      </c>
      <c r="DG385" s="103">
        <v>0</v>
      </c>
      <c r="DH385" s="103">
        <v>9</v>
      </c>
      <c r="DI385" s="103">
        <v>35</v>
      </c>
      <c r="DJ385" s="103">
        <v>93</v>
      </c>
      <c r="DK385" s="103">
        <v>237</v>
      </c>
      <c r="DL385" s="103">
        <v>548</v>
      </c>
      <c r="DM385" s="103">
        <v>635</v>
      </c>
      <c r="DN385" s="103">
        <v>628</v>
      </c>
      <c r="DO385" s="103">
        <v>579</v>
      </c>
    </row>
    <row r="386" spans="2:119" ht="22.5" x14ac:dyDescent="0.45">
      <c r="B386" s="99"/>
      <c r="C386" s="42"/>
      <c r="D386" s="42"/>
      <c r="E386" s="42"/>
      <c r="F386" s="42"/>
      <c r="G386" s="42"/>
      <c r="H386" s="42"/>
      <c r="I386" s="42"/>
      <c r="J386" s="42"/>
      <c r="K386" s="42"/>
      <c r="L386" s="42"/>
      <c r="M386" s="42"/>
      <c r="N386" s="42"/>
      <c r="O386" s="42"/>
      <c r="P386" s="42"/>
      <c r="Q386" s="42"/>
      <c r="R386" s="42"/>
      <c r="S386" s="42"/>
      <c r="T386" s="42"/>
      <c r="U386" s="42"/>
      <c r="V386" s="42"/>
      <c r="W386" s="42"/>
      <c r="X386" s="42"/>
      <c r="Y386" s="42"/>
      <c r="Z386" s="42"/>
      <c r="AA386" s="42"/>
      <c r="AB386" s="42"/>
      <c r="AC386" s="42"/>
      <c r="AD386" s="42"/>
      <c r="AE386" s="42"/>
      <c r="AF386" s="42"/>
      <c r="AG386" s="42"/>
      <c r="AH386" s="42"/>
      <c r="AI386" s="42"/>
      <c r="AJ386" s="42"/>
      <c r="AK386" s="42"/>
      <c r="AL386" s="42"/>
      <c r="AM386" s="42"/>
      <c r="AN386" s="42"/>
      <c r="AO386" s="42"/>
      <c r="AP386" s="6"/>
      <c r="AQ386" s="42"/>
      <c r="AR386" s="42"/>
      <c r="AS386" s="42"/>
      <c r="AT386" s="42"/>
      <c r="AU386" s="42"/>
      <c r="AV386" s="42"/>
      <c r="AW386" s="42"/>
      <c r="AX386" s="42"/>
      <c r="AY386" s="42"/>
      <c r="AZ386" s="42"/>
      <c r="BA386" s="42"/>
      <c r="BB386" s="42"/>
      <c r="BC386" s="42"/>
      <c r="BD386" s="42"/>
      <c r="BE386" s="42"/>
      <c r="BF386" s="42"/>
      <c r="BG386" s="42"/>
      <c r="BH386" s="42"/>
      <c r="BI386" s="42"/>
      <c r="BJ386" s="42"/>
      <c r="BK386" s="42"/>
      <c r="BL386" s="42"/>
      <c r="BM386" s="42"/>
      <c r="BN386" s="42"/>
      <c r="BO386" s="42"/>
      <c r="BQ386" s="42"/>
      <c r="BR386" s="42"/>
      <c r="BS386" s="42"/>
      <c r="BT386" s="42"/>
      <c r="BU386" s="42"/>
      <c r="BV386" s="42"/>
      <c r="BW386" s="42"/>
      <c r="BX386" s="42"/>
      <c r="BY386" s="42"/>
      <c r="BZ386" s="42"/>
      <c r="CA386" s="42"/>
      <c r="CB386" s="42"/>
      <c r="CC386" s="42"/>
      <c r="CD386" s="42"/>
      <c r="CE386" s="42"/>
      <c r="CF386" s="42"/>
      <c r="CG386" s="42"/>
      <c r="CH386" s="42"/>
      <c r="CI386" s="42"/>
      <c r="CJ386" s="42"/>
      <c r="CK386" s="42"/>
      <c r="CL386" s="42"/>
      <c r="CM386" s="42"/>
      <c r="CN386" s="42"/>
      <c r="CO386" s="42"/>
      <c r="CQ386" s="42"/>
      <c r="CR386" s="42"/>
      <c r="CS386" s="42"/>
      <c r="CT386" s="42"/>
      <c r="CU386" s="42"/>
      <c r="CV386" s="42"/>
      <c r="CW386" s="42"/>
      <c r="CX386" s="42"/>
      <c r="CY386" s="42"/>
      <c r="CZ386" s="42"/>
      <c r="DA386" s="42"/>
      <c r="DB386" s="42"/>
      <c r="DC386" s="42"/>
      <c r="DD386" s="42"/>
      <c r="DE386" s="42"/>
      <c r="DF386" s="42"/>
      <c r="DG386" s="42"/>
      <c r="DH386" s="42"/>
      <c r="DI386" s="42"/>
      <c r="DJ386" s="42"/>
      <c r="DK386" s="42"/>
      <c r="DL386" s="42"/>
      <c r="DM386" s="42"/>
      <c r="DN386" s="42"/>
      <c r="DO386" s="42"/>
    </row>
    <row r="387" spans="2:119" ht="18.75" customHeight="1" x14ac:dyDescent="0.55000000000000004">
      <c r="B387" s="99"/>
      <c r="C387" s="42"/>
      <c r="D387" s="112" t="s">
        <v>16</v>
      </c>
      <c r="E387" s="112"/>
      <c r="F387" s="45"/>
      <c r="G387" s="45"/>
      <c r="H387" s="45"/>
      <c r="I387" s="45"/>
      <c r="J387" s="45"/>
      <c r="K387" s="45"/>
      <c r="L387" s="45"/>
      <c r="M387" s="45"/>
      <c r="N387" s="45"/>
      <c r="O387" s="45"/>
      <c r="P387" s="42"/>
      <c r="Q387" s="112" t="s">
        <v>16</v>
      </c>
      <c r="R387" s="112"/>
      <c r="S387" s="45"/>
      <c r="T387" s="45"/>
      <c r="U387" s="45"/>
      <c r="V387" s="45"/>
      <c r="W387" s="45"/>
      <c r="X387" s="45"/>
      <c r="Y387" s="45"/>
      <c r="Z387" s="45"/>
      <c r="AA387" s="45"/>
      <c r="AB387" s="45"/>
      <c r="AC387" s="42"/>
      <c r="AD387" s="112" t="s">
        <v>16</v>
      </c>
      <c r="AE387" s="112"/>
      <c r="AF387" s="45"/>
      <c r="AG387" s="45"/>
      <c r="AH387" s="45"/>
      <c r="AI387" s="45"/>
      <c r="AJ387" s="45"/>
      <c r="AK387" s="45"/>
      <c r="AL387" s="45"/>
      <c r="AM387" s="45"/>
      <c r="AN387" s="45"/>
      <c r="AO387" s="45"/>
      <c r="AP387" s="6"/>
      <c r="AQ387" s="112" t="s">
        <v>16</v>
      </c>
      <c r="AR387" s="112"/>
      <c r="AS387" s="45"/>
      <c r="AT387" s="45"/>
      <c r="AU387" s="45"/>
      <c r="AV387" s="45"/>
      <c r="AW387" s="45"/>
      <c r="AX387" s="45"/>
      <c r="AY387" s="45"/>
      <c r="AZ387" s="45"/>
      <c r="BA387" s="45"/>
      <c r="BB387" s="45"/>
      <c r="BC387" s="42"/>
      <c r="BD387" s="112" t="s">
        <v>16</v>
      </c>
      <c r="BE387" s="112"/>
      <c r="BF387" s="45"/>
      <c r="BG387" s="45"/>
      <c r="BH387" s="45"/>
      <c r="BI387" s="45"/>
      <c r="BJ387" s="45"/>
      <c r="BK387" s="45"/>
      <c r="BL387" s="45"/>
      <c r="BM387" s="45"/>
      <c r="BN387" s="45"/>
      <c r="BO387" s="45"/>
      <c r="BQ387" s="112" t="s">
        <v>16</v>
      </c>
      <c r="BR387" s="112"/>
      <c r="BS387" s="45"/>
      <c r="BT387" s="45"/>
      <c r="BU387" s="45"/>
      <c r="BV387" s="45"/>
      <c r="BW387" s="45"/>
      <c r="BX387" s="45"/>
      <c r="BY387" s="45"/>
      <c r="BZ387" s="45"/>
      <c r="CA387" s="45"/>
      <c r="CB387" s="45"/>
      <c r="CC387" s="42"/>
      <c r="CD387" s="112" t="s">
        <v>16</v>
      </c>
      <c r="CE387" s="112"/>
      <c r="CF387" s="45"/>
      <c r="CG387" s="45"/>
      <c r="CH387" s="45"/>
      <c r="CI387" s="45"/>
      <c r="CJ387" s="45"/>
      <c r="CK387" s="45"/>
      <c r="CL387" s="45"/>
      <c r="CM387" s="45"/>
      <c r="CN387" s="45"/>
      <c r="CO387" s="45"/>
      <c r="CQ387" s="112" t="s">
        <v>16</v>
      </c>
      <c r="CR387" s="112"/>
      <c r="CS387" s="45"/>
      <c r="CT387" s="45"/>
      <c r="CU387" s="45"/>
      <c r="CV387" s="45"/>
      <c r="CW387" s="45"/>
      <c r="CX387" s="45"/>
      <c r="CY387" s="45"/>
      <c r="CZ387" s="45"/>
      <c r="DA387" s="45"/>
      <c r="DB387" s="45"/>
      <c r="DC387" s="42"/>
      <c r="DD387" s="112" t="s">
        <v>16</v>
      </c>
      <c r="DE387" s="112"/>
      <c r="DF387" s="45"/>
      <c r="DG387" s="45"/>
      <c r="DH387" s="45"/>
      <c r="DI387" s="45"/>
      <c r="DJ387" s="45"/>
      <c r="DK387" s="45"/>
      <c r="DL387" s="45"/>
      <c r="DM387" s="45"/>
      <c r="DN387" s="45"/>
      <c r="DO387" s="45"/>
    </row>
    <row r="388" spans="2:119" ht="28.9" customHeight="1" x14ac:dyDescent="0.45">
      <c r="B388" s="99"/>
      <c r="C388" s="42"/>
      <c r="D388" s="112"/>
      <c r="E388" s="112"/>
      <c r="F388" s="108" t="s">
        <v>12</v>
      </c>
      <c r="G388" s="108"/>
      <c r="H388" s="108"/>
      <c r="I388" s="108"/>
      <c r="J388" s="108"/>
      <c r="K388" s="108"/>
      <c r="L388" s="108"/>
      <c r="M388" s="108"/>
      <c r="N388" s="108"/>
      <c r="O388" s="108"/>
      <c r="P388" s="42"/>
      <c r="Q388" s="112"/>
      <c r="R388" s="112"/>
      <c r="S388" s="108" t="s">
        <v>12</v>
      </c>
      <c r="T388" s="108"/>
      <c r="U388" s="108"/>
      <c r="V388" s="108"/>
      <c r="W388" s="108"/>
      <c r="X388" s="108"/>
      <c r="Y388" s="108"/>
      <c r="Z388" s="108"/>
      <c r="AA388" s="108"/>
      <c r="AB388" s="108"/>
      <c r="AC388" s="42"/>
      <c r="AD388" s="112"/>
      <c r="AE388" s="112"/>
      <c r="AF388" s="131" t="s">
        <v>12</v>
      </c>
      <c r="AG388" s="132"/>
      <c r="AH388" s="132"/>
      <c r="AI388" s="132"/>
      <c r="AJ388" s="132"/>
      <c r="AK388" s="132"/>
      <c r="AL388" s="132"/>
      <c r="AM388" s="132"/>
      <c r="AN388" s="132"/>
      <c r="AO388" s="133"/>
      <c r="AP388" s="6"/>
      <c r="AQ388" s="112"/>
      <c r="AR388" s="112"/>
      <c r="AS388" s="108" t="s">
        <v>12</v>
      </c>
      <c r="AT388" s="108"/>
      <c r="AU388" s="108"/>
      <c r="AV388" s="108"/>
      <c r="AW388" s="108"/>
      <c r="AX388" s="108"/>
      <c r="AY388" s="108"/>
      <c r="AZ388" s="108"/>
      <c r="BA388" s="108"/>
      <c r="BB388" s="108"/>
      <c r="BC388" s="42"/>
      <c r="BD388" s="112"/>
      <c r="BE388" s="112"/>
      <c r="BF388" s="108" t="s">
        <v>12</v>
      </c>
      <c r="BG388" s="108"/>
      <c r="BH388" s="108"/>
      <c r="BI388" s="108"/>
      <c r="BJ388" s="108"/>
      <c r="BK388" s="108"/>
      <c r="BL388" s="108"/>
      <c r="BM388" s="108"/>
      <c r="BN388" s="108"/>
      <c r="BO388" s="108"/>
      <c r="BQ388" s="112"/>
      <c r="BR388" s="112"/>
      <c r="BS388" s="108" t="s">
        <v>12</v>
      </c>
      <c r="BT388" s="108"/>
      <c r="BU388" s="108"/>
      <c r="BV388" s="108"/>
      <c r="BW388" s="108"/>
      <c r="BX388" s="108"/>
      <c r="BY388" s="108"/>
      <c r="BZ388" s="108"/>
      <c r="CA388" s="108"/>
      <c r="CB388" s="108"/>
      <c r="CC388" s="42"/>
      <c r="CD388" s="112"/>
      <c r="CE388" s="112"/>
      <c r="CF388" s="108" t="s">
        <v>12</v>
      </c>
      <c r="CG388" s="108"/>
      <c r="CH388" s="108"/>
      <c r="CI388" s="108"/>
      <c r="CJ388" s="108"/>
      <c r="CK388" s="108"/>
      <c r="CL388" s="108"/>
      <c r="CM388" s="108"/>
      <c r="CN388" s="108"/>
      <c r="CO388" s="108"/>
      <c r="CQ388" s="112"/>
      <c r="CR388" s="112"/>
      <c r="CS388" s="108" t="s">
        <v>12</v>
      </c>
      <c r="CT388" s="108"/>
      <c r="CU388" s="108"/>
      <c r="CV388" s="108"/>
      <c r="CW388" s="108"/>
      <c r="CX388" s="108"/>
      <c r="CY388" s="108"/>
      <c r="CZ388" s="108"/>
      <c r="DA388" s="108"/>
      <c r="DB388" s="108"/>
      <c r="DC388" s="42"/>
      <c r="DD388" s="112"/>
      <c r="DE388" s="112"/>
      <c r="DF388" s="108" t="s">
        <v>12</v>
      </c>
      <c r="DG388" s="108"/>
      <c r="DH388" s="108"/>
      <c r="DI388" s="108"/>
      <c r="DJ388" s="108"/>
      <c r="DK388" s="108"/>
      <c r="DL388" s="108"/>
      <c r="DM388" s="108"/>
      <c r="DN388" s="108"/>
      <c r="DO388" s="108"/>
    </row>
    <row r="389" spans="2:119" ht="15" customHeight="1" x14ac:dyDescent="0.45">
      <c r="B389" s="99"/>
      <c r="C389" s="42"/>
      <c r="D389" s="113"/>
      <c r="E389" s="113"/>
      <c r="F389" s="9" t="s">
        <v>0</v>
      </c>
      <c r="G389" s="9">
        <v>1</v>
      </c>
      <c r="H389" s="9">
        <v>2</v>
      </c>
      <c r="I389" s="9">
        <v>3</v>
      </c>
      <c r="J389" s="9">
        <v>4</v>
      </c>
      <c r="K389" s="9">
        <v>5</v>
      </c>
      <c r="L389" s="9">
        <v>6</v>
      </c>
      <c r="M389" s="9">
        <v>7</v>
      </c>
      <c r="N389" s="9">
        <v>8</v>
      </c>
      <c r="O389" s="9">
        <v>9</v>
      </c>
      <c r="P389" s="42"/>
      <c r="Q389" s="113"/>
      <c r="R389" s="113"/>
      <c r="S389" s="9" t="s">
        <v>0</v>
      </c>
      <c r="T389" s="9">
        <v>1</v>
      </c>
      <c r="U389" s="9">
        <v>2</v>
      </c>
      <c r="V389" s="9">
        <v>3</v>
      </c>
      <c r="W389" s="9">
        <v>4</v>
      </c>
      <c r="X389" s="9">
        <v>5</v>
      </c>
      <c r="Y389" s="9">
        <v>6</v>
      </c>
      <c r="Z389" s="9">
        <v>7</v>
      </c>
      <c r="AA389" s="9">
        <v>8</v>
      </c>
      <c r="AB389" s="9">
        <v>9</v>
      </c>
      <c r="AC389" s="42"/>
      <c r="AD389" s="113"/>
      <c r="AE389" s="113"/>
      <c r="AF389" s="9" t="s">
        <v>0</v>
      </c>
      <c r="AG389" s="9">
        <v>1</v>
      </c>
      <c r="AH389" s="9">
        <v>2</v>
      </c>
      <c r="AI389" s="9">
        <v>3</v>
      </c>
      <c r="AJ389" s="9">
        <v>4</v>
      </c>
      <c r="AK389" s="9">
        <v>5</v>
      </c>
      <c r="AL389" s="9">
        <v>6</v>
      </c>
      <c r="AM389" s="9">
        <v>7</v>
      </c>
      <c r="AN389" s="9">
        <v>8</v>
      </c>
      <c r="AO389" s="9">
        <v>9</v>
      </c>
      <c r="AP389" s="6"/>
      <c r="AQ389" s="113"/>
      <c r="AR389" s="113"/>
      <c r="AS389" s="9" t="s">
        <v>0</v>
      </c>
      <c r="AT389" s="9">
        <v>1</v>
      </c>
      <c r="AU389" s="9">
        <v>2</v>
      </c>
      <c r="AV389" s="9">
        <v>3</v>
      </c>
      <c r="AW389" s="9">
        <v>4</v>
      </c>
      <c r="AX389" s="9">
        <v>5</v>
      </c>
      <c r="AY389" s="9">
        <v>6</v>
      </c>
      <c r="AZ389" s="9">
        <v>7</v>
      </c>
      <c r="BA389" s="9">
        <v>8</v>
      </c>
      <c r="BB389" s="9">
        <v>9</v>
      </c>
      <c r="BC389" s="42"/>
      <c r="BD389" s="113"/>
      <c r="BE389" s="113"/>
      <c r="BF389" s="9" t="s">
        <v>0</v>
      </c>
      <c r="BG389" s="9">
        <v>1</v>
      </c>
      <c r="BH389" s="9">
        <v>2</v>
      </c>
      <c r="BI389" s="9">
        <v>3</v>
      </c>
      <c r="BJ389" s="9">
        <v>4</v>
      </c>
      <c r="BK389" s="9">
        <v>5</v>
      </c>
      <c r="BL389" s="9">
        <v>6</v>
      </c>
      <c r="BM389" s="9">
        <v>7</v>
      </c>
      <c r="BN389" s="9">
        <v>8</v>
      </c>
      <c r="BO389" s="9">
        <v>9</v>
      </c>
      <c r="BQ389" s="113"/>
      <c r="BR389" s="113"/>
      <c r="BS389" s="9" t="s">
        <v>0</v>
      </c>
      <c r="BT389" s="9">
        <v>1</v>
      </c>
      <c r="BU389" s="9">
        <v>2</v>
      </c>
      <c r="BV389" s="9">
        <v>3</v>
      </c>
      <c r="BW389" s="9">
        <v>4</v>
      </c>
      <c r="BX389" s="9">
        <v>5</v>
      </c>
      <c r="BY389" s="9">
        <v>6</v>
      </c>
      <c r="BZ389" s="9">
        <v>7</v>
      </c>
      <c r="CA389" s="9">
        <v>8</v>
      </c>
      <c r="CB389" s="9">
        <v>9</v>
      </c>
      <c r="CC389" s="42"/>
      <c r="CD389" s="113"/>
      <c r="CE389" s="113"/>
      <c r="CF389" s="9" t="s">
        <v>0</v>
      </c>
      <c r="CG389" s="9">
        <v>1</v>
      </c>
      <c r="CH389" s="9">
        <v>2</v>
      </c>
      <c r="CI389" s="9">
        <v>3</v>
      </c>
      <c r="CJ389" s="9">
        <v>4</v>
      </c>
      <c r="CK389" s="9">
        <v>5</v>
      </c>
      <c r="CL389" s="9">
        <v>6</v>
      </c>
      <c r="CM389" s="9">
        <v>7</v>
      </c>
      <c r="CN389" s="9">
        <v>8</v>
      </c>
      <c r="CO389" s="9">
        <v>9</v>
      </c>
      <c r="CQ389" s="113"/>
      <c r="CR389" s="113"/>
      <c r="CS389" s="9" t="s">
        <v>0</v>
      </c>
      <c r="CT389" s="9">
        <v>1</v>
      </c>
      <c r="CU389" s="9">
        <v>2</v>
      </c>
      <c r="CV389" s="9">
        <v>3</v>
      </c>
      <c r="CW389" s="9">
        <v>4</v>
      </c>
      <c r="CX389" s="9">
        <v>5</v>
      </c>
      <c r="CY389" s="9">
        <v>6</v>
      </c>
      <c r="CZ389" s="9">
        <v>7</v>
      </c>
      <c r="DA389" s="9">
        <v>8</v>
      </c>
      <c r="DB389" s="9">
        <v>9</v>
      </c>
      <c r="DC389" s="42"/>
      <c r="DD389" s="113"/>
      <c r="DE389" s="113"/>
      <c r="DF389" s="9" t="s">
        <v>0</v>
      </c>
      <c r="DG389" s="9">
        <v>1</v>
      </c>
      <c r="DH389" s="9">
        <v>2</v>
      </c>
      <c r="DI389" s="9">
        <v>3</v>
      </c>
      <c r="DJ389" s="9">
        <v>4</v>
      </c>
      <c r="DK389" s="9">
        <v>5</v>
      </c>
      <c r="DL389" s="9">
        <v>6</v>
      </c>
      <c r="DM389" s="9">
        <v>7</v>
      </c>
      <c r="DN389" s="9">
        <v>8</v>
      </c>
      <c r="DO389" s="9">
        <v>9</v>
      </c>
    </row>
    <row r="390" spans="2:119" ht="16.25" customHeight="1" x14ac:dyDescent="0.45">
      <c r="B390" s="99"/>
      <c r="C390" s="42"/>
      <c r="D390" s="109" t="s">
        <v>13</v>
      </c>
      <c r="E390" s="47" t="s">
        <v>1</v>
      </c>
      <c r="F390" s="103">
        <v>0</v>
      </c>
      <c r="G390" s="103">
        <v>30</v>
      </c>
      <c r="H390" s="103">
        <v>20</v>
      </c>
      <c r="I390" s="103">
        <v>40</v>
      </c>
      <c r="J390" s="103">
        <v>0</v>
      </c>
      <c r="K390" s="103">
        <v>10</v>
      </c>
      <c r="L390" s="103">
        <v>0</v>
      </c>
      <c r="M390" s="103">
        <v>0</v>
      </c>
      <c r="N390" s="103">
        <v>0</v>
      </c>
      <c r="O390" s="17">
        <v>0</v>
      </c>
      <c r="P390" s="42"/>
      <c r="Q390" s="109" t="s">
        <v>13</v>
      </c>
      <c r="R390" s="46" t="s">
        <v>1</v>
      </c>
      <c r="S390" s="103">
        <v>0</v>
      </c>
      <c r="T390" s="103">
        <v>20</v>
      </c>
      <c r="U390" s="103">
        <v>20</v>
      </c>
      <c r="V390" s="103">
        <v>60</v>
      </c>
      <c r="W390" s="103">
        <v>0</v>
      </c>
      <c r="X390" s="103">
        <v>0</v>
      </c>
      <c r="Y390" s="103">
        <v>0</v>
      </c>
      <c r="Z390" s="103">
        <v>0</v>
      </c>
      <c r="AA390" s="103">
        <v>0</v>
      </c>
      <c r="AB390" s="17">
        <v>0</v>
      </c>
      <c r="AC390" s="42"/>
      <c r="AD390" s="109" t="s">
        <v>13</v>
      </c>
      <c r="AE390" s="46" t="s">
        <v>1</v>
      </c>
      <c r="AF390" s="103">
        <v>0</v>
      </c>
      <c r="AG390" s="103">
        <v>40</v>
      </c>
      <c r="AH390" s="103">
        <v>20</v>
      </c>
      <c r="AI390" s="103">
        <v>20</v>
      </c>
      <c r="AJ390" s="103">
        <v>0</v>
      </c>
      <c r="AK390" s="103">
        <v>20</v>
      </c>
      <c r="AL390" s="103">
        <v>0</v>
      </c>
      <c r="AM390" s="103">
        <v>0</v>
      </c>
      <c r="AN390" s="103">
        <v>0</v>
      </c>
      <c r="AO390" s="17">
        <v>0</v>
      </c>
      <c r="AP390" s="6"/>
      <c r="AQ390" s="109" t="s">
        <v>13</v>
      </c>
      <c r="AR390" s="46" t="s">
        <v>1</v>
      </c>
      <c r="AS390" s="103">
        <v>0</v>
      </c>
      <c r="AT390" s="103">
        <v>20</v>
      </c>
      <c r="AU390" s="103">
        <v>20</v>
      </c>
      <c r="AV390" s="103">
        <v>40</v>
      </c>
      <c r="AW390" s="103">
        <v>0</v>
      </c>
      <c r="AX390" s="103">
        <v>20</v>
      </c>
      <c r="AY390" s="103">
        <v>0</v>
      </c>
      <c r="AZ390" s="103">
        <v>0</v>
      </c>
      <c r="BA390" s="103">
        <v>0</v>
      </c>
      <c r="BB390" s="17">
        <v>0</v>
      </c>
      <c r="BC390" s="42"/>
      <c r="BD390" s="109" t="s">
        <v>13</v>
      </c>
      <c r="BE390" s="46" t="s">
        <v>1</v>
      </c>
      <c r="BF390" s="103">
        <v>0</v>
      </c>
      <c r="BG390" s="103">
        <v>40</v>
      </c>
      <c r="BH390" s="103">
        <v>20</v>
      </c>
      <c r="BI390" s="103">
        <v>40</v>
      </c>
      <c r="BJ390" s="103">
        <v>0</v>
      </c>
      <c r="BK390" s="103">
        <v>0</v>
      </c>
      <c r="BL390" s="103">
        <v>0</v>
      </c>
      <c r="BM390" s="103">
        <v>0</v>
      </c>
      <c r="BN390" s="103">
        <v>0</v>
      </c>
      <c r="BO390" s="17">
        <v>0</v>
      </c>
      <c r="BQ390" s="109" t="s">
        <v>13</v>
      </c>
      <c r="BR390" s="46" t="s">
        <v>1</v>
      </c>
      <c r="BS390" s="103">
        <v>0</v>
      </c>
      <c r="BT390" s="103">
        <v>0</v>
      </c>
      <c r="BU390" s="103">
        <v>50</v>
      </c>
      <c r="BV390" s="103">
        <v>50</v>
      </c>
      <c r="BW390" s="103">
        <v>0</v>
      </c>
      <c r="BX390" s="103">
        <v>0</v>
      </c>
      <c r="BY390" s="103">
        <v>0</v>
      </c>
      <c r="BZ390" s="103">
        <v>0</v>
      </c>
      <c r="CA390" s="103">
        <v>0</v>
      </c>
      <c r="CB390" s="17">
        <v>0</v>
      </c>
      <c r="CC390" s="42"/>
      <c r="CD390" s="109" t="s">
        <v>13</v>
      </c>
      <c r="CE390" s="46" t="s">
        <v>1</v>
      </c>
      <c r="CF390" s="103">
        <v>0</v>
      </c>
      <c r="CG390" s="103">
        <v>37.5</v>
      </c>
      <c r="CH390" s="103">
        <v>12.5</v>
      </c>
      <c r="CI390" s="103">
        <v>37.5</v>
      </c>
      <c r="CJ390" s="103">
        <v>0</v>
      </c>
      <c r="CK390" s="103">
        <v>12.5</v>
      </c>
      <c r="CL390" s="103">
        <v>0</v>
      </c>
      <c r="CM390" s="103">
        <v>0</v>
      </c>
      <c r="CN390" s="103">
        <v>0</v>
      </c>
      <c r="CO390" s="17">
        <v>0</v>
      </c>
      <c r="CQ390" s="109" t="s">
        <v>13</v>
      </c>
      <c r="CR390" s="46" t="s">
        <v>1</v>
      </c>
      <c r="CS390" s="103">
        <v>0</v>
      </c>
      <c r="CT390" s="103">
        <v>42.857142857142854</v>
      </c>
      <c r="CU390" s="103">
        <v>14.285714285714285</v>
      </c>
      <c r="CV390" s="103">
        <v>28.571428571428569</v>
      </c>
      <c r="CW390" s="103">
        <v>0</v>
      </c>
      <c r="CX390" s="103">
        <v>14.285714285714285</v>
      </c>
      <c r="CY390" s="103">
        <v>0</v>
      </c>
      <c r="CZ390" s="103">
        <v>0</v>
      </c>
      <c r="DA390" s="103">
        <v>0</v>
      </c>
      <c r="DB390" s="17">
        <v>0</v>
      </c>
      <c r="DC390" s="42"/>
      <c r="DD390" s="109" t="s">
        <v>13</v>
      </c>
      <c r="DE390" s="46" t="s">
        <v>1</v>
      </c>
      <c r="DF390" s="103">
        <v>0</v>
      </c>
      <c r="DG390" s="103">
        <v>0</v>
      </c>
      <c r="DH390" s="103">
        <v>33.333333333333329</v>
      </c>
      <c r="DI390" s="103">
        <v>66.666666666666657</v>
      </c>
      <c r="DJ390" s="103">
        <v>0</v>
      </c>
      <c r="DK390" s="103">
        <v>0</v>
      </c>
      <c r="DL390" s="103">
        <v>0</v>
      </c>
      <c r="DM390" s="103">
        <v>0</v>
      </c>
      <c r="DN390" s="103">
        <v>0</v>
      </c>
      <c r="DO390" s="17">
        <v>0</v>
      </c>
    </row>
    <row r="391" spans="2:119" ht="16.25" customHeight="1" x14ac:dyDescent="0.45">
      <c r="B391" s="99"/>
      <c r="C391" s="42"/>
      <c r="D391" s="110"/>
      <c r="E391" s="47">
        <v>1</v>
      </c>
      <c r="F391" s="103">
        <v>6.25</v>
      </c>
      <c r="G391" s="103">
        <v>37.5</v>
      </c>
      <c r="H391" s="103">
        <v>6.25</v>
      </c>
      <c r="I391" s="103">
        <v>25</v>
      </c>
      <c r="J391" s="103">
        <v>0</v>
      </c>
      <c r="K391" s="103">
        <v>6.25</v>
      </c>
      <c r="L391" s="103">
        <v>6.25</v>
      </c>
      <c r="M391" s="103">
        <v>0</v>
      </c>
      <c r="N391" s="103">
        <v>12.5</v>
      </c>
      <c r="O391" s="103">
        <v>0</v>
      </c>
      <c r="P391" s="42"/>
      <c r="Q391" s="110"/>
      <c r="R391" s="46">
        <v>1</v>
      </c>
      <c r="S391" s="103">
        <v>0</v>
      </c>
      <c r="T391" s="103">
        <v>20</v>
      </c>
      <c r="U391" s="103">
        <v>0</v>
      </c>
      <c r="V391" s="103">
        <v>60</v>
      </c>
      <c r="W391" s="103">
        <v>0</v>
      </c>
      <c r="X391" s="103">
        <v>20</v>
      </c>
      <c r="Y391" s="103">
        <v>0</v>
      </c>
      <c r="Z391" s="103">
        <v>0</v>
      </c>
      <c r="AA391" s="103">
        <v>0</v>
      </c>
      <c r="AB391" s="103">
        <v>0</v>
      </c>
      <c r="AC391" s="42"/>
      <c r="AD391" s="110"/>
      <c r="AE391" s="46">
        <v>1</v>
      </c>
      <c r="AF391" s="103">
        <v>9.0909090909090917</v>
      </c>
      <c r="AG391" s="103">
        <v>45.454545454545453</v>
      </c>
      <c r="AH391" s="103">
        <v>9.0909090909090917</v>
      </c>
      <c r="AI391" s="103">
        <v>9.0909090909090917</v>
      </c>
      <c r="AJ391" s="103">
        <v>0</v>
      </c>
      <c r="AK391" s="103">
        <v>0</v>
      </c>
      <c r="AL391" s="103">
        <v>9.0909090909090917</v>
      </c>
      <c r="AM391" s="103">
        <v>0</v>
      </c>
      <c r="AN391" s="103">
        <v>18.181818181818183</v>
      </c>
      <c r="AO391" s="103">
        <v>0</v>
      </c>
      <c r="AP391" s="6"/>
      <c r="AQ391" s="110"/>
      <c r="AR391" s="46">
        <v>1</v>
      </c>
      <c r="AS391" s="103">
        <v>0</v>
      </c>
      <c r="AT391" s="103">
        <v>42.857142857142854</v>
      </c>
      <c r="AU391" s="103">
        <v>14.285714285714285</v>
      </c>
      <c r="AV391" s="103">
        <v>14.285714285714285</v>
      </c>
      <c r="AW391" s="103">
        <v>0</v>
      </c>
      <c r="AX391" s="103">
        <v>0</v>
      </c>
      <c r="AY391" s="103">
        <v>14.285714285714285</v>
      </c>
      <c r="AZ391" s="103">
        <v>0</v>
      </c>
      <c r="BA391" s="103">
        <v>14.285714285714285</v>
      </c>
      <c r="BB391" s="103">
        <v>0</v>
      </c>
      <c r="BC391" s="42"/>
      <c r="BD391" s="110"/>
      <c r="BE391" s="46">
        <v>1</v>
      </c>
      <c r="BF391" s="103">
        <v>11.111111111111111</v>
      </c>
      <c r="BG391" s="103">
        <v>33.333333333333329</v>
      </c>
      <c r="BH391" s="103">
        <v>0</v>
      </c>
      <c r="BI391" s="103">
        <v>33.333333333333329</v>
      </c>
      <c r="BJ391" s="103">
        <v>0</v>
      </c>
      <c r="BK391" s="103">
        <v>11.111111111111111</v>
      </c>
      <c r="BL391" s="103">
        <v>0</v>
      </c>
      <c r="BM391" s="103">
        <v>0</v>
      </c>
      <c r="BN391" s="103">
        <v>11.111111111111111</v>
      </c>
      <c r="BO391" s="103">
        <v>0</v>
      </c>
      <c r="BQ391" s="110"/>
      <c r="BR391" s="46">
        <v>1</v>
      </c>
      <c r="BS391" s="103">
        <v>25</v>
      </c>
      <c r="BT391" s="103">
        <v>75</v>
      </c>
      <c r="BU391" s="103">
        <v>0</v>
      </c>
      <c r="BV391" s="103">
        <v>0</v>
      </c>
      <c r="BW391" s="103">
        <v>0</v>
      </c>
      <c r="BX391" s="103">
        <v>0</v>
      </c>
      <c r="BY391" s="103">
        <v>0</v>
      </c>
      <c r="BZ391" s="103">
        <v>0</v>
      </c>
      <c r="CA391" s="103">
        <v>0</v>
      </c>
      <c r="CB391" s="103">
        <v>0</v>
      </c>
      <c r="CC391" s="42"/>
      <c r="CD391" s="110"/>
      <c r="CE391" s="46">
        <v>1</v>
      </c>
      <c r="CF391" s="103">
        <v>0</v>
      </c>
      <c r="CG391" s="103">
        <v>25</v>
      </c>
      <c r="CH391" s="103">
        <v>8.3333333333333321</v>
      </c>
      <c r="CI391" s="103">
        <v>33.333333333333329</v>
      </c>
      <c r="CJ391" s="103">
        <v>0</v>
      </c>
      <c r="CK391" s="103">
        <v>8.3333333333333321</v>
      </c>
      <c r="CL391" s="103">
        <v>8.3333333333333321</v>
      </c>
      <c r="CM391" s="103">
        <v>0</v>
      </c>
      <c r="CN391" s="103">
        <v>16.666666666666664</v>
      </c>
      <c r="CO391" s="103">
        <v>0</v>
      </c>
      <c r="CQ391" s="110"/>
      <c r="CR391" s="46">
        <v>1</v>
      </c>
      <c r="CS391" s="103">
        <v>0</v>
      </c>
      <c r="CT391" s="103">
        <v>35.714285714285715</v>
      </c>
      <c r="CU391" s="103">
        <v>7.1428571428571423</v>
      </c>
      <c r="CV391" s="103">
        <v>28.571428571428569</v>
      </c>
      <c r="CW391" s="103">
        <v>0</v>
      </c>
      <c r="CX391" s="103">
        <v>7.1428571428571423</v>
      </c>
      <c r="CY391" s="103">
        <v>7.1428571428571423</v>
      </c>
      <c r="CZ391" s="103">
        <v>0</v>
      </c>
      <c r="DA391" s="103">
        <v>14.285714285714285</v>
      </c>
      <c r="DB391" s="103">
        <v>0</v>
      </c>
      <c r="DC391" s="42"/>
      <c r="DD391" s="110"/>
      <c r="DE391" s="46">
        <v>1</v>
      </c>
      <c r="DF391" s="103">
        <v>50</v>
      </c>
      <c r="DG391" s="103">
        <v>50</v>
      </c>
      <c r="DH391" s="103">
        <v>0</v>
      </c>
      <c r="DI391" s="103">
        <v>0</v>
      </c>
      <c r="DJ391" s="103">
        <v>0</v>
      </c>
      <c r="DK391" s="103">
        <v>0</v>
      </c>
      <c r="DL391" s="103">
        <v>0</v>
      </c>
      <c r="DM391" s="103">
        <v>0</v>
      </c>
      <c r="DN391" s="103">
        <v>0</v>
      </c>
      <c r="DO391" s="103">
        <v>0</v>
      </c>
    </row>
    <row r="392" spans="2:119" ht="16.25" customHeight="1" x14ac:dyDescent="0.45">
      <c r="B392" s="99"/>
      <c r="C392" s="42"/>
      <c r="D392" s="110"/>
      <c r="E392" s="47" t="s">
        <v>2</v>
      </c>
      <c r="F392" s="103">
        <v>15.724381625441698</v>
      </c>
      <c r="G392" s="103">
        <v>40.10600706713781</v>
      </c>
      <c r="H392" s="103">
        <v>21.908127208480565</v>
      </c>
      <c r="I392" s="103">
        <v>11.837455830388691</v>
      </c>
      <c r="J392" s="103">
        <v>4.0636042402826851</v>
      </c>
      <c r="K392" s="103">
        <v>3.5335689045936398</v>
      </c>
      <c r="L392" s="103">
        <v>1.9434628975265018</v>
      </c>
      <c r="M392" s="103">
        <v>0.70671378091872794</v>
      </c>
      <c r="N392" s="103">
        <v>0</v>
      </c>
      <c r="O392" s="103">
        <v>0.17667844522968199</v>
      </c>
      <c r="P392" s="42"/>
      <c r="Q392" s="110"/>
      <c r="R392" s="46" t="s">
        <v>2</v>
      </c>
      <c r="S392" s="103">
        <v>13.963963963963963</v>
      </c>
      <c r="T392" s="103">
        <v>43.243243243243242</v>
      </c>
      <c r="U392" s="103">
        <v>22.072072072072071</v>
      </c>
      <c r="V392" s="103">
        <v>9.0090090090090094</v>
      </c>
      <c r="W392" s="103">
        <v>3.1531531531531529</v>
      </c>
      <c r="X392" s="103">
        <v>5.8558558558558556</v>
      </c>
      <c r="Y392" s="103">
        <v>1.3513513513513513</v>
      </c>
      <c r="Z392" s="103">
        <v>0.90090090090090091</v>
      </c>
      <c r="AA392" s="103">
        <v>0</v>
      </c>
      <c r="AB392" s="103">
        <v>0.45045045045045046</v>
      </c>
      <c r="AC392" s="42"/>
      <c r="AD392" s="110"/>
      <c r="AE392" s="46" t="s">
        <v>2</v>
      </c>
      <c r="AF392" s="103">
        <v>16.86046511627907</v>
      </c>
      <c r="AG392" s="103">
        <v>38.081395348837212</v>
      </c>
      <c r="AH392" s="103">
        <v>21.802325581395348</v>
      </c>
      <c r="AI392" s="103">
        <v>13.662790697674417</v>
      </c>
      <c r="AJ392" s="103">
        <v>4.6511627906976747</v>
      </c>
      <c r="AK392" s="103">
        <v>2.0348837209302326</v>
      </c>
      <c r="AL392" s="103">
        <v>2.3255813953488373</v>
      </c>
      <c r="AM392" s="103">
        <v>0.58139534883720934</v>
      </c>
      <c r="AN392" s="103">
        <v>0</v>
      </c>
      <c r="AO392" s="103">
        <v>0</v>
      </c>
      <c r="AP392" s="6"/>
      <c r="AQ392" s="110"/>
      <c r="AR392" s="46" t="s">
        <v>2</v>
      </c>
      <c r="AS392" s="103">
        <v>21.487603305785125</v>
      </c>
      <c r="AT392" s="103">
        <v>42.97520661157025</v>
      </c>
      <c r="AU392" s="103">
        <v>19.834710743801654</v>
      </c>
      <c r="AV392" s="103">
        <v>8.2644628099173563</v>
      </c>
      <c r="AW392" s="103">
        <v>3.3057851239669422</v>
      </c>
      <c r="AX392" s="103">
        <v>2.8925619834710745</v>
      </c>
      <c r="AY392" s="103">
        <v>0.41322314049586778</v>
      </c>
      <c r="AZ392" s="103">
        <v>0.82644628099173556</v>
      </c>
      <c r="BA392" s="103">
        <v>0</v>
      </c>
      <c r="BB392" s="103">
        <v>0</v>
      </c>
      <c r="BC392" s="42"/>
      <c r="BD392" s="110"/>
      <c r="BE392" s="46" t="s">
        <v>2</v>
      </c>
      <c r="BF392" s="103">
        <v>11.419753086419753</v>
      </c>
      <c r="BG392" s="103">
        <v>37.962962962962962</v>
      </c>
      <c r="BH392" s="103">
        <v>23.456790123456788</v>
      </c>
      <c r="BI392" s="103">
        <v>14.506172839506174</v>
      </c>
      <c r="BJ392" s="103">
        <v>4.6296296296296298</v>
      </c>
      <c r="BK392" s="103">
        <v>4.0123456790123457</v>
      </c>
      <c r="BL392" s="103">
        <v>3.0864197530864197</v>
      </c>
      <c r="BM392" s="103">
        <v>0.61728395061728392</v>
      </c>
      <c r="BN392" s="103">
        <v>0</v>
      </c>
      <c r="BO392" s="103">
        <v>0.30864197530864196</v>
      </c>
      <c r="BQ392" s="110"/>
      <c r="BR392" s="46" t="s">
        <v>2</v>
      </c>
      <c r="BS392" s="103">
        <v>16.785714285714285</v>
      </c>
      <c r="BT392" s="103">
        <v>46.428571428571431</v>
      </c>
      <c r="BU392" s="103">
        <v>21.785714285714285</v>
      </c>
      <c r="BV392" s="103">
        <v>10</v>
      </c>
      <c r="BW392" s="103">
        <v>1.7857142857142856</v>
      </c>
      <c r="BX392" s="103">
        <v>1.0714285714285714</v>
      </c>
      <c r="BY392" s="103">
        <v>1.7857142857142856</v>
      </c>
      <c r="BZ392" s="103">
        <v>0.35714285714285715</v>
      </c>
      <c r="CA392" s="103">
        <v>0</v>
      </c>
      <c r="CB392" s="103">
        <v>0</v>
      </c>
      <c r="CC392" s="42"/>
      <c r="CD392" s="110"/>
      <c r="CE392" s="46" t="s">
        <v>2</v>
      </c>
      <c r="CF392" s="103">
        <v>14.685314685314685</v>
      </c>
      <c r="CG392" s="103">
        <v>33.91608391608392</v>
      </c>
      <c r="CH392" s="103">
        <v>22.02797202797203</v>
      </c>
      <c r="CI392" s="103">
        <v>13.636363636363635</v>
      </c>
      <c r="CJ392" s="103">
        <v>6.2937062937062942</v>
      </c>
      <c r="CK392" s="103">
        <v>5.9440559440559442</v>
      </c>
      <c r="CL392" s="103">
        <v>2.0979020979020979</v>
      </c>
      <c r="CM392" s="103">
        <v>1.048951048951049</v>
      </c>
      <c r="CN392" s="103">
        <v>0</v>
      </c>
      <c r="CO392" s="103">
        <v>0.34965034965034963</v>
      </c>
      <c r="CQ392" s="110"/>
      <c r="CR392" s="46" t="s">
        <v>2</v>
      </c>
      <c r="CS392" s="103">
        <v>11.469534050179211</v>
      </c>
      <c r="CT392" s="103">
        <v>34.767025089605738</v>
      </c>
      <c r="CU392" s="103">
        <v>19.713261648745519</v>
      </c>
      <c r="CV392" s="103">
        <v>17.20430107526882</v>
      </c>
      <c r="CW392" s="103">
        <v>5.376344086021505</v>
      </c>
      <c r="CX392" s="103">
        <v>6.8100358422939076</v>
      </c>
      <c r="CY392" s="103">
        <v>2.8673835125448028</v>
      </c>
      <c r="CZ392" s="103">
        <v>1.4336917562724014</v>
      </c>
      <c r="DA392" s="103">
        <v>0</v>
      </c>
      <c r="DB392" s="103">
        <v>0.35842293906810035</v>
      </c>
      <c r="DC392" s="42"/>
      <c r="DD392" s="110"/>
      <c r="DE392" s="46" t="s">
        <v>2</v>
      </c>
      <c r="DF392" s="103">
        <v>19.860627177700348</v>
      </c>
      <c r="DG392" s="103">
        <v>45.296167247386762</v>
      </c>
      <c r="DH392" s="103">
        <v>24.041811846689896</v>
      </c>
      <c r="DI392" s="103">
        <v>6.6202090592334493</v>
      </c>
      <c r="DJ392" s="103">
        <v>2.7874564459930316</v>
      </c>
      <c r="DK392" s="103">
        <v>0.34843205574912894</v>
      </c>
      <c r="DL392" s="103">
        <v>1.0452961672473868</v>
      </c>
      <c r="DM392" s="103">
        <v>0</v>
      </c>
      <c r="DN392" s="103">
        <v>0</v>
      </c>
      <c r="DO392" s="103">
        <v>0</v>
      </c>
    </row>
    <row r="393" spans="2:119" ht="16.25" customHeight="1" x14ac:dyDescent="0.45">
      <c r="B393" s="99"/>
      <c r="C393" s="42"/>
      <c r="D393" s="110"/>
      <c r="E393" s="47" t="s">
        <v>3</v>
      </c>
      <c r="F393" s="103">
        <v>10.251798561151078</v>
      </c>
      <c r="G393" s="103">
        <v>34.172661870503596</v>
      </c>
      <c r="H393" s="103">
        <v>29.676258992805753</v>
      </c>
      <c r="I393" s="103">
        <v>17.625899280575538</v>
      </c>
      <c r="J393" s="103">
        <v>4.3165467625899279</v>
      </c>
      <c r="K393" s="103">
        <v>2.877697841726619</v>
      </c>
      <c r="L393" s="103">
        <v>0.89928057553956831</v>
      </c>
      <c r="M393" s="103">
        <v>0</v>
      </c>
      <c r="N393" s="103">
        <v>0.17985611510791369</v>
      </c>
      <c r="O393" s="103">
        <v>0</v>
      </c>
      <c r="P393" s="42"/>
      <c r="Q393" s="110"/>
      <c r="R393" s="46" t="s">
        <v>3</v>
      </c>
      <c r="S393" s="103">
        <v>8.4905660377358494</v>
      </c>
      <c r="T393" s="103">
        <v>36.320754716981128</v>
      </c>
      <c r="U393" s="103">
        <v>31.60377358490566</v>
      </c>
      <c r="V393" s="103">
        <v>14.150943396226415</v>
      </c>
      <c r="W393" s="103">
        <v>5.1886792452830193</v>
      </c>
      <c r="X393" s="103">
        <v>2.8301886792452833</v>
      </c>
      <c r="Y393" s="103">
        <v>0.94339622641509435</v>
      </c>
      <c r="Z393" s="103">
        <v>0</v>
      </c>
      <c r="AA393" s="103">
        <v>0.47169811320754718</v>
      </c>
      <c r="AB393" s="103">
        <v>0</v>
      </c>
      <c r="AC393" s="42"/>
      <c r="AD393" s="110"/>
      <c r="AE393" s="46" t="s">
        <v>3</v>
      </c>
      <c r="AF393" s="103">
        <v>11.337209302325581</v>
      </c>
      <c r="AG393" s="103">
        <v>32.848837209302324</v>
      </c>
      <c r="AH393" s="103">
        <v>28.488372093023255</v>
      </c>
      <c r="AI393" s="103">
        <v>19.767441860465116</v>
      </c>
      <c r="AJ393" s="103">
        <v>3.7790697674418601</v>
      </c>
      <c r="AK393" s="103">
        <v>2.9069767441860463</v>
      </c>
      <c r="AL393" s="103">
        <v>0.87209302325581395</v>
      </c>
      <c r="AM393" s="103">
        <v>0</v>
      </c>
      <c r="AN393" s="103">
        <v>0</v>
      </c>
      <c r="AO393" s="103">
        <v>0</v>
      </c>
      <c r="AP393" s="6"/>
      <c r="AQ393" s="110"/>
      <c r="AR393" s="46" t="s">
        <v>3</v>
      </c>
      <c r="AS393" s="103">
        <v>11.682242990654206</v>
      </c>
      <c r="AT393" s="103">
        <v>37.850467289719624</v>
      </c>
      <c r="AU393" s="103">
        <v>28.037383177570092</v>
      </c>
      <c r="AV393" s="103">
        <v>16.355140186915886</v>
      </c>
      <c r="AW393" s="103">
        <v>2.3364485981308412</v>
      </c>
      <c r="AX393" s="103">
        <v>2.8037383177570092</v>
      </c>
      <c r="AY393" s="103">
        <v>0.46728971962616817</v>
      </c>
      <c r="AZ393" s="103">
        <v>0</v>
      </c>
      <c r="BA393" s="103">
        <v>0.46728971962616817</v>
      </c>
      <c r="BB393" s="103">
        <v>0</v>
      </c>
      <c r="BC393" s="42"/>
      <c r="BD393" s="110"/>
      <c r="BE393" s="46" t="s">
        <v>3</v>
      </c>
      <c r="BF393" s="103">
        <v>9.3567251461988299</v>
      </c>
      <c r="BG393" s="103">
        <v>31.871345029239766</v>
      </c>
      <c r="BH393" s="103">
        <v>30.701754385964914</v>
      </c>
      <c r="BI393" s="103">
        <v>18.421052631578945</v>
      </c>
      <c r="BJ393" s="103">
        <v>5.5555555555555554</v>
      </c>
      <c r="BK393" s="103">
        <v>2.9239766081871341</v>
      </c>
      <c r="BL393" s="103">
        <v>1.1695906432748537</v>
      </c>
      <c r="BM393" s="103">
        <v>0</v>
      </c>
      <c r="BN393" s="103">
        <v>0</v>
      </c>
      <c r="BO393" s="103">
        <v>0</v>
      </c>
      <c r="BQ393" s="110"/>
      <c r="BR393" s="46" t="s">
        <v>3</v>
      </c>
      <c r="BS393" s="103">
        <v>12.698412698412698</v>
      </c>
      <c r="BT393" s="103">
        <v>38.095238095238095</v>
      </c>
      <c r="BU393" s="103">
        <v>27.380952380952383</v>
      </c>
      <c r="BV393" s="103">
        <v>15.476190476190476</v>
      </c>
      <c r="BW393" s="103">
        <v>4.3650793650793647</v>
      </c>
      <c r="BX393" s="103">
        <v>1.5873015873015872</v>
      </c>
      <c r="BY393" s="103">
        <v>0.3968253968253968</v>
      </c>
      <c r="BZ393" s="103">
        <v>0</v>
      </c>
      <c r="CA393" s="103">
        <v>0</v>
      </c>
      <c r="CB393" s="103">
        <v>0</v>
      </c>
      <c r="CC393" s="42"/>
      <c r="CD393" s="110"/>
      <c r="CE393" s="46" t="s">
        <v>3</v>
      </c>
      <c r="CF393" s="103">
        <v>8.2236842105263168</v>
      </c>
      <c r="CG393" s="103">
        <v>30.921052631578949</v>
      </c>
      <c r="CH393" s="103">
        <v>31.578947368421051</v>
      </c>
      <c r="CI393" s="103">
        <v>19.407894736842106</v>
      </c>
      <c r="CJ393" s="103">
        <v>4.2763157894736841</v>
      </c>
      <c r="CK393" s="103">
        <v>3.9473684210526314</v>
      </c>
      <c r="CL393" s="103">
        <v>1.3157894736842104</v>
      </c>
      <c r="CM393" s="103">
        <v>0</v>
      </c>
      <c r="CN393" s="103">
        <v>0.3289473684210526</v>
      </c>
      <c r="CO393" s="103">
        <v>0</v>
      </c>
      <c r="CQ393" s="110"/>
      <c r="CR393" s="46" t="s">
        <v>3</v>
      </c>
      <c r="CS393" s="103">
        <v>7.1428571428571423</v>
      </c>
      <c r="CT393" s="103">
        <v>30.102040816326532</v>
      </c>
      <c r="CU393" s="103">
        <v>25.510204081632654</v>
      </c>
      <c r="CV393" s="103">
        <v>23.469387755102041</v>
      </c>
      <c r="CW393" s="103">
        <v>7.6530612244897958</v>
      </c>
      <c r="CX393" s="103">
        <v>4.591836734693878</v>
      </c>
      <c r="CY393" s="103">
        <v>1.0204081632653061</v>
      </c>
      <c r="CZ393" s="103">
        <v>0</v>
      </c>
      <c r="DA393" s="103">
        <v>0.51020408163265307</v>
      </c>
      <c r="DB393" s="103">
        <v>0</v>
      </c>
      <c r="DC393" s="42"/>
      <c r="DD393" s="110"/>
      <c r="DE393" s="46" t="s">
        <v>3</v>
      </c>
      <c r="DF393" s="103">
        <v>11.944444444444445</v>
      </c>
      <c r="DG393" s="103">
        <v>36.388888888888886</v>
      </c>
      <c r="DH393" s="103">
        <v>31.944444444444443</v>
      </c>
      <c r="DI393" s="103">
        <v>14.444444444444443</v>
      </c>
      <c r="DJ393" s="103">
        <v>2.5</v>
      </c>
      <c r="DK393" s="103">
        <v>1.9444444444444444</v>
      </c>
      <c r="DL393" s="103">
        <v>0.83333333333333337</v>
      </c>
      <c r="DM393" s="103">
        <v>0</v>
      </c>
      <c r="DN393" s="103">
        <v>0</v>
      </c>
      <c r="DO393" s="103">
        <v>0</v>
      </c>
    </row>
    <row r="394" spans="2:119" ht="16.25" customHeight="1" x14ac:dyDescent="0.45">
      <c r="B394" s="99"/>
      <c r="C394" s="42"/>
      <c r="D394" s="110"/>
      <c r="E394" s="47" t="s">
        <v>4</v>
      </c>
      <c r="F394" s="103">
        <v>8.695652173913043</v>
      </c>
      <c r="G394" s="103">
        <v>27.410207939508506</v>
      </c>
      <c r="H394" s="103">
        <v>30.907372400756145</v>
      </c>
      <c r="I394" s="103">
        <v>22.306238185255197</v>
      </c>
      <c r="J394" s="103">
        <v>4.9149338374291114</v>
      </c>
      <c r="K394" s="103">
        <v>3.6862003780718333</v>
      </c>
      <c r="L394" s="103">
        <v>1.5122873345935728</v>
      </c>
      <c r="M394" s="103">
        <v>0.3780718336483932</v>
      </c>
      <c r="N394" s="103">
        <v>0.1890359168241966</v>
      </c>
      <c r="O394" s="103">
        <v>0</v>
      </c>
      <c r="P394" s="42"/>
      <c r="Q394" s="110"/>
      <c r="R394" s="46" t="s">
        <v>4</v>
      </c>
      <c r="S394" s="103">
        <v>5.895691609977324</v>
      </c>
      <c r="T394" s="103">
        <v>26.984126984126984</v>
      </c>
      <c r="U394" s="103">
        <v>33.786848072562357</v>
      </c>
      <c r="V394" s="103">
        <v>22.90249433106576</v>
      </c>
      <c r="W394" s="103">
        <v>4.9886621315192743</v>
      </c>
      <c r="X394" s="103">
        <v>3.6281179138321997</v>
      </c>
      <c r="Y394" s="103">
        <v>1.1337868480725624</v>
      </c>
      <c r="Z394" s="103">
        <v>0.45351473922902497</v>
      </c>
      <c r="AA394" s="103">
        <v>0.22675736961451248</v>
      </c>
      <c r="AB394" s="103">
        <v>0</v>
      </c>
      <c r="AC394" s="42"/>
      <c r="AD394" s="110"/>
      <c r="AE394" s="46" t="s">
        <v>4</v>
      </c>
      <c r="AF394" s="103">
        <v>10.696920583468396</v>
      </c>
      <c r="AG394" s="103">
        <v>27.71474878444084</v>
      </c>
      <c r="AH394" s="103">
        <v>28.849270664505671</v>
      </c>
      <c r="AI394" s="103">
        <v>21.88006482982172</v>
      </c>
      <c r="AJ394" s="103">
        <v>4.8622366288492707</v>
      </c>
      <c r="AK394" s="103">
        <v>3.7277147487844409</v>
      </c>
      <c r="AL394" s="103">
        <v>1.7828200972447326</v>
      </c>
      <c r="AM394" s="103">
        <v>0.32414910858995138</v>
      </c>
      <c r="AN394" s="103">
        <v>0.16207455429497569</v>
      </c>
      <c r="AO394" s="103">
        <v>0</v>
      </c>
      <c r="AP394" s="6"/>
      <c r="AQ394" s="110"/>
      <c r="AR394" s="46" t="s">
        <v>4</v>
      </c>
      <c r="AS394" s="103">
        <v>11.519607843137255</v>
      </c>
      <c r="AT394" s="103">
        <v>31.127450980392158</v>
      </c>
      <c r="AU394" s="103">
        <v>32.107843137254903</v>
      </c>
      <c r="AV394" s="103">
        <v>18.382352941176471</v>
      </c>
      <c r="AW394" s="103">
        <v>3.9215686274509802</v>
      </c>
      <c r="AX394" s="103">
        <v>2.2058823529411766</v>
      </c>
      <c r="AY394" s="103">
        <v>0.24509803921568626</v>
      </c>
      <c r="AZ394" s="103">
        <v>0.24509803921568626</v>
      </c>
      <c r="BA394" s="103">
        <v>0.24509803921568626</v>
      </c>
      <c r="BB394" s="103">
        <v>0</v>
      </c>
      <c r="BC394" s="42"/>
      <c r="BD394" s="110"/>
      <c r="BE394" s="46" t="s">
        <v>4</v>
      </c>
      <c r="BF394" s="103">
        <v>6.9230769230769234</v>
      </c>
      <c r="BG394" s="103">
        <v>25.076923076923073</v>
      </c>
      <c r="BH394" s="103">
        <v>30.153846153846153</v>
      </c>
      <c r="BI394" s="103">
        <v>24.76923076923077</v>
      </c>
      <c r="BJ394" s="103">
        <v>5.5384615384615383</v>
      </c>
      <c r="BK394" s="103">
        <v>4.6153846153846159</v>
      </c>
      <c r="BL394" s="103">
        <v>2.3076923076923079</v>
      </c>
      <c r="BM394" s="103">
        <v>0.46153846153846156</v>
      </c>
      <c r="BN394" s="103">
        <v>0.15384615384615385</v>
      </c>
      <c r="BO394" s="103">
        <v>0</v>
      </c>
      <c r="BQ394" s="110"/>
      <c r="BR394" s="46" t="s">
        <v>4</v>
      </c>
      <c r="BS394" s="103">
        <v>10.846560846560847</v>
      </c>
      <c r="BT394" s="103">
        <v>28.835978835978835</v>
      </c>
      <c r="BU394" s="103">
        <v>33.333333333333329</v>
      </c>
      <c r="BV394" s="103">
        <v>19.576719576719576</v>
      </c>
      <c r="BW394" s="103">
        <v>3.7037037037037033</v>
      </c>
      <c r="BX394" s="103">
        <v>2.6455026455026456</v>
      </c>
      <c r="BY394" s="103">
        <v>1.0582010582010581</v>
      </c>
      <c r="BZ394" s="103">
        <v>0</v>
      </c>
      <c r="CA394" s="103">
        <v>0</v>
      </c>
      <c r="CB394" s="103">
        <v>0</v>
      </c>
      <c r="CC394" s="42"/>
      <c r="CD394" s="110"/>
      <c r="CE394" s="46" t="s">
        <v>4</v>
      </c>
      <c r="CF394" s="103">
        <v>7.5</v>
      </c>
      <c r="CG394" s="103">
        <v>26.617647058823529</v>
      </c>
      <c r="CH394" s="103">
        <v>29.558823529411764</v>
      </c>
      <c r="CI394" s="103">
        <v>23.823529411764703</v>
      </c>
      <c r="CJ394" s="103">
        <v>5.5882352941176476</v>
      </c>
      <c r="CK394" s="103">
        <v>4.2647058823529411</v>
      </c>
      <c r="CL394" s="103">
        <v>1.7647058823529411</v>
      </c>
      <c r="CM394" s="103">
        <v>0.58823529411764708</v>
      </c>
      <c r="CN394" s="103">
        <v>0.29411764705882354</v>
      </c>
      <c r="CO394" s="103">
        <v>0</v>
      </c>
      <c r="CQ394" s="110"/>
      <c r="CR394" s="46" t="s">
        <v>4</v>
      </c>
      <c r="CS394" s="103">
        <v>3.7037037037037033</v>
      </c>
      <c r="CT394" s="103">
        <v>21.604938271604937</v>
      </c>
      <c r="CU394" s="103">
        <v>29.012345679012348</v>
      </c>
      <c r="CV394" s="103">
        <v>26.851851851851855</v>
      </c>
      <c r="CW394" s="103">
        <v>6.481481481481481</v>
      </c>
      <c r="CX394" s="103">
        <v>7.716049382716049</v>
      </c>
      <c r="CY394" s="103">
        <v>2.7777777777777777</v>
      </c>
      <c r="CZ394" s="103">
        <v>1.2345679012345678</v>
      </c>
      <c r="DA394" s="103">
        <v>0.61728395061728392</v>
      </c>
      <c r="DB394" s="103">
        <v>0</v>
      </c>
      <c r="DC394" s="42"/>
      <c r="DD394" s="110"/>
      <c r="DE394" s="46" t="s">
        <v>4</v>
      </c>
      <c r="DF394" s="103">
        <v>10.899182561307901</v>
      </c>
      <c r="DG394" s="103">
        <v>29.972752043596728</v>
      </c>
      <c r="DH394" s="103">
        <v>31.743869209809265</v>
      </c>
      <c r="DI394" s="103">
        <v>20.299727520435969</v>
      </c>
      <c r="DJ394" s="103">
        <v>4.223433242506812</v>
      </c>
      <c r="DK394" s="103">
        <v>1.9073569482288828</v>
      </c>
      <c r="DL394" s="103">
        <v>0.9536784741144414</v>
      </c>
      <c r="DM394" s="103">
        <v>0</v>
      </c>
      <c r="DN394" s="103">
        <v>0</v>
      </c>
      <c r="DO394" s="103">
        <v>0</v>
      </c>
    </row>
    <row r="395" spans="2:119" ht="16.25" customHeight="1" x14ac:dyDescent="0.45">
      <c r="B395" s="99"/>
      <c r="C395" s="42"/>
      <c r="D395" s="110"/>
      <c r="E395" s="47" t="s">
        <v>5</v>
      </c>
      <c r="F395" s="103">
        <v>4.9620026821636118</v>
      </c>
      <c r="G395" s="103">
        <v>20.295037997317834</v>
      </c>
      <c r="H395" s="103">
        <v>30.755476084041128</v>
      </c>
      <c r="I395" s="103">
        <v>26.687527939204291</v>
      </c>
      <c r="J395" s="103">
        <v>9.2534644613321415</v>
      </c>
      <c r="K395" s="103">
        <v>5.0067054090299514</v>
      </c>
      <c r="L395" s="103">
        <v>2.3245417970496201</v>
      </c>
      <c r="M395" s="103">
        <v>0.62583817612874393</v>
      </c>
      <c r="N395" s="103">
        <v>8.9405453732677692E-2</v>
      </c>
      <c r="O395" s="103">
        <v>0</v>
      </c>
      <c r="P395" s="42"/>
      <c r="Q395" s="110"/>
      <c r="R395" s="46" t="s">
        <v>5</v>
      </c>
      <c r="S395" s="103">
        <v>2.7807486631016043</v>
      </c>
      <c r="T395" s="103">
        <v>19.358288770053473</v>
      </c>
      <c r="U395" s="103">
        <v>33.582887700534755</v>
      </c>
      <c r="V395" s="103">
        <v>25.561497326203209</v>
      </c>
      <c r="W395" s="103">
        <v>10.481283422459892</v>
      </c>
      <c r="X395" s="103">
        <v>5.3475935828877006</v>
      </c>
      <c r="Y395" s="103">
        <v>2.3529411764705883</v>
      </c>
      <c r="Z395" s="103">
        <v>0.53475935828876997</v>
      </c>
      <c r="AA395" s="103">
        <v>0</v>
      </c>
      <c r="AB395" s="103">
        <v>0</v>
      </c>
      <c r="AC395" s="42"/>
      <c r="AD395" s="110"/>
      <c r="AE395" s="46" t="s">
        <v>5</v>
      </c>
      <c r="AF395" s="103">
        <v>6.5284178187403992</v>
      </c>
      <c r="AG395" s="103">
        <v>20.967741935483872</v>
      </c>
      <c r="AH395" s="103">
        <v>28.725038402457759</v>
      </c>
      <c r="AI395" s="103">
        <v>27.496159754224269</v>
      </c>
      <c r="AJ395" s="103">
        <v>8.3717357910906305</v>
      </c>
      <c r="AK395" s="103">
        <v>4.7619047619047619</v>
      </c>
      <c r="AL395" s="103">
        <v>2.3041474654377883</v>
      </c>
      <c r="AM395" s="103">
        <v>0.69124423963133641</v>
      </c>
      <c r="AN395" s="103">
        <v>0.15360983102918588</v>
      </c>
      <c r="AO395" s="103">
        <v>0</v>
      </c>
      <c r="AP395" s="6"/>
      <c r="AQ395" s="110"/>
      <c r="AR395" s="46" t="s">
        <v>5</v>
      </c>
      <c r="AS395" s="103">
        <v>7.1225071225071224</v>
      </c>
      <c r="AT395" s="103">
        <v>26.923076923076923</v>
      </c>
      <c r="AU395" s="103">
        <v>29.344729344729341</v>
      </c>
      <c r="AV395" s="103">
        <v>23.219373219373217</v>
      </c>
      <c r="AW395" s="103">
        <v>7.2649572649572658</v>
      </c>
      <c r="AX395" s="103">
        <v>3.8461538461538463</v>
      </c>
      <c r="AY395" s="103">
        <v>1.566951566951567</v>
      </c>
      <c r="AZ395" s="103">
        <v>0.56980056980056981</v>
      </c>
      <c r="BA395" s="103">
        <v>0.14245014245014245</v>
      </c>
      <c r="BB395" s="103">
        <v>0</v>
      </c>
      <c r="BC395" s="42"/>
      <c r="BD395" s="110"/>
      <c r="BE395" s="46" t="s">
        <v>5</v>
      </c>
      <c r="BF395" s="103">
        <v>3.9739413680781759</v>
      </c>
      <c r="BG395" s="103">
        <v>17.263843648208468</v>
      </c>
      <c r="BH395" s="103">
        <v>31.400651465798045</v>
      </c>
      <c r="BI395" s="103">
        <v>28.273615635179155</v>
      </c>
      <c r="BJ395" s="103">
        <v>10.162866449511402</v>
      </c>
      <c r="BK395" s="103">
        <v>5.5374592833876219</v>
      </c>
      <c r="BL395" s="103">
        <v>2.671009771986971</v>
      </c>
      <c r="BM395" s="103">
        <v>0.65146579804560267</v>
      </c>
      <c r="BN395" s="103">
        <v>6.5146579804560262E-2</v>
      </c>
      <c r="BO395" s="103">
        <v>0</v>
      </c>
      <c r="BQ395" s="110"/>
      <c r="BR395" s="46" t="s">
        <v>5</v>
      </c>
      <c r="BS395" s="103">
        <v>7.7490774907749085</v>
      </c>
      <c r="BT395" s="103">
        <v>25.092250922509223</v>
      </c>
      <c r="BU395" s="103">
        <v>27.306273062730629</v>
      </c>
      <c r="BV395" s="103">
        <v>23.985239852398525</v>
      </c>
      <c r="BW395" s="103">
        <v>8.3025830258302591</v>
      </c>
      <c r="BX395" s="103">
        <v>4.6125461254612548</v>
      </c>
      <c r="BY395" s="103">
        <v>2.3985239852398523</v>
      </c>
      <c r="BZ395" s="103">
        <v>0.36900369003690037</v>
      </c>
      <c r="CA395" s="103">
        <v>0.18450184501845018</v>
      </c>
      <c r="CB395" s="103">
        <v>0</v>
      </c>
      <c r="CC395" s="42"/>
      <c r="CD395" s="110"/>
      <c r="CE395" s="46" t="s">
        <v>5</v>
      </c>
      <c r="CF395" s="103">
        <v>4.0707964601769913</v>
      </c>
      <c r="CG395" s="103">
        <v>18.761061946902654</v>
      </c>
      <c r="CH395" s="103">
        <v>31.858407079646017</v>
      </c>
      <c r="CI395" s="103">
        <v>27.551622418879056</v>
      </c>
      <c r="CJ395" s="103">
        <v>9.557522123893806</v>
      </c>
      <c r="CK395" s="103">
        <v>5.1327433628318584</v>
      </c>
      <c r="CL395" s="103">
        <v>2.3008849557522124</v>
      </c>
      <c r="CM395" s="103">
        <v>0.70796460176991149</v>
      </c>
      <c r="CN395" s="103">
        <v>5.8997050147492625E-2</v>
      </c>
      <c r="CO395" s="103">
        <v>0</v>
      </c>
      <c r="CQ395" s="110"/>
      <c r="CR395" s="46" t="s">
        <v>5</v>
      </c>
      <c r="CS395" s="103">
        <v>2.3728813559322033</v>
      </c>
      <c r="CT395" s="103">
        <v>16.440677966101696</v>
      </c>
      <c r="CU395" s="103">
        <v>25.932203389830512</v>
      </c>
      <c r="CV395" s="103">
        <v>30.677966101694913</v>
      </c>
      <c r="CW395" s="103">
        <v>12.372881355932204</v>
      </c>
      <c r="CX395" s="103">
        <v>6.7796610169491522</v>
      </c>
      <c r="CY395" s="103">
        <v>3.898305084745763</v>
      </c>
      <c r="CZ395" s="103">
        <v>1.3559322033898304</v>
      </c>
      <c r="DA395" s="103">
        <v>0.16949152542372881</v>
      </c>
      <c r="DB395" s="103">
        <v>0</v>
      </c>
      <c r="DC395" s="42"/>
      <c r="DD395" s="110"/>
      <c r="DE395" s="46" t="s">
        <v>5</v>
      </c>
      <c r="DF395" s="103">
        <v>5.8894960534304799</v>
      </c>
      <c r="DG395" s="103">
        <v>21.67577413479053</v>
      </c>
      <c r="DH395" s="103">
        <v>32.483302975106255</v>
      </c>
      <c r="DI395" s="103">
        <v>25.258044930176077</v>
      </c>
      <c r="DJ395" s="103">
        <v>8.1360048573163333</v>
      </c>
      <c r="DK395" s="103">
        <v>4.3715846994535523</v>
      </c>
      <c r="DL395" s="103">
        <v>1.7607771706132362</v>
      </c>
      <c r="DM395" s="103">
        <v>0.36429872495446264</v>
      </c>
      <c r="DN395" s="103">
        <v>6.0716454159077116E-2</v>
      </c>
      <c r="DO395" s="103">
        <v>0</v>
      </c>
    </row>
    <row r="396" spans="2:119" ht="16.25" customHeight="1" x14ac:dyDescent="0.45">
      <c r="B396" s="99"/>
      <c r="C396" s="42"/>
      <c r="D396" s="110"/>
      <c r="E396" s="47" t="s">
        <v>6</v>
      </c>
      <c r="F396" s="103">
        <v>3.0324400564174896</v>
      </c>
      <c r="G396" s="103">
        <v>13.363892806770098</v>
      </c>
      <c r="H396" s="103">
        <v>27.150916784203105</v>
      </c>
      <c r="I396" s="103">
        <v>30.342031029619182</v>
      </c>
      <c r="J396" s="103">
        <v>13.117066290550069</v>
      </c>
      <c r="K396" s="103">
        <v>8.0218617771509173</v>
      </c>
      <c r="L396" s="103">
        <v>3.7729196050775737</v>
      </c>
      <c r="M396" s="103">
        <v>0.82863187588152321</v>
      </c>
      <c r="N396" s="103">
        <v>0.28208744710860367</v>
      </c>
      <c r="O396" s="103">
        <v>8.8152327221438648E-2</v>
      </c>
      <c r="P396" s="42"/>
      <c r="Q396" s="110"/>
      <c r="R396" s="46" t="s">
        <v>6</v>
      </c>
      <c r="S396" s="103">
        <v>1.9325657894736843</v>
      </c>
      <c r="T396" s="103">
        <v>10.361842105263158</v>
      </c>
      <c r="U396" s="103">
        <v>26.521381578947366</v>
      </c>
      <c r="V396" s="103">
        <v>32.401315789473685</v>
      </c>
      <c r="W396" s="103">
        <v>14.226973684210526</v>
      </c>
      <c r="X396" s="103">
        <v>8.4703947368421062</v>
      </c>
      <c r="Y396" s="103">
        <v>4.4407894736842106</v>
      </c>
      <c r="Z396" s="103">
        <v>1.1101973684210527</v>
      </c>
      <c r="AA396" s="103">
        <v>0.37006578947368418</v>
      </c>
      <c r="AB396" s="103">
        <v>0.1644736842105263</v>
      </c>
      <c r="AC396" s="42"/>
      <c r="AD396" s="110"/>
      <c r="AE396" s="46" t="s">
        <v>6</v>
      </c>
      <c r="AF396" s="103">
        <v>3.8580246913580245</v>
      </c>
      <c r="AG396" s="103">
        <v>15.617283950617283</v>
      </c>
      <c r="AH396" s="103">
        <v>27.623456790123456</v>
      </c>
      <c r="AI396" s="103">
        <v>28.796296296296298</v>
      </c>
      <c r="AJ396" s="103">
        <v>12.283950617283951</v>
      </c>
      <c r="AK396" s="103">
        <v>7.6851851851851851</v>
      </c>
      <c r="AL396" s="103">
        <v>3.2716049382716053</v>
      </c>
      <c r="AM396" s="103">
        <v>0.61728395061728392</v>
      </c>
      <c r="AN396" s="103">
        <v>0.21604938271604937</v>
      </c>
      <c r="AO396" s="103">
        <v>3.0864197530864196E-2</v>
      </c>
      <c r="AP396" s="6"/>
      <c r="AQ396" s="110"/>
      <c r="AR396" s="46" t="s">
        <v>6</v>
      </c>
      <c r="AS396" s="103">
        <v>4.3838862559241711</v>
      </c>
      <c r="AT396" s="103">
        <v>18.720379146919431</v>
      </c>
      <c r="AU396" s="103">
        <v>31.220379146919431</v>
      </c>
      <c r="AV396" s="103">
        <v>27.428909952606634</v>
      </c>
      <c r="AW396" s="103">
        <v>9.5379146919431275</v>
      </c>
      <c r="AX396" s="103">
        <v>5.9241706161137442</v>
      </c>
      <c r="AY396" s="103">
        <v>2.0734597156398102</v>
      </c>
      <c r="AZ396" s="103">
        <v>0.59241706161137442</v>
      </c>
      <c r="BA396" s="103">
        <v>0.11848341232227488</v>
      </c>
      <c r="BB396" s="103">
        <v>0</v>
      </c>
      <c r="BC396" s="42"/>
      <c r="BD396" s="110"/>
      <c r="BE396" s="46" t="s">
        <v>6</v>
      </c>
      <c r="BF396" s="103">
        <v>2.4598393574297188</v>
      </c>
      <c r="BG396" s="103">
        <v>11.094377510040161</v>
      </c>
      <c r="BH396" s="103">
        <v>25.426706827309236</v>
      </c>
      <c r="BI396" s="103">
        <v>31.576305220883533</v>
      </c>
      <c r="BJ396" s="103">
        <v>14.633534136546183</v>
      </c>
      <c r="BK396" s="103">
        <v>8.9106425702811247</v>
      </c>
      <c r="BL396" s="103">
        <v>4.4929718875502003</v>
      </c>
      <c r="BM396" s="103">
        <v>0.92871485943775089</v>
      </c>
      <c r="BN396" s="103">
        <v>0.35140562248995982</v>
      </c>
      <c r="BO396" s="103">
        <v>0.12550200803212852</v>
      </c>
      <c r="BQ396" s="110"/>
      <c r="BR396" s="46" t="s">
        <v>6</v>
      </c>
      <c r="BS396" s="103">
        <v>4.7619047619047619</v>
      </c>
      <c r="BT396" s="103">
        <v>17.305458768873404</v>
      </c>
      <c r="BU396" s="103">
        <v>28.687572590011612</v>
      </c>
      <c r="BV396" s="103">
        <v>27.061556329849012</v>
      </c>
      <c r="BW396" s="103">
        <v>10.91753774680604</v>
      </c>
      <c r="BX396" s="103">
        <v>6.6202090592334493</v>
      </c>
      <c r="BY396" s="103">
        <v>3.484320557491289</v>
      </c>
      <c r="BZ396" s="103">
        <v>0.81300813008130091</v>
      </c>
      <c r="CA396" s="103">
        <v>0.23228803716608595</v>
      </c>
      <c r="CB396" s="103">
        <v>0.11614401858304298</v>
      </c>
      <c r="CC396" s="42"/>
      <c r="CD396" s="110"/>
      <c r="CE396" s="46" t="s">
        <v>6</v>
      </c>
      <c r="CF396" s="103">
        <v>2.722926626480981</v>
      </c>
      <c r="CG396" s="103">
        <v>12.658490958220744</v>
      </c>
      <c r="CH396" s="103">
        <v>26.875909374350449</v>
      </c>
      <c r="CI396" s="103">
        <v>30.929120764913737</v>
      </c>
      <c r="CJ396" s="103">
        <v>13.510704635210974</v>
      </c>
      <c r="CK396" s="103">
        <v>8.2727083766368743</v>
      </c>
      <c r="CL396" s="103">
        <v>3.824568696736645</v>
      </c>
      <c r="CM396" s="103">
        <v>0.83142797755144471</v>
      </c>
      <c r="CN396" s="103">
        <v>0.29099979214300559</v>
      </c>
      <c r="CO396" s="103">
        <v>8.3142797755144451E-2</v>
      </c>
      <c r="CQ396" s="110"/>
      <c r="CR396" s="46" t="s">
        <v>6</v>
      </c>
      <c r="CS396" s="103">
        <v>1.9169329073482428</v>
      </c>
      <c r="CT396" s="103">
        <v>10.383386581469649</v>
      </c>
      <c r="CU396" s="103">
        <v>23.722044728434504</v>
      </c>
      <c r="CV396" s="103">
        <v>30.031948881789138</v>
      </c>
      <c r="CW396" s="103">
        <v>15.175718849840255</v>
      </c>
      <c r="CX396" s="103">
        <v>10.942492012779553</v>
      </c>
      <c r="CY396" s="103">
        <v>5.5111821086261985</v>
      </c>
      <c r="CZ396" s="103">
        <v>1.3578274760383386</v>
      </c>
      <c r="DA396" s="103">
        <v>0.79872204472843444</v>
      </c>
      <c r="DB396" s="103">
        <v>0.15974440894568689</v>
      </c>
      <c r="DC396" s="42"/>
      <c r="DD396" s="110"/>
      <c r="DE396" s="46" t="s">
        <v>6</v>
      </c>
      <c r="DF396" s="103">
        <v>3.3484162895927603</v>
      </c>
      <c r="DG396" s="103">
        <v>14.20814479638009</v>
      </c>
      <c r="DH396" s="103">
        <v>28.122171945701357</v>
      </c>
      <c r="DI396" s="103">
        <v>30.429864253393664</v>
      </c>
      <c r="DJ396" s="103">
        <v>12.53393665158371</v>
      </c>
      <c r="DK396" s="103">
        <v>7.1945701357466056</v>
      </c>
      <c r="DL396" s="103">
        <v>3.2805429864253397</v>
      </c>
      <c r="DM396" s="103">
        <v>0.67873303167420818</v>
      </c>
      <c r="DN396" s="103">
        <v>0.13574660633484162</v>
      </c>
      <c r="DO396" s="103">
        <v>6.7873303167420809E-2</v>
      </c>
    </row>
    <row r="397" spans="2:119" ht="16.25" customHeight="1" x14ac:dyDescent="0.45">
      <c r="B397" s="99"/>
      <c r="C397" s="42"/>
      <c r="D397" s="110"/>
      <c r="E397" s="47" t="s">
        <v>7</v>
      </c>
      <c r="F397" s="103">
        <v>1.8028545196561223</v>
      </c>
      <c r="G397" s="103">
        <v>8.0544194975377685</v>
      </c>
      <c r="H397" s="103">
        <v>19.080210333027292</v>
      </c>
      <c r="I397" s="103">
        <v>31.015774977046988</v>
      </c>
      <c r="J397" s="103">
        <v>16.876721475669811</v>
      </c>
      <c r="K397" s="103">
        <v>13.588181287037809</v>
      </c>
      <c r="L397" s="103">
        <v>6.7857440948167937</v>
      </c>
      <c r="M397" s="103">
        <v>1.9781320424004674</v>
      </c>
      <c r="N397" s="103">
        <v>0.65937734746682242</v>
      </c>
      <c r="O397" s="103">
        <v>0.15858442534012185</v>
      </c>
      <c r="P397" s="42"/>
      <c r="Q397" s="110"/>
      <c r="R397" s="46" t="s">
        <v>7</v>
      </c>
      <c r="S397" s="103">
        <v>1.0540698809291431</v>
      </c>
      <c r="T397" s="103">
        <v>5.9925824712082765</v>
      </c>
      <c r="U397" s="103">
        <v>17.450712473160259</v>
      </c>
      <c r="V397" s="103">
        <v>30.74370486043334</v>
      </c>
      <c r="W397" s="103">
        <v>17.860628537966036</v>
      </c>
      <c r="X397" s="103">
        <v>15.225453835643176</v>
      </c>
      <c r="Y397" s="103">
        <v>8.3935194222135472</v>
      </c>
      <c r="Z397" s="103">
        <v>2.3423775131758737</v>
      </c>
      <c r="AA397" s="103">
        <v>0.7807925043919578</v>
      </c>
      <c r="AB397" s="103">
        <v>0.15615850087839159</v>
      </c>
      <c r="AC397" s="42"/>
      <c r="AD397" s="110"/>
      <c r="AE397" s="46" t="s">
        <v>7</v>
      </c>
      <c r="AF397" s="103">
        <v>2.3622047244094486</v>
      </c>
      <c r="AG397" s="103">
        <v>9.594634004082824</v>
      </c>
      <c r="AH397" s="103">
        <v>20.297462817147856</v>
      </c>
      <c r="AI397" s="103">
        <v>31.21901428988043</v>
      </c>
      <c r="AJ397" s="103">
        <v>16.141732283464567</v>
      </c>
      <c r="AK397" s="103">
        <v>12.365121026538349</v>
      </c>
      <c r="AL397" s="103">
        <v>5.5847185768445611</v>
      </c>
      <c r="AM397" s="103">
        <v>1.7060367454068242</v>
      </c>
      <c r="AN397" s="103">
        <v>0.56867891513560809</v>
      </c>
      <c r="AO397" s="103">
        <v>0.16039661708953046</v>
      </c>
      <c r="AP397" s="6"/>
      <c r="AQ397" s="110"/>
      <c r="AR397" s="46" t="s">
        <v>7</v>
      </c>
      <c r="AS397" s="103">
        <v>2.9338327091136081</v>
      </c>
      <c r="AT397" s="103">
        <v>11.766541822721598</v>
      </c>
      <c r="AU397" s="103">
        <v>22.222222222222221</v>
      </c>
      <c r="AV397" s="103">
        <v>31.866416978776531</v>
      </c>
      <c r="AW397" s="103">
        <v>14.575530586766542</v>
      </c>
      <c r="AX397" s="103">
        <v>9.8002496878901368</v>
      </c>
      <c r="AY397" s="103">
        <v>4.7752808988764039</v>
      </c>
      <c r="AZ397" s="103">
        <v>1.5605493133583022</v>
      </c>
      <c r="BA397" s="103">
        <v>0.4057428214731586</v>
      </c>
      <c r="BB397" s="103">
        <v>9.3632958801498134E-2</v>
      </c>
      <c r="BC397" s="42"/>
      <c r="BD397" s="110"/>
      <c r="BE397" s="46" t="s">
        <v>7</v>
      </c>
      <c r="BF397" s="103">
        <v>1.3899965819756182</v>
      </c>
      <c r="BG397" s="103">
        <v>6.6993277885382243</v>
      </c>
      <c r="BH397" s="103">
        <v>17.933234590406745</v>
      </c>
      <c r="BI397" s="103">
        <v>30.705252364133528</v>
      </c>
      <c r="BJ397" s="103">
        <v>17.716759712885953</v>
      </c>
      <c r="BK397" s="103">
        <v>14.970946792753789</v>
      </c>
      <c r="BL397" s="103">
        <v>7.5196536401959673</v>
      </c>
      <c r="BM397" s="103">
        <v>2.1305685313888572</v>
      </c>
      <c r="BN397" s="103">
        <v>0.75196536401959668</v>
      </c>
      <c r="BO397" s="103">
        <v>0.18229463370172042</v>
      </c>
      <c r="BQ397" s="110"/>
      <c r="BR397" s="46" t="s">
        <v>7</v>
      </c>
      <c r="BS397" s="103">
        <v>3.1007751937984498</v>
      </c>
      <c r="BT397" s="103">
        <v>13.695090439276486</v>
      </c>
      <c r="BU397" s="103">
        <v>24.203273040482344</v>
      </c>
      <c r="BV397" s="103">
        <v>27.993109388458226</v>
      </c>
      <c r="BW397" s="103">
        <v>13.522825150732126</v>
      </c>
      <c r="BX397" s="103">
        <v>9.3023255813953494</v>
      </c>
      <c r="BY397" s="103">
        <v>5.2540913006029282</v>
      </c>
      <c r="BZ397" s="103">
        <v>1.8087855297157622</v>
      </c>
      <c r="CA397" s="103">
        <v>0.8613264427217916</v>
      </c>
      <c r="CB397" s="103">
        <v>0.2583979328165375</v>
      </c>
      <c r="CC397" s="42"/>
      <c r="CD397" s="110"/>
      <c r="CE397" s="46" t="s">
        <v>7</v>
      </c>
      <c r="CF397" s="103">
        <v>1.6635859519408502</v>
      </c>
      <c r="CG397" s="103">
        <v>7.4491682070240293</v>
      </c>
      <c r="CH397" s="103">
        <v>18.530499075785585</v>
      </c>
      <c r="CI397" s="103">
        <v>31.340110905730128</v>
      </c>
      <c r="CJ397" s="103">
        <v>17.236598890942698</v>
      </c>
      <c r="CK397" s="103">
        <v>14.048059149722736</v>
      </c>
      <c r="CL397" s="103">
        <v>6.9500924214417736</v>
      </c>
      <c r="CM397" s="103">
        <v>1.9963031423290205</v>
      </c>
      <c r="CN397" s="103">
        <v>0.63770794824399268</v>
      </c>
      <c r="CO397" s="103">
        <v>0.14787430683918668</v>
      </c>
      <c r="CQ397" s="110"/>
      <c r="CR397" s="46" t="s">
        <v>7</v>
      </c>
      <c r="CS397" s="103">
        <v>0.93686354378818737</v>
      </c>
      <c r="CT397" s="103">
        <v>5.4175152749490838</v>
      </c>
      <c r="CU397" s="103">
        <v>14.867617107942973</v>
      </c>
      <c r="CV397" s="103">
        <v>30.712830957230143</v>
      </c>
      <c r="CW397" s="103">
        <v>19.307535641547862</v>
      </c>
      <c r="CX397" s="103">
        <v>16.334012219959266</v>
      </c>
      <c r="CY397" s="103">
        <v>7.8207739307535649</v>
      </c>
      <c r="CZ397" s="103">
        <v>3.3401221995926682</v>
      </c>
      <c r="DA397" s="103">
        <v>1.0183299389002036</v>
      </c>
      <c r="DB397" s="103">
        <v>0.2443991853360489</v>
      </c>
      <c r="DC397" s="42"/>
      <c r="DD397" s="110"/>
      <c r="DE397" s="46" t="s">
        <v>7</v>
      </c>
      <c r="DF397" s="103">
        <v>2.0260340121771994</v>
      </c>
      <c r="DG397" s="103">
        <v>8.7339911820281344</v>
      </c>
      <c r="DH397" s="103">
        <v>20.165861851774093</v>
      </c>
      <c r="DI397" s="103">
        <v>31.093848414864585</v>
      </c>
      <c r="DJ397" s="103">
        <v>16.250262439638881</v>
      </c>
      <c r="DK397" s="103">
        <v>12.880537476380432</v>
      </c>
      <c r="DL397" s="103">
        <v>6.5190006298551335</v>
      </c>
      <c r="DM397" s="103">
        <v>1.6271257610749528</v>
      </c>
      <c r="DN397" s="103">
        <v>0.56686961998740293</v>
      </c>
      <c r="DO397" s="103">
        <v>0.1364686122191896</v>
      </c>
    </row>
    <row r="398" spans="2:119" ht="16.25" customHeight="1" x14ac:dyDescent="0.45">
      <c r="B398" s="99"/>
      <c r="C398" s="42"/>
      <c r="D398" s="110"/>
      <c r="E398" s="47" t="s">
        <v>8</v>
      </c>
      <c r="F398" s="103">
        <v>0.93720186317975196</v>
      </c>
      <c r="G398" s="103">
        <v>3.647791683034963</v>
      </c>
      <c r="H398" s="103">
        <v>9.9668892754924521</v>
      </c>
      <c r="I398" s="103">
        <v>24.496324148380939</v>
      </c>
      <c r="J398" s="103">
        <v>19.843986755710198</v>
      </c>
      <c r="K398" s="103">
        <v>19.737358998821485</v>
      </c>
      <c r="L398" s="103">
        <v>13.670800830574107</v>
      </c>
      <c r="M398" s="103">
        <v>5.1854761771143165</v>
      </c>
      <c r="N398" s="103">
        <v>1.9024636623828497</v>
      </c>
      <c r="O398" s="103">
        <v>0.61170660530893994</v>
      </c>
      <c r="P398" s="42"/>
      <c r="Q398" s="110"/>
      <c r="R398" s="46" t="s">
        <v>8</v>
      </c>
      <c r="S398" s="103">
        <v>0.35842293906810035</v>
      </c>
      <c r="T398" s="103">
        <v>2.4691358024691357</v>
      </c>
      <c r="U398" s="103">
        <v>8.4163016062657636</v>
      </c>
      <c r="V398" s="103">
        <v>22.793043939997347</v>
      </c>
      <c r="W398" s="103">
        <v>19.434488251692553</v>
      </c>
      <c r="X398" s="103">
        <v>20.908004778972522</v>
      </c>
      <c r="Y398" s="103">
        <v>15.983008097703438</v>
      </c>
      <c r="Z398" s="103">
        <v>6.2524890481879734</v>
      </c>
      <c r="AA398" s="103">
        <v>2.5620602681534583</v>
      </c>
      <c r="AB398" s="103">
        <v>0.82304526748971196</v>
      </c>
      <c r="AC398" s="42"/>
      <c r="AD398" s="110"/>
      <c r="AE398" s="46" t="s">
        <v>8</v>
      </c>
      <c r="AF398" s="103">
        <v>1.3610733035193465</v>
      </c>
      <c r="AG398" s="103">
        <v>4.5109858059498347</v>
      </c>
      <c r="AH398" s="103">
        <v>11.102469375850671</v>
      </c>
      <c r="AI398" s="103">
        <v>25.743729340851644</v>
      </c>
      <c r="AJ398" s="103">
        <v>20.14388489208633</v>
      </c>
      <c r="AK398" s="103">
        <v>18.880031110246936</v>
      </c>
      <c r="AL398" s="103">
        <v>11.977445070970251</v>
      </c>
      <c r="AM398" s="103">
        <v>4.4040443321018863</v>
      </c>
      <c r="AN398" s="103">
        <v>1.4194050165273187</v>
      </c>
      <c r="AO398" s="103">
        <v>0.45693175189578072</v>
      </c>
      <c r="AP398" s="6"/>
      <c r="AQ398" s="110"/>
      <c r="AR398" s="46" t="s">
        <v>8</v>
      </c>
      <c r="AS398" s="103">
        <v>2.0244938765308671</v>
      </c>
      <c r="AT398" s="103">
        <v>6.5233691577105724</v>
      </c>
      <c r="AU398" s="103">
        <v>13.671582104473881</v>
      </c>
      <c r="AV398" s="103">
        <v>27.343164208947762</v>
      </c>
      <c r="AW398" s="103">
        <v>18.470382404398901</v>
      </c>
      <c r="AX398" s="103">
        <v>16.670832291927017</v>
      </c>
      <c r="AY398" s="103">
        <v>10.222444388902774</v>
      </c>
      <c r="AZ398" s="103">
        <v>3.1992001999500128</v>
      </c>
      <c r="BA398" s="103">
        <v>1.5246188452886777</v>
      </c>
      <c r="BB398" s="103">
        <v>0.34991252186953264</v>
      </c>
      <c r="BC398" s="42"/>
      <c r="BD398" s="110"/>
      <c r="BE398" s="46" t="s">
        <v>8</v>
      </c>
      <c r="BF398" s="103">
        <v>0.6223766102185555</v>
      </c>
      <c r="BG398" s="103">
        <v>2.8151686206397453</v>
      </c>
      <c r="BH398" s="103">
        <v>8.8941959762628464</v>
      </c>
      <c r="BI398" s="103">
        <v>23.672022000289477</v>
      </c>
      <c r="BJ398" s="103">
        <v>20.241713706759299</v>
      </c>
      <c r="BK398" s="103">
        <v>20.625271385149805</v>
      </c>
      <c r="BL398" s="103">
        <v>14.669271964104791</v>
      </c>
      <c r="BM398" s="103">
        <v>5.7606021131856995</v>
      </c>
      <c r="BN398" s="103">
        <v>2.0118685772181211</v>
      </c>
      <c r="BO398" s="103">
        <v>0.6875090461716602</v>
      </c>
      <c r="BQ398" s="110"/>
      <c r="BR398" s="46" t="s">
        <v>8</v>
      </c>
      <c r="BS398" s="103">
        <v>3.0612244897959182</v>
      </c>
      <c r="BT398" s="103">
        <v>7.3283858998144709</v>
      </c>
      <c r="BU398" s="103">
        <v>15.120593692022263</v>
      </c>
      <c r="BV398" s="103">
        <v>28.385899814471244</v>
      </c>
      <c r="BW398" s="103">
        <v>16.048237476808904</v>
      </c>
      <c r="BX398" s="103">
        <v>14.935064935064934</v>
      </c>
      <c r="BY398" s="103">
        <v>9.7402597402597415</v>
      </c>
      <c r="BZ398" s="103">
        <v>3.6178107606679033</v>
      </c>
      <c r="CA398" s="103">
        <v>1.4842300556586272</v>
      </c>
      <c r="CB398" s="103">
        <v>0.27829313543599254</v>
      </c>
      <c r="CC398" s="42"/>
      <c r="CD398" s="110"/>
      <c r="CE398" s="46" t="s">
        <v>8</v>
      </c>
      <c r="CF398" s="103">
        <v>0.80043008183501596</v>
      </c>
      <c r="CG398" s="103">
        <v>3.4107878860283138</v>
      </c>
      <c r="CH398" s="103">
        <v>9.6350277761185108</v>
      </c>
      <c r="CI398" s="103">
        <v>24.245863449017381</v>
      </c>
      <c r="CJ398" s="103">
        <v>20.088405710531031</v>
      </c>
      <c r="CK398" s="103">
        <v>20.04659219879338</v>
      </c>
      <c r="CL398" s="103">
        <v>13.923899408637478</v>
      </c>
      <c r="CM398" s="103">
        <v>5.2864225554029032</v>
      </c>
      <c r="CN398" s="103">
        <v>1.9293948987515679</v>
      </c>
      <c r="CO398" s="103">
        <v>0.63317603488441554</v>
      </c>
      <c r="CQ398" s="110"/>
      <c r="CR398" s="46" t="s">
        <v>8</v>
      </c>
      <c r="CS398" s="103">
        <v>0.37962670041126223</v>
      </c>
      <c r="CT398" s="103">
        <v>2.1512179689971527</v>
      </c>
      <c r="CU398" s="103">
        <v>7.592534008225245</v>
      </c>
      <c r="CV398" s="103">
        <v>23.441948750395444</v>
      </c>
      <c r="CW398" s="103">
        <v>19.01297057893072</v>
      </c>
      <c r="CX398" s="103">
        <v>21.069281872825055</v>
      </c>
      <c r="CY398" s="103">
        <v>16.355583676051882</v>
      </c>
      <c r="CZ398" s="103">
        <v>6.0107560898449863</v>
      </c>
      <c r="DA398" s="103">
        <v>2.8155646947168615</v>
      </c>
      <c r="DB398" s="103">
        <v>1.1705156596013919</v>
      </c>
      <c r="DC398" s="42"/>
      <c r="DD398" s="110"/>
      <c r="DE398" s="46" t="s">
        <v>8</v>
      </c>
      <c r="DF398" s="103">
        <v>1.0574430345203985</v>
      </c>
      <c r="DG398" s="103">
        <v>3.9705280392959472</v>
      </c>
      <c r="DH398" s="103">
        <v>10.478919361440852</v>
      </c>
      <c r="DI398" s="103">
        <v>24.723700368399509</v>
      </c>
      <c r="DJ398" s="103">
        <v>20.023195524628189</v>
      </c>
      <c r="DK398" s="103">
        <v>19.450129622049392</v>
      </c>
      <c r="DL398" s="103">
        <v>13.091826988675127</v>
      </c>
      <c r="DM398" s="103">
        <v>5.0075044344385322</v>
      </c>
      <c r="DN398" s="103">
        <v>1.7055532814845134</v>
      </c>
      <c r="DO398" s="103">
        <v>0.49119934506753987</v>
      </c>
    </row>
    <row r="399" spans="2:119" ht="16.25" customHeight="1" x14ac:dyDescent="0.45">
      <c r="B399" s="99"/>
      <c r="C399" s="42"/>
      <c r="D399" s="110"/>
      <c r="E399" s="47" t="s">
        <v>9</v>
      </c>
      <c r="F399" s="103">
        <v>0.24803637866887143</v>
      </c>
      <c r="G399" s="103">
        <v>1.3538652335675898</v>
      </c>
      <c r="H399" s="103">
        <v>4.3199669284828444</v>
      </c>
      <c r="I399" s="103">
        <v>14.758164530797851</v>
      </c>
      <c r="J399" s="103">
        <v>16.825134353038447</v>
      </c>
      <c r="K399" s="103">
        <v>22.767672591980155</v>
      </c>
      <c r="L399" s="103">
        <v>21.222612649855314</v>
      </c>
      <c r="M399" s="103">
        <v>10.737908226539892</v>
      </c>
      <c r="N399" s="103">
        <v>5.5549813972716002</v>
      </c>
      <c r="O399" s="103">
        <v>2.211657709797437</v>
      </c>
      <c r="P399" s="42"/>
      <c r="Q399" s="110"/>
      <c r="R399" s="46" t="s">
        <v>9</v>
      </c>
      <c r="S399" s="103">
        <v>7.7249903437620698E-2</v>
      </c>
      <c r="T399" s="103">
        <v>0.81112398609501735</v>
      </c>
      <c r="U399" s="103">
        <v>3.3346208317239605</v>
      </c>
      <c r="V399" s="103">
        <v>12.205484743144071</v>
      </c>
      <c r="W399" s="103">
        <v>15.26973091283636</v>
      </c>
      <c r="X399" s="103">
        <v>22.235097206128493</v>
      </c>
      <c r="Y399" s="103">
        <v>22.647096691129136</v>
      </c>
      <c r="Z399" s="103">
        <v>13.029483713145359</v>
      </c>
      <c r="AA399" s="103">
        <v>7.2099909875112651</v>
      </c>
      <c r="AB399" s="103">
        <v>3.1801210248487193</v>
      </c>
      <c r="AC399" s="42"/>
      <c r="AD399" s="110"/>
      <c r="AE399" s="46" t="s">
        <v>9</v>
      </c>
      <c r="AF399" s="103">
        <v>0.36253776435045315</v>
      </c>
      <c r="AG399" s="103">
        <v>1.7177384548985757</v>
      </c>
      <c r="AH399" s="103">
        <v>4.9805783340526544</v>
      </c>
      <c r="AI399" s="103">
        <v>16.469572723349156</v>
      </c>
      <c r="AJ399" s="103">
        <v>17.867932671558048</v>
      </c>
      <c r="AK399" s="103">
        <v>23.124730254639619</v>
      </c>
      <c r="AL399" s="103">
        <v>20.267587397496765</v>
      </c>
      <c r="AM399" s="103">
        <v>9.2015537332757873</v>
      </c>
      <c r="AN399" s="103">
        <v>4.4454035390591287</v>
      </c>
      <c r="AO399" s="103">
        <v>1.5623651273198103</v>
      </c>
      <c r="AP399" s="6"/>
      <c r="AQ399" s="110"/>
      <c r="AR399" s="46" t="s">
        <v>9</v>
      </c>
      <c r="AS399" s="103">
        <v>0.47619047619047622</v>
      </c>
      <c r="AT399" s="103">
        <v>2.7976190476190479</v>
      </c>
      <c r="AU399" s="103">
        <v>7.5297619047619042</v>
      </c>
      <c r="AV399" s="103">
        <v>19.49404761904762</v>
      </c>
      <c r="AW399" s="103">
        <v>17.976190476190474</v>
      </c>
      <c r="AX399" s="103">
        <v>21.607142857142858</v>
      </c>
      <c r="AY399" s="103">
        <v>17.589285714285715</v>
      </c>
      <c r="AZ399" s="103">
        <v>7.4404761904761907</v>
      </c>
      <c r="BA399" s="103">
        <v>3.7202380952380953</v>
      </c>
      <c r="BB399" s="103">
        <v>1.3690476190476191</v>
      </c>
      <c r="BC399" s="42"/>
      <c r="BD399" s="110"/>
      <c r="BE399" s="46" t="s">
        <v>9</v>
      </c>
      <c r="BF399" s="103">
        <v>0.20010005002501249</v>
      </c>
      <c r="BG399" s="103">
        <v>1.0505252626313157</v>
      </c>
      <c r="BH399" s="103">
        <v>3.6455727863931968</v>
      </c>
      <c r="BI399" s="103">
        <v>13.76313156578289</v>
      </c>
      <c r="BJ399" s="103">
        <v>16.583291645822911</v>
      </c>
      <c r="BK399" s="103">
        <v>23.011505752876438</v>
      </c>
      <c r="BL399" s="103">
        <v>21.985992996498251</v>
      </c>
      <c r="BM399" s="103">
        <v>11.430715357678839</v>
      </c>
      <c r="BN399" s="103">
        <v>5.9404702351175587</v>
      </c>
      <c r="BO399" s="103">
        <v>2.3886943471735869</v>
      </c>
      <c r="BQ399" s="110"/>
      <c r="BR399" s="46" t="s">
        <v>9</v>
      </c>
      <c r="BS399" s="103">
        <v>0.59382422802850354</v>
      </c>
      <c r="BT399" s="103">
        <v>4.513064133016627</v>
      </c>
      <c r="BU399" s="103">
        <v>10.213776722090261</v>
      </c>
      <c r="BV399" s="103">
        <v>18.527315914489311</v>
      </c>
      <c r="BW399" s="103">
        <v>14.726840855106888</v>
      </c>
      <c r="BX399" s="103">
        <v>20.190023752969122</v>
      </c>
      <c r="BY399" s="103">
        <v>15.795724465558195</v>
      </c>
      <c r="BZ399" s="103">
        <v>9.1448931116389556</v>
      </c>
      <c r="CA399" s="103">
        <v>3.4441805225653201</v>
      </c>
      <c r="CB399" s="103">
        <v>2.8503562945368173</v>
      </c>
      <c r="CC399" s="42"/>
      <c r="CD399" s="110"/>
      <c r="CE399" s="46" t="s">
        <v>9</v>
      </c>
      <c r="CF399" s="103">
        <v>0.23230686115613183</v>
      </c>
      <c r="CG399" s="103">
        <v>1.2101566720691519</v>
      </c>
      <c r="CH399" s="103">
        <v>4.0518638573743919</v>
      </c>
      <c r="CI399" s="103">
        <v>14.58670988654781</v>
      </c>
      <c r="CJ399" s="103">
        <v>16.92058346839546</v>
      </c>
      <c r="CK399" s="103">
        <v>22.884927066450565</v>
      </c>
      <c r="CL399" s="103">
        <v>21.469475958941111</v>
      </c>
      <c r="CM399" s="103">
        <v>10.810372771474878</v>
      </c>
      <c r="CN399" s="103">
        <v>5.6509994597514854</v>
      </c>
      <c r="CO399" s="103">
        <v>2.1826039978390059</v>
      </c>
      <c r="CQ399" s="110"/>
      <c r="CR399" s="46" t="s">
        <v>9</v>
      </c>
      <c r="CS399" s="103">
        <v>0.20073603211776514</v>
      </c>
      <c r="CT399" s="103">
        <v>1.0371361659417866</v>
      </c>
      <c r="CU399" s="103">
        <v>3.3790565406490467</v>
      </c>
      <c r="CV399" s="103">
        <v>12.311809969889595</v>
      </c>
      <c r="CW399" s="103">
        <v>16.426898628303778</v>
      </c>
      <c r="CX399" s="103">
        <v>21.512211441953831</v>
      </c>
      <c r="CY399" s="103">
        <v>23.01773168283707</v>
      </c>
      <c r="CZ399" s="103">
        <v>12.51254600200736</v>
      </c>
      <c r="DA399" s="103">
        <v>6.7915690866510543</v>
      </c>
      <c r="DB399" s="103">
        <v>2.810304449648712</v>
      </c>
      <c r="DC399" s="42"/>
      <c r="DD399" s="110"/>
      <c r="DE399" s="46" t="s">
        <v>9</v>
      </c>
      <c r="DF399" s="103">
        <v>0.25667664853633199</v>
      </c>
      <c r="DG399" s="103">
        <v>1.4117215669498258</v>
      </c>
      <c r="DH399" s="103">
        <v>4.49184134938581</v>
      </c>
      <c r="DI399" s="103">
        <v>15.20503575139033</v>
      </c>
      <c r="DJ399" s="103">
        <v>16.897879361975189</v>
      </c>
      <c r="DK399" s="103">
        <v>22.997005439100409</v>
      </c>
      <c r="DL399" s="103">
        <v>20.894701460612357</v>
      </c>
      <c r="DM399" s="103">
        <v>10.413738312045469</v>
      </c>
      <c r="DN399" s="103">
        <v>5.3290961315162253</v>
      </c>
      <c r="DO399" s="103">
        <v>2.1023039784880524</v>
      </c>
    </row>
    <row r="400" spans="2:119" ht="16.25" customHeight="1" x14ac:dyDescent="0.45">
      <c r="B400" s="99"/>
      <c r="C400" s="42"/>
      <c r="D400" s="110"/>
      <c r="E400" s="47" t="s">
        <v>10</v>
      </c>
      <c r="F400" s="103">
        <v>0.10275628626692455</v>
      </c>
      <c r="G400" s="103">
        <v>0.3687137330754352</v>
      </c>
      <c r="H400" s="103">
        <v>1.1544970986460348</v>
      </c>
      <c r="I400" s="103">
        <v>5.2345261121856872</v>
      </c>
      <c r="J400" s="103">
        <v>9.0123307543520319</v>
      </c>
      <c r="K400" s="103">
        <v>18.16972920696325</v>
      </c>
      <c r="L400" s="103">
        <v>26.100096711798837</v>
      </c>
      <c r="M400" s="103">
        <v>19.130802707930368</v>
      </c>
      <c r="N400" s="103">
        <v>13.12862669245648</v>
      </c>
      <c r="O400" s="103">
        <v>7.5979206963249517</v>
      </c>
      <c r="P400" s="42"/>
      <c r="Q400" s="110"/>
      <c r="R400" s="46" t="s">
        <v>10</v>
      </c>
      <c r="S400" s="103">
        <v>3.2653061224489799E-2</v>
      </c>
      <c r="T400" s="103">
        <v>0.16326530612244899</v>
      </c>
      <c r="U400" s="103">
        <v>0.65306122448979598</v>
      </c>
      <c r="V400" s="103">
        <v>3.8367346938775513</v>
      </c>
      <c r="W400" s="103">
        <v>7.3795918367346935</v>
      </c>
      <c r="X400" s="103">
        <v>14.710204081632652</v>
      </c>
      <c r="Y400" s="103">
        <v>26.432653061224492</v>
      </c>
      <c r="Z400" s="103">
        <v>21.044897959183672</v>
      </c>
      <c r="AA400" s="103">
        <v>15.902040816326531</v>
      </c>
      <c r="AB400" s="103">
        <v>9.8448979591836743</v>
      </c>
      <c r="AC400" s="42"/>
      <c r="AD400" s="110"/>
      <c r="AE400" s="46" t="s">
        <v>10</v>
      </c>
      <c r="AF400" s="103">
        <v>0.14396775122372588</v>
      </c>
      <c r="AG400" s="103">
        <v>0.48949035416066805</v>
      </c>
      <c r="AH400" s="103">
        <v>1.4492753623188406</v>
      </c>
      <c r="AI400" s="103">
        <v>6.0562434014780688</v>
      </c>
      <c r="AJ400" s="103">
        <v>9.9721662347634137</v>
      </c>
      <c r="AK400" s="103">
        <v>20.203474421729535</v>
      </c>
      <c r="AL400" s="103">
        <v>25.904597370189077</v>
      </c>
      <c r="AM400" s="103">
        <v>18.005566753047315</v>
      </c>
      <c r="AN400" s="103">
        <v>11.498224397734907</v>
      </c>
      <c r="AO400" s="103">
        <v>6.2769939533544488</v>
      </c>
      <c r="AP400" s="6"/>
      <c r="AQ400" s="110"/>
      <c r="AR400" s="46" t="s">
        <v>10</v>
      </c>
      <c r="AS400" s="103">
        <v>0.13863216266173753</v>
      </c>
      <c r="AT400" s="103">
        <v>0.97042513863216262</v>
      </c>
      <c r="AU400" s="103">
        <v>2.957486136783734</v>
      </c>
      <c r="AV400" s="103">
        <v>9.2883548983364133</v>
      </c>
      <c r="AW400" s="103">
        <v>13.308687615526802</v>
      </c>
      <c r="AX400" s="103">
        <v>20.147874306839185</v>
      </c>
      <c r="AY400" s="103">
        <v>24.630314232902034</v>
      </c>
      <c r="AZ400" s="103">
        <v>14.64879852125693</v>
      </c>
      <c r="BA400" s="103">
        <v>9.1959334565619226</v>
      </c>
      <c r="BB400" s="103">
        <v>4.7134935304990755</v>
      </c>
      <c r="BC400" s="42"/>
      <c r="BD400" s="110"/>
      <c r="BE400" s="46" t="s">
        <v>10</v>
      </c>
      <c r="BF400" s="103">
        <v>9.7357440890125171E-2</v>
      </c>
      <c r="BG400" s="103">
        <v>0.27816411682892905</v>
      </c>
      <c r="BH400" s="103">
        <v>0.88317107093184977</v>
      </c>
      <c r="BI400" s="103">
        <v>4.624478442280946</v>
      </c>
      <c r="BJ400" s="103">
        <v>8.3657858136300423</v>
      </c>
      <c r="BK400" s="103">
        <v>17.872044506258693</v>
      </c>
      <c r="BL400" s="103">
        <v>26.321279554937416</v>
      </c>
      <c r="BM400" s="103">
        <v>19.80528511821975</v>
      </c>
      <c r="BN400" s="103">
        <v>13.720445062586926</v>
      </c>
      <c r="BO400" s="103">
        <v>8.031988873435326</v>
      </c>
      <c r="BQ400" s="110"/>
      <c r="BR400" s="46" t="s">
        <v>10</v>
      </c>
      <c r="BS400" s="103">
        <v>0.35714285714285715</v>
      </c>
      <c r="BT400" s="103">
        <v>1.0714285714285714</v>
      </c>
      <c r="BU400" s="103">
        <v>3.5714285714285712</v>
      </c>
      <c r="BV400" s="103">
        <v>11.428571428571429</v>
      </c>
      <c r="BW400" s="103">
        <v>12.678571428571427</v>
      </c>
      <c r="BX400" s="103">
        <v>19.821428571428569</v>
      </c>
      <c r="BY400" s="103">
        <v>21.964285714285715</v>
      </c>
      <c r="BZ400" s="103">
        <v>13.392857142857142</v>
      </c>
      <c r="CA400" s="103">
        <v>9.2857142857142865</v>
      </c>
      <c r="CB400" s="103">
        <v>6.4285714285714279</v>
      </c>
      <c r="CC400" s="42"/>
      <c r="CD400" s="110"/>
      <c r="CE400" s="46" t="s">
        <v>10</v>
      </c>
      <c r="CF400" s="103">
        <v>9.3843843843843838E-2</v>
      </c>
      <c r="CG400" s="103">
        <v>0.34409409409409408</v>
      </c>
      <c r="CH400" s="103">
        <v>1.0698198198198199</v>
      </c>
      <c r="CI400" s="103">
        <v>5.0175175175175175</v>
      </c>
      <c r="CJ400" s="103">
        <v>8.8838838838838843</v>
      </c>
      <c r="CK400" s="103">
        <v>18.111861861861861</v>
      </c>
      <c r="CL400" s="103">
        <v>26.244994994994997</v>
      </c>
      <c r="CM400" s="103">
        <v>19.331831831831831</v>
      </c>
      <c r="CN400" s="103">
        <v>13.263263263263264</v>
      </c>
      <c r="CO400" s="103">
        <v>7.6388888888888893</v>
      </c>
      <c r="CQ400" s="110"/>
      <c r="CR400" s="46" t="s">
        <v>10</v>
      </c>
      <c r="CS400" s="103">
        <v>8.206811653672548E-2</v>
      </c>
      <c r="CT400" s="103">
        <v>0.32827246614690192</v>
      </c>
      <c r="CU400" s="103">
        <v>0.77964710709889207</v>
      </c>
      <c r="CV400" s="103">
        <v>3.9803036520311856</v>
      </c>
      <c r="CW400" s="103">
        <v>7.6323348379154696</v>
      </c>
      <c r="CX400" s="103">
        <v>16.331555190808373</v>
      </c>
      <c r="CY400" s="103">
        <v>24.866639310627821</v>
      </c>
      <c r="CZ400" s="103">
        <v>20.434961017644646</v>
      </c>
      <c r="DA400" s="103">
        <v>16.085350841198196</v>
      </c>
      <c r="DB400" s="103">
        <v>9.4788674599917933</v>
      </c>
      <c r="DC400" s="42"/>
      <c r="DD400" s="110"/>
      <c r="DE400" s="46" t="s">
        <v>10</v>
      </c>
      <c r="DF400" s="103">
        <v>0.10633019068547529</v>
      </c>
      <c r="DG400" s="103">
        <v>0.3757000070886794</v>
      </c>
      <c r="DH400" s="103">
        <v>1.2192528531934501</v>
      </c>
      <c r="DI400" s="103">
        <v>5.4511944424753667</v>
      </c>
      <c r="DJ400" s="103">
        <v>9.2507265896363506</v>
      </c>
      <c r="DK400" s="103">
        <v>18.487275820514636</v>
      </c>
      <c r="DL400" s="103">
        <v>26.31317785496562</v>
      </c>
      <c r="DM400" s="103">
        <v>18.90550790387751</v>
      </c>
      <c r="DN400" s="103">
        <v>12.617849294676404</v>
      </c>
      <c r="DO400" s="103">
        <v>7.2729850428865106</v>
      </c>
    </row>
    <row r="401" spans="2:119" ht="16.25" customHeight="1" x14ac:dyDescent="0.45">
      <c r="B401" s="99"/>
      <c r="C401" s="42"/>
      <c r="D401" s="111"/>
      <c r="E401" s="47" t="s">
        <v>11</v>
      </c>
      <c r="F401" s="103">
        <v>0</v>
      </c>
      <c r="G401" s="103">
        <v>0</v>
      </c>
      <c r="H401" s="103">
        <v>0.27993779160186627</v>
      </c>
      <c r="I401" s="103">
        <v>1.1819595645412131</v>
      </c>
      <c r="J401" s="103">
        <v>3.2659409020217729</v>
      </c>
      <c r="K401" s="103">
        <v>8.2737169517884919</v>
      </c>
      <c r="L401" s="103">
        <v>19.035769828926906</v>
      </c>
      <c r="M401" s="103">
        <v>23.172628304821149</v>
      </c>
      <c r="N401" s="103">
        <v>22.954898911353034</v>
      </c>
      <c r="O401" s="103">
        <v>21.835147744945569</v>
      </c>
      <c r="P401" s="42"/>
      <c r="Q401" s="111"/>
      <c r="R401" s="46" t="s">
        <v>11</v>
      </c>
      <c r="S401" s="103">
        <v>0</v>
      </c>
      <c r="T401" s="103">
        <v>0</v>
      </c>
      <c r="U401" s="103">
        <v>0.24590163934426232</v>
      </c>
      <c r="V401" s="103">
        <v>0.73770491803278693</v>
      </c>
      <c r="W401" s="103">
        <v>1.8852459016393444</v>
      </c>
      <c r="X401" s="103">
        <v>6.0655737704918034</v>
      </c>
      <c r="Y401" s="103">
        <v>15.327868852459018</v>
      </c>
      <c r="Z401" s="103">
        <v>22.622950819672131</v>
      </c>
      <c r="AA401" s="103">
        <v>24.918032786885249</v>
      </c>
      <c r="AB401" s="103">
        <v>28.196721311475407</v>
      </c>
      <c r="AC401" s="42"/>
      <c r="AD401" s="111"/>
      <c r="AE401" s="46" t="s">
        <v>11</v>
      </c>
      <c r="AF401" s="103">
        <v>0</v>
      </c>
      <c r="AG401" s="103">
        <v>0</v>
      </c>
      <c r="AH401" s="103">
        <v>0.30075187969924816</v>
      </c>
      <c r="AI401" s="103">
        <v>1.4536340852130327</v>
      </c>
      <c r="AJ401" s="103">
        <v>4.1102756892230579</v>
      </c>
      <c r="AK401" s="103">
        <v>9.6240601503759411</v>
      </c>
      <c r="AL401" s="103">
        <v>21.303258145363408</v>
      </c>
      <c r="AM401" s="103">
        <v>23.508771929824562</v>
      </c>
      <c r="AN401" s="103">
        <v>21.754385964912281</v>
      </c>
      <c r="AO401" s="103">
        <v>17.944862155388471</v>
      </c>
      <c r="AP401" s="6"/>
      <c r="AQ401" s="111"/>
      <c r="AR401" s="46" t="s">
        <v>11</v>
      </c>
      <c r="AS401" s="103">
        <v>0</v>
      </c>
      <c r="AT401" s="103">
        <v>0</v>
      </c>
      <c r="AU401" s="103">
        <v>1.153846153846154</v>
      </c>
      <c r="AV401" s="103">
        <v>3.4615384615384617</v>
      </c>
      <c r="AW401" s="103">
        <v>7.3076923076923084</v>
      </c>
      <c r="AX401" s="103">
        <v>14.23076923076923</v>
      </c>
      <c r="AY401" s="103">
        <v>21.153846153846153</v>
      </c>
      <c r="AZ401" s="103">
        <v>18.461538461538463</v>
      </c>
      <c r="BA401" s="103">
        <v>19.230769230769234</v>
      </c>
      <c r="BB401" s="103">
        <v>15</v>
      </c>
      <c r="BC401" s="42"/>
      <c r="BD401" s="111"/>
      <c r="BE401" s="46" t="s">
        <v>11</v>
      </c>
      <c r="BF401" s="103">
        <v>0</v>
      </c>
      <c r="BG401" s="103">
        <v>0</v>
      </c>
      <c r="BH401" s="103">
        <v>0.20304568527918782</v>
      </c>
      <c r="BI401" s="103">
        <v>0.9813874788494078</v>
      </c>
      <c r="BJ401" s="103">
        <v>2.9103214890016922</v>
      </c>
      <c r="BK401" s="103">
        <v>7.7495769881556678</v>
      </c>
      <c r="BL401" s="103">
        <v>18.849407783417934</v>
      </c>
      <c r="BM401" s="103">
        <v>23.58714043993232</v>
      </c>
      <c r="BN401" s="103">
        <v>23.282571912013537</v>
      </c>
      <c r="BO401" s="103">
        <v>22.436548223350254</v>
      </c>
      <c r="BQ401" s="111"/>
      <c r="BR401" s="46" t="s">
        <v>11</v>
      </c>
      <c r="BS401" s="103">
        <v>0</v>
      </c>
      <c r="BT401" s="103">
        <v>0</v>
      </c>
      <c r="BU401" s="103">
        <v>1.3513513513513513</v>
      </c>
      <c r="BV401" s="103">
        <v>2.7027027027027026</v>
      </c>
      <c r="BW401" s="103">
        <v>5.4054054054054053</v>
      </c>
      <c r="BX401" s="103">
        <v>5.4054054054054053</v>
      </c>
      <c r="BY401" s="103">
        <v>25.675675675675674</v>
      </c>
      <c r="BZ401" s="103">
        <v>20.27027027027027</v>
      </c>
      <c r="CA401" s="103">
        <v>12.162162162162163</v>
      </c>
      <c r="CB401" s="103">
        <v>27.027027027027028</v>
      </c>
      <c r="CC401" s="42"/>
      <c r="CD401" s="111"/>
      <c r="CE401" s="46" t="s">
        <v>11</v>
      </c>
      <c r="CF401" s="103">
        <v>0</v>
      </c>
      <c r="CG401" s="103">
        <v>0</v>
      </c>
      <c r="CH401" s="103">
        <v>0.25469595670168738</v>
      </c>
      <c r="CI401" s="103">
        <v>1.1461318051575931</v>
      </c>
      <c r="CJ401" s="103">
        <v>3.2155364533588027</v>
      </c>
      <c r="CK401" s="103">
        <v>8.3412925819802606</v>
      </c>
      <c r="CL401" s="103">
        <v>18.879337790512576</v>
      </c>
      <c r="CM401" s="103">
        <v>23.241006049028972</v>
      </c>
      <c r="CN401" s="103">
        <v>23.209169054441261</v>
      </c>
      <c r="CO401" s="103">
        <v>21.712830308818848</v>
      </c>
      <c r="CQ401" s="111"/>
      <c r="CR401" s="46" t="s">
        <v>11</v>
      </c>
      <c r="CS401" s="103">
        <v>0</v>
      </c>
      <c r="CT401" s="103">
        <v>0</v>
      </c>
      <c r="CU401" s="103">
        <v>0</v>
      </c>
      <c r="CV401" s="103">
        <v>0.66518847006651882</v>
      </c>
      <c r="CW401" s="103">
        <v>2.6607538802660753</v>
      </c>
      <c r="CX401" s="103">
        <v>6.4301552106430151</v>
      </c>
      <c r="CY401" s="103">
        <v>14.190687361419069</v>
      </c>
      <c r="CZ401" s="103">
        <v>24.390243902439025</v>
      </c>
      <c r="DA401" s="103">
        <v>24.390243902439025</v>
      </c>
      <c r="DB401" s="103">
        <v>27.27272727272727</v>
      </c>
      <c r="DC401" s="42"/>
      <c r="DD401" s="111"/>
      <c r="DE401" s="46" t="s">
        <v>11</v>
      </c>
      <c r="DF401" s="103">
        <v>0</v>
      </c>
      <c r="DG401" s="103">
        <v>0</v>
      </c>
      <c r="DH401" s="103">
        <v>0.32561505065123009</v>
      </c>
      <c r="DI401" s="103">
        <v>1.2662807525325614</v>
      </c>
      <c r="DJ401" s="103">
        <v>3.3646888567293773</v>
      </c>
      <c r="DK401" s="103">
        <v>8.5745296671490596</v>
      </c>
      <c r="DL401" s="103">
        <v>19.826338639652676</v>
      </c>
      <c r="DM401" s="103">
        <v>22.9739507959479</v>
      </c>
      <c r="DN401" s="103">
        <v>22.720694645441387</v>
      </c>
      <c r="DO401" s="103">
        <v>20.947901591895803</v>
      </c>
    </row>
    <row r="402" spans="2:119" x14ac:dyDescent="0.45">
      <c r="B402" s="99"/>
      <c r="C402" s="42"/>
      <c r="D402" s="42"/>
      <c r="E402" s="42"/>
      <c r="F402" s="42"/>
      <c r="G402" s="42"/>
      <c r="H402" s="42"/>
      <c r="I402" s="42"/>
      <c r="J402" s="42"/>
      <c r="K402" s="42"/>
      <c r="L402" s="42"/>
      <c r="M402" s="42"/>
      <c r="N402" s="42"/>
      <c r="O402" s="42"/>
      <c r="P402" s="42"/>
      <c r="Q402" s="42"/>
      <c r="R402" s="42"/>
      <c r="S402" s="42"/>
      <c r="T402" s="42"/>
      <c r="U402" s="42"/>
      <c r="V402" s="42"/>
      <c r="W402" s="42"/>
      <c r="X402" s="42"/>
      <c r="Y402" s="42"/>
      <c r="Z402" s="42"/>
      <c r="AA402" s="42"/>
      <c r="AB402" s="42"/>
      <c r="AC402" s="42"/>
      <c r="AD402" s="42"/>
      <c r="AE402" s="42"/>
      <c r="AF402" s="42"/>
      <c r="AG402" s="42"/>
      <c r="AH402" s="42"/>
      <c r="AI402" s="42"/>
      <c r="AJ402" s="42"/>
      <c r="AK402" s="42"/>
      <c r="AL402" s="42"/>
      <c r="AM402" s="42"/>
      <c r="AN402" s="42"/>
      <c r="AO402" s="42"/>
      <c r="AQ402" s="42"/>
      <c r="AR402" s="42"/>
      <c r="AS402" s="42"/>
      <c r="AT402" s="42"/>
      <c r="AU402" s="42"/>
      <c r="AV402" s="42"/>
      <c r="AW402" s="42"/>
      <c r="AX402" s="42"/>
      <c r="AY402" s="42"/>
      <c r="AZ402" s="42"/>
      <c r="BA402" s="42"/>
      <c r="BB402" s="42"/>
      <c r="BC402" s="42"/>
      <c r="BD402" s="42"/>
      <c r="BE402" s="42"/>
      <c r="BF402" s="42"/>
      <c r="BG402" s="42"/>
      <c r="BH402" s="42"/>
      <c r="BI402" s="42"/>
      <c r="BJ402" s="42"/>
      <c r="BK402" s="42"/>
      <c r="BL402" s="42"/>
      <c r="BM402" s="42"/>
      <c r="BN402" s="42"/>
      <c r="BO402" s="42"/>
      <c r="BQ402" s="42"/>
      <c r="BR402" s="42"/>
      <c r="BS402" s="42"/>
      <c r="BT402" s="42"/>
      <c r="BU402" s="42"/>
      <c r="BV402" s="42"/>
      <c r="BW402" s="42"/>
      <c r="BX402" s="42"/>
      <c r="BY402" s="42"/>
      <c r="BZ402" s="42"/>
      <c r="CA402" s="42"/>
      <c r="CB402" s="42"/>
      <c r="CC402" s="42"/>
      <c r="CD402" s="42"/>
      <c r="CE402" s="42"/>
      <c r="CF402" s="42"/>
      <c r="CG402" s="42"/>
      <c r="CH402" s="42"/>
      <c r="CI402" s="42"/>
      <c r="CJ402" s="42"/>
      <c r="CK402" s="42"/>
      <c r="CL402" s="42"/>
      <c r="CM402" s="42"/>
      <c r="CN402" s="42"/>
      <c r="CO402" s="42"/>
      <c r="CQ402" s="42"/>
      <c r="CR402" s="42"/>
      <c r="CS402" s="42"/>
      <c r="CT402" s="42"/>
      <c r="CU402" s="42"/>
      <c r="CV402" s="42"/>
      <c r="CW402" s="42"/>
      <c r="CX402" s="42"/>
      <c r="CY402" s="42"/>
      <c r="CZ402" s="42"/>
      <c r="DA402" s="42"/>
      <c r="DB402" s="42"/>
      <c r="DC402" s="42"/>
      <c r="DD402" s="42"/>
      <c r="DE402" s="42"/>
      <c r="DF402" s="42"/>
      <c r="DG402" s="42"/>
      <c r="DH402" s="42"/>
      <c r="DI402" s="42"/>
      <c r="DJ402" s="42"/>
      <c r="DK402" s="42"/>
      <c r="DL402" s="42"/>
      <c r="DM402" s="42"/>
      <c r="DN402" s="42"/>
      <c r="DO402" s="42"/>
    </row>
    <row r="403" spans="2:119" x14ac:dyDescent="0.45">
      <c r="B403" s="99"/>
      <c r="C403" s="42"/>
      <c r="D403" s="42"/>
      <c r="E403" s="42"/>
      <c r="F403" s="42"/>
      <c r="G403" s="42"/>
      <c r="H403" s="42"/>
      <c r="I403" s="42"/>
      <c r="J403" s="42"/>
      <c r="K403" s="42"/>
      <c r="L403" s="42"/>
      <c r="M403" s="42"/>
      <c r="N403" s="42"/>
      <c r="O403" s="42"/>
      <c r="P403" s="42"/>
      <c r="Q403" s="42"/>
      <c r="R403" s="42"/>
      <c r="S403" s="42"/>
      <c r="T403" s="42"/>
      <c r="U403" s="42"/>
      <c r="V403" s="42"/>
      <c r="W403" s="42"/>
      <c r="X403" s="42"/>
      <c r="Y403" s="42"/>
      <c r="Z403" s="42"/>
      <c r="AA403" s="42"/>
      <c r="AB403" s="42"/>
      <c r="AC403" s="42"/>
      <c r="AD403" s="42"/>
      <c r="AE403" s="42"/>
      <c r="AF403" s="42"/>
      <c r="AG403" s="42"/>
      <c r="AH403" s="42"/>
      <c r="AI403" s="42"/>
      <c r="AJ403" s="42"/>
      <c r="AK403" s="42"/>
      <c r="AL403" s="42"/>
      <c r="AM403" s="42"/>
      <c r="AN403" s="42"/>
      <c r="AO403" s="42"/>
      <c r="AQ403" s="42"/>
      <c r="AR403" s="42"/>
      <c r="AS403" s="42"/>
      <c r="AT403" s="42"/>
      <c r="AU403" s="42"/>
      <c r="AV403" s="42"/>
      <c r="AW403" s="42"/>
      <c r="AX403" s="42"/>
      <c r="AY403" s="42"/>
      <c r="AZ403" s="42"/>
      <c r="BA403" s="42"/>
      <c r="BB403" s="42"/>
      <c r="BC403" s="42"/>
      <c r="BD403" s="42"/>
      <c r="BE403" s="42"/>
      <c r="BF403" s="42"/>
      <c r="BG403" s="42"/>
      <c r="BH403" s="42"/>
      <c r="BI403" s="42"/>
      <c r="BJ403" s="42"/>
      <c r="BK403" s="42"/>
      <c r="BL403" s="42"/>
      <c r="BM403" s="42"/>
      <c r="BN403" s="42"/>
      <c r="BO403" s="42"/>
      <c r="BQ403" s="42"/>
      <c r="BR403" s="42"/>
      <c r="BS403" s="42"/>
      <c r="BT403" s="42"/>
      <c r="BU403" s="42"/>
      <c r="BV403" s="42"/>
      <c r="BW403" s="42"/>
      <c r="BX403" s="42"/>
      <c r="BY403" s="42"/>
      <c r="BZ403" s="42"/>
      <c r="CA403" s="42"/>
      <c r="CB403" s="42"/>
      <c r="CC403" s="42"/>
      <c r="CD403" s="42"/>
      <c r="CE403" s="42"/>
      <c r="CF403" s="42"/>
      <c r="CG403" s="42"/>
      <c r="CH403" s="42"/>
      <c r="CI403" s="42"/>
      <c r="CJ403" s="42"/>
      <c r="CK403" s="42"/>
      <c r="CL403" s="42"/>
      <c r="CM403" s="42"/>
      <c r="CN403" s="42"/>
      <c r="CO403" s="42"/>
      <c r="CQ403" s="42"/>
      <c r="CR403" s="42"/>
      <c r="CS403" s="42"/>
      <c r="CT403" s="42"/>
      <c r="CU403" s="42"/>
      <c r="CV403" s="42"/>
      <c r="CW403" s="42"/>
      <c r="CX403" s="42"/>
      <c r="CY403" s="42"/>
      <c r="CZ403" s="42"/>
      <c r="DA403" s="42"/>
      <c r="DB403" s="42"/>
      <c r="DC403" s="42"/>
      <c r="DD403" s="42"/>
      <c r="DE403" s="42"/>
      <c r="DF403" s="42"/>
      <c r="DG403" s="42"/>
      <c r="DH403" s="42"/>
      <c r="DI403" s="42"/>
      <c r="DJ403" s="42"/>
      <c r="DK403" s="42"/>
      <c r="DL403" s="42"/>
      <c r="DM403" s="42"/>
      <c r="DN403" s="42"/>
      <c r="DO403" s="42"/>
    </row>
    <row r="404" spans="2:119" ht="18.75" customHeight="1" x14ac:dyDescent="0.55000000000000004">
      <c r="B404" s="99"/>
      <c r="C404" s="42"/>
      <c r="D404" s="112" t="s">
        <v>24</v>
      </c>
      <c r="E404" s="112"/>
      <c r="F404" s="45"/>
      <c r="G404" s="45"/>
      <c r="H404" s="45"/>
      <c r="I404" s="45"/>
      <c r="J404" s="45"/>
      <c r="K404" s="45"/>
      <c r="L404" s="45"/>
      <c r="M404" s="45"/>
      <c r="N404" s="45"/>
      <c r="O404" s="45"/>
      <c r="P404" s="42"/>
      <c r="Q404" s="112" t="s">
        <v>24</v>
      </c>
      <c r="R404" s="112"/>
      <c r="S404" s="45"/>
      <c r="T404" s="45"/>
      <c r="U404" s="45"/>
      <c r="V404" s="45"/>
      <c r="W404" s="45"/>
      <c r="X404" s="45"/>
      <c r="Y404" s="45"/>
      <c r="Z404" s="45"/>
      <c r="AA404" s="45"/>
      <c r="AB404" s="45"/>
      <c r="AC404" s="42"/>
      <c r="AD404" s="112" t="s">
        <v>24</v>
      </c>
      <c r="AE404" s="112"/>
      <c r="AF404" s="45"/>
      <c r="AG404" s="45"/>
      <c r="AH404" s="45"/>
      <c r="AI404" s="45"/>
      <c r="AJ404" s="45"/>
      <c r="AK404" s="45"/>
      <c r="AL404" s="45"/>
      <c r="AM404" s="45"/>
      <c r="AN404" s="45"/>
      <c r="AO404" s="45"/>
      <c r="AP404" s="6"/>
      <c r="AQ404" s="112" t="s">
        <v>24</v>
      </c>
      <c r="AR404" s="112"/>
      <c r="AS404" s="45"/>
      <c r="AT404" s="45"/>
      <c r="AU404" s="45"/>
      <c r="AV404" s="45"/>
      <c r="AW404" s="45"/>
      <c r="AX404" s="45"/>
      <c r="AY404" s="45"/>
      <c r="AZ404" s="45"/>
      <c r="BA404" s="45"/>
      <c r="BB404" s="45"/>
      <c r="BC404" s="42"/>
      <c r="BD404" s="112" t="s">
        <v>24</v>
      </c>
      <c r="BE404" s="112"/>
      <c r="BF404" s="45"/>
      <c r="BG404" s="45"/>
      <c r="BH404" s="45"/>
      <c r="BI404" s="45"/>
      <c r="BJ404" s="45"/>
      <c r="BK404" s="45"/>
      <c r="BL404" s="45"/>
      <c r="BM404" s="45"/>
      <c r="BN404" s="45"/>
      <c r="BO404" s="45"/>
      <c r="BQ404" s="112" t="s">
        <v>24</v>
      </c>
      <c r="BR404" s="112"/>
      <c r="BS404" s="45"/>
      <c r="BT404" s="45"/>
      <c r="BU404" s="45"/>
      <c r="BV404" s="45"/>
      <c r="BW404" s="45"/>
      <c r="BX404" s="45"/>
      <c r="BY404" s="45"/>
      <c r="BZ404" s="45"/>
      <c r="CA404" s="45"/>
      <c r="CB404" s="45"/>
      <c r="CC404" s="42"/>
      <c r="CD404" s="112" t="s">
        <v>24</v>
      </c>
      <c r="CE404" s="112"/>
      <c r="CF404" s="45"/>
      <c r="CG404" s="45"/>
      <c r="CH404" s="45"/>
      <c r="CI404" s="45"/>
      <c r="CJ404" s="45"/>
      <c r="CK404" s="45"/>
      <c r="CL404" s="45"/>
      <c r="CM404" s="45"/>
      <c r="CN404" s="45"/>
      <c r="CO404" s="45"/>
      <c r="CQ404" s="112" t="s">
        <v>24</v>
      </c>
      <c r="CR404" s="112"/>
      <c r="CS404" s="45"/>
      <c r="CT404" s="45"/>
      <c r="CU404" s="45"/>
      <c r="CV404" s="45"/>
      <c r="CW404" s="45"/>
      <c r="CX404" s="45"/>
      <c r="CY404" s="45"/>
      <c r="CZ404" s="45"/>
      <c r="DA404" s="45"/>
      <c r="DB404" s="45"/>
      <c r="DC404" s="42"/>
      <c r="DD404" s="112" t="s">
        <v>24</v>
      </c>
      <c r="DE404" s="112"/>
      <c r="DF404" s="45"/>
      <c r="DG404" s="45"/>
      <c r="DH404" s="45"/>
      <c r="DI404" s="45"/>
      <c r="DJ404" s="45"/>
      <c r="DK404" s="45"/>
      <c r="DL404" s="45"/>
      <c r="DM404" s="45"/>
      <c r="DN404" s="45"/>
      <c r="DO404" s="45"/>
    </row>
    <row r="405" spans="2:119" ht="28.9" customHeight="1" x14ac:dyDescent="0.45">
      <c r="B405" s="99"/>
      <c r="C405" s="42"/>
      <c r="D405" s="112"/>
      <c r="E405" s="112"/>
      <c r="F405" s="108" t="s">
        <v>12</v>
      </c>
      <c r="G405" s="108"/>
      <c r="H405" s="108"/>
      <c r="I405" s="108"/>
      <c r="J405" s="108"/>
      <c r="K405" s="108"/>
      <c r="L405" s="108"/>
      <c r="M405" s="108"/>
      <c r="N405" s="108"/>
      <c r="O405" s="108"/>
      <c r="P405" s="42"/>
      <c r="Q405" s="112"/>
      <c r="R405" s="112"/>
      <c r="S405" s="108" t="s">
        <v>12</v>
      </c>
      <c r="T405" s="108"/>
      <c r="U405" s="108"/>
      <c r="V405" s="108"/>
      <c r="W405" s="108"/>
      <c r="X405" s="108"/>
      <c r="Y405" s="108"/>
      <c r="Z405" s="108"/>
      <c r="AA405" s="108"/>
      <c r="AB405" s="108"/>
      <c r="AC405" s="42"/>
      <c r="AD405" s="112"/>
      <c r="AE405" s="112"/>
      <c r="AF405" s="108" t="s">
        <v>12</v>
      </c>
      <c r="AG405" s="108"/>
      <c r="AH405" s="108"/>
      <c r="AI405" s="108"/>
      <c r="AJ405" s="108"/>
      <c r="AK405" s="108"/>
      <c r="AL405" s="108"/>
      <c r="AM405" s="108"/>
      <c r="AN405" s="108"/>
      <c r="AO405" s="108"/>
      <c r="AP405" s="6"/>
      <c r="AQ405" s="112"/>
      <c r="AR405" s="112"/>
      <c r="AS405" s="108" t="s">
        <v>12</v>
      </c>
      <c r="AT405" s="108"/>
      <c r="AU405" s="108"/>
      <c r="AV405" s="108"/>
      <c r="AW405" s="108"/>
      <c r="AX405" s="108"/>
      <c r="AY405" s="108"/>
      <c r="AZ405" s="108"/>
      <c r="BA405" s="108"/>
      <c r="BB405" s="108"/>
      <c r="BC405" s="42"/>
      <c r="BD405" s="112"/>
      <c r="BE405" s="112"/>
      <c r="BF405" s="108" t="s">
        <v>12</v>
      </c>
      <c r="BG405" s="108"/>
      <c r="BH405" s="108"/>
      <c r="BI405" s="108"/>
      <c r="BJ405" s="108"/>
      <c r="BK405" s="108"/>
      <c r="BL405" s="108"/>
      <c r="BM405" s="108"/>
      <c r="BN405" s="108"/>
      <c r="BO405" s="108"/>
      <c r="BQ405" s="112"/>
      <c r="BR405" s="112"/>
      <c r="BS405" s="108" t="s">
        <v>12</v>
      </c>
      <c r="BT405" s="108"/>
      <c r="BU405" s="108"/>
      <c r="BV405" s="108"/>
      <c r="BW405" s="108"/>
      <c r="BX405" s="108"/>
      <c r="BY405" s="108"/>
      <c r="BZ405" s="108"/>
      <c r="CA405" s="108"/>
      <c r="CB405" s="108"/>
      <c r="CC405" s="42"/>
      <c r="CD405" s="112"/>
      <c r="CE405" s="112"/>
      <c r="CF405" s="108" t="s">
        <v>12</v>
      </c>
      <c r="CG405" s="108"/>
      <c r="CH405" s="108"/>
      <c r="CI405" s="108"/>
      <c r="CJ405" s="108"/>
      <c r="CK405" s="108"/>
      <c r="CL405" s="108"/>
      <c r="CM405" s="108"/>
      <c r="CN405" s="108"/>
      <c r="CO405" s="108"/>
      <c r="CQ405" s="112"/>
      <c r="CR405" s="112"/>
      <c r="CS405" s="108" t="s">
        <v>12</v>
      </c>
      <c r="CT405" s="108"/>
      <c r="CU405" s="108"/>
      <c r="CV405" s="108"/>
      <c r="CW405" s="108"/>
      <c r="CX405" s="108"/>
      <c r="CY405" s="108"/>
      <c r="CZ405" s="108"/>
      <c r="DA405" s="108"/>
      <c r="DB405" s="108"/>
      <c r="DC405" s="42"/>
      <c r="DD405" s="112"/>
      <c r="DE405" s="112"/>
      <c r="DF405" s="108" t="s">
        <v>12</v>
      </c>
      <c r="DG405" s="108"/>
      <c r="DH405" s="108"/>
      <c r="DI405" s="108"/>
      <c r="DJ405" s="108"/>
      <c r="DK405" s="108"/>
      <c r="DL405" s="108"/>
      <c r="DM405" s="108"/>
      <c r="DN405" s="108"/>
      <c r="DO405" s="108"/>
    </row>
    <row r="406" spans="2:119" ht="15" customHeight="1" x14ac:dyDescent="0.45">
      <c r="B406" s="99"/>
      <c r="C406" s="42"/>
      <c r="D406" s="113"/>
      <c r="E406" s="113"/>
      <c r="F406" s="9" t="s">
        <v>0</v>
      </c>
      <c r="G406" s="9">
        <v>1</v>
      </c>
      <c r="H406" s="9">
        <v>2</v>
      </c>
      <c r="I406" s="9">
        <v>3</v>
      </c>
      <c r="J406" s="9">
        <v>4</v>
      </c>
      <c r="K406" s="9">
        <v>5</v>
      </c>
      <c r="L406" s="9">
        <v>6</v>
      </c>
      <c r="M406" s="9">
        <v>7</v>
      </c>
      <c r="N406" s="9">
        <v>8</v>
      </c>
      <c r="O406" s="9">
        <v>9</v>
      </c>
      <c r="P406" s="42"/>
      <c r="Q406" s="113"/>
      <c r="R406" s="113"/>
      <c r="S406" s="9" t="s">
        <v>0</v>
      </c>
      <c r="T406" s="9">
        <v>1</v>
      </c>
      <c r="U406" s="9">
        <v>2</v>
      </c>
      <c r="V406" s="9">
        <v>3</v>
      </c>
      <c r="W406" s="9">
        <v>4</v>
      </c>
      <c r="X406" s="9">
        <v>5</v>
      </c>
      <c r="Y406" s="9">
        <v>6</v>
      </c>
      <c r="Z406" s="9">
        <v>7</v>
      </c>
      <c r="AA406" s="9">
        <v>8</v>
      </c>
      <c r="AB406" s="9">
        <v>9</v>
      </c>
      <c r="AC406" s="42"/>
      <c r="AD406" s="113"/>
      <c r="AE406" s="113"/>
      <c r="AF406" s="9" t="s">
        <v>0</v>
      </c>
      <c r="AG406" s="9">
        <v>1</v>
      </c>
      <c r="AH406" s="9">
        <v>2</v>
      </c>
      <c r="AI406" s="9">
        <v>3</v>
      </c>
      <c r="AJ406" s="9">
        <v>4</v>
      </c>
      <c r="AK406" s="9">
        <v>5</v>
      </c>
      <c r="AL406" s="9">
        <v>6</v>
      </c>
      <c r="AM406" s="9">
        <v>7</v>
      </c>
      <c r="AN406" s="9">
        <v>8</v>
      </c>
      <c r="AO406" s="9">
        <v>9</v>
      </c>
      <c r="AP406" s="6"/>
      <c r="AQ406" s="113"/>
      <c r="AR406" s="113"/>
      <c r="AS406" s="9" t="s">
        <v>0</v>
      </c>
      <c r="AT406" s="9">
        <v>1</v>
      </c>
      <c r="AU406" s="9">
        <v>2</v>
      </c>
      <c r="AV406" s="9">
        <v>3</v>
      </c>
      <c r="AW406" s="9">
        <v>4</v>
      </c>
      <c r="AX406" s="9">
        <v>5</v>
      </c>
      <c r="AY406" s="9">
        <v>6</v>
      </c>
      <c r="AZ406" s="9">
        <v>7</v>
      </c>
      <c r="BA406" s="9">
        <v>8</v>
      </c>
      <c r="BB406" s="9">
        <v>9</v>
      </c>
      <c r="BC406" s="42"/>
      <c r="BD406" s="113"/>
      <c r="BE406" s="113"/>
      <c r="BF406" s="9" t="s">
        <v>0</v>
      </c>
      <c r="BG406" s="9">
        <v>1</v>
      </c>
      <c r="BH406" s="9">
        <v>2</v>
      </c>
      <c r="BI406" s="9">
        <v>3</v>
      </c>
      <c r="BJ406" s="9">
        <v>4</v>
      </c>
      <c r="BK406" s="9">
        <v>5</v>
      </c>
      <c r="BL406" s="9">
        <v>6</v>
      </c>
      <c r="BM406" s="9">
        <v>7</v>
      </c>
      <c r="BN406" s="9">
        <v>8</v>
      </c>
      <c r="BO406" s="9">
        <v>9</v>
      </c>
      <c r="BQ406" s="113"/>
      <c r="BR406" s="113"/>
      <c r="BS406" s="9" t="s">
        <v>0</v>
      </c>
      <c r="BT406" s="9">
        <v>1</v>
      </c>
      <c r="BU406" s="9">
        <v>2</v>
      </c>
      <c r="BV406" s="9">
        <v>3</v>
      </c>
      <c r="BW406" s="9">
        <v>4</v>
      </c>
      <c r="BX406" s="9">
        <v>5</v>
      </c>
      <c r="BY406" s="9">
        <v>6</v>
      </c>
      <c r="BZ406" s="9">
        <v>7</v>
      </c>
      <c r="CA406" s="9">
        <v>8</v>
      </c>
      <c r="CB406" s="9">
        <v>9</v>
      </c>
      <c r="CC406" s="42"/>
      <c r="CD406" s="113"/>
      <c r="CE406" s="113"/>
      <c r="CF406" s="9" t="s">
        <v>0</v>
      </c>
      <c r="CG406" s="9">
        <v>1</v>
      </c>
      <c r="CH406" s="9">
        <v>2</v>
      </c>
      <c r="CI406" s="9">
        <v>3</v>
      </c>
      <c r="CJ406" s="9">
        <v>4</v>
      </c>
      <c r="CK406" s="9">
        <v>5</v>
      </c>
      <c r="CL406" s="9">
        <v>6</v>
      </c>
      <c r="CM406" s="9">
        <v>7</v>
      </c>
      <c r="CN406" s="9">
        <v>8</v>
      </c>
      <c r="CO406" s="9">
        <v>9</v>
      </c>
      <c r="CQ406" s="113"/>
      <c r="CR406" s="113"/>
      <c r="CS406" s="9" t="s">
        <v>0</v>
      </c>
      <c r="CT406" s="9">
        <v>1</v>
      </c>
      <c r="CU406" s="9">
        <v>2</v>
      </c>
      <c r="CV406" s="9">
        <v>3</v>
      </c>
      <c r="CW406" s="9">
        <v>4</v>
      </c>
      <c r="CX406" s="9">
        <v>5</v>
      </c>
      <c r="CY406" s="9">
        <v>6</v>
      </c>
      <c r="CZ406" s="9">
        <v>7</v>
      </c>
      <c r="DA406" s="9">
        <v>8</v>
      </c>
      <c r="DB406" s="9">
        <v>9</v>
      </c>
      <c r="DC406" s="42"/>
      <c r="DD406" s="113"/>
      <c r="DE406" s="113"/>
      <c r="DF406" s="9" t="s">
        <v>0</v>
      </c>
      <c r="DG406" s="9">
        <v>1</v>
      </c>
      <c r="DH406" s="9">
        <v>2</v>
      </c>
      <c r="DI406" s="9">
        <v>3</v>
      </c>
      <c r="DJ406" s="9">
        <v>4</v>
      </c>
      <c r="DK406" s="9">
        <v>5</v>
      </c>
      <c r="DL406" s="9">
        <v>6</v>
      </c>
      <c r="DM406" s="9">
        <v>7</v>
      </c>
      <c r="DN406" s="9">
        <v>8</v>
      </c>
      <c r="DO406" s="9">
        <v>9</v>
      </c>
    </row>
    <row r="407" spans="2:119" ht="16.5" customHeight="1" x14ac:dyDescent="0.45">
      <c r="B407" s="134" t="s">
        <v>34</v>
      </c>
      <c r="C407" s="42"/>
      <c r="D407" s="109" t="s">
        <v>13</v>
      </c>
      <c r="E407" s="46" t="s">
        <v>1</v>
      </c>
      <c r="F407" s="103">
        <v>0</v>
      </c>
      <c r="G407" s="103">
        <v>7</v>
      </c>
      <c r="H407" s="103">
        <v>5</v>
      </c>
      <c r="I407" s="103">
        <v>5</v>
      </c>
      <c r="J407" s="103">
        <v>2</v>
      </c>
      <c r="K407" s="103">
        <v>1</v>
      </c>
      <c r="L407" s="103">
        <v>2</v>
      </c>
      <c r="M407" s="103">
        <v>0</v>
      </c>
      <c r="N407" s="103">
        <v>0</v>
      </c>
      <c r="O407" s="17">
        <v>0</v>
      </c>
      <c r="P407" s="42"/>
      <c r="Q407" s="109" t="s">
        <v>13</v>
      </c>
      <c r="R407" s="46" t="s">
        <v>1</v>
      </c>
      <c r="S407" s="103">
        <v>0</v>
      </c>
      <c r="T407" s="103">
        <v>1</v>
      </c>
      <c r="U407" s="103">
        <v>2</v>
      </c>
      <c r="V407" s="103">
        <v>2</v>
      </c>
      <c r="W407" s="103">
        <v>0</v>
      </c>
      <c r="X407" s="103">
        <v>1</v>
      </c>
      <c r="Y407" s="103">
        <v>2</v>
      </c>
      <c r="Z407" s="103">
        <v>0</v>
      </c>
      <c r="AA407" s="103">
        <v>0</v>
      </c>
      <c r="AB407" s="17">
        <v>0</v>
      </c>
      <c r="AC407" s="42"/>
      <c r="AD407" s="109" t="s">
        <v>13</v>
      </c>
      <c r="AE407" s="46" t="s">
        <v>1</v>
      </c>
      <c r="AF407" s="103">
        <v>0</v>
      </c>
      <c r="AG407" s="103">
        <v>6</v>
      </c>
      <c r="AH407" s="103">
        <v>3</v>
      </c>
      <c r="AI407" s="103">
        <v>3</v>
      </c>
      <c r="AJ407" s="103">
        <v>2</v>
      </c>
      <c r="AK407" s="103">
        <v>0</v>
      </c>
      <c r="AL407" s="103">
        <v>0</v>
      </c>
      <c r="AM407" s="103">
        <v>0</v>
      </c>
      <c r="AN407" s="103">
        <v>0</v>
      </c>
      <c r="AO407" s="17">
        <v>0</v>
      </c>
      <c r="AP407" s="6"/>
      <c r="AQ407" s="109" t="s">
        <v>13</v>
      </c>
      <c r="AR407" s="46" t="s">
        <v>1</v>
      </c>
      <c r="AS407" s="103">
        <v>0</v>
      </c>
      <c r="AT407" s="103">
        <v>3</v>
      </c>
      <c r="AU407" s="103">
        <v>5</v>
      </c>
      <c r="AV407" s="103">
        <v>3</v>
      </c>
      <c r="AW407" s="103">
        <v>1</v>
      </c>
      <c r="AX407" s="103">
        <v>0</v>
      </c>
      <c r="AY407" s="103">
        <v>1</v>
      </c>
      <c r="AZ407" s="103">
        <v>0</v>
      </c>
      <c r="BA407" s="103">
        <v>0</v>
      </c>
      <c r="BB407" s="17">
        <v>0</v>
      </c>
      <c r="BC407" s="42"/>
      <c r="BD407" s="109" t="s">
        <v>13</v>
      </c>
      <c r="BE407" s="46" t="s">
        <v>1</v>
      </c>
      <c r="BF407" s="103">
        <v>0</v>
      </c>
      <c r="BG407" s="103">
        <v>4</v>
      </c>
      <c r="BH407" s="103">
        <v>0</v>
      </c>
      <c r="BI407" s="103">
        <v>2</v>
      </c>
      <c r="BJ407" s="103">
        <v>1</v>
      </c>
      <c r="BK407" s="103">
        <v>1</v>
      </c>
      <c r="BL407" s="103">
        <v>1</v>
      </c>
      <c r="BM407" s="103">
        <v>0</v>
      </c>
      <c r="BN407" s="103">
        <v>0</v>
      </c>
      <c r="BO407" s="17">
        <v>0</v>
      </c>
      <c r="BQ407" s="109" t="s">
        <v>13</v>
      </c>
      <c r="BR407" s="46" t="s">
        <v>1</v>
      </c>
      <c r="BS407" s="103">
        <v>0</v>
      </c>
      <c r="BT407" s="103">
        <v>3</v>
      </c>
      <c r="BU407" s="103">
        <v>1</v>
      </c>
      <c r="BV407" s="103">
        <v>1</v>
      </c>
      <c r="BW407" s="103">
        <v>0</v>
      </c>
      <c r="BX407" s="103">
        <v>0</v>
      </c>
      <c r="BY407" s="103">
        <v>0</v>
      </c>
      <c r="BZ407" s="103">
        <v>0</v>
      </c>
      <c r="CA407" s="103">
        <v>0</v>
      </c>
      <c r="CB407" s="17">
        <v>0</v>
      </c>
      <c r="CC407" s="42"/>
      <c r="CD407" s="109" t="s">
        <v>13</v>
      </c>
      <c r="CE407" s="46" t="s">
        <v>1</v>
      </c>
      <c r="CF407" s="103">
        <v>0</v>
      </c>
      <c r="CG407" s="103">
        <v>4</v>
      </c>
      <c r="CH407" s="103">
        <v>4</v>
      </c>
      <c r="CI407" s="103">
        <v>4</v>
      </c>
      <c r="CJ407" s="103">
        <v>2</v>
      </c>
      <c r="CK407" s="103">
        <v>1</v>
      </c>
      <c r="CL407" s="103">
        <v>2</v>
      </c>
      <c r="CM407" s="103">
        <v>0</v>
      </c>
      <c r="CN407" s="103">
        <v>0</v>
      </c>
      <c r="CO407" s="17">
        <v>0</v>
      </c>
      <c r="CQ407" s="109" t="s">
        <v>13</v>
      </c>
      <c r="CR407" s="46" t="s">
        <v>1</v>
      </c>
      <c r="CS407" s="103">
        <v>0</v>
      </c>
      <c r="CT407" s="103">
        <v>7</v>
      </c>
      <c r="CU407" s="103">
        <v>5</v>
      </c>
      <c r="CV407" s="103">
        <v>4</v>
      </c>
      <c r="CW407" s="103">
        <v>2</v>
      </c>
      <c r="CX407" s="103">
        <v>1</v>
      </c>
      <c r="CY407" s="103">
        <v>2</v>
      </c>
      <c r="CZ407" s="103">
        <v>0</v>
      </c>
      <c r="DA407" s="103">
        <v>0</v>
      </c>
      <c r="DB407" s="17">
        <v>0</v>
      </c>
      <c r="DC407" s="42"/>
      <c r="DD407" s="109" t="s">
        <v>13</v>
      </c>
      <c r="DE407" s="46" t="s">
        <v>1</v>
      </c>
      <c r="DF407" s="103">
        <v>0</v>
      </c>
      <c r="DG407" s="103">
        <v>0</v>
      </c>
      <c r="DH407" s="103">
        <v>0</v>
      </c>
      <c r="DI407" s="103">
        <v>1</v>
      </c>
      <c r="DJ407" s="103">
        <v>0</v>
      </c>
      <c r="DK407" s="103">
        <v>0</v>
      </c>
      <c r="DL407" s="103">
        <v>0</v>
      </c>
      <c r="DM407" s="103">
        <v>0</v>
      </c>
      <c r="DN407" s="103">
        <v>0</v>
      </c>
      <c r="DO407" s="17">
        <v>0</v>
      </c>
    </row>
    <row r="408" spans="2:119" ht="16.5" customHeight="1" x14ac:dyDescent="0.45">
      <c r="B408" s="134"/>
      <c r="C408" s="42"/>
      <c r="D408" s="110"/>
      <c r="E408" s="46">
        <v>1</v>
      </c>
      <c r="F408" s="103">
        <v>14</v>
      </c>
      <c r="G408" s="103">
        <v>18</v>
      </c>
      <c r="H408" s="103">
        <v>18</v>
      </c>
      <c r="I408" s="103">
        <v>14</v>
      </c>
      <c r="J408" s="103">
        <v>5</v>
      </c>
      <c r="K408" s="103">
        <v>3</v>
      </c>
      <c r="L408" s="103">
        <v>1</v>
      </c>
      <c r="M408" s="103">
        <v>1</v>
      </c>
      <c r="N408" s="103">
        <v>2</v>
      </c>
      <c r="O408" s="103">
        <v>3</v>
      </c>
      <c r="P408" s="42"/>
      <c r="Q408" s="110"/>
      <c r="R408" s="46">
        <v>1</v>
      </c>
      <c r="S408" s="103">
        <v>3</v>
      </c>
      <c r="T408" s="103">
        <v>12</v>
      </c>
      <c r="U408" s="103">
        <v>9</v>
      </c>
      <c r="V408" s="103">
        <v>9</v>
      </c>
      <c r="W408" s="103">
        <v>5</v>
      </c>
      <c r="X408" s="103">
        <v>1</v>
      </c>
      <c r="Y408" s="103">
        <v>0</v>
      </c>
      <c r="Z408" s="103">
        <v>1</v>
      </c>
      <c r="AA408" s="103">
        <v>1</v>
      </c>
      <c r="AB408" s="103">
        <v>1</v>
      </c>
      <c r="AC408" s="42"/>
      <c r="AD408" s="110"/>
      <c r="AE408" s="46">
        <v>1</v>
      </c>
      <c r="AF408" s="103">
        <v>11</v>
      </c>
      <c r="AG408" s="103">
        <v>6</v>
      </c>
      <c r="AH408" s="103">
        <v>9</v>
      </c>
      <c r="AI408" s="103">
        <v>5</v>
      </c>
      <c r="AJ408" s="103">
        <v>0</v>
      </c>
      <c r="AK408" s="103">
        <v>2</v>
      </c>
      <c r="AL408" s="103">
        <v>1</v>
      </c>
      <c r="AM408" s="103">
        <v>0</v>
      </c>
      <c r="AN408" s="103">
        <v>1</v>
      </c>
      <c r="AO408" s="103">
        <v>2</v>
      </c>
      <c r="AP408" s="6"/>
      <c r="AQ408" s="110"/>
      <c r="AR408" s="46">
        <v>1</v>
      </c>
      <c r="AS408" s="103">
        <v>8</v>
      </c>
      <c r="AT408" s="103">
        <v>10</v>
      </c>
      <c r="AU408" s="103">
        <v>7</v>
      </c>
      <c r="AV408" s="103">
        <v>7</v>
      </c>
      <c r="AW408" s="103">
        <v>0</v>
      </c>
      <c r="AX408" s="103">
        <v>1</v>
      </c>
      <c r="AY408" s="103">
        <v>0</v>
      </c>
      <c r="AZ408" s="103">
        <v>0</v>
      </c>
      <c r="BA408" s="103">
        <v>0</v>
      </c>
      <c r="BB408" s="103">
        <v>2</v>
      </c>
      <c r="BC408" s="42"/>
      <c r="BD408" s="110"/>
      <c r="BE408" s="46">
        <v>1</v>
      </c>
      <c r="BF408" s="103">
        <v>6</v>
      </c>
      <c r="BG408" s="103">
        <v>8</v>
      </c>
      <c r="BH408" s="103">
        <v>11</v>
      </c>
      <c r="BI408" s="103">
        <v>7</v>
      </c>
      <c r="BJ408" s="103">
        <v>5</v>
      </c>
      <c r="BK408" s="103">
        <v>2</v>
      </c>
      <c r="BL408" s="103">
        <v>1</v>
      </c>
      <c r="BM408" s="103">
        <v>1</v>
      </c>
      <c r="BN408" s="103">
        <v>2</v>
      </c>
      <c r="BO408" s="103">
        <v>1</v>
      </c>
      <c r="BQ408" s="110"/>
      <c r="BR408" s="46">
        <v>1</v>
      </c>
      <c r="BS408" s="103">
        <v>13</v>
      </c>
      <c r="BT408" s="103">
        <v>12</v>
      </c>
      <c r="BU408" s="103">
        <v>7</v>
      </c>
      <c r="BV408" s="103">
        <v>3</v>
      </c>
      <c r="BW408" s="103">
        <v>0</v>
      </c>
      <c r="BX408" s="103">
        <v>0</v>
      </c>
      <c r="BY408" s="103">
        <v>0</v>
      </c>
      <c r="BZ408" s="103">
        <v>0</v>
      </c>
      <c r="CA408" s="103">
        <v>0</v>
      </c>
      <c r="CB408" s="103">
        <v>1</v>
      </c>
      <c r="CC408" s="42"/>
      <c r="CD408" s="110"/>
      <c r="CE408" s="46">
        <v>1</v>
      </c>
      <c r="CF408" s="103">
        <v>1</v>
      </c>
      <c r="CG408" s="103">
        <v>6</v>
      </c>
      <c r="CH408" s="103">
        <v>11</v>
      </c>
      <c r="CI408" s="103">
        <v>11</v>
      </c>
      <c r="CJ408" s="103">
        <v>5</v>
      </c>
      <c r="CK408" s="103">
        <v>3</v>
      </c>
      <c r="CL408" s="103">
        <v>1</v>
      </c>
      <c r="CM408" s="103">
        <v>1</v>
      </c>
      <c r="CN408" s="103">
        <v>2</v>
      </c>
      <c r="CO408" s="103">
        <v>2</v>
      </c>
      <c r="CQ408" s="110"/>
      <c r="CR408" s="46">
        <v>1</v>
      </c>
      <c r="CS408" s="103">
        <v>8</v>
      </c>
      <c r="CT408" s="103">
        <v>9</v>
      </c>
      <c r="CU408" s="103">
        <v>14</v>
      </c>
      <c r="CV408" s="103">
        <v>11</v>
      </c>
      <c r="CW408" s="103">
        <v>5</v>
      </c>
      <c r="CX408" s="103">
        <v>3</v>
      </c>
      <c r="CY408" s="103">
        <v>1</v>
      </c>
      <c r="CZ408" s="103">
        <v>1</v>
      </c>
      <c r="DA408" s="103">
        <v>2</v>
      </c>
      <c r="DB408" s="103">
        <v>2</v>
      </c>
      <c r="DC408" s="42"/>
      <c r="DD408" s="110"/>
      <c r="DE408" s="46">
        <v>1</v>
      </c>
      <c r="DF408" s="103">
        <v>6</v>
      </c>
      <c r="DG408" s="103">
        <v>9</v>
      </c>
      <c r="DH408" s="103">
        <v>4</v>
      </c>
      <c r="DI408" s="103">
        <v>3</v>
      </c>
      <c r="DJ408" s="103">
        <v>0</v>
      </c>
      <c r="DK408" s="103">
        <v>0</v>
      </c>
      <c r="DL408" s="103">
        <v>0</v>
      </c>
      <c r="DM408" s="103">
        <v>0</v>
      </c>
      <c r="DN408" s="103">
        <v>0</v>
      </c>
      <c r="DO408" s="103">
        <v>1</v>
      </c>
    </row>
    <row r="409" spans="2:119" ht="16.5" customHeight="1" x14ac:dyDescent="0.45">
      <c r="B409" s="134"/>
      <c r="C409" s="42"/>
      <c r="D409" s="110"/>
      <c r="E409" s="46" t="s">
        <v>2</v>
      </c>
      <c r="F409" s="103">
        <v>488</v>
      </c>
      <c r="G409" s="103">
        <v>1416</v>
      </c>
      <c r="H409" s="103">
        <v>851</v>
      </c>
      <c r="I409" s="103">
        <v>306</v>
      </c>
      <c r="J409" s="103">
        <v>99</v>
      </c>
      <c r="K409" s="103">
        <v>52</v>
      </c>
      <c r="L409" s="103">
        <v>29</v>
      </c>
      <c r="M409" s="103">
        <v>12</v>
      </c>
      <c r="N409" s="103">
        <v>3</v>
      </c>
      <c r="O409" s="103">
        <v>0</v>
      </c>
      <c r="P409" s="42"/>
      <c r="Q409" s="110"/>
      <c r="R409" s="46" t="s">
        <v>2</v>
      </c>
      <c r="S409" s="103">
        <v>177</v>
      </c>
      <c r="T409" s="103">
        <v>660</v>
      </c>
      <c r="U409" s="103">
        <v>371</v>
      </c>
      <c r="V409" s="103">
        <v>123</v>
      </c>
      <c r="W409" s="103">
        <v>35</v>
      </c>
      <c r="X409" s="103">
        <v>15</v>
      </c>
      <c r="Y409" s="103">
        <v>14</v>
      </c>
      <c r="Z409" s="103">
        <v>6</v>
      </c>
      <c r="AA409" s="103">
        <v>2</v>
      </c>
      <c r="AB409" s="103">
        <v>0</v>
      </c>
      <c r="AC409" s="42"/>
      <c r="AD409" s="110"/>
      <c r="AE409" s="46" t="s">
        <v>2</v>
      </c>
      <c r="AF409" s="103">
        <v>311</v>
      </c>
      <c r="AG409" s="103">
        <v>756</v>
      </c>
      <c r="AH409" s="103">
        <v>480</v>
      </c>
      <c r="AI409" s="103">
        <v>183</v>
      </c>
      <c r="AJ409" s="103">
        <v>64</v>
      </c>
      <c r="AK409" s="103">
        <v>37</v>
      </c>
      <c r="AL409" s="103">
        <v>15</v>
      </c>
      <c r="AM409" s="103">
        <v>6</v>
      </c>
      <c r="AN409" s="103">
        <v>1</v>
      </c>
      <c r="AO409" s="103">
        <v>0</v>
      </c>
      <c r="AP409" s="6"/>
      <c r="AQ409" s="110"/>
      <c r="AR409" s="46" t="s">
        <v>2</v>
      </c>
      <c r="AS409" s="103">
        <v>300</v>
      </c>
      <c r="AT409" s="103">
        <v>709</v>
      </c>
      <c r="AU409" s="103">
        <v>358</v>
      </c>
      <c r="AV409" s="103">
        <v>106</v>
      </c>
      <c r="AW409" s="103">
        <v>28</v>
      </c>
      <c r="AX409" s="103">
        <v>13</v>
      </c>
      <c r="AY409" s="103">
        <v>14</v>
      </c>
      <c r="AZ409" s="103">
        <v>4</v>
      </c>
      <c r="BA409" s="103">
        <v>1</v>
      </c>
      <c r="BB409" s="103">
        <v>0</v>
      </c>
      <c r="BC409" s="42"/>
      <c r="BD409" s="110"/>
      <c r="BE409" s="46" t="s">
        <v>2</v>
      </c>
      <c r="BF409" s="103">
        <v>188</v>
      </c>
      <c r="BG409" s="103">
        <v>707</v>
      </c>
      <c r="BH409" s="103">
        <v>493</v>
      </c>
      <c r="BI409" s="103">
        <v>200</v>
      </c>
      <c r="BJ409" s="103">
        <v>71</v>
      </c>
      <c r="BK409" s="103">
        <v>39</v>
      </c>
      <c r="BL409" s="103">
        <v>15</v>
      </c>
      <c r="BM409" s="103">
        <v>8</v>
      </c>
      <c r="BN409" s="103">
        <v>2</v>
      </c>
      <c r="BO409" s="103">
        <v>0</v>
      </c>
      <c r="BQ409" s="110"/>
      <c r="BR409" s="46" t="s">
        <v>2</v>
      </c>
      <c r="BS409" s="103">
        <v>333</v>
      </c>
      <c r="BT409" s="103">
        <v>963</v>
      </c>
      <c r="BU409" s="103">
        <v>540</v>
      </c>
      <c r="BV409" s="103">
        <v>156</v>
      </c>
      <c r="BW409" s="103">
        <v>44</v>
      </c>
      <c r="BX409" s="103">
        <v>23</v>
      </c>
      <c r="BY409" s="103">
        <v>6</v>
      </c>
      <c r="BZ409" s="103">
        <v>3</v>
      </c>
      <c r="CA409" s="103">
        <v>0</v>
      </c>
      <c r="CB409" s="103">
        <v>0</v>
      </c>
      <c r="CC409" s="42"/>
      <c r="CD409" s="110"/>
      <c r="CE409" s="46" t="s">
        <v>2</v>
      </c>
      <c r="CF409" s="103">
        <v>155</v>
      </c>
      <c r="CG409" s="103">
        <v>453</v>
      </c>
      <c r="CH409" s="103">
        <v>311</v>
      </c>
      <c r="CI409" s="103">
        <v>150</v>
      </c>
      <c r="CJ409" s="103">
        <v>55</v>
      </c>
      <c r="CK409" s="103">
        <v>29</v>
      </c>
      <c r="CL409" s="103">
        <v>23</v>
      </c>
      <c r="CM409" s="103">
        <v>9</v>
      </c>
      <c r="CN409" s="103">
        <v>3</v>
      </c>
      <c r="CO409" s="103">
        <v>0</v>
      </c>
      <c r="CQ409" s="110"/>
      <c r="CR409" s="46" t="s">
        <v>2</v>
      </c>
      <c r="CS409" s="103">
        <v>131</v>
      </c>
      <c r="CT409" s="103">
        <v>316</v>
      </c>
      <c r="CU409" s="103">
        <v>261</v>
      </c>
      <c r="CV409" s="103">
        <v>131</v>
      </c>
      <c r="CW409" s="103">
        <v>59</v>
      </c>
      <c r="CX409" s="103">
        <v>35</v>
      </c>
      <c r="CY409" s="103">
        <v>23</v>
      </c>
      <c r="CZ409" s="103">
        <v>10</v>
      </c>
      <c r="DA409" s="103">
        <v>3</v>
      </c>
      <c r="DB409" s="103">
        <v>0</v>
      </c>
      <c r="DC409" s="42"/>
      <c r="DD409" s="110"/>
      <c r="DE409" s="46" t="s">
        <v>2</v>
      </c>
      <c r="DF409" s="103">
        <v>357</v>
      </c>
      <c r="DG409" s="103">
        <v>1100</v>
      </c>
      <c r="DH409" s="103">
        <v>590</v>
      </c>
      <c r="DI409" s="103">
        <v>175</v>
      </c>
      <c r="DJ409" s="103">
        <v>40</v>
      </c>
      <c r="DK409" s="103">
        <v>17</v>
      </c>
      <c r="DL409" s="103">
        <v>6</v>
      </c>
      <c r="DM409" s="103">
        <v>2</v>
      </c>
      <c r="DN409" s="103">
        <v>0</v>
      </c>
      <c r="DO409" s="103">
        <v>0</v>
      </c>
    </row>
    <row r="410" spans="2:119" ht="16.5" customHeight="1" x14ac:dyDescent="0.45">
      <c r="B410" s="134"/>
      <c r="C410" s="42"/>
      <c r="D410" s="110"/>
      <c r="E410" s="46" t="s">
        <v>3</v>
      </c>
      <c r="F410" s="103">
        <v>291</v>
      </c>
      <c r="G410" s="103">
        <v>932</v>
      </c>
      <c r="H410" s="103">
        <v>892</v>
      </c>
      <c r="I410" s="103">
        <v>394</v>
      </c>
      <c r="J410" s="103">
        <v>87</v>
      </c>
      <c r="K410" s="103">
        <v>42</v>
      </c>
      <c r="L410" s="103">
        <v>16</v>
      </c>
      <c r="M410" s="103">
        <v>5</v>
      </c>
      <c r="N410" s="103">
        <v>0</v>
      </c>
      <c r="O410" s="103">
        <v>0</v>
      </c>
      <c r="P410" s="42"/>
      <c r="Q410" s="110"/>
      <c r="R410" s="46" t="s">
        <v>3</v>
      </c>
      <c r="S410" s="103">
        <v>104</v>
      </c>
      <c r="T410" s="103">
        <v>414</v>
      </c>
      <c r="U410" s="103">
        <v>403</v>
      </c>
      <c r="V410" s="103">
        <v>168</v>
      </c>
      <c r="W410" s="103">
        <v>33</v>
      </c>
      <c r="X410" s="103">
        <v>16</v>
      </c>
      <c r="Y410" s="103">
        <v>4</v>
      </c>
      <c r="Z410" s="103">
        <v>2</v>
      </c>
      <c r="AA410" s="103">
        <v>0</v>
      </c>
      <c r="AB410" s="103">
        <v>0</v>
      </c>
      <c r="AC410" s="42"/>
      <c r="AD410" s="110"/>
      <c r="AE410" s="46" t="s">
        <v>3</v>
      </c>
      <c r="AF410" s="103">
        <v>187</v>
      </c>
      <c r="AG410" s="103">
        <v>518</v>
      </c>
      <c r="AH410" s="103">
        <v>489</v>
      </c>
      <c r="AI410" s="103">
        <v>226</v>
      </c>
      <c r="AJ410" s="103">
        <v>54</v>
      </c>
      <c r="AK410" s="103">
        <v>26</v>
      </c>
      <c r="AL410" s="103">
        <v>12</v>
      </c>
      <c r="AM410" s="103">
        <v>3</v>
      </c>
      <c r="AN410" s="103">
        <v>0</v>
      </c>
      <c r="AO410" s="103">
        <v>0</v>
      </c>
      <c r="AP410" s="6"/>
      <c r="AQ410" s="110"/>
      <c r="AR410" s="46" t="s">
        <v>3</v>
      </c>
      <c r="AS410" s="103">
        <v>170</v>
      </c>
      <c r="AT410" s="103">
        <v>461</v>
      </c>
      <c r="AU410" s="103">
        <v>345</v>
      </c>
      <c r="AV410" s="103">
        <v>147</v>
      </c>
      <c r="AW410" s="103">
        <v>27</v>
      </c>
      <c r="AX410" s="103">
        <v>13</v>
      </c>
      <c r="AY410" s="103">
        <v>6</v>
      </c>
      <c r="AZ410" s="103">
        <v>1</v>
      </c>
      <c r="BA410" s="103">
        <v>0</v>
      </c>
      <c r="BB410" s="103">
        <v>0</v>
      </c>
      <c r="BC410" s="42"/>
      <c r="BD410" s="110"/>
      <c r="BE410" s="46" t="s">
        <v>3</v>
      </c>
      <c r="BF410" s="103">
        <v>121</v>
      </c>
      <c r="BG410" s="103">
        <v>471</v>
      </c>
      <c r="BH410" s="103">
        <v>547</v>
      </c>
      <c r="BI410" s="103">
        <v>247</v>
      </c>
      <c r="BJ410" s="103">
        <v>60</v>
      </c>
      <c r="BK410" s="103">
        <v>29</v>
      </c>
      <c r="BL410" s="103">
        <v>10</v>
      </c>
      <c r="BM410" s="103">
        <v>4</v>
      </c>
      <c r="BN410" s="103">
        <v>0</v>
      </c>
      <c r="BO410" s="103">
        <v>0</v>
      </c>
      <c r="BQ410" s="110"/>
      <c r="BR410" s="46" t="s">
        <v>3</v>
      </c>
      <c r="BS410" s="103">
        <v>150</v>
      </c>
      <c r="BT410" s="103">
        <v>509</v>
      </c>
      <c r="BU410" s="103">
        <v>455</v>
      </c>
      <c r="BV410" s="103">
        <v>187</v>
      </c>
      <c r="BW410" s="103">
        <v>44</v>
      </c>
      <c r="BX410" s="103">
        <v>23</v>
      </c>
      <c r="BY410" s="103">
        <v>6</v>
      </c>
      <c r="BZ410" s="103">
        <v>1</v>
      </c>
      <c r="CA410" s="103">
        <v>0</v>
      </c>
      <c r="CB410" s="103">
        <v>0</v>
      </c>
      <c r="CC410" s="42"/>
      <c r="CD410" s="110"/>
      <c r="CE410" s="46" t="s">
        <v>3</v>
      </c>
      <c r="CF410" s="103">
        <v>141</v>
      </c>
      <c r="CG410" s="103">
        <v>423</v>
      </c>
      <c r="CH410" s="103">
        <v>437</v>
      </c>
      <c r="CI410" s="103">
        <v>207</v>
      </c>
      <c r="CJ410" s="103">
        <v>43</v>
      </c>
      <c r="CK410" s="103">
        <v>19</v>
      </c>
      <c r="CL410" s="103">
        <v>10</v>
      </c>
      <c r="CM410" s="103">
        <v>4</v>
      </c>
      <c r="CN410" s="103">
        <v>0</v>
      </c>
      <c r="CO410" s="103">
        <v>0</v>
      </c>
      <c r="CQ410" s="110"/>
      <c r="CR410" s="46" t="s">
        <v>3</v>
      </c>
      <c r="CS410" s="103">
        <v>46</v>
      </c>
      <c r="CT410" s="103">
        <v>160</v>
      </c>
      <c r="CU410" s="103">
        <v>187</v>
      </c>
      <c r="CV410" s="103">
        <v>119</v>
      </c>
      <c r="CW410" s="103">
        <v>31</v>
      </c>
      <c r="CX410" s="103">
        <v>20</v>
      </c>
      <c r="CY410" s="103">
        <v>9</v>
      </c>
      <c r="CZ410" s="103">
        <v>5</v>
      </c>
      <c r="DA410" s="103">
        <v>0</v>
      </c>
      <c r="DB410" s="103">
        <v>0</v>
      </c>
      <c r="DC410" s="42"/>
      <c r="DD410" s="110"/>
      <c r="DE410" s="46" t="s">
        <v>3</v>
      </c>
      <c r="DF410" s="103">
        <v>245</v>
      </c>
      <c r="DG410" s="103">
        <v>772</v>
      </c>
      <c r="DH410" s="103">
        <v>705</v>
      </c>
      <c r="DI410" s="103">
        <v>275</v>
      </c>
      <c r="DJ410" s="103">
        <v>56</v>
      </c>
      <c r="DK410" s="103">
        <v>22</v>
      </c>
      <c r="DL410" s="103">
        <v>7</v>
      </c>
      <c r="DM410" s="103">
        <v>0</v>
      </c>
      <c r="DN410" s="103">
        <v>0</v>
      </c>
      <c r="DO410" s="103">
        <v>0</v>
      </c>
    </row>
    <row r="411" spans="2:119" ht="16.5" customHeight="1" x14ac:dyDescent="0.45">
      <c r="B411" s="134"/>
      <c r="C411" s="42"/>
      <c r="D411" s="110"/>
      <c r="E411" s="46" t="s">
        <v>4</v>
      </c>
      <c r="F411" s="103">
        <v>361</v>
      </c>
      <c r="G411" s="103">
        <v>1289</v>
      </c>
      <c r="H411" s="103">
        <v>1473</v>
      </c>
      <c r="I411" s="103">
        <v>871</v>
      </c>
      <c r="J411" s="103">
        <v>223</v>
      </c>
      <c r="K411" s="103">
        <v>106</v>
      </c>
      <c r="L411" s="103">
        <v>49</v>
      </c>
      <c r="M411" s="103">
        <v>14</v>
      </c>
      <c r="N411" s="103">
        <v>8</v>
      </c>
      <c r="O411" s="103">
        <v>0</v>
      </c>
      <c r="P411" s="42"/>
      <c r="Q411" s="110"/>
      <c r="R411" s="46" t="s">
        <v>4</v>
      </c>
      <c r="S411" s="103">
        <v>104</v>
      </c>
      <c r="T411" s="103">
        <v>575</v>
      </c>
      <c r="U411" s="103">
        <v>698</v>
      </c>
      <c r="V411" s="103">
        <v>409</v>
      </c>
      <c r="W411" s="103">
        <v>104</v>
      </c>
      <c r="X411" s="103">
        <v>45</v>
      </c>
      <c r="Y411" s="103">
        <v>27</v>
      </c>
      <c r="Z411" s="103">
        <v>7</v>
      </c>
      <c r="AA411" s="103">
        <v>5</v>
      </c>
      <c r="AB411" s="103">
        <v>0</v>
      </c>
      <c r="AC411" s="42"/>
      <c r="AD411" s="110"/>
      <c r="AE411" s="46" t="s">
        <v>4</v>
      </c>
      <c r="AF411" s="103">
        <v>257</v>
      </c>
      <c r="AG411" s="103">
        <v>714</v>
      </c>
      <c r="AH411" s="103">
        <v>775</v>
      </c>
      <c r="AI411" s="103">
        <v>462</v>
      </c>
      <c r="AJ411" s="103">
        <v>119</v>
      </c>
      <c r="AK411" s="103">
        <v>61</v>
      </c>
      <c r="AL411" s="103">
        <v>22</v>
      </c>
      <c r="AM411" s="103">
        <v>7</v>
      </c>
      <c r="AN411" s="103">
        <v>3</v>
      </c>
      <c r="AO411" s="103">
        <v>0</v>
      </c>
      <c r="AP411" s="6"/>
      <c r="AQ411" s="110"/>
      <c r="AR411" s="46" t="s">
        <v>4</v>
      </c>
      <c r="AS411" s="103">
        <v>183</v>
      </c>
      <c r="AT411" s="103">
        <v>639</v>
      </c>
      <c r="AU411" s="103">
        <v>599</v>
      </c>
      <c r="AV411" s="103">
        <v>303</v>
      </c>
      <c r="AW411" s="103">
        <v>67</v>
      </c>
      <c r="AX411" s="103">
        <v>30</v>
      </c>
      <c r="AY411" s="103">
        <v>11</v>
      </c>
      <c r="AZ411" s="103">
        <v>3</v>
      </c>
      <c r="BA411" s="103">
        <v>5</v>
      </c>
      <c r="BB411" s="103">
        <v>0</v>
      </c>
      <c r="BC411" s="42"/>
      <c r="BD411" s="110"/>
      <c r="BE411" s="46" t="s">
        <v>4</v>
      </c>
      <c r="BF411" s="103">
        <v>178</v>
      </c>
      <c r="BG411" s="103">
        <v>650</v>
      </c>
      <c r="BH411" s="103">
        <v>874</v>
      </c>
      <c r="BI411" s="103">
        <v>568</v>
      </c>
      <c r="BJ411" s="103">
        <v>156</v>
      </c>
      <c r="BK411" s="103">
        <v>76</v>
      </c>
      <c r="BL411" s="103">
        <v>38</v>
      </c>
      <c r="BM411" s="103">
        <v>11</v>
      </c>
      <c r="BN411" s="103">
        <v>3</v>
      </c>
      <c r="BO411" s="103">
        <v>0</v>
      </c>
      <c r="BQ411" s="110"/>
      <c r="BR411" s="46" t="s">
        <v>4</v>
      </c>
      <c r="BS411" s="103">
        <v>161</v>
      </c>
      <c r="BT411" s="103">
        <v>589</v>
      </c>
      <c r="BU411" s="103">
        <v>574</v>
      </c>
      <c r="BV411" s="103">
        <v>346</v>
      </c>
      <c r="BW411" s="103">
        <v>80</v>
      </c>
      <c r="BX411" s="103">
        <v>36</v>
      </c>
      <c r="BY411" s="103">
        <v>15</v>
      </c>
      <c r="BZ411" s="103">
        <v>2</v>
      </c>
      <c r="CA411" s="103">
        <v>1</v>
      </c>
      <c r="CB411" s="103">
        <v>0</v>
      </c>
      <c r="CC411" s="42"/>
      <c r="CD411" s="110"/>
      <c r="CE411" s="46" t="s">
        <v>4</v>
      </c>
      <c r="CF411" s="103">
        <v>200</v>
      </c>
      <c r="CG411" s="103">
        <v>700</v>
      </c>
      <c r="CH411" s="103">
        <v>899</v>
      </c>
      <c r="CI411" s="103">
        <v>525</v>
      </c>
      <c r="CJ411" s="103">
        <v>143</v>
      </c>
      <c r="CK411" s="103">
        <v>70</v>
      </c>
      <c r="CL411" s="103">
        <v>34</v>
      </c>
      <c r="CM411" s="103">
        <v>12</v>
      </c>
      <c r="CN411" s="103">
        <v>7</v>
      </c>
      <c r="CO411" s="103">
        <v>0</v>
      </c>
      <c r="CQ411" s="110"/>
      <c r="CR411" s="46" t="s">
        <v>4</v>
      </c>
      <c r="CS411" s="103">
        <v>57</v>
      </c>
      <c r="CT411" s="103">
        <v>223</v>
      </c>
      <c r="CU411" s="103">
        <v>283</v>
      </c>
      <c r="CV411" s="103">
        <v>226</v>
      </c>
      <c r="CW411" s="103">
        <v>69</v>
      </c>
      <c r="CX411" s="103">
        <v>52</v>
      </c>
      <c r="CY411" s="103">
        <v>30</v>
      </c>
      <c r="CZ411" s="103">
        <v>11</v>
      </c>
      <c r="DA411" s="103">
        <v>7</v>
      </c>
      <c r="DB411" s="103">
        <v>0</v>
      </c>
      <c r="DC411" s="42"/>
      <c r="DD411" s="110"/>
      <c r="DE411" s="46" t="s">
        <v>4</v>
      </c>
      <c r="DF411" s="103">
        <v>304</v>
      </c>
      <c r="DG411" s="103">
        <v>1066</v>
      </c>
      <c r="DH411" s="103">
        <v>1190</v>
      </c>
      <c r="DI411" s="103">
        <v>645</v>
      </c>
      <c r="DJ411" s="103">
        <v>154</v>
      </c>
      <c r="DK411" s="103">
        <v>54</v>
      </c>
      <c r="DL411" s="103">
        <v>19</v>
      </c>
      <c r="DM411" s="103">
        <v>3</v>
      </c>
      <c r="DN411" s="103">
        <v>1</v>
      </c>
      <c r="DO411" s="103">
        <v>0</v>
      </c>
    </row>
    <row r="412" spans="2:119" ht="16.5" customHeight="1" x14ac:dyDescent="0.45">
      <c r="B412" s="134"/>
      <c r="C412" s="42"/>
      <c r="D412" s="110"/>
      <c r="E412" s="46" t="s">
        <v>5</v>
      </c>
      <c r="F412" s="103">
        <v>431</v>
      </c>
      <c r="G412" s="103">
        <v>1753</v>
      </c>
      <c r="H412" s="103">
        <v>2721</v>
      </c>
      <c r="I412" s="103">
        <v>2062</v>
      </c>
      <c r="J412" s="103">
        <v>682</v>
      </c>
      <c r="K412" s="103">
        <v>317</v>
      </c>
      <c r="L412" s="103">
        <v>98</v>
      </c>
      <c r="M412" s="103">
        <v>35</v>
      </c>
      <c r="N412" s="103">
        <v>5</v>
      </c>
      <c r="O412" s="103">
        <v>0</v>
      </c>
      <c r="P412" s="42"/>
      <c r="Q412" s="110"/>
      <c r="R412" s="46" t="s">
        <v>5</v>
      </c>
      <c r="S412" s="103">
        <v>115</v>
      </c>
      <c r="T412" s="103">
        <v>727</v>
      </c>
      <c r="U412" s="103">
        <v>1364</v>
      </c>
      <c r="V412" s="103">
        <v>1020</v>
      </c>
      <c r="W412" s="103">
        <v>353</v>
      </c>
      <c r="X412" s="103">
        <v>164</v>
      </c>
      <c r="Y412" s="103">
        <v>48</v>
      </c>
      <c r="Z412" s="103">
        <v>20</v>
      </c>
      <c r="AA412" s="103">
        <v>4</v>
      </c>
      <c r="AB412" s="103">
        <v>0</v>
      </c>
      <c r="AC412" s="42"/>
      <c r="AD412" s="110"/>
      <c r="AE412" s="46" t="s">
        <v>5</v>
      </c>
      <c r="AF412" s="103">
        <v>316</v>
      </c>
      <c r="AG412" s="103">
        <v>1026</v>
      </c>
      <c r="AH412" s="103">
        <v>1357</v>
      </c>
      <c r="AI412" s="103">
        <v>1042</v>
      </c>
      <c r="AJ412" s="103">
        <v>329</v>
      </c>
      <c r="AK412" s="103">
        <v>153</v>
      </c>
      <c r="AL412" s="103">
        <v>50</v>
      </c>
      <c r="AM412" s="103">
        <v>15</v>
      </c>
      <c r="AN412" s="103">
        <v>1</v>
      </c>
      <c r="AO412" s="103">
        <v>0</v>
      </c>
      <c r="AP412" s="6"/>
      <c r="AQ412" s="110"/>
      <c r="AR412" s="46" t="s">
        <v>5</v>
      </c>
      <c r="AS412" s="103">
        <v>222</v>
      </c>
      <c r="AT412" s="103">
        <v>827</v>
      </c>
      <c r="AU412" s="103">
        <v>1033</v>
      </c>
      <c r="AV412" s="103">
        <v>598</v>
      </c>
      <c r="AW412" s="103">
        <v>167</v>
      </c>
      <c r="AX412" s="103">
        <v>65</v>
      </c>
      <c r="AY412" s="103">
        <v>21</v>
      </c>
      <c r="AZ412" s="103">
        <v>13</v>
      </c>
      <c r="BA412" s="103">
        <v>2</v>
      </c>
      <c r="BB412" s="103">
        <v>0</v>
      </c>
      <c r="BC412" s="42"/>
      <c r="BD412" s="110"/>
      <c r="BE412" s="46" t="s">
        <v>5</v>
      </c>
      <c r="BF412" s="103">
        <v>209</v>
      </c>
      <c r="BG412" s="103">
        <v>926</v>
      </c>
      <c r="BH412" s="103">
        <v>1688</v>
      </c>
      <c r="BI412" s="103">
        <v>1464</v>
      </c>
      <c r="BJ412" s="103">
        <v>515</v>
      </c>
      <c r="BK412" s="103">
        <v>252</v>
      </c>
      <c r="BL412" s="103">
        <v>77</v>
      </c>
      <c r="BM412" s="103">
        <v>22</v>
      </c>
      <c r="BN412" s="103">
        <v>3</v>
      </c>
      <c r="BO412" s="103">
        <v>0</v>
      </c>
      <c r="BQ412" s="110"/>
      <c r="BR412" s="46" t="s">
        <v>5</v>
      </c>
      <c r="BS412" s="103">
        <v>148</v>
      </c>
      <c r="BT412" s="103">
        <v>597</v>
      </c>
      <c r="BU412" s="103">
        <v>777</v>
      </c>
      <c r="BV412" s="103">
        <v>542</v>
      </c>
      <c r="BW412" s="103">
        <v>167</v>
      </c>
      <c r="BX412" s="103">
        <v>71</v>
      </c>
      <c r="BY412" s="103">
        <v>24</v>
      </c>
      <c r="BZ412" s="103">
        <v>7</v>
      </c>
      <c r="CA412" s="103">
        <v>3</v>
      </c>
      <c r="CB412" s="103">
        <v>0</v>
      </c>
      <c r="CC412" s="42"/>
      <c r="CD412" s="110"/>
      <c r="CE412" s="46" t="s">
        <v>5</v>
      </c>
      <c r="CF412" s="103">
        <v>283</v>
      </c>
      <c r="CG412" s="103">
        <v>1156</v>
      </c>
      <c r="CH412" s="103">
        <v>1944</v>
      </c>
      <c r="CI412" s="103">
        <v>1520</v>
      </c>
      <c r="CJ412" s="103">
        <v>515</v>
      </c>
      <c r="CK412" s="103">
        <v>246</v>
      </c>
      <c r="CL412" s="103">
        <v>74</v>
      </c>
      <c r="CM412" s="103">
        <v>28</v>
      </c>
      <c r="CN412" s="103">
        <v>2</v>
      </c>
      <c r="CO412" s="103">
        <v>0</v>
      </c>
      <c r="CQ412" s="110"/>
      <c r="CR412" s="46" t="s">
        <v>5</v>
      </c>
      <c r="CS412" s="103">
        <v>56</v>
      </c>
      <c r="CT412" s="103">
        <v>221</v>
      </c>
      <c r="CU412" s="103">
        <v>429</v>
      </c>
      <c r="CV412" s="103">
        <v>403</v>
      </c>
      <c r="CW412" s="103">
        <v>187</v>
      </c>
      <c r="CX412" s="103">
        <v>82</v>
      </c>
      <c r="CY412" s="103">
        <v>36</v>
      </c>
      <c r="CZ412" s="103">
        <v>21</v>
      </c>
      <c r="DA412" s="103">
        <v>3</v>
      </c>
      <c r="DB412" s="103">
        <v>0</v>
      </c>
      <c r="DC412" s="42"/>
      <c r="DD412" s="110"/>
      <c r="DE412" s="46" t="s">
        <v>5</v>
      </c>
      <c r="DF412" s="103">
        <v>375</v>
      </c>
      <c r="DG412" s="103">
        <v>1532</v>
      </c>
      <c r="DH412" s="103">
        <v>2292</v>
      </c>
      <c r="DI412" s="103">
        <v>1659</v>
      </c>
      <c r="DJ412" s="103">
        <v>495</v>
      </c>
      <c r="DK412" s="103">
        <v>235</v>
      </c>
      <c r="DL412" s="103">
        <v>62</v>
      </c>
      <c r="DM412" s="103">
        <v>14</v>
      </c>
      <c r="DN412" s="103">
        <v>2</v>
      </c>
      <c r="DO412" s="103">
        <v>0</v>
      </c>
    </row>
    <row r="413" spans="2:119" ht="16.5" customHeight="1" x14ac:dyDescent="0.45">
      <c r="B413" s="134"/>
      <c r="C413" s="42"/>
      <c r="D413" s="110"/>
      <c r="E413" s="46" t="s">
        <v>6</v>
      </c>
      <c r="F413" s="103">
        <v>665</v>
      </c>
      <c r="G413" s="103">
        <v>2704</v>
      </c>
      <c r="H413" s="103">
        <v>4930</v>
      </c>
      <c r="I413" s="103">
        <v>5450</v>
      </c>
      <c r="J413" s="103">
        <v>2312</v>
      </c>
      <c r="K413" s="103">
        <v>1144</v>
      </c>
      <c r="L413" s="103">
        <v>531</v>
      </c>
      <c r="M413" s="103">
        <v>131</v>
      </c>
      <c r="N413" s="103">
        <v>25</v>
      </c>
      <c r="O413" s="103">
        <v>6</v>
      </c>
      <c r="P413" s="42"/>
      <c r="Q413" s="110"/>
      <c r="R413" s="46" t="s">
        <v>6</v>
      </c>
      <c r="S413" s="103">
        <v>180</v>
      </c>
      <c r="T413" s="103">
        <v>978</v>
      </c>
      <c r="U413" s="103">
        <v>2332</v>
      </c>
      <c r="V413" s="103">
        <v>2708</v>
      </c>
      <c r="W413" s="103">
        <v>1206</v>
      </c>
      <c r="X413" s="103">
        <v>623</v>
      </c>
      <c r="Y413" s="103">
        <v>282</v>
      </c>
      <c r="Z413" s="103">
        <v>79</v>
      </c>
      <c r="AA413" s="103">
        <v>16</v>
      </c>
      <c r="AB413" s="103">
        <v>2</v>
      </c>
      <c r="AC413" s="42"/>
      <c r="AD413" s="110"/>
      <c r="AE413" s="46" t="s">
        <v>6</v>
      </c>
      <c r="AF413" s="103">
        <v>485</v>
      </c>
      <c r="AG413" s="103">
        <v>1726</v>
      </c>
      <c r="AH413" s="103">
        <v>2598</v>
      </c>
      <c r="AI413" s="103">
        <v>2742</v>
      </c>
      <c r="AJ413" s="103">
        <v>1106</v>
      </c>
      <c r="AK413" s="103">
        <v>521</v>
      </c>
      <c r="AL413" s="103">
        <v>249</v>
      </c>
      <c r="AM413" s="103">
        <v>52</v>
      </c>
      <c r="AN413" s="103">
        <v>9</v>
      </c>
      <c r="AO413" s="103">
        <v>4</v>
      </c>
      <c r="AP413" s="6"/>
      <c r="AQ413" s="110"/>
      <c r="AR413" s="46" t="s">
        <v>6</v>
      </c>
      <c r="AS413" s="103">
        <v>328</v>
      </c>
      <c r="AT413" s="103">
        <v>1255</v>
      </c>
      <c r="AU413" s="103">
        <v>1798</v>
      </c>
      <c r="AV413" s="103">
        <v>1601</v>
      </c>
      <c r="AW413" s="103">
        <v>549</v>
      </c>
      <c r="AX413" s="103">
        <v>246</v>
      </c>
      <c r="AY413" s="103">
        <v>97</v>
      </c>
      <c r="AZ413" s="103">
        <v>18</v>
      </c>
      <c r="BA413" s="103">
        <v>4</v>
      </c>
      <c r="BB413" s="103">
        <v>1</v>
      </c>
      <c r="BC413" s="42"/>
      <c r="BD413" s="110"/>
      <c r="BE413" s="46" t="s">
        <v>6</v>
      </c>
      <c r="BF413" s="103">
        <v>337</v>
      </c>
      <c r="BG413" s="103">
        <v>1449</v>
      </c>
      <c r="BH413" s="103">
        <v>3132</v>
      </c>
      <c r="BI413" s="103">
        <v>3849</v>
      </c>
      <c r="BJ413" s="103">
        <v>1763</v>
      </c>
      <c r="BK413" s="103">
        <v>898</v>
      </c>
      <c r="BL413" s="103">
        <v>434</v>
      </c>
      <c r="BM413" s="103">
        <v>113</v>
      </c>
      <c r="BN413" s="103">
        <v>21</v>
      </c>
      <c r="BO413" s="103">
        <v>5</v>
      </c>
      <c r="BQ413" s="110"/>
      <c r="BR413" s="46" t="s">
        <v>6</v>
      </c>
      <c r="BS413" s="103">
        <v>170</v>
      </c>
      <c r="BT413" s="103">
        <v>658</v>
      </c>
      <c r="BU413" s="103">
        <v>976</v>
      </c>
      <c r="BV413" s="103">
        <v>892</v>
      </c>
      <c r="BW413" s="103">
        <v>300</v>
      </c>
      <c r="BX413" s="103">
        <v>166</v>
      </c>
      <c r="BY413" s="103">
        <v>75</v>
      </c>
      <c r="BZ413" s="103">
        <v>21</v>
      </c>
      <c r="CA413" s="103">
        <v>8</v>
      </c>
      <c r="CB413" s="103">
        <v>2</v>
      </c>
      <c r="CC413" s="42"/>
      <c r="CD413" s="110"/>
      <c r="CE413" s="46" t="s">
        <v>6</v>
      </c>
      <c r="CF413" s="103">
        <v>495</v>
      </c>
      <c r="CG413" s="103">
        <v>2046</v>
      </c>
      <c r="CH413" s="103">
        <v>3954</v>
      </c>
      <c r="CI413" s="103">
        <v>4558</v>
      </c>
      <c r="CJ413" s="103">
        <v>2012</v>
      </c>
      <c r="CK413" s="103">
        <v>978</v>
      </c>
      <c r="CL413" s="103">
        <v>456</v>
      </c>
      <c r="CM413" s="103">
        <v>110</v>
      </c>
      <c r="CN413" s="103">
        <v>17</v>
      </c>
      <c r="CO413" s="103">
        <v>4</v>
      </c>
      <c r="CQ413" s="110"/>
      <c r="CR413" s="46" t="s">
        <v>6</v>
      </c>
      <c r="CS413" s="103">
        <v>73</v>
      </c>
      <c r="CT413" s="103">
        <v>330</v>
      </c>
      <c r="CU413" s="103">
        <v>722</v>
      </c>
      <c r="CV413" s="103">
        <v>910</v>
      </c>
      <c r="CW413" s="103">
        <v>428</v>
      </c>
      <c r="CX413" s="103">
        <v>253</v>
      </c>
      <c r="CY413" s="103">
        <v>132</v>
      </c>
      <c r="CZ413" s="103">
        <v>37</v>
      </c>
      <c r="DA413" s="103">
        <v>9</v>
      </c>
      <c r="DB413" s="103">
        <v>4</v>
      </c>
      <c r="DC413" s="42"/>
      <c r="DD413" s="110"/>
      <c r="DE413" s="46" t="s">
        <v>6</v>
      </c>
      <c r="DF413" s="103">
        <v>592</v>
      </c>
      <c r="DG413" s="103">
        <v>2374</v>
      </c>
      <c r="DH413" s="103">
        <v>4208</v>
      </c>
      <c r="DI413" s="103">
        <v>4540</v>
      </c>
      <c r="DJ413" s="103">
        <v>1884</v>
      </c>
      <c r="DK413" s="103">
        <v>891</v>
      </c>
      <c r="DL413" s="103">
        <v>399</v>
      </c>
      <c r="DM413" s="103">
        <v>94</v>
      </c>
      <c r="DN413" s="103">
        <v>16</v>
      </c>
      <c r="DO413" s="103">
        <v>2</v>
      </c>
    </row>
    <row r="414" spans="2:119" ht="16.5" customHeight="1" x14ac:dyDescent="0.45">
      <c r="B414" s="134"/>
      <c r="C414" s="42"/>
      <c r="D414" s="110"/>
      <c r="E414" s="46" t="s">
        <v>7</v>
      </c>
      <c r="F414" s="103">
        <v>765</v>
      </c>
      <c r="G414" s="103">
        <v>2769</v>
      </c>
      <c r="H414" s="103">
        <v>6710</v>
      </c>
      <c r="I414" s="103">
        <v>10129</v>
      </c>
      <c r="J414" s="103">
        <v>6046</v>
      </c>
      <c r="K414" s="103">
        <v>4221</v>
      </c>
      <c r="L414" s="103">
        <v>2170</v>
      </c>
      <c r="M414" s="103">
        <v>734</v>
      </c>
      <c r="N414" s="103">
        <v>248</v>
      </c>
      <c r="O414" s="103">
        <v>28</v>
      </c>
      <c r="P414" s="42"/>
      <c r="Q414" s="110"/>
      <c r="R414" s="46" t="s">
        <v>7</v>
      </c>
      <c r="S414" s="103">
        <v>169</v>
      </c>
      <c r="T414" s="103">
        <v>958</v>
      </c>
      <c r="U414" s="103">
        <v>2799</v>
      </c>
      <c r="V414" s="103">
        <v>4726</v>
      </c>
      <c r="W414" s="103">
        <v>3027</v>
      </c>
      <c r="X414" s="103">
        <v>2224</v>
      </c>
      <c r="Y414" s="103">
        <v>1211</v>
      </c>
      <c r="Z414" s="103">
        <v>442</v>
      </c>
      <c r="AA414" s="103">
        <v>160</v>
      </c>
      <c r="AB414" s="103">
        <v>15</v>
      </c>
      <c r="AC414" s="42"/>
      <c r="AD414" s="110"/>
      <c r="AE414" s="46" t="s">
        <v>7</v>
      </c>
      <c r="AF414" s="103">
        <v>596</v>
      </c>
      <c r="AG414" s="103">
        <v>1811</v>
      </c>
      <c r="AH414" s="103">
        <v>3911</v>
      </c>
      <c r="AI414" s="103">
        <v>5403</v>
      </c>
      <c r="AJ414" s="103">
        <v>3019</v>
      </c>
      <c r="AK414" s="103">
        <v>1997</v>
      </c>
      <c r="AL414" s="103">
        <v>959</v>
      </c>
      <c r="AM414" s="103">
        <v>292</v>
      </c>
      <c r="AN414" s="103">
        <v>88</v>
      </c>
      <c r="AO414" s="103">
        <v>13</v>
      </c>
      <c r="AP414" s="6"/>
      <c r="AQ414" s="110"/>
      <c r="AR414" s="46" t="s">
        <v>7</v>
      </c>
      <c r="AS414" s="103">
        <v>380</v>
      </c>
      <c r="AT414" s="103">
        <v>1261</v>
      </c>
      <c r="AU414" s="103">
        <v>2471</v>
      </c>
      <c r="AV414" s="103">
        <v>2875</v>
      </c>
      <c r="AW414" s="103">
        <v>1302</v>
      </c>
      <c r="AX414" s="103">
        <v>896</v>
      </c>
      <c r="AY414" s="103">
        <v>387</v>
      </c>
      <c r="AZ414" s="103">
        <v>114</v>
      </c>
      <c r="BA414" s="103">
        <v>35</v>
      </c>
      <c r="BB414" s="103">
        <v>4</v>
      </c>
      <c r="BC414" s="42"/>
      <c r="BD414" s="110"/>
      <c r="BE414" s="46" t="s">
        <v>7</v>
      </c>
      <c r="BF414" s="103">
        <v>385</v>
      </c>
      <c r="BG414" s="103">
        <v>1508</v>
      </c>
      <c r="BH414" s="103">
        <v>4239</v>
      </c>
      <c r="BI414" s="103">
        <v>7254</v>
      </c>
      <c r="BJ414" s="103">
        <v>4744</v>
      </c>
      <c r="BK414" s="103">
        <v>3325</v>
      </c>
      <c r="BL414" s="103">
        <v>1783</v>
      </c>
      <c r="BM414" s="103">
        <v>620</v>
      </c>
      <c r="BN414" s="103">
        <v>213</v>
      </c>
      <c r="BO414" s="103">
        <v>24</v>
      </c>
      <c r="BQ414" s="110"/>
      <c r="BR414" s="46" t="s">
        <v>7</v>
      </c>
      <c r="BS414" s="103">
        <v>150</v>
      </c>
      <c r="BT414" s="103">
        <v>514</v>
      </c>
      <c r="BU414" s="103">
        <v>904</v>
      </c>
      <c r="BV414" s="103">
        <v>1135</v>
      </c>
      <c r="BW414" s="103">
        <v>565</v>
      </c>
      <c r="BX414" s="103">
        <v>384</v>
      </c>
      <c r="BY414" s="103">
        <v>164</v>
      </c>
      <c r="BZ414" s="103">
        <v>75</v>
      </c>
      <c r="CA414" s="103">
        <v>19</v>
      </c>
      <c r="CB414" s="103">
        <v>3</v>
      </c>
      <c r="CC414" s="42"/>
      <c r="CD414" s="110"/>
      <c r="CE414" s="46" t="s">
        <v>7</v>
      </c>
      <c r="CF414" s="103">
        <v>615</v>
      </c>
      <c r="CG414" s="103">
        <v>2255</v>
      </c>
      <c r="CH414" s="103">
        <v>5806</v>
      </c>
      <c r="CI414" s="103">
        <v>8994</v>
      </c>
      <c r="CJ414" s="103">
        <v>5481</v>
      </c>
      <c r="CK414" s="103">
        <v>3837</v>
      </c>
      <c r="CL414" s="103">
        <v>2006</v>
      </c>
      <c r="CM414" s="103">
        <v>659</v>
      </c>
      <c r="CN414" s="103">
        <v>229</v>
      </c>
      <c r="CO414" s="103">
        <v>25</v>
      </c>
      <c r="CQ414" s="110"/>
      <c r="CR414" s="46" t="s">
        <v>7</v>
      </c>
      <c r="CS414" s="103">
        <v>82</v>
      </c>
      <c r="CT414" s="103">
        <v>277</v>
      </c>
      <c r="CU414" s="103">
        <v>839</v>
      </c>
      <c r="CV414" s="103">
        <v>1510</v>
      </c>
      <c r="CW414" s="103">
        <v>989</v>
      </c>
      <c r="CX414" s="103">
        <v>759</v>
      </c>
      <c r="CY414" s="103">
        <v>476</v>
      </c>
      <c r="CZ414" s="103">
        <v>162</v>
      </c>
      <c r="DA414" s="103">
        <v>60</v>
      </c>
      <c r="DB414" s="103">
        <v>10</v>
      </c>
      <c r="DC414" s="42"/>
      <c r="DD414" s="110"/>
      <c r="DE414" s="46" t="s">
        <v>7</v>
      </c>
      <c r="DF414" s="103">
        <v>683</v>
      </c>
      <c r="DG414" s="103">
        <v>2492</v>
      </c>
      <c r="DH414" s="103">
        <v>5871</v>
      </c>
      <c r="DI414" s="103">
        <v>8619</v>
      </c>
      <c r="DJ414" s="103">
        <v>5057</v>
      </c>
      <c r="DK414" s="103">
        <v>3462</v>
      </c>
      <c r="DL414" s="103">
        <v>1694</v>
      </c>
      <c r="DM414" s="103">
        <v>572</v>
      </c>
      <c r="DN414" s="103">
        <v>188</v>
      </c>
      <c r="DO414" s="103">
        <v>18</v>
      </c>
    </row>
    <row r="415" spans="2:119" ht="16.5" customHeight="1" x14ac:dyDescent="0.45">
      <c r="B415" s="134"/>
      <c r="C415" s="42"/>
      <c r="D415" s="110"/>
      <c r="E415" s="46" t="s">
        <v>8</v>
      </c>
      <c r="F415" s="103">
        <v>477</v>
      </c>
      <c r="G415" s="103">
        <v>1854</v>
      </c>
      <c r="H415" s="103">
        <v>4812</v>
      </c>
      <c r="I415" s="103">
        <v>10568</v>
      </c>
      <c r="J415" s="103">
        <v>9016</v>
      </c>
      <c r="K415" s="103">
        <v>8731</v>
      </c>
      <c r="L415" s="103">
        <v>6258</v>
      </c>
      <c r="M415" s="103">
        <v>2914</v>
      </c>
      <c r="N415" s="103">
        <v>929</v>
      </c>
      <c r="O415" s="103">
        <v>200</v>
      </c>
      <c r="P415" s="42"/>
      <c r="Q415" s="110"/>
      <c r="R415" s="46" t="s">
        <v>8</v>
      </c>
      <c r="S415" s="103">
        <v>94</v>
      </c>
      <c r="T415" s="103">
        <v>544</v>
      </c>
      <c r="U415" s="103">
        <v>1776</v>
      </c>
      <c r="V415" s="103">
        <v>4533</v>
      </c>
      <c r="W415" s="103">
        <v>4279</v>
      </c>
      <c r="X415" s="103">
        <v>4507</v>
      </c>
      <c r="Y415" s="103">
        <v>3519</v>
      </c>
      <c r="Z415" s="103">
        <v>1772</v>
      </c>
      <c r="AA415" s="103">
        <v>589</v>
      </c>
      <c r="AB415" s="103">
        <v>133</v>
      </c>
      <c r="AC415" s="42"/>
      <c r="AD415" s="110"/>
      <c r="AE415" s="46" t="s">
        <v>8</v>
      </c>
      <c r="AF415" s="103">
        <v>383</v>
      </c>
      <c r="AG415" s="103">
        <v>1310</v>
      </c>
      <c r="AH415" s="103">
        <v>3036</v>
      </c>
      <c r="AI415" s="103">
        <v>6035</v>
      </c>
      <c r="AJ415" s="103">
        <v>4737</v>
      </c>
      <c r="AK415" s="103">
        <v>4224</v>
      </c>
      <c r="AL415" s="103">
        <v>2739</v>
      </c>
      <c r="AM415" s="103">
        <v>1142</v>
      </c>
      <c r="AN415" s="103">
        <v>340</v>
      </c>
      <c r="AO415" s="103">
        <v>67</v>
      </c>
      <c r="AP415" s="6"/>
      <c r="AQ415" s="110"/>
      <c r="AR415" s="46" t="s">
        <v>8</v>
      </c>
      <c r="AS415" s="103">
        <v>238</v>
      </c>
      <c r="AT415" s="103">
        <v>794</v>
      </c>
      <c r="AU415" s="103">
        <v>1792</v>
      </c>
      <c r="AV415" s="103">
        <v>2932</v>
      </c>
      <c r="AW415" s="103">
        <v>2043</v>
      </c>
      <c r="AX415" s="103">
        <v>1585</v>
      </c>
      <c r="AY415" s="103">
        <v>978</v>
      </c>
      <c r="AZ415" s="103">
        <v>404</v>
      </c>
      <c r="BA415" s="103">
        <v>129</v>
      </c>
      <c r="BB415" s="103">
        <v>21</v>
      </c>
      <c r="BC415" s="42"/>
      <c r="BD415" s="110"/>
      <c r="BE415" s="46" t="s">
        <v>8</v>
      </c>
      <c r="BF415" s="103">
        <v>239</v>
      </c>
      <c r="BG415" s="103">
        <v>1060</v>
      </c>
      <c r="BH415" s="103">
        <v>3020</v>
      </c>
      <c r="BI415" s="103">
        <v>7636</v>
      </c>
      <c r="BJ415" s="103">
        <v>6973</v>
      </c>
      <c r="BK415" s="103">
        <v>7146</v>
      </c>
      <c r="BL415" s="103">
        <v>5280</v>
      </c>
      <c r="BM415" s="103">
        <v>2510</v>
      </c>
      <c r="BN415" s="103">
        <v>800</v>
      </c>
      <c r="BO415" s="103">
        <v>179</v>
      </c>
      <c r="BQ415" s="110"/>
      <c r="BR415" s="46" t="s">
        <v>8</v>
      </c>
      <c r="BS415" s="103">
        <v>89</v>
      </c>
      <c r="BT415" s="103">
        <v>303</v>
      </c>
      <c r="BU415" s="103">
        <v>537</v>
      </c>
      <c r="BV415" s="103">
        <v>856</v>
      </c>
      <c r="BW415" s="103">
        <v>632</v>
      </c>
      <c r="BX415" s="103">
        <v>483</v>
      </c>
      <c r="BY415" s="103">
        <v>338</v>
      </c>
      <c r="BZ415" s="103">
        <v>159</v>
      </c>
      <c r="CA415" s="103">
        <v>50</v>
      </c>
      <c r="CB415" s="103">
        <v>11</v>
      </c>
      <c r="CC415" s="42"/>
      <c r="CD415" s="110"/>
      <c r="CE415" s="46" t="s">
        <v>8</v>
      </c>
      <c r="CF415" s="103">
        <v>388</v>
      </c>
      <c r="CG415" s="103">
        <v>1551</v>
      </c>
      <c r="CH415" s="103">
        <v>4275</v>
      </c>
      <c r="CI415" s="103">
        <v>9712</v>
      </c>
      <c r="CJ415" s="103">
        <v>8384</v>
      </c>
      <c r="CK415" s="103">
        <v>8248</v>
      </c>
      <c r="CL415" s="103">
        <v>5920</v>
      </c>
      <c r="CM415" s="103">
        <v>2755</v>
      </c>
      <c r="CN415" s="103">
        <v>879</v>
      </c>
      <c r="CO415" s="103">
        <v>189</v>
      </c>
      <c r="CQ415" s="110"/>
      <c r="CR415" s="46" t="s">
        <v>8</v>
      </c>
      <c r="CS415" s="103">
        <v>37</v>
      </c>
      <c r="CT415" s="103">
        <v>176</v>
      </c>
      <c r="CU415" s="103">
        <v>504</v>
      </c>
      <c r="CV415" s="103">
        <v>1284</v>
      </c>
      <c r="CW415" s="103">
        <v>1219</v>
      </c>
      <c r="CX415" s="103">
        <v>1242</v>
      </c>
      <c r="CY415" s="103">
        <v>976</v>
      </c>
      <c r="CZ415" s="103">
        <v>526</v>
      </c>
      <c r="DA415" s="103">
        <v>195</v>
      </c>
      <c r="DB415" s="103">
        <v>44</v>
      </c>
      <c r="DC415" s="42"/>
      <c r="DD415" s="110"/>
      <c r="DE415" s="46" t="s">
        <v>8</v>
      </c>
      <c r="DF415" s="103">
        <v>440</v>
      </c>
      <c r="DG415" s="103">
        <v>1678</v>
      </c>
      <c r="DH415" s="103">
        <v>4308</v>
      </c>
      <c r="DI415" s="103">
        <v>9284</v>
      </c>
      <c r="DJ415" s="103">
        <v>7797</v>
      </c>
      <c r="DK415" s="103">
        <v>7489</v>
      </c>
      <c r="DL415" s="103">
        <v>5282</v>
      </c>
      <c r="DM415" s="103">
        <v>2388</v>
      </c>
      <c r="DN415" s="103">
        <v>734</v>
      </c>
      <c r="DO415" s="103">
        <v>156</v>
      </c>
    </row>
    <row r="416" spans="2:119" ht="16.5" customHeight="1" x14ac:dyDescent="0.45">
      <c r="B416" s="134"/>
      <c r="C416" s="42"/>
      <c r="D416" s="110"/>
      <c r="E416" s="46" t="s">
        <v>9</v>
      </c>
      <c r="F416" s="103">
        <v>186</v>
      </c>
      <c r="G416" s="103">
        <v>706</v>
      </c>
      <c r="H416" s="103">
        <v>2111</v>
      </c>
      <c r="I416" s="103">
        <v>6108</v>
      </c>
      <c r="J416" s="103">
        <v>7431</v>
      </c>
      <c r="K416" s="103">
        <v>10303</v>
      </c>
      <c r="L416" s="103">
        <v>10743</v>
      </c>
      <c r="M416" s="103">
        <v>7397</v>
      </c>
      <c r="N416" s="103">
        <v>3572</v>
      </c>
      <c r="O416" s="103">
        <v>1046</v>
      </c>
      <c r="P416" s="42"/>
      <c r="Q416" s="110"/>
      <c r="R416" s="46" t="s">
        <v>9</v>
      </c>
      <c r="S416" s="103">
        <v>32</v>
      </c>
      <c r="T416" s="103">
        <v>142</v>
      </c>
      <c r="U416" s="103">
        <v>610</v>
      </c>
      <c r="V416" s="103">
        <v>2152</v>
      </c>
      <c r="W416" s="103">
        <v>2983</v>
      </c>
      <c r="X416" s="103">
        <v>4615</v>
      </c>
      <c r="Y416" s="103">
        <v>5386</v>
      </c>
      <c r="Z416" s="103">
        <v>4065</v>
      </c>
      <c r="AA416" s="103">
        <v>2188</v>
      </c>
      <c r="AB416" s="103">
        <v>670</v>
      </c>
      <c r="AC416" s="42"/>
      <c r="AD416" s="110"/>
      <c r="AE416" s="46" t="s">
        <v>9</v>
      </c>
      <c r="AF416" s="103">
        <v>154</v>
      </c>
      <c r="AG416" s="103">
        <v>564</v>
      </c>
      <c r="AH416" s="103">
        <v>1501</v>
      </c>
      <c r="AI416" s="103">
        <v>3956</v>
      </c>
      <c r="AJ416" s="103">
        <v>4448</v>
      </c>
      <c r="AK416" s="103">
        <v>5688</v>
      </c>
      <c r="AL416" s="103">
        <v>5357</v>
      </c>
      <c r="AM416" s="103">
        <v>3332</v>
      </c>
      <c r="AN416" s="103">
        <v>1384</v>
      </c>
      <c r="AO416" s="103">
        <v>376</v>
      </c>
      <c r="AP416" s="6"/>
      <c r="AQ416" s="110"/>
      <c r="AR416" s="46" t="s">
        <v>9</v>
      </c>
      <c r="AS416" s="103">
        <v>77</v>
      </c>
      <c r="AT416" s="103">
        <v>311</v>
      </c>
      <c r="AU416" s="103">
        <v>757</v>
      </c>
      <c r="AV416" s="103">
        <v>1679</v>
      </c>
      <c r="AW416" s="103">
        <v>1608</v>
      </c>
      <c r="AX416" s="103">
        <v>1722</v>
      </c>
      <c r="AY416" s="103">
        <v>1552</v>
      </c>
      <c r="AZ416" s="103">
        <v>869</v>
      </c>
      <c r="BA416" s="103">
        <v>369</v>
      </c>
      <c r="BB416" s="103">
        <v>92</v>
      </c>
      <c r="BC416" s="42"/>
      <c r="BD416" s="110"/>
      <c r="BE416" s="46" t="s">
        <v>9</v>
      </c>
      <c r="BF416" s="103">
        <v>109</v>
      </c>
      <c r="BG416" s="103">
        <v>395</v>
      </c>
      <c r="BH416" s="103">
        <v>1354</v>
      </c>
      <c r="BI416" s="103">
        <v>4429</v>
      </c>
      <c r="BJ416" s="103">
        <v>5823</v>
      </c>
      <c r="BK416" s="103">
        <v>8581</v>
      </c>
      <c r="BL416" s="103">
        <v>9191</v>
      </c>
      <c r="BM416" s="103">
        <v>6528</v>
      </c>
      <c r="BN416" s="103">
        <v>3203</v>
      </c>
      <c r="BO416" s="103">
        <v>954</v>
      </c>
      <c r="BQ416" s="110"/>
      <c r="BR416" s="46" t="s">
        <v>9</v>
      </c>
      <c r="BS416" s="103">
        <v>22</v>
      </c>
      <c r="BT416" s="103">
        <v>97</v>
      </c>
      <c r="BU416" s="103">
        <v>228</v>
      </c>
      <c r="BV416" s="103">
        <v>428</v>
      </c>
      <c r="BW416" s="103">
        <v>411</v>
      </c>
      <c r="BX416" s="103">
        <v>459</v>
      </c>
      <c r="BY416" s="103">
        <v>454</v>
      </c>
      <c r="BZ416" s="103">
        <v>306</v>
      </c>
      <c r="CA416" s="103">
        <v>125</v>
      </c>
      <c r="CB416" s="103">
        <v>45</v>
      </c>
      <c r="CC416" s="42"/>
      <c r="CD416" s="110"/>
      <c r="CE416" s="46" t="s">
        <v>9</v>
      </c>
      <c r="CF416" s="103">
        <v>164</v>
      </c>
      <c r="CG416" s="103">
        <v>609</v>
      </c>
      <c r="CH416" s="103">
        <v>1883</v>
      </c>
      <c r="CI416" s="103">
        <v>5680</v>
      </c>
      <c r="CJ416" s="103">
        <v>7020</v>
      </c>
      <c r="CK416" s="103">
        <v>9844</v>
      </c>
      <c r="CL416" s="103">
        <v>10289</v>
      </c>
      <c r="CM416" s="103">
        <v>7091</v>
      </c>
      <c r="CN416" s="103">
        <v>3447</v>
      </c>
      <c r="CO416" s="103">
        <v>1001</v>
      </c>
      <c r="CQ416" s="110"/>
      <c r="CR416" s="46" t="s">
        <v>9</v>
      </c>
      <c r="CS416" s="103">
        <v>16</v>
      </c>
      <c r="CT416" s="103">
        <v>74</v>
      </c>
      <c r="CU416" s="103">
        <v>202</v>
      </c>
      <c r="CV416" s="103">
        <v>689</v>
      </c>
      <c r="CW416" s="103">
        <v>806</v>
      </c>
      <c r="CX416" s="103">
        <v>1255</v>
      </c>
      <c r="CY416" s="103">
        <v>1422</v>
      </c>
      <c r="CZ416" s="103">
        <v>1056</v>
      </c>
      <c r="DA416" s="103">
        <v>556</v>
      </c>
      <c r="DB416" s="103">
        <v>181</v>
      </c>
      <c r="DC416" s="42"/>
      <c r="DD416" s="110"/>
      <c r="DE416" s="46" t="s">
        <v>9</v>
      </c>
      <c r="DF416" s="103">
        <v>170</v>
      </c>
      <c r="DG416" s="103">
        <v>632</v>
      </c>
      <c r="DH416" s="103">
        <v>1909</v>
      </c>
      <c r="DI416" s="103">
        <v>5419</v>
      </c>
      <c r="DJ416" s="103">
        <v>6625</v>
      </c>
      <c r="DK416" s="103">
        <v>9048</v>
      </c>
      <c r="DL416" s="103">
        <v>9321</v>
      </c>
      <c r="DM416" s="103">
        <v>6341</v>
      </c>
      <c r="DN416" s="103">
        <v>3016</v>
      </c>
      <c r="DO416" s="103">
        <v>865</v>
      </c>
    </row>
    <row r="417" spans="2:119" ht="16.5" customHeight="1" x14ac:dyDescent="0.45">
      <c r="B417" s="134"/>
      <c r="C417" s="42"/>
      <c r="D417" s="110"/>
      <c r="E417" s="46" t="s">
        <v>10</v>
      </c>
      <c r="F417" s="103">
        <v>49</v>
      </c>
      <c r="G417" s="103">
        <v>152</v>
      </c>
      <c r="H417" s="103">
        <v>509</v>
      </c>
      <c r="I417" s="103">
        <v>1808</v>
      </c>
      <c r="J417" s="103">
        <v>3071</v>
      </c>
      <c r="K417" s="103">
        <v>6237</v>
      </c>
      <c r="L417" s="103">
        <v>9726</v>
      </c>
      <c r="M417" s="103">
        <v>10831</v>
      </c>
      <c r="N417" s="103">
        <v>8737</v>
      </c>
      <c r="O417" s="103">
        <v>4199</v>
      </c>
      <c r="P417" s="42"/>
      <c r="Q417" s="110"/>
      <c r="R417" s="46" t="s">
        <v>10</v>
      </c>
      <c r="S417" s="103">
        <v>9</v>
      </c>
      <c r="T417" s="103">
        <v>41</v>
      </c>
      <c r="U417" s="103">
        <v>136</v>
      </c>
      <c r="V417" s="103">
        <v>530</v>
      </c>
      <c r="W417" s="103">
        <v>995</v>
      </c>
      <c r="X417" s="103">
        <v>2265</v>
      </c>
      <c r="Y417" s="103">
        <v>3929</v>
      </c>
      <c r="Z417" s="103">
        <v>5095</v>
      </c>
      <c r="AA417" s="103">
        <v>4664</v>
      </c>
      <c r="AB417" s="103">
        <v>2488</v>
      </c>
      <c r="AC417" s="42"/>
      <c r="AD417" s="110"/>
      <c r="AE417" s="46" t="s">
        <v>10</v>
      </c>
      <c r="AF417" s="103">
        <v>40</v>
      </c>
      <c r="AG417" s="103">
        <v>111</v>
      </c>
      <c r="AH417" s="103">
        <v>373</v>
      </c>
      <c r="AI417" s="103">
        <v>1278</v>
      </c>
      <c r="AJ417" s="103">
        <v>2076</v>
      </c>
      <c r="AK417" s="103">
        <v>3972</v>
      </c>
      <c r="AL417" s="103">
        <v>5797</v>
      </c>
      <c r="AM417" s="103">
        <v>5736</v>
      </c>
      <c r="AN417" s="103">
        <v>4073</v>
      </c>
      <c r="AO417" s="103">
        <v>1711</v>
      </c>
      <c r="AP417" s="6"/>
      <c r="AQ417" s="110"/>
      <c r="AR417" s="46" t="s">
        <v>10</v>
      </c>
      <c r="AS417" s="103">
        <v>16</v>
      </c>
      <c r="AT417" s="103">
        <v>61</v>
      </c>
      <c r="AU417" s="103">
        <v>180</v>
      </c>
      <c r="AV417" s="103">
        <v>499</v>
      </c>
      <c r="AW417" s="103">
        <v>628</v>
      </c>
      <c r="AX417" s="103">
        <v>1061</v>
      </c>
      <c r="AY417" s="103">
        <v>1322</v>
      </c>
      <c r="AZ417" s="103">
        <v>1084</v>
      </c>
      <c r="BA417" s="103">
        <v>683</v>
      </c>
      <c r="BB417" s="103">
        <v>278</v>
      </c>
      <c r="BC417" s="42"/>
      <c r="BD417" s="110"/>
      <c r="BE417" s="46" t="s">
        <v>10</v>
      </c>
      <c r="BF417" s="103">
        <v>33</v>
      </c>
      <c r="BG417" s="103">
        <v>91</v>
      </c>
      <c r="BH417" s="103">
        <v>329</v>
      </c>
      <c r="BI417" s="103">
        <v>1309</v>
      </c>
      <c r="BJ417" s="103">
        <v>2443</v>
      </c>
      <c r="BK417" s="103">
        <v>5176</v>
      </c>
      <c r="BL417" s="103">
        <v>8404</v>
      </c>
      <c r="BM417" s="103">
        <v>9747</v>
      </c>
      <c r="BN417" s="103">
        <v>8054</v>
      </c>
      <c r="BO417" s="103">
        <v>3921</v>
      </c>
      <c r="BQ417" s="110"/>
      <c r="BR417" s="46" t="s">
        <v>10</v>
      </c>
      <c r="BS417" s="103">
        <v>4</v>
      </c>
      <c r="BT417" s="103">
        <v>22</v>
      </c>
      <c r="BU417" s="103">
        <v>52</v>
      </c>
      <c r="BV417" s="103">
        <v>135</v>
      </c>
      <c r="BW417" s="103">
        <v>154</v>
      </c>
      <c r="BX417" s="103">
        <v>279</v>
      </c>
      <c r="BY417" s="103">
        <v>360</v>
      </c>
      <c r="BZ417" s="103">
        <v>334</v>
      </c>
      <c r="CA417" s="103">
        <v>234</v>
      </c>
      <c r="CB417" s="103">
        <v>132</v>
      </c>
      <c r="CC417" s="42"/>
      <c r="CD417" s="110"/>
      <c r="CE417" s="46" t="s">
        <v>10</v>
      </c>
      <c r="CF417" s="103">
        <v>45</v>
      </c>
      <c r="CG417" s="103">
        <v>130</v>
      </c>
      <c r="CH417" s="103">
        <v>457</v>
      </c>
      <c r="CI417" s="103">
        <v>1673</v>
      </c>
      <c r="CJ417" s="103">
        <v>2917</v>
      </c>
      <c r="CK417" s="103">
        <v>5958</v>
      </c>
      <c r="CL417" s="103">
        <v>9366</v>
      </c>
      <c r="CM417" s="103">
        <v>10497</v>
      </c>
      <c r="CN417" s="103">
        <v>8503</v>
      </c>
      <c r="CO417" s="103">
        <v>4067</v>
      </c>
      <c r="CQ417" s="110"/>
      <c r="CR417" s="46" t="s">
        <v>10</v>
      </c>
      <c r="CS417" s="103">
        <v>2</v>
      </c>
      <c r="CT417" s="103">
        <v>14</v>
      </c>
      <c r="CU417" s="103">
        <v>40</v>
      </c>
      <c r="CV417" s="103">
        <v>193</v>
      </c>
      <c r="CW417" s="103">
        <v>366</v>
      </c>
      <c r="CX417" s="103">
        <v>625</v>
      </c>
      <c r="CY417" s="103">
        <v>1183</v>
      </c>
      <c r="CZ417" s="103">
        <v>1365</v>
      </c>
      <c r="DA417" s="103">
        <v>1212</v>
      </c>
      <c r="DB417" s="103">
        <v>651</v>
      </c>
      <c r="DC417" s="42"/>
      <c r="DD417" s="110"/>
      <c r="DE417" s="46" t="s">
        <v>10</v>
      </c>
      <c r="DF417" s="103">
        <v>47</v>
      </c>
      <c r="DG417" s="103">
        <v>138</v>
      </c>
      <c r="DH417" s="103">
        <v>469</v>
      </c>
      <c r="DI417" s="103">
        <v>1615</v>
      </c>
      <c r="DJ417" s="103">
        <v>2705</v>
      </c>
      <c r="DK417" s="103">
        <v>5612</v>
      </c>
      <c r="DL417" s="103">
        <v>8543</v>
      </c>
      <c r="DM417" s="103">
        <v>9466</v>
      </c>
      <c r="DN417" s="103">
        <v>7525</v>
      </c>
      <c r="DO417" s="103">
        <v>3548</v>
      </c>
    </row>
    <row r="418" spans="2:119" ht="16.5" customHeight="1" x14ac:dyDescent="0.45">
      <c r="B418" s="134"/>
      <c r="C418" s="42"/>
      <c r="D418" s="111"/>
      <c r="E418" s="46" t="s">
        <v>11</v>
      </c>
      <c r="F418" s="103">
        <v>1</v>
      </c>
      <c r="G418" s="103">
        <v>4</v>
      </c>
      <c r="H418" s="103">
        <v>22</v>
      </c>
      <c r="I418" s="103">
        <v>75</v>
      </c>
      <c r="J418" s="103">
        <v>167</v>
      </c>
      <c r="K418" s="103">
        <v>500</v>
      </c>
      <c r="L418" s="103">
        <v>1294</v>
      </c>
      <c r="M418" s="103">
        <v>2457</v>
      </c>
      <c r="N418" s="103">
        <v>3273</v>
      </c>
      <c r="O418" s="103">
        <v>3567</v>
      </c>
      <c r="P418" s="42"/>
      <c r="Q418" s="111"/>
      <c r="R418" s="46" t="s">
        <v>11</v>
      </c>
      <c r="S418" s="103">
        <v>0</v>
      </c>
      <c r="T418" s="103">
        <v>0</v>
      </c>
      <c r="U418" s="103">
        <v>6</v>
      </c>
      <c r="V418" s="103">
        <v>22</v>
      </c>
      <c r="W418" s="103">
        <v>48</v>
      </c>
      <c r="X418" s="103">
        <v>142</v>
      </c>
      <c r="Y418" s="103">
        <v>471</v>
      </c>
      <c r="Z418" s="103">
        <v>1006</v>
      </c>
      <c r="AA418" s="103">
        <v>1568</v>
      </c>
      <c r="AB418" s="103">
        <v>2016</v>
      </c>
      <c r="AC418" s="42"/>
      <c r="AD418" s="111"/>
      <c r="AE418" s="46" t="s">
        <v>11</v>
      </c>
      <c r="AF418" s="103">
        <v>1</v>
      </c>
      <c r="AG418" s="103">
        <v>4</v>
      </c>
      <c r="AH418" s="103">
        <v>16</v>
      </c>
      <c r="AI418" s="103">
        <v>53</v>
      </c>
      <c r="AJ418" s="103">
        <v>119</v>
      </c>
      <c r="AK418" s="103">
        <v>358</v>
      </c>
      <c r="AL418" s="103">
        <v>823</v>
      </c>
      <c r="AM418" s="103">
        <v>1451</v>
      </c>
      <c r="AN418" s="103">
        <v>1705</v>
      </c>
      <c r="AO418" s="103">
        <v>1551</v>
      </c>
      <c r="AP418" s="6"/>
      <c r="AQ418" s="111"/>
      <c r="AR418" s="46" t="s">
        <v>11</v>
      </c>
      <c r="AS418" s="103">
        <v>0</v>
      </c>
      <c r="AT418" s="103">
        <v>1</v>
      </c>
      <c r="AU418" s="103">
        <v>7</v>
      </c>
      <c r="AV418" s="103">
        <v>26</v>
      </c>
      <c r="AW418" s="103">
        <v>38</v>
      </c>
      <c r="AX418" s="103">
        <v>68</v>
      </c>
      <c r="AY418" s="103">
        <v>145</v>
      </c>
      <c r="AZ418" s="103">
        <v>184</v>
      </c>
      <c r="BA418" s="103">
        <v>204</v>
      </c>
      <c r="BB418" s="103">
        <v>166</v>
      </c>
      <c r="BC418" s="42"/>
      <c r="BD418" s="111"/>
      <c r="BE418" s="46" t="s">
        <v>11</v>
      </c>
      <c r="BF418" s="103">
        <v>1</v>
      </c>
      <c r="BG418" s="103">
        <v>3</v>
      </c>
      <c r="BH418" s="103">
        <v>15</v>
      </c>
      <c r="BI418" s="103">
        <v>49</v>
      </c>
      <c r="BJ418" s="103">
        <v>129</v>
      </c>
      <c r="BK418" s="103">
        <v>432</v>
      </c>
      <c r="BL418" s="103">
        <v>1149</v>
      </c>
      <c r="BM418" s="103">
        <v>2273</v>
      </c>
      <c r="BN418" s="103">
        <v>3069</v>
      </c>
      <c r="BO418" s="103">
        <v>3401</v>
      </c>
      <c r="BQ418" s="111"/>
      <c r="BR418" s="46" t="s">
        <v>11</v>
      </c>
      <c r="BS418" s="103">
        <v>0</v>
      </c>
      <c r="BT418" s="103">
        <v>1</v>
      </c>
      <c r="BU418" s="103">
        <v>3</v>
      </c>
      <c r="BV418" s="103">
        <v>6</v>
      </c>
      <c r="BW418" s="103">
        <v>13</v>
      </c>
      <c r="BX418" s="103">
        <v>29</v>
      </c>
      <c r="BY418" s="103">
        <v>40</v>
      </c>
      <c r="BZ418" s="103">
        <v>62</v>
      </c>
      <c r="CA418" s="103">
        <v>71</v>
      </c>
      <c r="CB418" s="103">
        <v>94</v>
      </c>
      <c r="CC418" s="42"/>
      <c r="CD418" s="111"/>
      <c r="CE418" s="46" t="s">
        <v>11</v>
      </c>
      <c r="CF418" s="103">
        <v>1</v>
      </c>
      <c r="CG418" s="103">
        <v>3</v>
      </c>
      <c r="CH418" s="103">
        <v>19</v>
      </c>
      <c r="CI418" s="103">
        <v>69</v>
      </c>
      <c r="CJ418" s="103">
        <v>154</v>
      </c>
      <c r="CK418" s="103">
        <v>471</v>
      </c>
      <c r="CL418" s="103">
        <v>1254</v>
      </c>
      <c r="CM418" s="103">
        <v>2395</v>
      </c>
      <c r="CN418" s="103">
        <v>3202</v>
      </c>
      <c r="CO418" s="103">
        <v>3473</v>
      </c>
      <c r="CQ418" s="111"/>
      <c r="CR418" s="46" t="s">
        <v>11</v>
      </c>
      <c r="CS418" s="103">
        <v>0</v>
      </c>
      <c r="CT418" s="103">
        <v>2</v>
      </c>
      <c r="CU418" s="103">
        <v>1</v>
      </c>
      <c r="CV418" s="103">
        <v>6</v>
      </c>
      <c r="CW418" s="103">
        <v>15</v>
      </c>
      <c r="CX418" s="103">
        <v>46</v>
      </c>
      <c r="CY418" s="103">
        <v>145</v>
      </c>
      <c r="CZ418" s="103">
        <v>244</v>
      </c>
      <c r="DA418" s="103">
        <v>409</v>
      </c>
      <c r="DB418" s="103">
        <v>472</v>
      </c>
      <c r="DC418" s="42"/>
      <c r="DD418" s="111"/>
      <c r="DE418" s="46" t="s">
        <v>11</v>
      </c>
      <c r="DF418" s="103">
        <v>1</v>
      </c>
      <c r="DG418" s="103">
        <v>2</v>
      </c>
      <c r="DH418" s="103">
        <v>21</v>
      </c>
      <c r="DI418" s="103">
        <v>69</v>
      </c>
      <c r="DJ418" s="103">
        <v>152</v>
      </c>
      <c r="DK418" s="103">
        <v>454</v>
      </c>
      <c r="DL418" s="103">
        <v>1149</v>
      </c>
      <c r="DM418" s="103">
        <v>2213</v>
      </c>
      <c r="DN418" s="103">
        <v>2864</v>
      </c>
      <c r="DO418" s="103">
        <v>3095</v>
      </c>
    </row>
    <row r="419" spans="2:119" ht="16.5" customHeight="1" x14ac:dyDescent="0.45">
      <c r="B419" s="99"/>
      <c r="C419" s="42"/>
      <c r="D419" s="42"/>
      <c r="E419" s="42"/>
      <c r="F419" s="42"/>
      <c r="G419" s="42"/>
      <c r="H419" s="42"/>
      <c r="I419" s="42"/>
      <c r="J419" s="42"/>
      <c r="K419" s="42"/>
      <c r="L419" s="42"/>
      <c r="M419" s="42"/>
      <c r="N419" s="42"/>
      <c r="O419" s="42"/>
      <c r="P419" s="42"/>
      <c r="Q419" s="42"/>
      <c r="R419" s="42"/>
      <c r="S419" s="42"/>
      <c r="T419" s="42"/>
      <c r="U419" s="42"/>
      <c r="V419" s="42"/>
      <c r="W419" s="42"/>
      <c r="X419" s="42"/>
      <c r="Y419" s="42"/>
      <c r="Z419" s="42"/>
      <c r="AA419" s="42"/>
      <c r="AB419" s="42"/>
      <c r="AC419" s="42"/>
      <c r="AD419" s="42"/>
      <c r="AE419" s="42"/>
      <c r="AF419" s="42"/>
      <c r="AG419" s="42"/>
      <c r="AH419" s="42"/>
      <c r="AI419" s="42"/>
      <c r="AJ419" s="42"/>
      <c r="AK419" s="42"/>
      <c r="AL419" s="42"/>
      <c r="AM419" s="42"/>
      <c r="AN419" s="42"/>
      <c r="AO419" s="42"/>
      <c r="AP419" s="6"/>
      <c r="AQ419" s="42"/>
      <c r="AR419" s="42"/>
      <c r="AS419" s="42"/>
      <c r="AT419" s="42"/>
      <c r="AU419" s="42"/>
      <c r="AV419" s="42"/>
      <c r="AW419" s="42"/>
      <c r="AX419" s="42"/>
      <c r="AY419" s="42"/>
      <c r="AZ419" s="42"/>
      <c r="BA419" s="42"/>
      <c r="BB419" s="42"/>
      <c r="BC419" s="42"/>
      <c r="BD419" s="42"/>
      <c r="BE419" s="42"/>
      <c r="BF419" s="42"/>
      <c r="BG419" s="42"/>
      <c r="BH419" s="42"/>
      <c r="BI419" s="42"/>
      <c r="BJ419" s="42"/>
      <c r="BK419" s="42"/>
      <c r="BL419" s="42"/>
      <c r="BM419" s="42"/>
      <c r="BN419" s="42"/>
      <c r="BO419" s="42"/>
      <c r="BQ419" s="42"/>
      <c r="BR419" s="42"/>
      <c r="BS419" s="42"/>
      <c r="BT419" s="42"/>
      <c r="BU419" s="42"/>
      <c r="BV419" s="42"/>
      <c r="BW419" s="42"/>
      <c r="BX419" s="42"/>
      <c r="BY419" s="42"/>
      <c r="BZ419" s="42"/>
      <c r="CA419" s="42"/>
      <c r="CB419" s="42"/>
      <c r="CC419" s="42"/>
      <c r="CD419" s="42"/>
      <c r="CE419" s="42"/>
      <c r="CF419" s="42"/>
      <c r="CG419" s="42"/>
      <c r="CH419" s="42"/>
      <c r="CI419" s="42"/>
      <c r="CJ419" s="42"/>
      <c r="CK419" s="42"/>
      <c r="CL419" s="42"/>
      <c r="CM419" s="42"/>
      <c r="CN419" s="42"/>
      <c r="CO419" s="42"/>
      <c r="CQ419" s="42"/>
      <c r="CR419" s="42"/>
      <c r="CS419" s="42"/>
      <c r="CT419" s="42"/>
      <c r="CU419" s="42"/>
      <c r="CV419" s="42"/>
      <c r="CW419" s="42"/>
      <c r="CX419" s="42"/>
      <c r="CY419" s="42"/>
      <c r="CZ419" s="42"/>
      <c r="DA419" s="42"/>
      <c r="DB419" s="42"/>
      <c r="DC419" s="42"/>
      <c r="DD419" s="42"/>
      <c r="DE419" s="42"/>
      <c r="DF419" s="42"/>
      <c r="DG419" s="42"/>
      <c r="DH419" s="42"/>
      <c r="DI419" s="42"/>
      <c r="DJ419" s="42"/>
      <c r="DK419" s="42"/>
      <c r="DL419" s="42"/>
      <c r="DM419" s="42"/>
      <c r="DN419" s="42"/>
      <c r="DO419" s="42"/>
    </row>
    <row r="420" spans="2:119" ht="16.5" customHeight="1" x14ac:dyDescent="0.55000000000000004">
      <c r="B420" s="99"/>
      <c r="C420" s="42"/>
      <c r="D420" s="112" t="s">
        <v>16</v>
      </c>
      <c r="E420" s="112"/>
      <c r="F420" s="45"/>
      <c r="G420" s="45"/>
      <c r="H420" s="45"/>
      <c r="I420" s="45"/>
      <c r="J420" s="45"/>
      <c r="K420" s="45"/>
      <c r="L420" s="45"/>
      <c r="M420" s="45"/>
      <c r="N420" s="45"/>
      <c r="O420" s="45"/>
      <c r="P420" s="42"/>
      <c r="Q420" s="112" t="s">
        <v>16</v>
      </c>
      <c r="R420" s="112"/>
      <c r="S420" s="45"/>
      <c r="T420" s="45"/>
      <c r="U420" s="45"/>
      <c r="V420" s="45"/>
      <c r="W420" s="45"/>
      <c r="X420" s="45"/>
      <c r="Y420" s="45"/>
      <c r="Z420" s="45"/>
      <c r="AA420" s="45"/>
      <c r="AB420" s="45"/>
      <c r="AC420" s="42"/>
      <c r="AD420" s="112" t="s">
        <v>16</v>
      </c>
      <c r="AE420" s="112"/>
      <c r="AF420" s="45"/>
      <c r="AG420" s="45"/>
      <c r="AH420" s="45"/>
      <c r="AI420" s="45"/>
      <c r="AJ420" s="45"/>
      <c r="AK420" s="45"/>
      <c r="AL420" s="45"/>
      <c r="AM420" s="45"/>
      <c r="AN420" s="45"/>
      <c r="AO420" s="45"/>
      <c r="AP420" s="6"/>
      <c r="AQ420" s="112" t="s">
        <v>16</v>
      </c>
      <c r="AR420" s="112"/>
      <c r="AS420" s="45"/>
      <c r="AT420" s="45"/>
      <c r="AU420" s="45"/>
      <c r="AV420" s="45"/>
      <c r="AW420" s="45"/>
      <c r="AX420" s="45"/>
      <c r="AY420" s="45"/>
      <c r="AZ420" s="45"/>
      <c r="BA420" s="45"/>
      <c r="BB420" s="45"/>
      <c r="BC420" s="42"/>
      <c r="BD420" s="112" t="s">
        <v>16</v>
      </c>
      <c r="BE420" s="112"/>
      <c r="BF420" s="45"/>
      <c r="BG420" s="45"/>
      <c r="BH420" s="45"/>
      <c r="BI420" s="45"/>
      <c r="BJ420" s="45"/>
      <c r="BK420" s="45"/>
      <c r="BL420" s="45"/>
      <c r="BM420" s="45"/>
      <c r="BN420" s="45"/>
      <c r="BO420" s="45"/>
      <c r="BQ420" s="112" t="s">
        <v>16</v>
      </c>
      <c r="BR420" s="112"/>
      <c r="BS420" s="45"/>
      <c r="BT420" s="45"/>
      <c r="BU420" s="45"/>
      <c r="BV420" s="45"/>
      <c r="BW420" s="45"/>
      <c r="BX420" s="45"/>
      <c r="BY420" s="45"/>
      <c r="BZ420" s="45"/>
      <c r="CA420" s="45"/>
      <c r="CB420" s="45"/>
      <c r="CC420" s="42"/>
      <c r="CD420" s="112" t="s">
        <v>16</v>
      </c>
      <c r="CE420" s="112"/>
      <c r="CF420" s="45"/>
      <c r="CG420" s="45"/>
      <c r="CH420" s="45"/>
      <c r="CI420" s="45"/>
      <c r="CJ420" s="45"/>
      <c r="CK420" s="45"/>
      <c r="CL420" s="45"/>
      <c r="CM420" s="45"/>
      <c r="CN420" s="45"/>
      <c r="CO420" s="45"/>
      <c r="CQ420" s="112" t="s">
        <v>16</v>
      </c>
      <c r="CR420" s="112"/>
      <c r="CS420" s="45"/>
      <c r="CT420" s="45"/>
      <c r="CU420" s="45"/>
      <c r="CV420" s="45"/>
      <c r="CW420" s="45"/>
      <c r="CX420" s="45"/>
      <c r="CY420" s="45"/>
      <c r="CZ420" s="45"/>
      <c r="DA420" s="45"/>
      <c r="DB420" s="45"/>
      <c r="DC420" s="42"/>
      <c r="DD420" s="112" t="s">
        <v>16</v>
      </c>
      <c r="DE420" s="112"/>
      <c r="DF420" s="45"/>
      <c r="DG420" s="45"/>
      <c r="DH420" s="45"/>
      <c r="DI420" s="45"/>
      <c r="DJ420" s="45"/>
      <c r="DK420" s="45"/>
      <c r="DL420" s="45"/>
      <c r="DM420" s="45"/>
      <c r="DN420" s="45"/>
      <c r="DO420" s="45"/>
    </row>
    <row r="421" spans="2:119" ht="28.9" customHeight="1" x14ac:dyDescent="0.45">
      <c r="B421" s="99"/>
      <c r="C421" s="42"/>
      <c r="D421" s="112"/>
      <c r="E421" s="112"/>
      <c r="F421" s="108" t="s">
        <v>12</v>
      </c>
      <c r="G421" s="108"/>
      <c r="H421" s="108"/>
      <c r="I421" s="108"/>
      <c r="J421" s="108"/>
      <c r="K421" s="108"/>
      <c r="L421" s="108"/>
      <c r="M421" s="108"/>
      <c r="N421" s="108"/>
      <c r="O421" s="108"/>
      <c r="P421" s="42"/>
      <c r="Q421" s="112"/>
      <c r="R421" s="112"/>
      <c r="S421" s="108" t="s">
        <v>12</v>
      </c>
      <c r="T421" s="108"/>
      <c r="U421" s="108"/>
      <c r="V421" s="108"/>
      <c r="W421" s="108"/>
      <c r="X421" s="108"/>
      <c r="Y421" s="108"/>
      <c r="Z421" s="108"/>
      <c r="AA421" s="108"/>
      <c r="AB421" s="108"/>
      <c r="AC421" s="42"/>
      <c r="AD421" s="112"/>
      <c r="AE421" s="112"/>
      <c r="AF421" s="131" t="s">
        <v>12</v>
      </c>
      <c r="AG421" s="132"/>
      <c r="AH421" s="132"/>
      <c r="AI421" s="132"/>
      <c r="AJ421" s="132"/>
      <c r="AK421" s="132"/>
      <c r="AL421" s="132"/>
      <c r="AM421" s="132"/>
      <c r="AN421" s="132"/>
      <c r="AO421" s="133"/>
      <c r="AP421" s="6"/>
      <c r="AQ421" s="112"/>
      <c r="AR421" s="112"/>
      <c r="AS421" s="108" t="s">
        <v>12</v>
      </c>
      <c r="AT421" s="108"/>
      <c r="AU421" s="108"/>
      <c r="AV421" s="108"/>
      <c r="AW421" s="108"/>
      <c r="AX421" s="108"/>
      <c r="AY421" s="108"/>
      <c r="AZ421" s="108"/>
      <c r="BA421" s="108"/>
      <c r="BB421" s="108"/>
      <c r="BC421" s="42"/>
      <c r="BD421" s="112"/>
      <c r="BE421" s="112"/>
      <c r="BF421" s="108" t="s">
        <v>12</v>
      </c>
      <c r="BG421" s="108"/>
      <c r="BH421" s="108"/>
      <c r="BI421" s="108"/>
      <c r="BJ421" s="108"/>
      <c r="BK421" s="108"/>
      <c r="BL421" s="108"/>
      <c r="BM421" s="108"/>
      <c r="BN421" s="108"/>
      <c r="BO421" s="108"/>
      <c r="BQ421" s="112"/>
      <c r="BR421" s="112"/>
      <c r="BS421" s="108" t="s">
        <v>12</v>
      </c>
      <c r="BT421" s="108"/>
      <c r="BU421" s="108"/>
      <c r="BV421" s="108"/>
      <c r="BW421" s="108"/>
      <c r="BX421" s="108"/>
      <c r="BY421" s="108"/>
      <c r="BZ421" s="108"/>
      <c r="CA421" s="108"/>
      <c r="CB421" s="108"/>
      <c r="CC421" s="42"/>
      <c r="CD421" s="112"/>
      <c r="CE421" s="112"/>
      <c r="CF421" s="108" t="s">
        <v>12</v>
      </c>
      <c r="CG421" s="108"/>
      <c r="CH421" s="108"/>
      <c r="CI421" s="108"/>
      <c r="CJ421" s="108"/>
      <c r="CK421" s="108"/>
      <c r="CL421" s="108"/>
      <c r="CM421" s="108"/>
      <c r="CN421" s="108"/>
      <c r="CO421" s="108"/>
      <c r="CQ421" s="112"/>
      <c r="CR421" s="112"/>
      <c r="CS421" s="108" t="s">
        <v>12</v>
      </c>
      <c r="CT421" s="108"/>
      <c r="CU421" s="108"/>
      <c r="CV421" s="108"/>
      <c r="CW421" s="108"/>
      <c r="CX421" s="108"/>
      <c r="CY421" s="108"/>
      <c r="CZ421" s="108"/>
      <c r="DA421" s="108"/>
      <c r="DB421" s="108"/>
      <c r="DC421" s="42"/>
      <c r="DD421" s="112"/>
      <c r="DE421" s="112"/>
      <c r="DF421" s="108" t="s">
        <v>12</v>
      </c>
      <c r="DG421" s="108"/>
      <c r="DH421" s="108"/>
      <c r="DI421" s="108"/>
      <c r="DJ421" s="108"/>
      <c r="DK421" s="108"/>
      <c r="DL421" s="108"/>
      <c r="DM421" s="108"/>
      <c r="DN421" s="108"/>
      <c r="DO421" s="108"/>
    </row>
    <row r="422" spans="2:119" ht="15" customHeight="1" x14ac:dyDescent="0.45">
      <c r="B422" s="99"/>
      <c r="C422" s="42"/>
      <c r="D422" s="113"/>
      <c r="E422" s="113"/>
      <c r="F422" s="9" t="s">
        <v>0</v>
      </c>
      <c r="G422" s="9">
        <v>1</v>
      </c>
      <c r="H422" s="9">
        <v>2</v>
      </c>
      <c r="I422" s="9">
        <v>3</v>
      </c>
      <c r="J422" s="9">
        <v>4</v>
      </c>
      <c r="K422" s="9">
        <v>5</v>
      </c>
      <c r="L422" s="9">
        <v>6</v>
      </c>
      <c r="M422" s="9">
        <v>7</v>
      </c>
      <c r="N422" s="9">
        <v>8</v>
      </c>
      <c r="O422" s="9">
        <v>9</v>
      </c>
      <c r="P422" s="42"/>
      <c r="Q422" s="113"/>
      <c r="R422" s="113"/>
      <c r="S422" s="9" t="s">
        <v>0</v>
      </c>
      <c r="T422" s="9">
        <v>1</v>
      </c>
      <c r="U422" s="9">
        <v>2</v>
      </c>
      <c r="V422" s="9">
        <v>3</v>
      </c>
      <c r="W422" s="9">
        <v>4</v>
      </c>
      <c r="X422" s="9">
        <v>5</v>
      </c>
      <c r="Y422" s="9">
        <v>6</v>
      </c>
      <c r="Z422" s="9">
        <v>7</v>
      </c>
      <c r="AA422" s="9">
        <v>8</v>
      </c>
      <c r="AB422" s="9">
        <v>9</v>
      </c>
      <c r="AC422" s="42"/>
      <c r="AD422" s="113"/>
      <c r="AE422" s="113"/>
      <c r="AF422" s="9" t="s">
        <v>0</v>
      </c>
      <c r="AG422" s="9">
        <v>1</v>
      </c>
      <c r="AH422" s="9">
        <v>2</v>
      </c>
      <c r="AI422" s="9">
        <v>3</v>
      </c>
      <c r="AJ422" s="9">
        <v>4</v>
      </c>
      <c r="AK422" s="9">
        <v>5</v>
      </c>
      <c r="AL422" s="9">
        <v>6</v>
      </c>
      <c r="AM422" s="9">
        <v>7</v>
      </c>
      <c r="AN422" s="9">
        <v>8</v>
      </c>
      <c r="AO422" s="9">
        <v>9</v>
      </c>
      <c r="AP422" s="6"/>
      <c r="AQ422" s="113"/>
      <c r="AR422" s="113"/>
      <c r="AS422" s="9" t="s">
        <v>0</v>
      </c>
      <c r="AT422" s="9">
        <v>1</v>
      </c>
      <c r="AU422" s="9">
        <v>2</v>
      </c>
      <c r="AV422" s="9">
        <v>3</v>
      </c>
      <c r="AW422" s="9">
        <v>4</v>
      </c>
      <c r="AX422" s="9">
        <v>5</v>
      </c>
      <c r="AY422" s="9">
        <v>6</v>
      </c>
      <c r="AZ422" s="9">
        <v>7</v>
      </c>
      <c r="BA422" s="9">
        <v>8</v>
      </c>
      <c r="BB422" s="9">
        <v>9</v>
      </c>
      <c r="BC422" s="42"/>
      <c r="BD422" s="113"/>
      <c r="BE422" s="113"/>
      <c r="BF422" s="9" t="s">
        <v>0</v>
      </c>
      <c r="BG422" s="9">
        <v>1</v>
      </c>
      <c r="BH422" s="9">
        <v>2</v>
      </c>
      <c r="BI422" s="9">
        <v>3</v>
      </c>
      <c r="BJ422" s="9">
        <v>4</v>
      </c>
      <c r="BK422" s="9">
        <v>5</v>
      </c>
      <c r="BL422" s="9">
        <v>6</v>
      </c>
      <c r="BM422" s="9">
        <v>7</v>
      </c>
      <c r="BN422" s="9">
        <v>8</v>
      </c>
      <c r="BO422" s="9">
        <v>9</v>
      </c>
      <c r="BQ422" s="113"/>
      <c r="BR422" s="113"/>
      <c r="BS422" s="9" t="s">
        <v>0</v>
      </c>
      <c r="BT422" s="9">
        <v>1</v>
      </c>
      <c r="BU422" s="9">
        <v>2</v>
      </c>
      <c r="BV422" s="9">
        <v>3</v>
      </c>
      <c r="BW422" s="9">
        <v>4</v>
      </c>
      <c r="BX422" s="9">
        <v>5</v>
      </c>
      <c r="BY422" s="9">
        <v>6</v>
      </c>
      <c r="BZ422" s="9">
        <v>7</v>
      </c>
      <c r="CA422" s="9">
        <v>8</v>
      </c>
      <c r="CB422" s="9">
        <v>9</v>
      </c>
      <c r="CC422" s="42"/>
      <c r="CD422" s="113"/>
      <c r="CE422" s="113"/>
      <c r="CF422" s="9" t="s">
        <v>0</v>
      </c>
      <c r="CG422" s="9">
        <v>1</v>
      </c>
      <c r="CH422" s="9">
        <v>2</v>
      </c>
      <c r="CI422" s="9">
        <v>3</v>
      </c>
      <c r="CJ422" s="9">
        <v>4</v>
      </c>
      <c r="CK422" s="9">
        <v>5</v>
      </c>
      <c r="CL422" s="9">
        <v>6</v>
      </c>
      <c r="CM422" s="9">
        <v>7</v>
      </c>
      <c r="CN422" s="9">
        <v>8</v>
      </c>
      <c r="CO422" s="9">
        <v>9</v>
      </c>
      <c r="CQ422" s="113"/>
      <c r="CR422" s="113"/>
      <c r="CS422" s="9" t="s">
        <v>0</v>
      </c>
      <c r="CT422" s="9">
        <v>1</v>
      </c>
      <c r="CU422" s="9">
        <v>2</v>
      </c>
      <c r="CV422" s="9">
        <v>3</v>
      </c>
      <c r="CW422" s="9">
        <v>4</v>
      </c>
      <c r="CX422" s="9">
        <v>5</v>
      </c>
      <c r="CY422" s="9">
        <v>6</v>
      </c>
      <c r="CZ422" s="9">
        <v>7</v>
      </c>
      <c r="DA422" s="9">
        <v>8</v>
      </c>
      <c r="DB422" s="9">
        <v>9</v>
      </c>
      <c r="DC422" s="42"/>
      <c r="DD422" s="113"/>
      <c r="DE422" s="113"/>
      <c r="DF422" s="9" t="s">
        <v>0</v>
      </c>
      <c r="DG422" s="9">
        <v>1</v>
      </c>
      <c r="DH422" s="9">
        <v>2</v>
      </c>
      <c r="DI422" s="9">
        <v>3</v>
      </c>
      <c r="DJ422" s="9">
        <v>4</v>
      </c>
      <c r="DK422" s="9">
        <v>5</v>
      </c>
      <c r="DL422" s="9">
        <v>6</v>
      </c>
      <c r="DM422" s="9">
        <v>7</v>
      </c>
      <c r="DN422" s="9">
        <v>8</v>
      </c>
      <c r="DO422" s="9">
        <v>9</v>
      </c>
    </row>
    <row r="423" spans="2:119" ht="16.5" customHeight="1" x14ac:dyDescent="0.45">
      <c r="B423" s="99"/>
      <c r="C423" s="42"/>
      <c r="D423" s="109" t="s">
        <v>13</v>
      </c>
      <c r="E423" s="47" t="s">
        <v>1</v>
      </c>
      <c r="F423" s="103">
        <v>0</v>
      </c>
      <c r="G423" s="103">
        <v>31.818181818181817</v>
      </c>
      <c r="H423" s="103">
        <v>22.727272727272727</v>
      </c>
      <c r="I423" s="103">
        <v>22.727272727272727</v>
      </c>
      <c r="J423" s="103">
        <v>9.0909090909090917</v>
      </c>
      <c r="K423" s="103">
        <v>4.5454545454545459</v>
      </c>
      <c r="L423" s="103">
        <v>9.0909090909090917</v>
      </c>
      <c r="M423" s="103">
        <v>0</v>
      </c>
      <c r="N423" s="103">
        <v>0</v>
      </c>
      <c r="O423" s="17">
        <v>0</v>
      </c>
      <c r="P423" s="42"/>
      <c r="Q423" s="109" t="s">
        <v>13</v>
      </c>
      <c r="R423" s="46" t="s">
        <v>1</v>
      </c>
      <c r="S423" s="103">
        <v>0</v>
      </c>
      <c r="T423" s="103">
        <v>12.5</v>
      </c>
      <c r="U423" s="103">
        <v>25</v>
      </c>
      <c r="V423" s="103">
        <v>25</v>
      </c>
      <c r="W423" s="103">
        <v>0</v>
      </c>
      <c r="X423" s="103">
        <v>12.5</v>
      </c>
      <c r="Y423" s="103">
        <v>25</v>
      </c>
      <c r="Z423" s="103">
        <v>0</v>
      </c>
      <c r="AA423" s="103">
        <v>0</v>
      </c>
      <c r="AB423" s="17">
        <v>0</v>
      </c>
      <c r="AC423" s="42"/>
      <c r="AD423" s="109" t="s">
        <v>13</v>
      </c>
      <c r="AE423" s="46" t="s">
        <v>1</v>
      </c>
      <c r="AF423" s="103">
        <v>0</v>
      </c>
      <c r="AG423" s="103">
        <v>42.857142857142854</v>
      </c>
      <c r="AH423" s="103">
        <v>21.428571428571427</v>
      </c>
      <c r="AI423" s="103">
        <v>21.428571428571427</v>
      </c>
      <c r="AJ423" s="103">
        <v>14.285714285714285</v>
      </c>
      <c r="AK423" s="103">
        <v>0</v>
      </c>
      <c r="AL423" s="103">
        <v>0</v>
      </c>
      <c r="AM423" s="103">
        <v>0</v>
      </c>
      <c r="AN423" s="103">
        <v>0</v>
      </c>
      <c r="AO423" s="17">
        <v>0</v>
      </c>
      <c r="AP423" s="6"/>
      <c r="AQ423" s="109" t="s">
        <v>13</v>
      </c>
      <c r="AR423" s="46" t="s">
        <v>1</v>
      </c>
      <c r="AS423" s="103">
        <v>0</v>
      </c>
      <c r="AT423" s="103">
        <v>23.076923076923077</v>
      </c>
      <c r="AU423" s="103">
        <v>38.461538461538467</v>
      </c>
      <c r="AV423" s="103">
        <v>23.076923076923077</v>
      </c>
      <c r="AW423" s="103">
        <v>7.6923076923076925</v>
      </c>
      <c r="AX423" s="103">
        <v>0</v>
      </c>
      <c r="AY423" s="103">
        <v>7.6923076923076925</v>
      </c>
      <c r="AZ423" s="103">
        <v>0</v>
      </c>
      <c r="BA423" s="103">
        <v>0</v>
      </c>
      <c r="BB423" s="17">
        <v>0</v>
      </c>
      <c r="BC423" s="42"/>
      <c r="BD423" s="109" t="s">
        <v>13</v>
      </c>
      <c r="BE423" s="46" t="s">
        <v>1</v>
      </c>
      <c r="BF423" s="103">
        <v>0</v>
      </c>
      <c r="BG423" s="103">
        <v>44.444444444444443</v>
      </c>
      <c r="BH423" s="103">
        <v>0</v>
      </c>
      <c r="BI423" s="103">
        <v>22.222222222222221</v>
      </c>
      <c r="BJ423" s="103">
        <v>11.111111111111111</v>
      </c>
      <c r="BK423" s="103">
        <v>11.111111111111111</v>
      </c>
      <c r="BL423" s="103">
        <v>11.111111111111111</v>
      </c>
      <c r="BM423" s="103">
        <v>0</v>
      </c>
      <c r="BN423" s="103">
        <v>0</v>
      </c>
      <c r="BO423" s="17">
        <v>0</v>
      </c>
      <c r="BQ423" s="109" t="s">
        <v>13</v>
      </c>
      <c r="BR423" s="46" t="s">
        <v>1</v>
      </c>
      <c r="BS423" s="103">
        <v>0</v>
      </c>
      <c r="BT423" s="103">
        <v>60</v>
      </c>
      <c r="BU423" s="103">
        <v>20</v>
      </c>
      <c r="BV423" s="103">
        <v>20</v>
      </c>
      <c r="BW423" s="103">
        <v>0</v>
      </c>
      <c r="BX423" s="103">
        <v>0</v>
      </c>
      <c r="BY423" s="103">
        <v>0</v>
      </c>
      <c r="BZ423" s="103">
        <v>0</v>
      </c>
      <c r="CA423" s="103">
        <v>0</v>
      </c>
      <c r="CB423" s="17">
        <v>0</v>
      </c>
      <c r="CC423" s="42"/>
      <c r="CD423" s="109" t="s">
        <v>13</v>
      </c>
      <c r="CE423" s="46" t="s">
        <v>1</v>
      </c>
      <c r="CF423" s="103">
        <v>0</v>
      </c>
      <c r="CG423" s="103">
        <v>23.52941176470588</v>
      </c>
      <c r="CH423" s="103">
        <v>23.52941176470588</v>
      </c>
      <c r="CI423" s="103">
        <v>23.52941176470588</v>
      </c>
      <c r="CJ423" s="103">
        <v>11.76470588235294</v>
      </c>
      <c r="CK423" s="103">
        <v>5.8823529411764701</v>
      </c>
      <c r="CL423" s="103">
        <v>11.76470588235294</v>
      </c>
      <c r="CM423" s="103">
        <v>0</v>
      </c>
      <c r="CN423" s="103">
        <v>0</v>
      </c>
      <c r="CO423" s="17">
        <v>0</v>
      </c>
      <c r="CQ423" s="109" t="s">
        <v>13</v>
      </c>
      <c r="CR423" s="46" t="s">
        <v>1</v>
      </c>
      <c r="CS423" s="103">
        <v>0</v>
      </c>
      <c r="CT423" s="103">
        <v>33.333333333333329</v>
      </c>
      <c r="CU423" s="103">
        <v>23.809523809523807</v>
      </c>
      <c r="CV423" s="103">
        <v>19.047619047619047</v>
      </c>
      <c r="CW423" s="103">
        <v>9.5238095238095237</v>
      </c>
      <c r="CX423" s="103">
        <v>4.7619047619047619</v>
      </c>
      <c r="CY423" s="103">
        <v>9.5238095238095237</v>
      </c>
      <c r="CZ423" s="103">
        <v>0</v>
      </c>
      <c r="DA423" s="103">
        <v>0</v>
      </c>
      <c r="DB423" s="17">
        <v>0</v>
      </c>
      <c r="DC423" s="42"/>
      <c r="DD423" s="109" t="s">
        <v>13</v>
      </c>
      <c r="DE423" s="46" t="s">
        <v>1</v>
      </c>
      <c r="DF423" s="103">
        <v>0</v>
      </c>
      <c r="DG423" s="103">
        <v>0</v>
      </c>
      <c r="DH423" s="103">
        <v>0</v>
      </c>
      <c r="DI423" s="103">
        <v>100</v>
      </c>
      <c r="DJ423" s="103">
        <v>0</v>
      </c>
      <c r="DK423" s="103">
        <v>0</v>
      </c>
      <c r="DL423" s="103">
        <v>0</v>
      </c>
      <c r="DM423" s="103">
        <v>0</v>
      </c>
      <c r="DN423" s="103">
        <v>0</v>
      </c>
      <c r="DO423" s="17">
        <v>0</v>
      </c>
    </row>
    <row r="424" spans="2:119" ht="16.5" customHeight="1" x14ac:dyDescent="0.45">
      <c r="B424" s="99"/>
      <c r="C424" s="42"/>
      <c r="D424" s="110"/>
      <c r="E424" s="47">
        <v>1</v>
      </c>
      <c r="F424" s="103">
        <v>17.721518987341771</v>
      </c>
      <c r="G424" s="103">
        <v>22.784810126582279</v>
      </c>
      <c r="H424" s="103">
        <v>22.784810126582279</v>
      </c>
      <c r="I424" s="103">
        <v>17.721518987341771</v>
      </c>
      <c r="J424" s="103">
        <v>6.3291139240506329</v>
      </c>
      <c r="K424" s="103">
        <v>3.79746835443038</v>
      </c>
      <c r="L424" s="103">
        <v>1.2658227848101267</v>
      </c>
      <c r="M424" s="103">
        <v>1.2658227848101267</v>
      </c>
      <c r="N424" s="103">
        <v>2.5316455696202533</v>
      </c>
      <c r="O424" s="103">
        <v>3.79746835443038</v>
      </c>
      <c r="P424" s="42"/>
      <c r="Q424" s="110"/>
      <c r="R424" s="46">
        <v>1</v>
      </c>
      <c r="S424" s="103">
        <v>7.1428571428571423</v>
      </c>
      <c r="T424" s="103">
        <v>28.571428571428569</v>
      </c>
      <c r="U424" s="103">
        <v>21.428571428571427</v>
      </c>
      <c r="V424" s="103">
        <v>21.428571428571427</v>
      </c>
      <c r="W424" s="103">
        <v>11.904761904761903</v>
      </c>
      <c r="X424" s="103">
        <v>2.3809523809523809</v>
      </c>
      <c r="Y424" s="103">
        <v>0</v>
      </c>
      <c r="Z424" s="103">
        <v>2.3809523809523809</v>
      </c>
      <c r="AA424" s="103">
        <v>2.3809523809523809</v>
      </c>
      <c r="AB424" s="103">
        <v>2.3809523809523809</v>
      </c>
      <c r="AC424" s="42"/>
      <c r="AD424" s="110"/>
      <c r="AE424" s="46">
        <v>1</v>
      </c>
      <c r="AF424" s="103">
        <v>29.72972972972973</v>
      </c>
      <c r="AG424" s="103">
        <v>16.216216216216218</v>
      </c>
      <c r="AH424" s="103">
        <v>24.324324324324326</v>
      </c>
      <c r="AI424" s="103">
        <v>13.513513513513514</v>
      </c>
      <c r="AJ424" s="103">
        <v>0</v>
      </c>
      <c r="AK424" s="103">
        <v>5.4054054054054053</v>
      </c>
      <c r="AL424" s="103">
        <v>2.7027027027027026</v>
      </c>
      <c r="AM424" s="103">
        <v>0</v>
      </c>
      <c r="AN424" s="103">
        <v>2.7027027027027026</v>
      </c>
      <c r="AO424" s="103">
        <v>5.4054054054054053</v>
      </c>
      <c r="AP424" s="6"/>
      <c r="AQ424" s="110"/>
      <c r="AR424" s="46">
        <v>1</v>
      </c>
      <c r="AS424" s="103">
        <v>22.857142857142858</v>
      </c>
      <c r="AT424" s="103">
        <v>28.571428571428569</v>
      </c>
      <c r="AU424" s="103">
        <v>20</v>
      </c>
      <c r="AV424" s="103">
        <v>20</v>
      </c>
      <c r="AW424" s="103">
        <v>0</v>
      </c>
      <c r="AX424" s="103">
        <v>2.8571428571428572</v>
      </c>
      <c r="AY424" s="103">
        <v>0</v>
      </c>
      <c r="AZ424" s="103">
        <v>0</v>
      </c>
      <c r="BA424" s="103">
        <v>0</v>
      </c>
      <c r="BB424" s="103">
        <v>5.7142857142857144</v>
      </c>
      <c r="BC424" s="42"/>
      <c r="BD424" s="110"/>
      <c r="BE424" s="46">
        <v>1</v>
      </c>
      <c r="BF424" s="103">
        <v>13.636363636363635</v>
      </c>
      <c r="BG424" s="103">
        <v>18.181818181818183</v>
      </c>
      <c r="BH424" s="103">
        <v>25</v>
      </c>
      <c r="BI424" s="103">
        <v>15.909090909090908</v>
      </c>
      <c r="BJ424" s="103">
        <v>11.363636363636363</v>
      </c>
      <c r="BK424" s="103">
        <v>4.5454545454545459</v>
      </c>
      <c r="BL424" s="103">
        <v>2.2727272727272729</v>
      </c>
      <c r="BM424" s="103">
        <v>2.2727272727272729</v>
      </c>
      <c r="BN424" s="103">
        <v>4.5454545454545459</v>
      </c>
      <c r="BO424" s="103">
        <v>2.2727272727272729</v>
      </c>
      <c r="BQ424" s="110"/>
      <c r="BR424" s="46">
        <v>1</v>
      </c>
      <c r="BS424" s="103">
        <v>36.111111111111107</v>
      </c>
      <c r="BT424" s="103">
        <v>33.333333333333329</v>
      </c>
      <c r="BU424" s="103">
        <v>19.444444444444446</v>
      </c>
      <c r="BV424" s="103">
        <v>8.3333333333333321</v>
      </c>
      <c r="BW424" s="103">
        <v>0</v>
      </c>
      <c r="BX424" s="103">
        <v>0</v>
      </c>
      <c r="BY424" s="103">
        <v>0</v>
      </c>
      <c r="BZ424" s="103">
        <v>0</v>
      </c>
      <c r="CA424" s="103">
        <v>0</v>
      </c>
      <c r="CB424" s="103">
        <v>2.7777777777777777</v>
      </c>
      <c r="CC424" s="42"/>
      <c r="CD424" s="110"/>
      <c r="CE424" s="46">
        <v>1</v>
      </c>
      <c r="CF424" s="103">
        <v>2.3255813953488373</v>
      </c>
      <c r="CG424" s="103">
        <v>13.953488372093023</v>
      </c>
      <c r="CH424" s="103">
        <v>25.581395348837212</v>
      </c>
      <c r="CI424" s="103">
        <v>25.581395348837212</v>
      </c>
      <c r="CJ424" s="103">
        <v>11.627906976744185</v>
      </c>
      <c r="CK424" s="103">
        <v>6.9767441860465116</v>
      </c>
      <c r="CL424" s="103">
        <v>2.3255813953488373</v>
      </c>
      <c r="CM424" s="103">
        <v>2.3255813953488373</v>
      </c>
      <c r="CN424" s="103">
        <v>4.6511627906976747</v>
      </c>
      <c r="CO424" s="103">
        <v>4.6511627906976747</v>
      </c>
      <c r="CQ424" s="110"/>
      <c r="CR424" s="46">
        <v>1</v>
      </c>
      <c r="CS424" s="103">
        <v>14.285714285714285</v>
      </c>
      <c r="CT424" s="103">
        <v>16.071428571428573</v>
      </c>
      <c r="CU424" s="103">
        <v>25</v>
      </c>
      <c r="CV424" s="103">
        <v>19.642857142857142</v>
      </c>
      <c r="CW424" s="103">
        <v>8.9285714285714288</v>
      </c>
      <c r="CX424" s="103">
        <v>5.3571428571428568</v>
      </c>
      <c r="CY424" s="103">
        <v>1.7857142857142856</v>
      </c>
      <c r="CZ424" s="103">
        <v>1.7857142857142856</v>
      </c>
      <c r="DA424" s="103">
        <v>3.5714285714285712</v>
      </c>
      <c r="DB424" s="103">
        <v>3.5714285714285712</v>
      </c>
      <c r="DC424" s="42"/>
      <c r="DD424" s="110"/>
      <c r="DE424" s="46">
        <v>1</v>
      </c>
      <c r="DF424" s="103">
        <v>26.086956521739129</v>
      </c>
      <c r="DG424" s="103">
        <v>39.130434782608695</v>
      </c>
      <c r="DH424" s="103">
        <v>17.391304347826086</v>
      </c>
      <c r="DI424" s="103">
        <v>13.043478260869565</v>
      </c>
      <c r="DJ424" s="103">
        <v>0</v>
      </c>
      <c r="DK424" s="103">
        <v>0</v>
      </c>
      <c r="DL424" s="103">
        <v>0</v>
      </c>
      <c r="DM424" s="103">
        <v>0</v>
      </c>
      <c r="DN424" s="103">
        <v>0</v>
      </c>
      <c r="DO424" s="103">
        <v>4.3478260869565215</v>
      </c>
    </row>
    <row r="425" spans="2:119" ht="16.5" customHeight="1" x14ac:dyDescent="0.45">
      <c r="B425" s="99"/>
      <c r="C425" s="42"/>
      <c r="D425" s="110"/>
      <c r="E425" s="47" t="s">
        <v>2</v>
      </c>
      <c r="F425" s="103">
        <v>14.987714987714988</v>
      </c>
      <c r="G425" s="103">
        <v>43.488943488943491</v>
      </c>
      <c r="H425" s="103">
        <v>26.136363636363637</v>
      </c>
      <c r="I425" s="103">
        <v>9.3980343980343974</v>
      </c>
      <c r="J425" s="103">
        <v>3.0405405405405408</v>
      </c>
      <c r="K425" s="103">
        <v>1.597051597051597</v>
      </c>
      <c r="L425" s="103">
        <v>0.89066339066339073</v>
      </c>
      <c r="M425" s="103">
        <v>0.36855036855036855</v>
      </c>
      <c r="N425" s="103">
        <v>9.2137592137592136E-2</v>
      </c>
      <c r="O425" s="103">
        <v>0</v>
      </c>
      <c r="P425" s="42"/>
      <c r="Q425" s="110"/>
      <c r="R425" s="46" t="s">
        <v>2</v>
      </c>
      <c r="S425" s="103">
        <v>12.61582323592302</v>
      </c>
      <c r="T425" s="103">
        <v>47.042052744119744</v>
      </c>
      <c r="U425" s="103">
        <v>26.443335709194582</v>
      </c>
      <c r="V425" s="103">
        <v>8.7669280114041328</v>
      </c>
      <c r="W425" s="103">
        <v>2.4946543121881684</v>
      </c>
      <c r="X425" s="103">
        <v>1.0691375623663579</v>
      </c>
      <c r="Y425" s="103">
        <v>0.99786172487526736</v>
      </c>
      <c r="Z425" s="103">
        <v>0.42765502494654317</v>
      </c>
      <c r="AA425" s="103">
        <v>0.14255167498218105</v>
      </c>
      <c r="AB425" s="103">
        <v>0</v>
      </c>
      <c r="AC425" s="42"/>
      <c r="AD425" s="110"/>
      <c r="AE425" s="46" t="s">
        <v>2</v>
      </c>
      <c r="AF425" s="103">
        <v>16.783594171613601</v>
      </c>
      <c r="AG425" s="103">
        <v>40.798704803022126</v>
      </c>
      <c r="AH425" s="103">
        <v>25.903939557474366</v>
      </c>
      <c r="AI425" s="103">
        <v>9.8758769562871027</v>
      </c>
      <c r="AJ425" s="103">
        <v>3.4538586076632489</v>
      </c>
      <c r="AK425" s="103">
        <v>1.9967620075553156</v>
      </c>
      <c r="AL425" s="103">
        <v>0.80949811117107395</v>
      </c>
      <c r="AM425" s="103">
        <v>0.32379924446842956</v>
      </c>
      <c r="AN425" s="103">
        <v>5.3966540744738264E-2</v>
      </c>
      <c r="AO425" s="103">
        <v>0</v>
      </c>
      <c r="AP425" s="6"/>
      <c r="AQ425" s="110"/>
      <c r="AR425" s="46" t="s">
        <v>2</v>
      </c>
      <c r="AS425" s="103">
        <v>19.569471624266143</v>
      </c>
      <c r="AT425" s="103">
        <v>46.249184605348987</v>
      </c>
      <c r="AU425" s="103">
        <v>23.352902804957598</v>
      </c>
      <c r="AV425" s="103">
        <v>6.9145466405740379</v>
      </c>
      <c r="AW425" s="103">
        <v>1.8264840182648401</v>
      </c>
      <c r="AX425" s="103">
        <v>0.84801043705153289</v>
      </c>
      <c r="AY425" s="103">
        <v>0.91324200913242004</v>
      </c>
      <c r="AZ425" s="103">
        <v>0.26092628832354858</v>
      </c>
      <c r="BA425" s="103">
        <v>6.5231572080887146E-2</v>
      </c>
      <c r="BB425" s="103">
        <v>0</v>
      </c>
      <c r="BC425" s="42"/>
      <c r="BD425" s="110"/>
      <c r="BE425" s="46" t="s">
        <v>2</v>
      </c>
      <c r="BF425" s="103">
        <v>10.911201392919327</v>
      </c>
      <c r="BG425" s="103">
        <v>41.033081834010446</v>
      </c>
      <c r="BH425" s="103">
        <v>28.612884503772491</v>
      </c>
      <c r="BI425" s="103">
        <v>11.607661056297156</v>
      </c>
      <c r="BJ425" s="103">
        <v>4.12071967498549</v>
      </c>
      <c r="BK425" s="103">
        <v>2.2634939059779455</v>
      </c>
      <c r="BL425" s="103">
        <v>0.87057457922228665</v>
      </c>
      <c r="BM425" s="103">
        <v>0.46430644225188622</v>
      </c>
      <c r="BN425" s="103">
        <v>0.11607661056297155</v>
      </c>
      <c r="BO425" s="103">
        <v>0</v>
      </c>
      <c r="BQ425" s="110"/>
      <c r="BR425" s="46" t="s">
        <v>2</v>
      </c>
      <c r="BS425" s="103">
        <v>16.102514506769829</v>
      </c>
      <c r="BT425" s="103">
        <v>46.566731141199227</v>
      </c>
      <c r="BU425" s="103">
        <v>26.11218568665377</v>
      </c>
      <c r="BV425" s="103">
        <v>7.5435203094777563</v>
      </c>
      <c r="BW425" s="103">
        <v>2.1276595744680851</v>
      </c>
      <c r="BX425" s="103">
        <v>1.1121856866537718</v>
      </c>
      <c r="BY425" s="103">
        <v>0.29013539651837528</v>
      </c>
      <c r="BZ425" s="103">
        <v>0.14506769825918764</v>
      </c>
      <c r="CA425" s="103">
        <v>0</v>
      </c>
      <c r="CB425" s="103">
        <v>0</v>
      </c>
      <c r="CC425" s="42"/>
      <c r="CD425" s="110"/>
      <c r="CE425" s="46" t="s">
        <v>2</v>
      </c>
      <c r="CF425" s="103">
        <v>13.047138047138047</v>
      </c>
      <c r="CG425" s="103">
        <v>38.131313131313135</v>
      </c>
      <c r="CH425" s="103">
        <v>26.17845117845118</v>
      </c>
      <c r="CI425" s="103">
        <v>12.626262626262626</v>
      </c>
      <c r="CJ425" s="103">
        <v>4.6296296296296298</v>
      </c>
      <c r="CK425" s="103">
        <v>2.4410774410774412</v>
      </c>
      <c r="CL425" s="103">
        <v>1.936026936026936</v>
      </c>
      <c r="CM425" s="103">
        <v>0.75757575757575757</v>
      </c>
      <c r="CN425" s="103">
        <v>0.25252525252525254</v>
      </c>
      <c r="CO425" s="103">
        <v>0</v>
      </c>
      <c r="CQ425" s="110"/>
      <c r="CR425" s="46" t="s">
        <v>2</v>
      </c>
      <c r="CS425" s="103">
        <v>13.519091847265221</v>
      </c>
      <c r="CT425" s="103">
        <v>32.610939112487102</v>
      </c>
      <c r="CU425" s="103">
        <v>26.934984520123841</v>
      </c>
      <c r="CV425" s="103">
        <v>13.519091847265221</v>
      </c>
      <c r="CW425" s="103">
        <v>6.0887512899896805</v>
      </c>
      <c r="CX425" s="103">
        <v>3.611971104231166</v>
      </c>
      <c r="CY425" s="103">
        <v>2.3735810113519094</v>
      </c>
      <c r="CZ425" s="103">
        <v>1.0319917440660475</v>
      </c>
      <c r="DA425" s="103">
        <v>0.30959752321981426</v>
      </c>
      <c r="DB425" s="103">
        <v>0</v>
      </c>
      <c r="DC425" s="42"/>
      <c r="DD425" s="110"/>
      <c r="DE425" s="46" t="s">
        <v>2</v>
      </c>
      <c r="DF425" s="103">
        <v>15.609969392216877</v>
      </c>
      <c r="DG425" s="103">
        <v>48.097944905990381</v>
      </c>
      <c r="DH425" s="103">
        <v>25.797988631394841</v>
      </c>
      <c r="DI425" s="103">
        <v>7.6519457804984707</v>
      </c>
      <c r="DJ425" s="103">
        <v>1.7490161783996501</v>
      </c>
      <c r="DK425" s="103">
        <v>0.74333187581985127</v>
      </c>
      <c r="DL425" s="103">
        <v>0.26235242675994752</v>
      </c>
      <c r="DM425" s="103">
        <v>8.7450808919982512E-2</v>
      </c>
      <c r="DN425" s="103">
        <v>0</v>
      </c>
      <c r="DO425" s="103">
        <v>0</v>
      </c>
    </row>
    <row r="426" spans="2:119" ht="16.5" customHeight="1" x14ac:dyDescent="0.45">
      <c r="B426" s="99"/>
      <c r="C426" s="42"/>
      <c r="D426" s="110"/>
      <c r="E426" s="47" t="s">
        <v>3</v>
      </c>
      <c r="F426" s="103">
        <v>10.943963896201579</v>
      </c>
      <c r="G426" s="103">
        <v>35.050770966528773</v>
      </c>
      <c r="H426" s="103">
        <v>33.546446032342985</v>
      </c>
      <c r="I426" s="103">
        <v>14.817600601729975</v>
      </c>
      <c r="J426" s="103">
        <v>3.2719067318540804</v>
      </c>
      <c r="K426" s="103">
        <v>1.5795411808950734</v>
      </c>
      <c r="L426" s="103">
        <v>0.60172997367431369</v>
      </c>
      <c r="M426" s="103">
        <v>0.18804061677322301</v>
      </c>
      <c r="N426" s="103">
        <v>0</v>
      </c>
      <c r="O426" s="103">
        <v>0</v>
      </c>
      <c r="P426" s="42"/>
      <c r="Q426" s="110"/>
      <c r="R426" s="46" t="s">
        <v>3</v>
      </c>
      <c r="S426" s="103">
        <v>9.0909090909090917</v>
      </c>
      <c r="T426" s="103">
        <v>36.188811188811187</v>
      </c>
      <c r="U426" s="103">
        <v>35.227272727272727</v>
      </c>
      <c r="V426" s="103">
        <v>14.685314685314685</v>
      </c>
      <c r="W426" s="103">
        <v>2.8846153846153846</v>
      </c>
      <c r="X426" s="103">
        <v>1.3986013986013985</v>
      </c>
      <c r="Y426" s="103">
        <v>0.34965034965034963</v>
      </c>
      <c r="Z426" s="103">
        <v>0.17482517482517482</v>
      </c>
      <c r="AA426" s="103">
        <v>0</v>
      </c>
      <c r="AB426" s="103">
        <v>0</v>
      </c>
      <c r="AC426" s="42"/>
      <c r="AD426" s="110"/>
      <c r="AE426" s="46" t="s">
        <v>3</v>
      </c>
      <c r="AF426" s="103">
        <v>12.343234323432343</v>
      </c>
      <c r="AG426" s="103">
        <v>34.191419141914196</v>
      </c>
      <c r="AH426" s="103">
        <v>32.277227722772281</v>
      </c>
      <c r="AI426" s="103">
        <v>14.917491749174919</v>
      </c>
      <c r="AJ426" s="103">
        <v>3.564356435643564</v>
      </c>
      <c r="AK426" s="103">
        <v>1.7161716171617163</v>
      </c>
      <c r="AL426" s="103">
        <v>0.79207920792079212</v>
      </c>
      <c r="AM426" s="103">
        <v>0.19801980198019803</v>
      </c>
      <c r="AN426" s="103">
        <v>0</v>
      </c>
      <c r="AO426" s="103">
        <v>0</v>
      </c>
      <c r="AP426" s="6"/>
      <c r="AQ426" s="110"/>
      <c r="AR426" s="46" t="s">
        <v>3</v>
      </c>
      <c r="AS426" s="103">
        <v>14.529914529914532</v>
      </c>
      <c r="AT426" s="103">
        <v>39.401709401709404</v>
      </c>
      <c r="AU426" s="103">
        <v>29.487179487179489</v>
      </c>
      <c r="AV426" s="103">
        <v>12.564102564102564</v>
      </c>
      <c r="AW426" s="103">
        <v>2.3076923076923079</v>
      </c>
      <c r="AX426" s="103">
        <v>1.1111111111111112</v>
      </c>
      <c r="AY426" s="103">
        <v>0.51282051282051277</v>
      </c>
      <c r="AZ426" s="103">
        <v>8.5470085470085472E-2</v>
      </c>
      <c r="BA426" s="103">
        <v>0</v>
      </c>
      <c r="BB426" s="103">
        <v>0</v>
      </c>
      <c r="BC426" s="42"/>
      <c r="BD426" s="110"/>
      <c r="BE426" s="46" t="s">
        <v>3</v>
      </c>
      <c r="BF426" s="103">
        <v>8.1262592343854934</v>
      </c>
      <c r="BG426" s="103">
        <v>31.631967763599732</v>
      </c>
      <c r="BH426" s="103">
        <v>36.736064472800543</v>
      </c>
      <c r="BI426" s="103">
        <v>16.588314304902617</v>
      </c>
      <c r="BJ426" s="103">
        <v>4.0295500335795831</v>
      </c>
      <c r="BK426" s="103">
        <v>1.9476158495634655</v>
      </c>
      <c r="BL426" s="103">
        <v>0.67159167226326388</v>
      </c>
      <c r="BM426" s="103">
        <v>0.26863666890530558</v>
      </c>
      <c r="BN426" s="103">
        <v>0</v>
      </c>
      <c r="BO426" s="103">
        <v>0</v>
      </c>
      <c r="BQ426" s="110"/>
      <c r="BR426" s="46" t="s">
        <v>3</v>
      </c>
      <c r="BS426" s="103">
        <v>10.909090909090908</v>
      </c>
      <c r="BT426" s="103">
        <v>37.018181818181816</v>
      </c>
      <c r="BU426" s="103">
        <v>33.090909090909093</v>
      </c>
      <c r="BV426" s="103">
        <v>13.600000000000001</v>
      </c>
      <c r="BW426" s="103">
        <v>3.2</v>
      </c>
      <c r="BX426" s="103">
        <v>1.6727272727272726</v>
      </c>
      <c r="BY426" s="103">
        <v>0.4363636363636364</v>
      </c>
      <c r="BZ426" s="103">
        <v>7.2727272727272724E-2</v>
      </c>
      <c r="CA426" s="103">
        <v>0</v>
      </c>
      <c r="CB426" s="103">
        <v>0</v>
      </c>
      <c r="CC426" s="42"/>
      <c r="CD426" s="110"/>
      <c r="CE426" s="46" t="s">
        <v>3</v>
      </c>
      <c r="CF426" s="103">
        <v>10.981308411214954</v>
      </c>
      <c r="CG426" s="103">
        <v>32.943925233644862</v>
      </c>
      <c r="CH426" s="103">
        <v>34.034267912772584</v>
      </c>
      <c r="CI426" s="103">
        <v>16.121495327102803</v>
      </c>
      <c r="CJ426" s="103">
        <v>3.3489096573208719</v>
      </c>
      <c r="CK426" s="103">
        <v>1.4797507788161994</v>
      </c>
      <c r="CL426" s="103">
        <v>0.77881619937694702</v>
      </c>
      <c r="CM426" s="103">
        <v>0.3115264797507788</v>
      </c>
      <c r="CN426" s="103">
        <v>0</v>
      </c>
      <c r="CO426" s="103">
        <v>0</v>
      </c>
      <c r="CQ426" s="110"/>
      <c r="CR426" s="46" t="s">
        <v>3</v>
      </c>
      <c r="CS426" s="103">
        <v>7.9722703639514725</v>
      </c>
      <c r="CT426" s="103">
        <v>27.729636048526864</v>
      </c>
      <c r="CU426" s="103">
        <v>32.40901213171577</v>
      </c>
      <c r="CV426" s="103">
        <v>20.623916811091856</v>
      </c>
      <c r="CW426" s="103">
        <v>5.3726169844020797</v>
      </c>
      <c r="CX426" s="103">
        <v>3.4662045060658579</v>
      </c>
      <c r="CY426" s="103">
        <v>1.559792027729636</v>
      </c>
      <c r="CZ426" s="103">
        <v>0.86655112651646449</v>
      </c>
      <c r="DA426" s="103">
        <v>0</v>
      </c>
      <c r="DB426" s="103">
        <v>0</v>
      </c>
      <c r="DC426" s="42"/>
      <c r="DD426" s="110"/>
      <c r="DE426" s="46" t="s">
        <v>3</v>
      </c>
      <c r="DF426" s="103">
        <v>11.767531219980789</v>
      </c>
      <c r="DG426" s="103">
        <v>37.079731027857825</v>
      </c>
      <c r="DH426" s="103">
        <v>33.861671469740635</v>
      </c>
      <c r="DI426" s="103">
        <v>13.208453410182516</v>
      </c>
      <c r="DJ426" s="103">
        <v>2.6897214217098941</v>
      </c>
      <c r="DK426" s="103">
        <v>1.0566762728146013</v>
      </c>
      <c r="DL426" s="103">
        <v>0.33621517771373677</v>
      </c>
      <c r="DM426" s="103">
        <v>0</v>
      </c>
      <c r="DN426" s="103">
        <v>0</v>
      </c>
      <c r="DO426" s="103">
        <v>0</v>
      </c>
    </row>
    <row r="427" spans="2:119" ht="16.5" customHeight="1" x14ac:dyDescent="0.45">
      <c r="B427" s="99"/>
      <c r="C427" s="42"/>
      <c r="D427" s="110"/>
      <c r="E427" s="47" t="s">
        <v>4</v>
      </c>
      <c r="F427" s="103">
        <v>8.2157487482931266</v>
      </c>
      <c r="G427" s="103">
        <v>29.335457441966316</v>
      </c>
      <c r="H427" s="103">
        <v>33.522985889849792</v>
      </c>
      <c r="I427" s="103">
        <v>19.822485207100591</v>
      </c>
      <c r="J427" s="103">
        <v>5.0751024123805184</v>
      </c>
      <c r="K427" s="103">
        <v>2.4123805188893948</v>
      </c>
      <c r="L427" s="103">
        <v>1.1151570323167956</v>
      </c>
      <c r="M427" s="103">
        <v>0.31861629494765586</v>
      </c>
      <c r="N427" s="103">
        <v>0.18206645425580337</v>
      </c>
      <c r="O427" s="103">
        <v>0</v>
      </c>
      <c r="P427" s="42"/>
      <c r="Q427" s="110"/>
      <c r="R427" s="46" t="s">
        <v>4</v>
      </c>
      <c r="S427" s="103">
        <v>5.2684903748733536</v>
      </c>
      <c r="T427" s="103">
        <v>29.128672745694022</v>
      </c>
      <c r="U427" s="103">
        <v>35.359675785207699</v>
      </c>
      <c r="V427" s="103">
        <v>20.719351570415402</v>
      </c>
      <c r="W427" s="103">
        <v>5.2684903748733536</v>
      </c>
      <c r="X427" s="103">
        <v>2.2796352583586628</v>
      </c>
      <c r="Y427" s="103">
        <v>1.3677811550151975</v>
      </c>
      <c r="Z427" s="103">
        <v>0.3546099290780142</v>
      </c>
      <c r="AA427" s="103">
        <v>0.25329280648429586</v>
      </c>
      <c r="AB427" s="103">
        <v>0</v>
      </c>
      <c r="AC427" s="42"/>
      <c r="AD427" s="110"/>
      <c r="AE427" s="46" t="s">
        <v>4</v>
      </c>
      <c r="AF427" s="103">
        <v>10.619834710743801</v>
      </c>
      <c r="AG427" s="103">
        <v>29.504132231404963</v>
      </c>
      <c r="AH427" s="103">
        <v>32.02479338842975</v>
      </c>
      <c r="AI427" s="103">
        <v>19.090909090909093</v>
      </c>
      <c r="AJ427" s="103">
        <v>4.9173553719008263</v>
      </c>
      <c r="AK427" s="103">
        <v>2.5206611570247932</v>
      </c>
      <c r="AL427" s="103">
        <v>0.90909090909090906</v>
      </c>
      <c r="AM427" s="103">
        <v>0.28925619834710742</v>
      </c>
      <c r="AN427" s="103">
        <v>0.12396694214876033</v>
      </c>
      <c r="AO427" s="103">
        <v>0</v>
      </c>
      <c r="AP427" s="6"/>
      <c r="AQ427" s="110"/>
      <c r="AR427" s="46" t="s">
        <v>4</v>
      </c>
      <c r="AS427" s="103">
        <v>9.945652173913043</v>
      </c>
      <c r="AT427" s="103">
        <v>34.728260869565219</v>
      </c>
      <c r="AU427" s="103">
        <v>32.554347826086953</v>
      </c>
      <c r="AV427" s="103">
        <v>16.467391304347824</v>
      </c>
      <c r="AW427" s="103">
        <v>3.6413043478260869</v>
      </c>
      <c r="AX427" s="103">
        <v>1.6304347826086956</v>
      </c>
      <c r="AY427" s="103">
        <v>0.59782608695652173</v>
      </c>
      <c r="AZ427" s="103">
        <v>0.16304347826086957</v>
      </c>
      <c r="BA427" s="103">
        <v>0.27173913043478259</v>
      </c>
      <c r="BB427" s="103">
        <v>0</v>
      </c>
      <c r="BC427" s="42"/>
      <c r="BD427" s="110"/>
      <c r="BE427" s="46" t="s">
        <v>4</v>
      </c>
      <c r="BF427" s="103">
        <v>6.9694596711041505</v>
      </c>
      <c r="BG427" s="103">
        <v>25.450274079874706</v>
      </c>
      <c r="BH427" s="103">
        <v>34.220830070477682</v>
      </c>
      <c r="BI427" s="103">
        <v>22.239624119028974</v>
      </c>
      <c r="BJ427" s="103">
        <v>6.1080657791699293</v>
      </c>
      <c r="BK427" s="103">
        <v>2.9757243539545808</v>
      </c>
      <c r="BL427" s="103">
        <v>1.4878621769772904</v>
      </c>
      <c r="BM427" s="103">
        <v>0.43069694596711039</v>
      </c>
      <c r="BN427" s="103">
        <v>0.11746280344557558</v>
      </c>
      <c r="BO427" s="103">
        <v>0</v>
      </c>
      <c r="BQ427" s="110"/>
      <c r="BR427" s="46" t="s">
        <v>4</v>
      </c>
      <c r="BS427" s="103">
        <v>8.9246119733924623</v>
      </c>
      <c r="BT427" s="103">
        <v>32.649667405764966</v>
      </c>
      <c r="BU427" s="103">
        <v>31.818181818181817</v>
      </c>
      <c r="BV427" s="103">
        <v>19.17960088691796</v>
      </c>
      <c r="BW427" s="103">
        <v>4.434589800443459</v>
      </c>
      <c r="BX427" s="103">
        <v>1.9955654101995564</v>
      </c>
      <c r="BY427" s="103">
        <v>0.8314855875831485</v>
      </c>
      <c r="BZ427" s="103">
        <v>0.11086474501108648</v>
      </c>
      <c r="CA427" s="103">
        <v>5.543237250554324E-2</v>
      </c>
      <c r="CB427" s="103">
        <v>0</v>
      </c>
      <c r="CC427" s="42"/>
      <c r="CD427" s="110"/>
      <c r="CE427" s="46" t="s">
        <v>4</v>
      </c>
      <c r="CF427" s="103">
        <v>7.7220077220077217</v>
      </c>
      <c r="CG427" s="103">
        <v>27.027027027027028</v>
      </c>
      <c r="CH427" s="103">
        <v>34.710424710424711</v>
      </c>
      <c r="CI427" s="103">
        <v>20.27027027027027</v>
      </c>
      <c r="CJ427" s="103">
        <v>5.5212355212355213</v>
      </c>
      <c r="CK427" s="103">
        <v>2.7027027027027026</v>
      </c>
      <c r="CL427" s="103">
        <v>1.3127413127413128</v>
      </c>
      <c r="CM427" s="103">
        <v>0.46332046332046328</v>
      </c>
      <c r="CN427" s="103">
        <v>0.27027027027027029</v>
      </c>
      <c r="CO427" s="103">
        <v>0</v>
      </c>
      <c r="CQ427" s="110"/>
      <c r="CR427" s="46" t="s">
        <v>4</v>
      </c>
      <c r="CS427" s="103">
        <v>5.9498956158663887</v>
      </c>
      <c r="CT427" s="103">
        <v>23.277661795407099</v>
      </c>
      <c r="CU427" s="103">
        <v>29.540709812108563</v>
      </c>
      <c r="CV427" s="103">
        <v>23.590814196242171</v>
      </c>
      <c r="CW427" s="103">
        <v>7.2025052192066799</v>
      </c>
      <c r="CX427" s="103">
        <v>5.4279749478079333</v>
      </c>
      <c r="CY427" s="103">
        <v>3.1315240083507305</v>
      </c>
      <c r="CZ427" s="103">
        <v>1.1482254697286012</v>
      </c>
      <c r="DA427" s="103">
        <v>0.73068893528183709</v>
      </c>
      <c r="DB427" s="103">
        <v>0</v>
      </c>
      <c r="DC427" s="42"/>
      <c r="DD427" s="110"/>
      <c r="DE427" s="46" t="s">
        <v>4</v>
      </c>
      <c r="DF427" s="103">
        <v>8.8474970896391163</v>
      </c>
      <c r="DG427" s="103">
        <v>31.024447031431894</v>
      </c>
      <c r="DH427" s="103">
        <v>34.633294528521539</v>
      </c>
      <c r="DI427" s="103">
        <v>18.771827706635623</v>
      </c>
      <c r="DJ427" s="103">
        <v>4.4819557625145512</v>
      </c>
      <c r="DK427" s="103">
        <v>1.571594877764843</v>
      </c>
      <c r="DL427" s="103">
        <v>0.55296856810244477</v>
      </c>
      <c r="DM427" s="103">
        <v>8.7310826542491268E-2</v>
      </c>
      <c r="DN427" s="103">
        <v>2.9103608847497089E-2</v>
      </c>
      <c r="DO427" s="103">
        <v>0</v>
      </c>
    </row>
    <row r="428" spans="2:119" ht="16.5" customHeight="1" x14ac:dyDescent="0.45">
      <c r="B428" s="99"/>
      <c r="C428" s="42"/>
      <c r="D428" s="110"/>
      <c r="E428" s="47" t="s">
        <v>5</v>
      </c>
      <c r="F428" s="103">
        <v>5.3183613030602173</v>
      </c>
      <c r="G428" s="103">
        <v>21.631293188548863</v>
      </c>
      <c r="H428" s="103">
        <v>33.576011846001975</v>
      </c>
      <c r="I428" s="103">
        <v>25.444225074037512</v>
      </c>
      <c r="J428" s="103">
        <v>8.4155972359328732</v>
      </c>
      <c r="K428" s="103">
        <v>3.9116485686080948</v>
      </c>
      <c r="L428" s="103">
        <v>1.2092793682132281</v>
      </c>
      <c r="M428" s="103">
        <v>0.43188548864758142</v>
      </c>
      <c r="N428" s="103">
        <v>6.1697926949654487E-2</v>
      </c>
      <c r="O428" s="103">
        <v>0</v>
      </c>
      <c r="P428" s="42"/>
      <c r="Q428" s="110"/>
      <c r="R428" s="46" t="s">
        <v>5</v>
      </c>
      <c r="S428" s="103">
        <v>3.0144167758846661</v>
      </c>
      <c r="T428" s="103">
        <v>19.056356487549149</v>
      </c>
      <c r="U428" s="103">
        <v>35.753604193971164</v>
      </c>
      <c r="V428" s="103">
        <v>26.736566186107467</v>
      </c>
      <c r="W428" s="103">
        <v>9.2529488859764086</v>
      </c>
      <c r="X428" s="103">
        <v>4.2988204456094365</v>
      </c>
      <c r="Y428" s="103">
        <v>1.2581913499344692</v>
      </c>
      <c r="Z428" s="103">
        <v>0.52424639580602883</v>
      </c>
      <c r="AA428" s="103">
        <v>0.10484927916120576</v>
      </c>
      <c r="AB428" s="103">
        <v>0</v>
      </c>
      <c r="AC428" s="42"/>
      <c r="AD428" s="110"/>
      <c r="AE428" s="46" t="s">
        <v>5</v>
      </c>
      <c r="AF428" s="103">
        <v>7.3676847750058281</v>
      </c>
      <c r="AG428" s="103">
        <v>23.921660060620191</v>
      </c>
      <c r="AH428" s="103">
        <v>31.63907670785731</v>
      </c>
      <c r="AI428" s="103">
        <v>24.294707391000234</v>
      </c>
      <c r="AJ428" s="103">
        <v>7.6707857309396124</v>
      </c>
      <c r="AK428" s="103">
        <v>3.5672650967591513</v>
      </c>
      <c r="AL428" s="103">
        <v>1.1657729074376311</v>
      </c>
      <c r="AM428" s="103">
        <v>0.34973187223128938</v>
      </c>
      <c r="AN428" s="103">
        <v>2.3315458148752622E-2</v>
      </c>
      <c r="AO428" s="103">
        <v>0</v>
      </c>
      <c r="AP428" s="6"/>
      <c r="AQ428" s="110"/>
      <c r="AR428" s="46" t="s">
        <v>5</v>
      </c>
      <c r="AS428" s="103">
        <v>7.5305291723202172</v>
      </c>
      <c r="AT428" s="103">
        <v>28.052917232021713</v>
      </c>
      <c r="AU428" s="103">
        <v>35.040705563093624</v>
      </c>
      <c r="AV428" s="103">
        <v>20.284938941655358</v>
      </c>
      <c r="AW428" s="103">
        <v>5.6648575305291722</v>
      </c>
      <c r="AX428" s="103">
        <v>2.2048846675712346</v>
      </c>
      <c r="AY428" s="103">
        <v>0.71234735413839889</v>
      </c>
      <c r="AZ428" s="103">
        <v>0.44097693351424694</v>
      </c>
      <c r="BA428" s="103">
        <v>6.7842605156037988E-2</v>
      </c>
      <c r="BB428" s="103">
        <v>0</v>
      </c>
      <c r="BC428" s="42"/>
      <c r="BD428" s="110"/>
      <c r="BE428" s="46" t="s">
        <v>5</v>
      </c>
      <c r="BF428" s="103">
        <v>4.0535298681148175</v>
      </c>
      <c r="BG428" s="103">
        <v>17.959658650116371</v>
      </c>
      <c r="BH428" s="103">
        <v>32.738557020946466</v>
      </c>
      <c r="BI428" s="103">
        <v>28.394103956555472</v>
      </c>
      <c r="BJ428" s="103">
        <v>9.9883630721489514</v>
      </c>
      <c r="BK428" s="103">
        <v>4.8875096974398753</v>
      </c>
      <c r="BL428" s="103">
        <v>1.4934057408844066</v>
      </c>
      <c r="BM428" s="103">
        <v>0.42668735453840184</v>
      </c>
      <c r="BN428" s="103">
        <v>5.818463925523662E-2</v>
      </c>
      <c r="BO428" s="103">
        <v>0</v>
      </c>
      <c r="BQ428" s="110"/>
      <c r="BR428" s="46" t="s">
        <v>5</v>
      </c>
      <c r="BS428" s="103">
        <v>6.3356164383561646</v>
      </c>
      <c r="BT428" s="103">
        <v>25.55650684931507</v>
      </c>
      <c r="BU428" s="103">
        <v>33.261986301369859</v>
      </c>
      <c r="BV428" s="103">
        <v>23.202054794520549</v>
      </c>
      <c r="BW428" s="103">
        <v>7.1489726027397253</v>
      </c>
      <c r="BX428" s="103">
        <v>3.0393835616438358</v>
      </c>
      <c r="BY428" s="103">
        <v>1.0273972602739725</v>
      </c>
      <c r="BZ428" s="103">
        <v>0.29965753424657532</v>
      </c>
      <c r="CA428" s="103">
        <v>0.12842465753424656</v>
      </c>
      <c r="CB428" s="103">
        <v>0</v>
      </c>
      <c r="CC428" s="42"/>
      <c r="CD428" s="110"/>
      <c r="CE428" s="46" t="s">
        <v>5</v>
      </c>
      <c r="CF428" s="103">
        <v>4.9063800277392513</v>
      </c>
      <c r="CG428" s="103">
        <v>20.041608876560332</v>
      </c>
      <c r="CH428" s="103">
        <v>33.70319001386963</v>
      </c>
      <c r="CI428" s="103">
        <v>26.352288488210817</v>
      </c>
      <c r="CJ428" s="103">
        <v>8.9285714285714288</v>
      </c>
      <c r="CK428" s="103">
        <v>4.2649098474341196</v>
      </c>
      <c r="CL428" s="103">
        <v>1.2829403606102634</v>
      </c>
      <c r="CM428" s="103">
        <v>0.48543689320388345</v>
      </c>
      <c r="CN428" s="103">
        <v>3.4674063800277391E-2</v>
      </c>
      <c r="CO428" s="103">
        <v>0</v>
      </c>
      <c r="CQ428" s="110"/>
      <c r="CR428" s="46" t="s">
        <v>5</v>
      </c>
      <c r="CS428" s="103">
        <v>3.8942976356050067</v>
      </c>
      <c r="CT428" s="103">
        <v>15.368567454798331</v>
      </c>
      <c r="CU428" s="103">
        <v>29.833101529902645</v>
      </c>
      <c r="CV428" s="103">
        <v>28.025034770514605</v>
      </c>
      <c r="CW428" s="103">
        <v>13.004172461752434</v>
      </c>
      <c r="CX428" s="103">
        <v>5.7023643949930456</v>
      </c>
      <c r="CY428" s="103">
        <v>2.5034770514603615</v>
      </c>
      <c r="CZ428" s="103">
        <v>1.4603616133518775</v>
      </c>
      <c r="DA428" s="103">
        <v>0.20862308762169679</v>
      </c>
      <c r="DB428" s="103">
        <v>0</v>
      </c>
      <c r="DC428" s="42"/>
      <c r="DD428" s="110"/>
      <c r="DE428" s="46" t="s">
        <v>5</v>
      </c>
      <c r="DF428" s="103">
        <v>5.6255625562556251</v>
      </c>
      <c r="DG428" s="103">
        <v>22.98229822982298</v>
      </c>
      <c r="DH428" s="103">
        <v>34.383438343834385</v>
      </c>
      <c r="DI428" s="103">
        <v>24.887488748874887</v>
      </c>
      <c r="DJ428" s="103">
        <v>7.4257425742574252</v>
      </c>
      <c r="DK428" s="103">
        <v>3.5253525352535253</v>
      </c>
      <c r="DL428" s="103">
        <v>0.93009300930093008</v>
      </c>
      <c r="DM428" s="103">
        <v>0.21002100210021002</v>
      </c>
      <c r="DN428" s="103">
        <v>3.0003000300030006E-2</v>
      </c>
      <c r="DO428" s="103">
        <v>0</v>
      </c>
    </row>
    <row r="429" spans="2:119" ht="16.5" customHeight="1" x14ac:dyDescent="0.45">
      <c r="B429" s="99"/>
      <c r="C429" s="42"/>
      <c r="D429" s="110"/>
      <c r="E429" s="47" t="s">
        <v>6</v>
      </c>
      <c r="F429" s="103">
        <v>3.7154989384288748</v>
      </c>
      <c r="G429" s="103">
        <v>15.107833277461168</v>
      </c>
      <c r="H429" s="103">
        <v>27.544977092412559</v>
      </c>
      <c r="I429" s="103">
        <v>30.450329645770481</v>
      </c>
      <c r="J429" s="103">
        <v>12.9176444295452</v>
      </c>
      <c r="K429" s="103">
        <v>6.3917756173874167</v>
      </c>
      <c r="L429" s="103">
        <v>2.9668119342943347</v>
      </c>
      <c r="M429" s="103">
        <v>0.7319253547882445</v>
      </c>
      <c r="N429" s="103">
        <v>0.13968041121913063</v>
      </c>
      <c r="O429" s="103">
        <v>3.3523298692591352E-2</v>
      </c>
      <c r="P429" s="42"/>
      <c r="Q429" s="110"/>
      <c r="R429" s="46" t="s">
        <v>6</v>
      </c>
      <c r="S429" s="103">
        <v>2.1413276231263381</v>
      </c>
      <c r="T429" s="103">
        <v>11.634546752319771</v>
      </c>
      <c r="U429" s="103">
        <v>27.742088984059006</v>
      </c>
      <c r="V429" s="103">
        <v>32.215084463478469</v>
      </c>
      <c r="W429" s="103">
        <v>14.346895074946467</v>
      </c>
      <c r="X429" s="103">
        <v>7.4113728289317153</v>
      </c>
      <c r="Y429" s="103">
        <v>3.354746609564597</v>
      </c>
      <c r="Z429" s="103">
        <v>0.93980490126100402</v>
      </c>
      <c r="AA429" s="103">
        <v>0.19034023316678564</v>
      </c>
      <c r="AB429" s="103">
        <v>2.3792529145848205E-2</v>
      </c>
      <c r="AC429" s="42"/>
      <c r="AD429" s="110"/>
      <c r="AE429" s="46" t="s">
        <v>6</v>
      </c>
      <c r="AF429" s="103">
        <v>5.1095659502739155</v>
      </c>
      <c r="AG429" s="103">
        <v>18.183733670459333</v>
      </c>
      <c r="AH429" s="103">
        <v>27.370417193426043</v>
      </c>
      <c r="AI429" s="103">
        <v>28.887484197218711</v>
      </c>
      <c r="AJ429" s="103">
        <v>11.651917404129794</v>
      </c>
      <c r="AK429" s="103">
        <v>5.4888327012220817</v>
      </c>
      <c r="AL429" s="103">
        <v>2.6232616940581543</v>
      </c>
      <c r="AM429" s="103">
        <v>0.54782975136957435</v>
      </c>
      <c r="AN429" s="103">
        <v>9.4816687737041716E-2</v>
      </c>
      <c r="AO429" s="103">
        <v>4.2140750105351878E-2</v>
      </c>
      <c r="AP429" s="6"/>
      <c r="AQ429" s="110"/>
      <c r="AR429" s="46" t="s">
        <v>6</v>
      </c>
      <c r="AS429" s="103">
        <v>5.5621502458877394</v>
      </c>
      <c r="AT429" s="103">
        <v>21.282007800576565</v>
      </c>
      <c r="AU429" s="103">
        <v>30.490079701543159</v>
      </c>
      <c r="AV429" s="103">
        <v>27.149397998982533</v>
      </c>
      <c r="AW429" s="103">
        <v>9.3098185518060017</v>
      </c>
      <c r="AX429" s="103">
        <v>4.1716126844158046</v>
      </c>
      <c r="AY429" s="103">
        <v>1.6449041885704594</v>
      </c>
      <c r="AZ429" s="103">
        <v>0.30523995251822961</v>
      </c>
      <c r="BA429" s="103">
        <v>6.7831100559606589E-2</v>
      </c>
      <c r="BB429" s="103">
        <v>1.6957775139901647E-2</v>
      </c>
      <c r="BC429" s="42"/>
      <c r="BD429" s="110"/>
      <c r="BE429" s="46" t="s">
        <v>6</v>
      </c>
      <c r="BF429" s="103">
        <v>2.8080993250562454</v>
      </c>
      <c r="BG429" s="103">
        <v>12.07399383384718</v>
      </c>
      <c r="BH429" s="103">
        <v>26.097825181234896</v>
      </c>
      <c r="BI429" s="103">
        <v>32.072327306057829</v>
      </c>
      <c r="BJ429" s="103">
        <v>14.690442463128072</v>
      </c>
      <c r="BK429" s="103">
        <v>7.4827097741854853</v>
      </c>
      <c r="BL429" s="103">
        <v>3.6163653028914258</v>
      </c>
      <c r="BM429" s="103">
        <v>0.94158820098325136</v>
      </c>
      <c r="BN429" s="103">
        <v>0.17498541788184319</v>
      </c>
      <c r="BO429" s="103">
        <v>4.1663194733772189E-2</v>
      </c>
      <c r="BQ429" s="110"/>
      <c r="BR429" s="46" t="s">
        <v>6</v>
      </c>
      <c r="BS429" s="103">
        <v>5.2019583843329258</v>
      </c>
      <c r="BT429" s="103">
        <v>20.134638922888616</v>
      </c>
      <c r="BU429" s="103">
        <v>29.865361077111384</v>
      </c>
      <c r="BV429" s="103">
        <v>27.294981640146883</v>
      </c>
      <c r="BW429" s="103">
        <v>9.1799265605875142</v>
      </c>
      <c r="BX429" s="103">
        <v>5.0795593635250924</v>
      </c>
      <c r="BY429" s="103">
        <v>2.2949816401468786</v>
      </c>
      <c r="BZ429" s="103">
        <v>0.64259485924112603</v>
      </c>
      <c r="CA429" s="103">
        <v>0.24479804161566704</v>
      </c>
      <c r="CB429" s="103">
        <v>6.119951040391676E-2</v>
      </c>
      <c r="CC429" s="42"/>
      <c r="CD429" s="110"/>
      <c r="CE429" s="46" t="s">
        <v>6</v>
      </c>
      <c r="CF429" s="103">
        <v>3.3834586466165413</v>
      </c>
      <c r="CG429" s="103">
        <v>13.984962406015036</v>
      </c>
      <c r="CH429" s="103">
        <v>27.026657552973344</v>
      </c>
      <c r="CI429" s="103">
        <v>31.15516062884484</v>
      </c>
      <c r="CJ429" s="103">
        <v>13.752563226247435</v>
      </c>
      <c r="CK429" s="103">
        <v>6.684894053315106</v>
      </c>
      <c r="CL429" s="103">
        <v>3.116883116883117</v>
      </c>
      <c r="CM429" s="103">
        <v>0.75187969924812026</v>
      </c>
      <c r="CN429" s="103">
        <v>0.11619958988380041</v>
      </c>
      <c r="CO429" s="103">
        <v>2.7341079972658916E-2</v>
      </c>
      <c r="CQ429" s="110"/>
      <c r="CR429" s="46" t="s">
        <v>6</v>
      </c>
      <c r="CS429" s="103">
        <v>2.5189786059351276</v>
      </c>
      <c r="CT429" s="103">
        <v>11.387163561076605</v>
      </c>
      <c r="CU429" s="103">
        <v>24.913733609385783</v>
      </c>
      <c r="CV429" s="103">
        <v>31.40096618357488</v>
      </c>
      <c r="CW429" s="103">
        <v>14.7688060731539</v>
      </c>
      <c r="CX429" s="103">
        <v>8.7301587301587293</v>
      </c>
      <c r="CY429" s="103">
        <v>4.5548654244306412</v>
      </c>
      <c r="CZ429" s="103">
        <v>1.2767425810904072</v>
      </c>
      <c r="DA429" s="103">
        <v>0.3105590062111801</v>
      </c>
      <c r="DB429" s="103">
        <v>0.13802622498274672</v>
      </c>
      <c r="DC429" s="42"/>
      <c r="DD429" s="110"/>
      <c r="DE429" s="46" t="s">
        <v>6</v>
      </c>
      <c r="DF429" s="103">
        <v>3.9466666666666663</v>
      </c>
      <c r="DG429" s="103">
        <v>15.826666666666666</v>
      </c>
      <c r="DH429" s="103">
        <v>28.053333333333335</v>
      </c>
      <c r="DI429" s="103">
        <v>30.266666666666666</v>
      </c>
      <c r="DJ429" s="103">
        <v>12.559999999999999</v>
      </c>
      <c r="DK429" s="103">
        <v>5.94</v>
      </c>
      <c r="DL429" s="103">
        <v>2.6599999999999997</v>
      </c>
      <c r="DM429" s="103">
        <v>0.62666666666666671</v>
      </c>
      <c r="DN429" s="103">
        <v>0.10666666666666667</v>
      </c>
      <c r="DO429" s="103">
        <v>1.3333333333333334E-2</v>
      </c>
    </row>
    <row r="430" spans="2:119" ht="16.5" customHeight="1" x14ac:dyDescent="0.45">
      <c r="B430" s="99"/>
      <c r="C430" s="42"/>
      <c r="D430" s="110"/>
      <c r="E430" s="47" t="s">
        <v>7</v>
      </c>
      <c r="F430" s="103">
        <v>2.261975162625665</v>
      </c>
      <c r="G430" s="103">
        <v>8.1874630396215267</v>
      </c>
      <c r="H430" s="103">
        <v>19.840331164991127</v>
      </c>
      <c r="I430" s="103">
        <v>29.949733885274988</v>
      </c>
      <c r="J430" s="103">
        <v>17.87699586043761</v>
      </c>
      <c r="K430" s="103">
        <v>12.480780603193377</v>
      </c>
      <c r="L430" s="103">
        <v>6.4163217031342397</v>
      </c>
      <c r="M430" s="103">
        <v>2.1703134240094619</v>
      </c>
      <c r="N430" s="103">
        <v>0.73329390892962742</v>
      </c>
      <c r="O430" s="103">
        <v>8.27912477823773E-2</v>
      </c>
      <c r="P430" s="42"/>
      <c r="Q430" s="110"/>
      <c r="R430" s="46" t="s">
        <v>7</v>
      </c>
      <c r="S430" s="103">
        <v>1.0743118682855508</v>
      </c>
      <c r="T430" s="103">
        <v>6.0898862119382109</v>
      </c>
      <c r="U430" s="103">
        <v>17.792893013794419</v>
      </c>
      <c r="V430" s="103">
        <v>30.042591062233804</v>
      </c>
      <c r="W430" s="103">
        <v>19.242260504735871</v>
      </c>
      <c r="X430" s="103">
        <v>14.137689911639436</v>
      </c>
      <c r="Y430" s="103">
        <v>7.6981755768864026</v>
      </c>
      <c r="Z430" s="103">
        <v>2.8097387324391327</v>
      </c>
      <c r="AA430" s="103">
        <v>1.0170999936431251</v>
      </c>
      <c r="AB430" s="103">
        <v>9.5353124404042977E-2</v>
      </c>
      <c r="AC430" s="42"/>
      <c r="AD430" s="110"/>
      <c r="AE430" s="46" t="s">
        <v>7</v>
      </c>
      <c r="AF430" s="103">
        <v>3.2948200563878602</v>
      </c>
      <c r="AG430" s="103">
        <v>10.011609265299354</v>
      </c>
      <c r="AH430" s="103">
        <v>21.620874564652549</v>
      </c>
      <c r="AI430" s="103">
        <v>29.868981148764444</v>
      </c>
      <c r="AJ430" s="103">
        <v>16.689700923213003</v>
      </c>
      <c r="AK430" s="103">
        <v>11.03985847752778</v>
      </c>
      <c r="AL430" s="103">
        <v>5.3015644867046268</v>
      </c>
      <c r="AM430" s="103">
        <v>1.6142406987672067</v>
      </c>
      <c r="AN430" s="103">
        <v>0.4864834982586102</v>
      </c>
      <c r="AO430" s="103">
        <v>7.1866880424567417E-2</v>
      </c>
      <c r="AP430" s="6"/>
      <c r="AQ430" s="110"/>
      <c r="AR430" s="46" t="s">
        <v>7</v>
      </c>
      <c r="AS430" s="103">
        <v>3.9074550128534704</v>
      </c>
      <c r="AT430" s="103">
        <v>12.966580976863753</v>
      </c>
      <c r="AU430" s="103">
        <v>25.40874035989717</v>
      </c>
      <c r="AV430" s="103">
        <v>29.562982005141386</v>
      </c>
      <c r="AW430" s="103">
        <v>13.388174807197945</v>
      </c>
      <c r="AX430" s="103">
        <v>9.2133676092544992</v>
      </c>
      <c r="AY430" s="103">
        <v>3.979434447300771</v>
      </c>
      <c r="AZ430" s="103">
        <v>1.1722365038560412</v>
      </c>
      <c r="BA430" s="103">
        <v>0.35989717223650386</v>
      </c>
      <c r="BB430" s="103">
        <v>4.1131105398457588E-2</v>
      </c>
      <c r="BC430" s="42"/>
      <c r="BD430" s="110"/>
      <c r="BE430" s="46" t="s">
        <v>7</v>
      </c>
      <c r="BF430" s="103">
        <v>1.5978418759078648</v>
      </c>
      <c r="BG430" s="103">
        <v>6.2585598671923632</v>
      </c>
      <c r="BH430" s="103">
        <v>17.592861589541396</v>
      </c>
      <c r="BI430" s="103">
        <v>30.105831085287406</v>
      </c>
      <c r="BJ430" s="103">
        <v>19.688732102095869</v>
      </c>
      <c r="BK430" s="103">
        <v>13.79954347374974</v>
      </c>
      <c r="BL430" s="103">
        <v>7.3998754928408381</v>
      </c>
      <c r="BM430" s="103">
        <v>2.5731479560074701</v>
      </c>
      <c r="BN430" s="103">
        <v>0.88400083004772767</v>
      </c>
      <c r="BO430" s="103">
        <v>9.9605727329321436E-2</v>
      </c>
      <c r="BQ430" s="110"/>
      <c r="BR430" s="46" t="s">
        <v>7</v>
      </c>
      <c r="BS430" s="103">
        <v>3.8333759263991825</v>
      </c>
      <c r="BT430" s="103">
        <v>13.135701507794531</v>
      </c>
      <c r="BU430" s="103">
        <v>23.102478916432403</v>
      </c>
      <c r="BV430" s="103">
        <v>29.005877843087148</v>
      </c>
      <c r="BW430" s="103">
        <v>14.439049322770254</v>
      </c>
      <c r="BX430" s="103">
        <v>9.8134423715819068</v>
      </c>
      <c r="BY430" s="103">
        <v>4.1911576795297725</v>
      </c>
      <c r="BZ430" s="103">
        <v>1.9166879631995912</v>
      </c>
      <c r="CA430" s="103">
        <v>0.48556095067722971</v>
      </c>
      <c r="CB430" s="103">
        <v>7.6667518527983647E-2</v>
      </c>
      <c r="CC430" s="42"/>
      <c r="CD430" s="110"/>
      <c r="CE430" s="46" t="s">
        <v>7</v>
      </c>
      <c r="CF430" s="103">
        <v>2.0563747617614605</v>
      </c>
      <c r="CG430" s="103">
        <v>7.540040793125355</v>
      </c>
      <c r="CH430" s="103">
        <v>19.413515230548033</v>
      </c>
      <c r="CI430" s="103">
        <v>30.073227003711505</v>
      </c>
      <c r="CJ430" s="103">
        <v>18.326813120674089</v>
      </c>
      <c r="CK430" s="103">
        <v>12.829772294111747</v>
      </c>
      <c r="CL430" s="103">
        <v>6.7074597920219343</v>
      </c>
      <c r="CM430" s="103">
        <v>2.2034975089443942</v>
      </c>
      <c r="CN430" s="103">
        <v>0.76570702511117805</v>
      </c>
      <c r="CO430" s="103">
        <v>8.3592469990303273E-2</v>
      </c>
      <c r="CQ430" s="110"/>
      <c r="CR430" s="46" t="s">
        <v>7</v>
      </c>
      <c r="CS430" s="103">
        <v>1.5879163439194421</v>
      </c>
      <c r="CT430" s="103">
        <v>5.3640588690937259</v>
      </c>
      <c r="CU430" s="103">
        <v>16.247095274980637</v>
      </c>
      <c r="CV430" s="103">
        <v>29.240898528272659</v>
      </c>
      <c r="CW430" s="103">
        <v>19.151820294345466</v>
      </c>
      <c r="CX430" s="103">
        <v>14.697908597986057</v>
      </c>
      <c r="CY430" s="103">
        <v>9.217660728117739</v>
      </c>
      <c r="CZ430" s="103">
        <v>3.13710302091402</v>
      </c>
      <c r="DA430" s="103">
        <v>1.1618900077459333</v>
      </c>
      <c r="DB430" s="103">
        <v>0.19364833462432224</v>
      </c>
      <c r="DC430" s="42"/>
      <c r="DD430" s="110"/>
      <c r="DE430" s="46" t="s">
        <v>7</v>
      </c>
      <c r="DF430" s="103">
        <v>2.3834450027917362</v>
      </c>
      <c r="DG430" s="103">
        <v>8.6962590731434943</v>
      </c>
      <c r="DH430" s="103">
        <v>20.48785594639866</v>
      </c>
      <c r="DI430" s="103">
        <v>30.077470686767171</v>
      </c>
      <c r="DJ430" s="103">
        <v>17.647264098269122</v>
      </c>
      <c r="DK430" s="103">
        <v>12.081239530988274</v>
      </c>
      <c r="DL430" s="103">
        <v>5.911501954215522</v>
      </c>
      <c r="DM430" s="103">
        <v>1.9960915689558907</v>
      </c>
      <c r="DN430" s="103">
        <v>0.65605806811836964</v>
      </c>
      <c r="DO430" s="103">
        <v>6.2814070351758788E-2</v>
      </c>
    </row>
    <row r="431" spans="2:119" ht="16.5" customHeight="1" x14ac:dyDescent="0.45">
      <c r="B431" s="99"/>
      <c r="C431" s="42"/>
      <c r="D431" s="110"/>
      <c r="E431" s="47" t="s">
        <v>8</v>
      </c>
      <c r="F431" s="103">
        <v>1.0424178850062285</v>
      </c>
      <c r="G431" s="103">
        <v>4.0516619681374157</v>
      </c>
      <c r="H431" s="103">
        <v>10.515964072641447</v>
      </c>
      <c r="I431" s="103">
        <v>23.094910290871741</v>
      </c>
      <c r="J431" s="103">
        <v>19.703227780327367</v>
      </c>
      <c r="K431" s="103">
        <v>19.080399484254464</v>
      </c>
      <c r="L431" s="103">
        <v>13.675998164295549</v>
      </c>
      <c r="M431" s="103">
        <v>6.3681461570401456</v>
      </c>
      <c r="N431" s="103">
        <v>2.0302017089534297</v>
      </c>
      <c r="O431" s="103">
        <v>0.43707248847221308</v>
      </c>
      <c r="P431" s="42"/>
      <c r="Q431" s="110"/>
      <c r="R431" s="46" t="s">
        <v>8</v>
      </c>
      <c r="S431" s="103">
        <v>0.43226340476409453</v>
      </c>
      <c r="T431" s="103">
        <v>2.5016094914007176</v>
      </c>
      <c r="U431" s="103">
        <v>8.1670192219258713</v>
      </c>
      <c r="V431" s="103">
        <v>20.845212912719578</v>
      </c>
      <c r="W431" s="103">
        <v>19.677182010484685</v>
      </c>
      <c r="X431" s="103">
        <v>20.725650694380576</v>
      </c>
      <c r="Y431" s="103">
        <v>16.182286397498391</v>
      </c>
      <c r="Z431" s="103">
        <v>8.1486250344891022</v>
      </c>
      <c r="AA431" s="103">
        <v>2.7085441000643797</v>
      </c>
      <c r="AB431" s="103">
        <v>0.61160673227260187</v>
      </c>
      <c r="AC431" s="42"/>
      <c r="AD431" s="110"/>
      <c r="AE431" s="46" t="s">
        <v>8</v>
      </c>
      <c r="AF431" s="103">
        <v>1.5949693915795611</v>
      </c>
      <c r="AG431" s="103">
        <v>5.4553783367342694</v>
      </c>
      <c r="AH431" s="103">
        <v>12.643151626202473</v>
      </c>
      <c r="AI431" s="103">
        <v>25.132220047474284</v>
      </c>
      <c r="AJ431" s="103">
        <v>19.726814642068881</v>
      </c>
      <c r="AK431" s="103">
        <v>17.590471827759963</v>
      </c>
      <c r="AL431" s="103">
        <v>11.4063215758131</v>
      </c>
      <c r="AM431" s="103">
        <v>4.7557572981301792</v>
      </c>
      <c r="AN431" s="103">
        <v>1.4158997209844668</v>
      </c>
      <c r="AO431" s="103">
        <v>0.27901553325282141</v>
      </c>
      <c r="AP431" s="6"/>
      <c r="AQ431" s="110"/>
      <c r="AR431" s="46" t="s">
        <v>8</v>
      </c>
      <c r="AS431" s="103">
        <v>2.1802858189813117</v>
      </c>
      <c r="AT431" s="103">
        <v>7.2737266397947957</v>
      </c>
      <c r="AU431" s="103">
        <v>16.416269695859288</v>
      </c>
      <c r="AV431" s="103">
        <v>26.859655551484057</v>
      </c>
      <c r="AW431" s="103">
        <v>18.715646757053868</v>
      </c>
      <c r="AX431" s="103">
        <v>14.519970685232686</v>
      </c>
      <c r="AY431" s="103">
        <v>8.9593257603517777</v>
      </c>
      <c r="AZ431" s="103">
        <v>3.7009893733968484</v>
      </c>
      <c r="BA431" s="103">
        <v>1.1817515573470134</v>
      </c>
      <c r="BB431" s="103">
        <v>0.19237816049835105</v>
      </c>
      <c r="BC431" s="42"/>
      <c r="BD431" s="110"/>
      <c r="BE431" s="46" t="s">
        <v>8</v>
      </c>
      <c r="BF431" s="103">
        <v>0.68593404701087735</v>
      </c>
      <c r="BG431" s="103">
        <v>3.0422179490858996</v>
      </c>
      <c r="BH431" s="103">
        <v>8.6674511379617147</v>
      </c>
      <c r="BI431" s="103">
        <v>21.915449301150876</v>
      </c>
      <c r="BJ431" s="103">
        <v>20.012628074505638</v>
      </c>
      <c r="BK431" s="103">
        <v>20.509141003931923</v>
      </c>
      <c r="BL431" s="103">
        <v>15.153689406767501</v>
      </c>
      <c r="BM431" s="103">
        <v>7.2037425020807619</v>
      </c>
      <c r="BN431" s="103">
        <v>2.2960135464799243</v>
      </c>
      <c r="BO431" s="103">
        <v>0.5137330310248831</v>
      </c>
      <c r="BQ431" s="110"/>
      <c r="BR431" s="46" t="s">
        <v>8</v>
      </c>
      <c r="BS431" s="103">
        <v>2.5737420474262582</v>
      </c>
      <c r="BT431" s="103">
        <v>8.7622903412377084</v>
      </c>
      <c r="BU431" s="103">
        <v>15.529207634470794</v>
      </c>
      <c r="BV431" s="103">
        <v>24.754193175245806</v>
      </c>
      <c r="BW431" s="103">
        <v>18.276460381723538</v>
      </c>
      <c r="BX431" s="103">
        <v>13.967611336032389</v>
      </c>
      <c r="BY431" s="103">
        <v>9.7744360902255636</v>
      </c>
      <c r="BZ431" s="103">
        <v>4.5980335454019663</v>
      </c>
      <c r="CA431" s="103">
        <v>1.4459224985540775</v>
      </c>
      <c r="CB431" s="103">
        <v>0.31810294968189706</v>
      </c>
      <c r="CC431" s="42"/>
      <c r="CD431" s="110"/>
      <c r="CE431" s="46" t="s">
        <v>8</v>
      </c>
      <c r="CF431" s="103">
        <v>0.91723599914895626</v>
      </c>
      <c r="CG431" s="103">
        <v>3.66657998628874</v>
      </c>
      <c r="CH431" s="103">
        <v>10.106144062788115</v>
      </c>
      <c r="CI431" s="103">
        <v>22.959268102408924</v>
      </c>
      <c r="CJ431" s="103">
        <v>19.819862414600127</v>
      </c>
      <c r="CK431" s="103">
        <v>19.498357012836575</v>
      </c>
      <c r="CL431" s="103">
        <v>13.994941017942839</v>
      </c>
      <c r="CM431" s="103">
        <v>6.5128483960190069</v>
      </c>
      <c r="CN431" s="103">
        <v>2.0779650599276609</v>
      </c>
      <c r="CO431" s="103">
        <v>0.44679794803905343</v>
      </c>
      <c r="CQ431" s="110"/>
      <c r="CR431" s="46" t="s">
        <v>8</v>
      </c>
      <c r="CS431" s="103">
        <v>0.59648557149766246</v>
      </c>
      <c r="CT431" s="103">
        <v>2.8373367725294214</v>
      </c>
      <c r="CU431" s="103">
        <v>8.1251007576978882</v>
      </c>
      <c r="CV431" s="103">
        <v>20.699661454135097</v>
      </c>
      <c r="CW431" s="103">
        <v>19.651781396098659</v>
      </c>
      <c r="CX431" s="103">
        <v>20.022569724326939</v>
      </c>
      <c r="CY431" s="103">
        <v>15.734322102208608</v>
      </c>
      <c r="CZ431" s="103">
        <v>8.4797678542640664</v>
      </c>
      <c r="DA431" s="103">
        <v>3.1436401741093016</v>
      </c>
      <c r="DB431" s="103">
        <v>0.70933419313235535</v>
      </c>
      <c r="DC431" s="42"/>
      <c r="DD431" s="110"/>
      <c r="DE431" s="46" t="s">
        <v>8</v>
      </c>
      <c r="DF431" s="103">
        <v>1.1123470522803114</v>
      </c>
      <c r="DG431" s="103">
        <v>4.242087167559915</v>
      </c>
      <c r="DH431" s="103">
        <v>10.890888866417232</v>
      </c>
      <c r="DI431" s="103">
        <v>23.470522803114573</v>
      </c>
      <c r="DJ431" s="103">
        <v>19.71129537870361</v>
      </c>
      <c r="DK431" s="103">
        <v>18.932652442107393</v>
      </c>
      <c r="DL431" s="103">
        <v>13.353220750328648</v>
      </c>
      <c r="DM431" s="103">
        <v>6.0370108201031449</v>
      </c>
      <c r="DN431" s="103">
        <v>1.8555971281221562</v>
      </c>
      <c r="DO431" s="103">
        <v>0.39437759126301952</v>
      </c>
    </row>
    <row r="432" spans="2:119" ht="16.5" customHeight="1" x14ac:dyDescent="0.45">
      <c r="B432" s="99"/>
      <c r="C432" s="42"/>
      <c r="D432" s="110"/>
      <c r="E432" s="47" t="s">
        <v>9</v>
      </c>
      <c r="F432" s="103">
        <v>0.37497731992016614</v>
      </c>
      <c r="G432" s="103">
        <v>1.4233010100195553</v>
      </c>
      <c r="H432" s="103">
        <v>4.2557909803842513</v>
      </c>
      <c r="I432" s="103">
        <v>12.313771344475132</v>
      </c>
      <c r="J432" s="103">
        <v>14.98094873293954</v>
      </c>
      <c r="K432" s="103">
        <v>20.77092111364232</v>
      </c>
      <c r="L432" s="103">
        <v>21.657964236034111</v>
      </c>
      <c r="M432" s="103">
        <v>14.912404491663811</v>
      </c>
      <c r="N432" s="103">
        <v>7.2011773481442649</v>
      </c>
      <c r="O432" s="103">
        <v>2.1087434227768482</v>
      </c>
      <c r="P432" s="42"/>
      <c r="Q432" s="110"/>
      <c r="R432" s="46" t="s">
        <v>9</v>
      </c>
      <c r="S432" s="103">
        <v>0.14008667863240379</v>
      </c>
      <c r="T432" s="103">
        <v>0.62163463643129191</v>
      </c>
      <c r="U432" s="103">
        <v>2.6704023114301974</v>
      </c>
      <c r="V432" s="103">
        <v>9.4208291380291556</v>
      </c>
      <c r="W432" s="103">
        <v>13.058705073764393</v>
      </c>
      <c r="X432" s="103">
        <v>20.203125684016985</v>
      </c>
      <c r="Y432" s="103">
        <v>23.578339097316466</v>
      </c>
      <c r="Z432" s="103">
        <v>17.795385895022545</v>
      </c>
      <c r="AA432" s="103">
        <v>9.5784266514906093</v>
      </c>
      <c r="AB432" s="103">
        <v>2.9330648338659544</v>
      </c>
      <c r="AC432" s="42"/>
      <c r="AD432" s="110"/>
      <c r="AE432" s="46" t="s">
        <v>9</v>
      </c>
      <c r="AF432" s="103">
        <v>0.5754857997010463</v>
      </c>
      <c r="AG432" s="103">
        <v>2.1076233183856501</v>
      </c>
      <c r="AH432" s="103">
        <v>5.6091180866965624</v>
      </c>
      <c r="AI432" s="103">
        <v>14.783258594917786</v>
      </c>
      <c r="AJ432" s="103">
        <v>16.621823617339313</v>
      </c>
      <c r="AK432" s="103">
        <v>21.255605381165918</v>
      </c>
      <c r="AL432" s="103">
        <v>20.018684603886395</v>
      </c>
      <c r="AM432" s="103">
        <v>12.451420029895367</v>
      </c>
      <c r="AN432" s="103">
        <v>5.1718983557548581</v>
      </c>
      <c r="AO432" s="103">
        <v>1.4050822122571001</v>
      </c>
      <c r="AP432" s="6"/>
      <c r="AQ432" s="110"/>
      <c r="AR432" s="46" t="s">
        <v>9</v>
      </c>
      <c r="AS432" s="103">
        <v>0.85214696768481624</v>
      </c>
      <c r="AT432" s="103">
        <v>3.4417884019477643</v>
      </c>
      <c r="AU432" s="103">
        <v>8.3776007082779991</v>
      </c>
      <c r="AV432" s="103">
        <v>18.581230633023463</v>
      </c>
      <c r="AW432" s="103">
        <v>17.795484727755646</v>
      </c>
      <c r="AX432" s="103">
        <v>19.057104913678618</v>
      </c>
      <c r="AY432" s="103">
        <v>17.175741478530323</v>
      </c>
      <c r="AZ432" s="103">
        <v>9.617087206728641</v>
      </c>
      <c r="BA432" s="103">
        <v>4.0836653386454183</v>
      </c>
      <c r="BB432" s="103">
        <v>1.0181496237273131</v>
      </c>
      <c r="BC432" s="42"/>
      <c r="BD432" s="110"/>
      <c r="BE432" s="46" t="s">
        <v>9</v>
      </c>
      <c r="BF432" s="103">
        <v>0.26869130081100406</v>
      </c>
      <c r="BG432" s="103">
        <v>0.9736978332141889</v>
      </c>
      <c r="BH432" s="103">
        <v>3.3376882687899032</v>
      </c>
      <c r="BI432" s="103">
        <v>10.917741021026943</v>
      </c>
      <c r="BJ432" s="103">
        <v>14.354031602041067</v>
      </c>
      <c r="BK432" s="103">
        <v>21.15266102990115</v>
      </c>
      <c r="BL432" s="103">
        <v>22.656346291320531</v>
      </c>
      <c r="BM432" s="103">
        <v>16.091897354992973</v>
      </c>
      <c r="BN432" s="103">
        <v>7.8955801513545492</v>
      </c>
      <c r="BO432" s="103">
        <v>2.3516651465476865</v>
      </c>
      <c r="BQ432" s="110"/>
      <c r="BR432" s="46" t="s">
        <v>9</v>
      </c>
      <c r="BS432" s="103">
        <v>0.85436893203883502</v>
      </c>
      <c r="BT432" s="103">
        <v>3.766990291262136</v>
      </c>
      <c r="BU432" s="103">
        <v>8.8543689320388346</v>
      </c>
      <c r="BV432" s="103">
        <v>16.621359223300971</v>
      </c>
      <c r="BW432" s="103">
        <v>15.961165048543691</v>
      </c>
      <c r="BX432" s="103">
        <v>17.825242718446603</v>
      </c>
      <c r="BY432" s="103">
        <v>17.631067961165048</v>
      </c>
      <c r="BZ432" s="103">
        <v>11.883495145631068</v>
      </c>
      <c r="CA432" s="103">
        <v>4.8543689320388346</v>
      </c>
      <c r="CB432" s="103">
        <v>1.7475728155339807</v>
      </c>
      <c r="CC432" s="42"/>
      <c r="CD432" s="110"/>
      <c r="CE432" s="46" t="s">
        <v>9</v>
      </c>
      <c r="CF432" s="103">
        <v>0.34872841711320912</v>
      </c>
      <c r="CG432" s="103">
        <v>1.2949732074508804</v>
      </c>
      <c r="CH432" s="103">
        <v>4.0039976184400787</v>
      </c>
      <c r="CI432" s="103">
        <v>12.07791103172578</v>
      </c>
      <c r="CJ432" s="103">
        <v>14.927277366675174</v>
      </c>
      <c r="CK432" s="103">
        <v>20.932210597941651</v>
      </c>
      <c r="CL432" s="103">
        <v>21.87845538827932</v>
      </c>
      <c r="CM432" s="103">
        <v>15.078251254571745</v>
      </c>
      <c r="CN432" s="103">
        <v>7.3296759377392187</v>
      </c>
      <c r="CO432" s="103">
        <v>2.1285191800629413</v>
      </c>
      <c r="CQ432" s="110"/>
      <c r="CR432" s="46" t="s">
        <v>9</v>
      </c>
      <c r="CS432" s="103">
        <v>0.25571360076714078</v>
      </c>
      <c r="CT432" s="103">
        <v>1.1826754035480262</v>
      </c>
      <c r="CU432" s="103">
        <v>3.2283842096851525</v>
      </c>
      <c r="CV432" s="103">
        <v>11.011666933035</v>
      </c>
      <c r="CW432" s="103">
        <v>12.881572638644718</v>
      </c>
      <c r="CX432" s="103">
        <v>20.057535560172607</v>
      </c>
      <c r="CY432" s="103">
        <v>22.726546268179639</v>
      </c>
      <c r="CZ432" s="103">
        <v>16.877097650631292</v>
      </c>
      <c r="DA432" s="103">
        <v>8.8860476266581436</v>
      </c>
      <c r="DB432" s="103">
        <v>2.8927601086782806</v>
      </c>
      <c r="DC432" s="42"/>
      <c r="DD432" s="110"/>
      <c r="DE432" s="46" t="s">
        <v>9</v>
      </c>
      <c r="DF432" s="103">
        <v>0.39219305126193882</v>
      </c>
      <c r="DG432" s="103">
        <v>1.4580353435149727</v>
      </c>
      <c r="DH432" s="103">
        <v>4.4040972638767126</v>
      </c>
      <c r="DI432" s="103">
        <v>12.50173026346145</v>
      </c>
      <c r="DJ432" s="103">
        <v>15.283993909472615</v>
      </c>
      <c r="DK432" s="103">
        <v>20.873898398929544</v>
      </c>
      <c r="DL432" s="103">
        <v>21.503714298897243</v>
      </c>
      <c r="DM432" s="103">
        <v>14.628800812070317</v>
      </c>
      <c r="DN432" s="103">
        <v>6.957966132976515</v>
      </c>
      <c r="DO432" s="103">
        <v>1.9955705255386886</v>
      </c>
    </row>
    <row r="433" spans="2:119" ht="16.5" customHeight="1" x14ac:dyDescent="0.45">
      <c r="B433" s="99"/>
      <c r="C433" s="42"/>
      <c r="D433" s="110"/>
      <c r="E433" s="47" t="s">
        <v>10</v>
      </c>
      <c r="F433" s="103">
        <v>0.10812242105959972</v>
      </c>
      <c r="G433" s="103">
        <v>0.33540016328692157</v>
      </c>
      <c r="H433" s="103">
        <v>1.1231492310068625</v>
      </c>
      <c r="I433" s="103">
        <v>3.9894966790970674</v>
      </c>
      <c r="J433" s="103">
        <v>6.7764072464087919</v>
      </c>
      <c r="K433" s="103">
        <v>13.762439594871909</v>
      </c>
      <c r="L433" s="103">
        <v>21.461197290319735</v>
      </c>
      <c r="M433" s="103">
        <v>23.899468214214789</v>
      </c>
      <c r="N433" s="103">
        <v>19.278889648933117</v>
      </c>
      <c r="O433" s="103">
        <v>9.2654295108012104</v>
      </c>
      <c r="P433" s="42"/>
      <c r="Q433" s="110"/>
      <c r="R433" s="46" t="s">
        <v>10</v>
      </c>
      <c r="S433" s="103">
        <v>4.466057959507741E-2</v>
      </c>
      <c r="T433" s="103">
        <v>0.203453751488686</v>
      </c>
      <c r="U433" s="103">
        <v>0.67487098054783645</v>
      </c>
      <c r="V433" s="103">
        <v>2.6300119094878922</v>
      </c>
      <c r="W433" s="103">
        <v>4.937475188566891</v>
      </c>
      <c r="X433" s="103">
        <v>11.239579198094482</v>
      </c>
      <c r="Y433" s="103">
        <v>19.496824136562125</v>
      </c>
      <c r="Z433" s="103">
        <v>25.282850337435491</v>
      </c>
      <c r="AA433" s="103">
        <v>23.144104803493452</v>
      </c>
      <c r="AB433" s="103">
        <v>12.346169114728067</v>
      </c>
      <c r="AC433" s="42"/>
      <c r="AD433" s="110"/>
      <c r="AE433" s="46" t="s">
        <v>10</v>
      </c>
      <c r="AF433" s="103">
        <v>0.15893829220805022</v>
      </c>
      <c r="AG433" s="103">
        <v>0.44105376087733938</v>
      </c>
      <c r="AH433" s="103">
        <v>1.4820995748400683</v>
      </c>
      <c r="AI433" s="103">
        <v>5.0780784360472042</v>
      </c>
      <c r="AJ433" s="103">
        <v>8.2488973655978075</v>
      </c>
      <c r="AK433" s="103">
        <v>15.782572416259388</v>
      </c>
      <c r="AL433" s="103">
        <v>23.034131998251677</v>
      </c>
      <c r="AM433" s="103">
        <v>22.791751102634404</v>
      </c>
      <c r="AN433" s="103">
        <v>16.183891604084714</v>
      </c>
      <c r="AO433" s="103">
        <v>6.7985854491993489</v>
      </c>
      <c r="AP433" s="6"/>
      <c r="AQ433" s="110"/>
      <c r="AR433" s="46" t="s">
        <v>10</v>
      </c>
      <c r="AS433" s="103">
        <v>0.27529249827942187</v>
      </c>
      <c r="AT433" s="103">
        <v>1.049552649690296</v>
      </c>
      <c r="AU433" s="103">
        <v>3.0970406056434965</v>
      </c>
      <c r="AV433" s="103">
        <v>8.5856847900894699</v>
      </c>
      <c r="AW433" s="103">
        <v>10.80523055746731</v>
      </c>
      <c r="AX433" s="103">
        <v>18.255333792154165</v>
      </c>
      <c r="AY433" s="103">
        <v>22.746042670337232</v>
      </c>
      <c r="AZ433" s="103">
        <v>18.651066758430833</v>
      </c>
      <c r="BA433" s="103">
        <v>11.751548520302823</v>
      </c>
      <c r="BB433" s="103">
        <v>4.7832071576049549</v>
      </c>
      <c r="BC433" s="42"/>
      <c r="BD433" s="110"/>
      <c r="BE433" s="46" t="s">
        <v>10</v>
      </c>
      <c r="BF433" s="103">
        <v>8.3529501101070699E-2</v>
      </c>
      <c r="BG433" s="103">
        <v>0.23033892727871008</v>
      </c>
      <c r="BH433" s="103">
        <v>0.83276381400764421</v>
      </c>
      <c r="BI433" s="103">
        <v>3.3133368770091378</v>
      </c>
      <c r="BJ433" s="103">
        <v>6.1837142784822943</v>
      </c>
      <c r="BK433" s="103">
        <v>13.101475687852785</v>
      </c>
      <c r="BL433" s="103">
        <v>21.272179613739336</v>
      </c>
      <c r="BM433" s="103">
        <v>24.671577188852609</v>
      </c>
      <c r="BN433" s="103">
        <v>20.386260662667375</v>
      </c>
      <c r="BO433" s="103">
        <v>9.9248234490090361</v>
      </c>
      <c r="BQ433" s="110"/>
      <c r="BR433" s="46" t="s">
        <v>10</v>
      </c>
      <c r="BS433" s="103">
        <v>0.23446658851113714</v>
      </c>
      <c r="BT433" s="103">
        <v>1.2895662368112544</v>
      </c>
      <c r="BU433" s="103">
        <v>3.0480656506447832</v>
      </c>
      <c r="BV433" s="103">
        <v>7.9132473622508792</v>
      </c>
      <c r="BW433" s="103">
        <v>9.0269636576787811</v>
      </c>
      <c r="BX433" s="103">
        <v>16.354044548651817</v>
      </c>
      <c r="BY433" s="103">
        <v>21.101992966002346</v>
      </c>
      <c r="BZ433" s="103">
        <v>19.577960140679952</v>
      </c>
      <c r="CA433" s="103">
        <v>13.716295427901523</v>
      </c>
      <c r="CB433" s="103">
        <v>7.7373974208675271</v>
      </c>
      <c r="CC433" s="42"/>
      <c r="CD433" s="110"/>
      <c r="CE433" s="46" t="s">
        <v>10</v>
      </c>
      <c r="CF433" s="103">
        <v>0.10318024442253455</v>
      </c>
      <c r="CG433" s="103">
        <v>0.29807626166509987</v>
      </c>
      <c r="CH433" s="103">
        <v>1.047852704468851</v>
      </c>
      <c r="CI433" s="103">
        <v>3.8360121981977851</v>
      </c>
      <c r="CJ433" s="103">
        <v>6.6883727329007412</v>
      </c>
      <c r="CK433" s="103">
        <v>13.661064361543577</v>
      </c>
      <c r="CL433" s="103">
        <v>21.475248205810193</v>
      </c>
      <c r="CM433" s="103">
        <v>24.068511682296563</v>
      </c>
      <c r="CN433" s="103">
        <v>19.49648040721803</v>
      </c>
      <c r="CO433" s="103">
        <v>9.3252012014766237</v>
      </c>
      <c r="CQ433" s="110"/>
      <c r="CR433" s="46" t="s">
        <v>10</v>
      </c>
      <c r="CS433" s="103">
        <v>3.5391966023712619E-2</v>
      </c>
      <c r="CT433" s="103">
        <v>0.24774376216598831</v>
      </c>
      <c r="CU433" s="103">
        <v>0.70783932047425235</v>
      </c>
      <c r="CV433" s="103">
        <v>3.4153247212882674</v>
      </c>
      <c r="CW433" s="103">
        <v>6.476729782339409</v>
      </c>
      <c r="CX433" s="103">
        <v>11.059989382410192</v>
      </c>
      <c r="CY433" s="103">
        <v>20.934347903026012</v>
      </c>
      <c r="CZ433" s="103">
        <v>24.155016811183859</v>
      </c>
      <c r="DA433" s="103">
        <v>21.447531410369848</v>
      </c>
      <c r="DB433" s="103">
        <v>11.520084940718457</v>
      </c>
      <c r="DC433" s="42"/>
      <c r="DD433" s="110"/>
      <c r="DE433" s="46" t="s">
        <v>10</v>
      </c>
      <c r="DF433" s="103">
        <v>0.11848341232227488</v>
      </c>
      <c r="DG433" s="103">
        <v>0.34788746596753051</v>
      </c>
      <c r="DH433" s="103">
        <v>1.1823131995563174</v>
      </c>
      <c r="DI433" s="103">
        <v>4.0712917212866797</v>
      </c>
      <c r="DJ433" s="103">
        <v>6.8190985176968839</v>
      </c>
      <c r="DK433" s="103">
        <v>14.147423616012908</v>
      </c>
      <c r="DL433" s="103">
        <v>21.536250882323284</v>
      </c>
      <c r="DM433" s="103">
        <v>23.863063426439449</v>
      </c>
      <c r="DN433" s="103">
        <v>18.969950589896136</v>
      </c>
      <c r="DO433" s="103">
        <v>8.9442371684985389</v>
      </c>
    </row>
    <row r="434" spans="2:119" ht="16.5" customHeight="1" x14ac:dyDescent="0.45">
      <c r="B434" s="99"/>
      <c r="C434" s="42"/>
      <c r="D434" s="111"/>
      <c r="E434" s="47" t="s">
        <v>11</v>
      </c>
      <c r="F434" s="103">
        <v>8.8028169014084511E-3</v>
      </c>
      <c r="G434" s="103">
        <v>3.5211267605633804E-2</v>
      </c>
      <c r="H434" s="103">
        <v>0.19366197183098591</v>
      </c>
      <c r="I434" s="103">
        <v>0.66021126760563376</v>
      </c>
      <c r="J434" s="103">
        <v>1.4700704225352113</v>
      </c>
      <c r="K434" s="103">
        <v>4.401408450704225</v>
      </c>
      <c r="L434" s="103">
        <v>11.390845070422536</v>
      </c>
      <c r="M434" s="103">
        <v>21.628521126760564</v>
      </c>
      <c r="N434" s="103">
        <v>28.81161971830986</v>
      </c>
      <c r="O434" s="103">
        <v>31.399647887323944</v>
      </c>
      <c r="P434" s="42"/>
      <c r="Q434" s="111"/>
      <c r="R434" s="46" t="s">
        <v>11</v>
      </c>
      <c r="S434" s="103">
        <v>0</v>
      </c>
      <c r="T434" s="103">
        <v>0</v>
      </c>
      <c r="U434" s="103">
        <v>0.11365788975184693</v>
      </c>
      <c r="V434" s="103">
        <v>0.41674559575677211</v>
      </c>
      <c r="W434" s="103">
        <v>0.90926311801477544</v>
      </c>
      <c r="X434" s="103">
        <v>2.6899033907937109</v>
      </c>
      <c r="Y434" s="103">
        <v>8.9221443455199854</v>
      </c>
      <c r="Z434" s="103">
        <v>19.056639515059672</v>
      </c>
      <c r="AA434" s="103">
        <v>29.702595188482668</v>
      </c>
      <c r="AB434" s="103">
        <v>38.189050956620576</v>
      </c>
      <c r="AC434" s="42"/>
      <c r="AD434" s="111"/>
      <c r="AE434" s="46" t="s">
        <v>11</v>
      </c>
      <c r="AF434" s="103">
        <v>1.6444663706627199E-2</v>
      </c>
      <c r="AG434" s="103">
        <v>6.5778654826508798E-2</v>
      </c>
      <c r="AH434" s="103">
        <v>0.26311461930603519</v>
      </c>
      <c r="AI434" s="103">
        <v>0.8715671764512416</v>
      </c>
      <c r="AJ434" s="103">
        <v>1.9569149810886366</v>
      </c>
      <c r="AK434" s="103">
        <v>5.8871896069725373</v>
      </c>
      <c r="AL434" s="103">
        <v>13.533958230554186</v>
      </c>
      <c r="AM434" s="103">
        <v>23.861207038316063</v>
      </c>
      <c r="AN434" s="103">
        <v>28.038151619799372</v>
      </c>
      <c r="AO434" s="103">
        <v>25.505673408978787</v>
      </c>
      <c r="AP434" s="6"/>
      <c r="AQ434" s="111"/>
      <c r="AR434" s="46" t="s">
        <v>11</v>
      </c>
      <c r="AS434" s="103">
        <v>0</v>
      </c>
      <c r="AT434" s="103">
        <v>0.11918951132300357</v>
      </c>
      <c r="AU434" s="103">
        <v>0.83432657926102505</v>
      </c>
      <c r="AV434" s="103">
        <v>3.0989272943980928</v>
      </c>
      <c r="AW434" s="103">
        <v>4.5292014302741359</v>
      </c>
      <c r="AX434" s="103">
        <v>8.104886769964244</v>
      </c>
      <c r="AY434" s="103">
        <v>17.28247914183552</v>
      </c>
      <c r="AZ434" s="103">
        <v>21.930870083432659</v>
      </c>
      <c r="BA434" s="103">
        <v>24.31466030989273</v>
      </c>
      <c r="BB434" s="103">
        <v>19.785458879618595</v>
      </c>
      <c r="BC434" s="42"/>
      <c r="BD434" s="111"/>
      <c r="BE434" s="46" t="s">
        <v>11</v>
      </c>
      <c r="BF434" s="103">
        <v>9.5047999239616012E-3</v>
      </c>
      <c r="BG434" s="103">
        <v>2.8514399771884805E-2</v>
      </c>
      <c r="BH434" s="103">
        <v>0.14257199885942401</v>
      </c>
      <c r="BI434" s="103">
        <v>0.46573519627411841</v>
      </c>
      <c r="BJ434" s="103">
        <v>1.2261191901910464</v>
      </c>
      <c r="BK434" s="103">
        <v>4.1060735671514115</v>
      </c>
      <c r="BL434" s="103">
        <v>10.92101511263188</v>
      </c>
      <c r="BM434" s="103">
        <v>21.60441022716472</v>
      </c>
      <c r="BN434" s="103">
        <v>29.170230966638151</v>
      </c>
      <c r="BO434" s="103">
        <v>32.325824541393402</v>
      </c>
      <c r="BQ434" s="111"/>
      <c r="BR434" s="46" t="s">
        <v>11</v>
      </c>
      <c r="BS434" s="103">
        <v>0</v>
      </c>
      <c r="BT434" s="103">
        <v>0.31347962382445138</v>
      </c>
      <c r="BU434" s="103">
        <v>0.94043887147335425</v>
      </c>
      <c r="BV434" s="103">
        <v>1.8808777429467085</v>
      </c>
      <c r="BW434" s="103">
        <v>4.0752351097178678</v>
      </c>
      <c r="BX434" s="103">
        <v>9.0909090909090917</v>
      </c>
      <c r="BY434" s="103">
        <v>12.539184952978054</v>
      </c>
      <c r="BZ434" s="103">
        <v>19.435736677115987</v>
      </c>
      <c r="CA434" s="103">
        <v>22.257053291536049</v>
      </c>
      <c r="CB434" s="103">
        <v>29.467084639498431</v>
      </c>
      <c r="CC434" s="42"/>
      <c r="CD434" s="111"/>
      <c r="CE434" s="46" t="s">
        <v>11</v>
      </c>
      <c r="CF434" s="103">
        <v>9.0571506204148184E-3</v>
      </c>
      <c r="CG434" s="103">
        <v>2.7171451861244453E-2</v>
      </c>
      <c r="CH434" s="103">
        <v>0.17208586178788154</v>
      </c>
      <c r="CI434" s="103">
        <v>0.62494339280862232</v>
      </c>
      <c r="CJ434" s="103">
        <v>1.3948011955438817</v>
      </c>
      <c r="CK434" s="103">
        <v>4.2659179422153786</v>
      </c>
      <c r="CL434" s="103">
        <v>11.357666878000181</v>
      </c>
      <c r="CM434" s="103">
        <v>21.691875735893486</v>
      </c>
      <c r="CN434" s="103">
        <v>29.000996286568249</v>
      </c>
      <c r="CO434" s="103">
        <v>31.455484104700659</v>
      </c>
      <c r="CQ434" s="111"/>
      <c r="CR434" s="46" t="s">
        <v>11</v>
      </c>
      <c r="CS434" s="103">
        <v>0</v>
      </c>
      <c r="CT434" s="103">
        <v>0.1492537313432836</v>
      </c>
      <c r="CU434" s="103">
        <v>7.4626865671641798E-2</v>
      </c>
      <c r="CV434" s="103">
        <v>0.44776119402985076</v>
      </c>
      <c r="CW434" s="103">
        <v>1.1194029850746268</v>
      </c>
      <c r="CX434" s="103">
        <v>3.4328358208955225</v>
      </c>
      <c r="CY434" s="103">
        <v>10.820895522388058</v>
      </c>
      <c r="CZ434" s="103">
        <v>18.208955223880597</v>
      </c>
      <c r="DA434" s="103">
        <v>30.522388059701495</v>
      </c>
      <c r="DB434" s="103">
        <v>35.223880597014926</v>
      </c>
      <c r="DC434" s="42"/>
      <c r="DD434" s="111"/>
      <c r="DE434" s="46" t="s">
        <v>11</v>
      </c>
      <c r="DF434" s="103">
        <v>9.9800399201596807E-3</v>
      </c>
      <c r="DG434" s="103">
        <v>1.9960079840319361E-2</v>
      </c>
      <c r="DH434" s="103">
        <v>0.20958083832335328</v>
      </c>
      <c r="DI434" s="103">
        <v>0.68862275449101795</v>
      </c>
      <c r="DJ434" s="103">
        <v>1.5169660678642716</v>
      </c>
      <c r="DK434" s="103">
        <v>4.5309381237524944</v>
      </c>
      <c r="DL434" s="103">
        <v>11.467065868263473</v>
      </c>
      <c r="DM434" s="103">
        <v>22.085828343313374</v>
      </c>
      <c r="DN434" s="103">
        <v>28.582834331337324</v>
      </c>
      <c r="DO434" s="103">
        <v>30.88822355289421</v>
      </c>
    </row>
    <row r="435" spans="2:119" x14ac:dyDescent="0.45">
      <c r="B435" s="99"/>
      <c r="C435" s="42"/>
      <c r="D435" s="42"/>
      <c r="E435" s="42"/>
      <c r="F435" s="42"/>
      <c r="G435" s="42"/>
      <c r="H435" s="42"/>
      <c r="I435" s="42"/>
      <c r="J435" s="42"/>
      <c r="K435" s="42"/>
      <c r="L435" s="42"/>
      <c r="M435" s="42"/>
      <c r="N435" s="42"/>
      <c r="O435" s="42"/>
      <c r="P435" s="42"/>
      <c r="Q435" s="42"/>
      <c r="R435" s="42"/>
      <c r="S435" s="42"/>
      <c r="T435" s="42"/>
      <c r="U435" s="42"/>
      <c r="V435" s="42"/>
      <c r="W435" s="42"/>
      <c r="X435" s="42"/>
      <c r="Y435" s="42"/>
      <c r="Z435" s="42"/>
      <c r="AA435" s="42"/>
      <c r="AB435" s="42"/>
      <c r="AC435" s="42"/>
      <c r="AD435" s="42"/>
      <c r="AE435" s="42"/>
      <c r="AF435" s="42"/>
      <c r="AG435" s="42"/>
      <c r="AH435" s="42"/>
      <c r="AI435" s="42"/>
      <c r="AJ435" s="42"/>
      <c r="AK435" s="42"/>
      <c r="AL435" s="42"/>
      <c r="AM435" s="42"/>
      <c r="AN435" s="42"/>
      <c r="AO435" s="42"/>
      <c r="AQ435" s="42"/>
      <c r="AR435" s="42"/>
      <c r="AS435" s="42"/>
      <c r="AT435" s="42"/>
      <c r="AU435" s="42"/>
      <c r="AV435" s="42"/>
      <c r="AW435" s="42"/>
      <c r="AX435" s="42"/>
      <c r="AY435" s="42"/>
      <c r="AZ435" s="42"/>
      <c r="BA435" s="42"/>
      <c r="BB435" s="42"/>
      <c r="BC435" s="42"/>
      <c r="BD435" s="42"/>
      <c r="BE435" s="42"/>
      <c r="BF435" s="42"/>
      <c r="BG435" s="42"/>
      <c r="BH435" s="42"/>
      <c r="BI435" s="42"/>
      <c r="BJ435" s="42"/>
      <c r="BK435" s="42"/>
      <c r="BL435" s="42"/>
      <c r="BM435" s="42"/>
      <c r="BN435" s="42"/>
      <c r="BO435" s="42"/>
      <c r="BQ435" s="42"/>
      <c r="BR435" s="42"/>
      <c r="BS435" s="42"/>
      <c r="BT435" s="42"/>
      <c r="BU435" s="42"/>
      <c r="BV435" s="42"/>
      <c r="BW435" s="42"/>
      <c r="BX435" s="42"/>
      <c r="BY435" s="42"/>
      <c r="BZ435" s="42"/>
      <c r="CA435" s="42"/>
      <c r="CB435" s="42"/>
      <c r="CC435" s="42"/>
      <c r="CD435" s="42"/>
      <c r="CE435" s="42"/>
      <c r="CF435" s="42"/>
      <c r="CG435" s="42"/>
      <c r="CH435" s="42"/>
      <c r="CI435" s="42"/>
      <c r="CJ435" s="42"/>
      <c r="CK435" s="42"/>
      <c r="CL435" s="42"/>
      <c r="CM435" s="42"/>
      <c r="CN435" s="42"/>
      <c r="CO435" s="42"/>
      <c r="CQ435" s="42"/>
      <c r="CR435" s="42"/>
      <c r="CS435" s="42"/>
      <c r="CT435" s="42"/>
      <c r="CU435" s="42"/>
      <c r="CV435" s="42"/>
      <c r="CW435" s="42"/>
      <c r="CX435" s="42"/>
      <c r="CY435" s="42"/>
      <c r="CZ435" s="42"/>
      <c r="DA435" s="42"/>
      <c r="DB435" s="42"/>
      <c r="DC435" s="42"/>
      <c r="DD435" s="42"/>
      <c r="DE435" s="42"/>
      <c r="DF435" s="42"/>
      <c r="DG435" s="42"/>
      <c r="DH435" s="42"/>
      <c r="DI435" s="42"/>
      <c r="DJ435" s="42"/>
      <c r="DK435" s="42"/>
      <c r="DL435" s="42"/>
      <c r="DM435" s="42"/>
      <c r="DN435" s="42"/>
      <c r="DO435" s="42"/>
    </row>
    <row r="436" spans="2:119" x14ac:dyDescent="0.45">
      <c r="B436" s="99"/>
      <c r="C436" s="42"/>
      <c r="D436" s="42"/>
      <c r="E436" s="42"/>
      <c r="F436" s="42"/>
      <c r="G436" s="42"/>
      <c r="H436" s="42"/>
      <c r="I436" s="42"/>
      <c r="J436" s="42"/>
      <c r="K436" s="42"/>
      <c r="L436" s="42"/>
      <c r="M436" s="42"/>
      <c r="N436" s="42"/>
      <c r="O436" s="42"/>
      <c r="P436" s="42"/>
      <c r="Q436" s="42"/>
      <c r="R436" s="42"/>
      <c r="S436" s="42"/>
      <c r="T436" s="42"/>
      <c r="U436" s="42"/>
      <c r="V436" s="42"/>
      <c r="W436" s="42"/>
      <c r="X436" s="42"/>
      <c r="Y436" s="42"/>
      <c r="Z436" s="42"/>
      <c r="AA436" s="42"/>
      <c r="AB436" s="42"/>
      <c r="AC436" s="42"/>
      <c r="AD436" s="42"/>
      <c r="AE436" s="42"/>
      <c r="AF436" s="42"/>
      <c r="AG436" s="42"/>
      <c r="AH436" s="42"/>
      <c r="AI436" s="42"/>
      <c r="AJ436" s="42"/>
      <c r="AK436" s="42"/>
      <c r="AL436" s="42"/>
      <c r="AM436" s="42"/>
      <c r="AN436" s="42"/>
      <c r="AO436" s="42"/>
      <c r="AQ436" s="42"/>
      <c r="AR436" s="42"/>
      <c r="AS436" s="42"/>
      <c r="AT436" s="42"/>
      <c r="AU436" s="42"/>
      <c r="AV436" s="42"/>
      <c r="AW436" s="42"/>
      <c r="AX436" s="42"/>
      <c r="AY436" s="42"/>
      <c r="AZ436" s="42"/>
      <c r="BA436" s="42"/>
      <c r="BB436" s="42"/>
      <c r="BC436" s="42"/>
      <c r="BD436" s="42"/>
      <c r="BE436" s="42"/>
      <c r="BF436" s="42"/>
      <c r="BG436" s="42"/>
      <c r="BH436" s="42"/>
      <c r="BI436" s="42"/>
      <c r="BJ436" s="42"/>
      <c r="BK436" s="42"/>
      <c r="BL436" s="42"/>
      <c r="BM436" s="42"/>
      <c r="BN436" s="42"/>
      <c r="BO436" s="42"/>
      <c r="BQ436" s="42"/>
      <c r="BR436" s="42"/>
      <c r="BS436" s="42"/>
      <c r="BT436" s="42"/>
      <c r="BU436" s="42"/>
      <c r="BV436" s="42"/>
      <c r="BW436" s="42"/>
      <c r="BX436" s="42"/>
      <c r="BY436" s="42"/>
      <c r="BZ436" s="42"/>
      <c r="CA436" s="42"/>
      <c r="CB436" s="42"/>
      <c r="CC436" s="42"/>
      <c r="CD436" s="42"/>
      <c r="CE436" s="42"/>
      <c r="CF436" s="42"/>
      <c r="CG436" s="42"/>
      <c r="CH436" s="42"/>
      <c r="CI436" s="42"/>
      <c r="CJ436" s="42"/>
      <c r="CK436" s="42"/>
      <c r="CL436" s="42"/>
      <c r="CM436" s="42"/>
      <c r="CN436" s="42"/>
      <c r="CO436" s="42"/>
      <c r="CQ436" s="42"/>
      <c r="CR436" s="42"/>
      <c r="CS436" s="42"/>
      <c r="CT436" s="42"/>
      <c r="CU436" s="42"/>
      <c r="CV436" s="42"/>
      <c r="CW436" s="42"/>
      <c r="CX436" s="42"/>
      <c r="CY436" s="42"/>
      <c r="CZ436" s="42"/>
      <c r="DA436" s="42"/>
      <c r="DB436" s="42"/>
      <c r="DC436" s="42"/>
      <c r="DD436" s="42"/>
      <c r="DE436" s="42"/>
      <c r="DF436" s="42"/>
      <c r="DG436" s="42"/>
      <c r="DH436" s="42"/>
      <c r="DI436" s="42"/>
      <c r="DJ436" s="42"/>
      <c r="DK436" s="42"/>
      <c r="DL436" s="42"/>
      <c r="DM436" s="42"/>
      <c r="DN436" s="42"/>
      <c r="DO436" s="42"/>
    </row>
    <row r="437" spans="2:119" ht="18.75" customHeight="1" x14ac:dyDescent="0.55000000000000004">
      <c r="B437" s="99"/>
      <c r="C437" s="42"/>
      <c r="D437" s="112" t="s">
        <v>24</v>
      </c>
      <c r="E437" s="112"/>
      <c r="F437" s="45"/>
      <c r="G437" s="45"/>
      <c r="H437" s="45"/>
      <c r="I437" s="45"/>
      <c r="J437" s="45"/>
      <c r="K437" s="45"/>
      <c r="L437" s="45"/>
      <c r="M437" s="45"/>
      <c r="N437" s="45"/>
      <c r="O437" s="45"/>
      <c r="P437" s="42"/>
      <c r="Q437" s="112" t="s">
        <v>24</v>
      </c>
      <c r="R437" s="112"/>
      <c r="S437" s="45"/>
      <c r="T437" s="45"/>
      <c r="U437" s="45"/>
      <c r="V437" s="45"/>
      <c r="W437" s="45"/>
      <c r="X437" s="45"/>
      <c r="Y437" s="45"/>
      <c r="Z437" s="45"/>
      <c r="AA437" s="45"/>
      <c r="AB437" s="45"/>
      <c r="AC437" s="42"/>
      <c r="AD437" s="112" t="s">
        <v>24</v>
      </c>
      <c r="AE437" s="112"/>
      <c r="AF437" s="45"/>
      <c r="AG437" s="45"/>
      <c r="AH437" s="45"/>
      <c r="AI437" s="45"/>
      <c r="AJ437" s="45"/>
      <c r="AK437" s="45"/>
      <c r="AL437" s="45"/>
      <c r="AM437" s="45"/>
      <c r="AN437" s="45"/>
      <c r="AO437" s="45"/>
      <c r="AP437" s="6"/>
      <c r="AQ437" s="112" t="s">
        <v>24</v>
      </c>
      <c r="AR437" s="112"/>
      <c r="AS437" s="45"/>
      <c r="AT437" s="45"/>
      <c r="AU437" s="45"/>
      <c r="AV437" s="45"/>
      <c r="AW437" s="45"/>
      <c r="AX437" s="45"/>
      <c r="AY437" s="45"/>
      <c r="AZ437" s="45"/>
      <c r="BA437" s="45"/>
      <c r="BB437" s="45"/>
      <c r="BC437" s="42"/>
      <c r="BD437" s="112" t="s">
        <v>24</v>
      </c>
      <c r="BE437" s="112"/>
      <c r="BF437" s="45"/>
      <c r="BG437" s="45"/>
      <c r="BH437" s="45"/>
      <c r="BI437" s="45"/>
      <c r="BJ437" s="45"/>
      <c r="BK437" s="45"/>
      <c r="BL437" s="45"/>
      <c r="BM437" s="45"/>
      <c r="BN437" s="45"/>
      <c r="BO437" s="45"/>
      <c r="BQ437" s="112" t="s">
        <v>24</v>
      </c>
      <c r="BR437" s="112"/>
      <c r="BS437" s="45"/>
      <c r="BT437" s="45"/>
      <c r="BU437" s="45"/>
      <c r="BV437" s="45"/>
      <c r="BW437" s="45"/>
      <c r="BX437" s="45"/>
      <c r="BY437" s="45"/>
      <c r="BZ437" s="45"/>
      <c r="CA437" s="45"/>
      <c r="CB437" s="45"/>
      <c r="CC437" s="42"/>
      <c r="CD437" s="112" t="s">
        <v>24</v>
      </c>
      <c r="CE437" s="112"/>
      <c r="CF437" s="45"/>
      <c r="CG437" s="45"/>
      <c r="CH437" s="45"/>
      <c r="CI437" s="45"/>
      <c r="CJ437" s="45"/>
      <c r="CK437" s="45"/>
      <c r="CL437" s="45"/>
      <c r="CM437" s="45"/>
      <c r="CN437" s="45"/>
      <c r="CO437" s="45"/>
      <c r="CQ437" s="112" t="s">
        <v>24</v>
      </c>
      <c r="CR437" s="112"/>
      <c r="CS437" s="45"/>
      <c r="CT437" s="45"/>
      <c r="CU437" s="45"/>
      <c r="CV437" s="45"/>
      <c r="CW437" s="45"/>
      <c r="CX437" s="45"/>
      <c r="CY437" s="45"/>
      <c r="CZ437" s="45"/>
      <c r="DA437" s="45"/>
      <c r="DB437" s="45"/>
      <c r="DC437" s="42"/>
      <c r="DD437" s="112" t="s">
        <v>24</v>
      </c>
      <c r="DE437" s="112"/>
      <c r="DF437" s="45"/>
      <c r="DG437" s="45"/>
      <c r="DH437" s="45"/>
      <c r="DI437" s="45"/>
      <c r="DJ437" s="45"/>
      <c r="DK437" s="45"/>
      <c r="DL437" s="45"/>
      <c r="DM437" s="45"/>
      <c r="DN437" s="45"/>
      <c r="DO437" s="45"/>
    </row>
    <row r="438" spans="2:119" ht="28.9" customHeight="1" x14ac:dyDescent="0.45">
      <c r="B438" s="99"/>
      <c r="C438" s="42"/>
      <c r="D438" s="112"/>
      <c r="E438" s="112"/>
      <c r="F438" s="108" t="s">
        <v>12</v>
      </c>
      <c r="G438" s="108"/>
      <c r="H438" s="108"/>
      <c r="I438" s="108"/>
      <c r="J438" s="108"/>
      <c r="K438" s="108"/>
      <c r="L438" s="108"/>
      <c r="M438" s="108"/>
      <c r="N438" s="108"/>
      <c r="O438" s="108"/>
      <c r="P438" s="42"/>
      <c r="Q438" s="112"/>
      <c r="R438" s="112"/>
      <c r="S438" s="108" t="s">
        <v>12</v>
      </c>
      <c r="T438" s="108"/>
      <c r="U438" s="108"/>
      <c r="V438" s="108"/>
      <c r="W438" s="108"/>
      <c r="X438" s="108"/>
      <c r="Y438" s="108"/>
      <c r="Z438" s="108"/>
      <c r="AA438" s="108"/>
      <c r="AB438" s="108"/>
      <c r="AC438" s="42"/>
      <c r="AD438" s="112"/>
      <c r="AE438" s="112"/>
      <c r="AF438" s="108" t="s">
        <v>12</v>
      </c>
      <c r="AG438" s="108"/>
      <c r="AH438" s="108"/>
      <c r="AI438" s="108"/>
      <c r="AJ438" s="108"/>
      <c r="AK438" s="108"/>
      <c r="AL438" s="108"/>
      <c r="AM438" s="108"/>
      <c r="AN438" s="108"/>
      <c r="AO438" s="108"/>
      <c r="AP438" s="6"/>
      <c r="AQ438" s="112"/>
      <c r="AR438" s="112"/>
      <c r="AS438" s="108" t="s">
        <v>12</v>
      </c>
      <c r="AT438" s="108"/>
      <c r="AU438" s="108"/>
      <c r="AV438" s="108"/>
      <c r="AW438" s="108"/>
      <c r="AX438" s="108"/>
      <c r="AY438" s="108"/>
      <c r="AZ438" s="108"/>
      <c r="BA438" s="108"/>
      <c r="BB438" s="108"/>
      <c r="BC438" s="42"/>
      <c r="BD438" s="112"/>
      <c r="BE438" s="112"/>
      <c r="BF438" s="108" t="s">
        <v>12</v>
      </c>
      <c r="BG438" s="108"/>
      <c r="BH438" s="108"/>
      <c r="BI438" s="108"/>
      <c r="BJ438" s="108"/>
      <c r="BK438" s="108"/>
      <c r="BL438" s="108"/>
      <c r="BM438" s="108"/>
      <c r="BN438" s="108"/>
      <c r="BO438" s="108"/>
      <c r="BQ438" s="112"/>
      <c r="BR438" s="112"/>
      <c r="BS438" s="108" t="s">
        <v>12</v>
      </c>
      <c r="BT438" s="108"/>
      <c r="BU438" s="108"/>
      <c r="BV438" s="108"/>
      <c r="BW438" s="108"/>
      <c r="BX438" s="108"/>
      <c r="BY438" s="108"/>
      <c r="BZ438" s="108"/>
      <c r="CA438" s="108"/>
      <c r="CB438" s="108"/>
      <c r="CC438" s="42"/>
      <c r="CD438" s="112"/>
      <c r="CE438" s="112"/>
      <c r="CF438" s="108" t="s">
        <v>12</v>
      </c>
      <c r="CG438" s="108"/>
      <c r="CH438" s="108"/>
      <c r="CI438" s="108"/>
      <c r="CJ438" s="108"/>
      <c r="CK438" s="108"/>
      <c r="CL438" s="108"/>
      <c r="CM438" s="108"/>
      <c r="CN438" s="108"/>
      <c r="CO438" s="108"/>
      <c r="CQ438" s="112"/>
      <c r="CR438" s="112"/>
      <c r="CS438" s="108" t="s">
        <v>12</v>
      </c>
      <c r="CT438" s="108"/>
      <c r="CU438" s="108"/>
      <c r="CV438" s="108"/>
      <c r="CW438" s="108"/>
      <c r="CX438" s="108"/>
      <c r="CY438" s="108"/>
      <c r="CZ438" s="108"/>
      <c r="DA438" s="108"/>
      <c r="DB438" s="108"/>
      <c r="DC438" s="42"/>
      <c r="DD438" s="112"/>
      <c r="DE438" s="112"/>
      <c r="DF438" s="108" t="s">
        <v>12</v>
      </c>
      <c r="DG438" s="108"/>
      <c r="DH438" s="108"/>
      <c r="DI438" s="108"/>
      <c r="DJ438" s="108"/>
      <c r="DK438" s="108"/>
      <c r="DL438" s="108"/>
      <c r="DM438" s="108"/>
      <c r="DN438" s="108"/>
      <c r="DO438" s="108"/>
    </row>
    <row r="439" spans="2:119" ht="15" customHeight="1" x14ac:dyDescent="0.45">
      <c r="B439" s="99"/>
      <c r="C439" s="42"/>
      <c r="D439" s="113"/>
      <c r="E439" s="113"/>
      <c r="F439" s="9" t="s">
        <v>0</v>
      </c>
      <c r="G439" s="9">
        <v>1</v>
      </c>
      <c r="H439" s="9">
        <v>2</v>
      </c>
      <c r="I439" s="9">
        <v>3</v>
      </c>
      <c r="J439" s="9">
        <v>4</v>
      </c>
      <c r="K439" s="9">
        <v>5</v>
      </c>
      <c r="L439" s="9">
        <v>6</v>
      </c>
      <c r="M439" s="9">
        <v>7</v>
      </c>
      <c r="N439" s="9">
        <v>8</v>
      </c>
      <c r="O439" s="9">
        <v>9</v>
      </c>
      <c r="P439" s="42"/>
      <c r="Q439" s="113"/>
      <c r="R439" s="113"/>
      <c r="S439" s="9" t="s">
        <v>0</v>
      </c>
      <c r="T439" s="9">
        <v>1</v>
      </c>
      <c r="U439" s="9">
        <v>2</v>
      </c>
      <c r="V439" s="9">
        <v>3</v>
      </c>
      <c r="W439" s="9">
        <v>4</v>
      </c>
      <c r="X439" s="9">
        <v>5</v>
      </c>
      <c r="Y439" s="9">
        <v>6</v>
      </c>
      <c r="Z439" s="9">
        <v>7</v>
      </c>
      <c r="AA439" s="9">
        <v>8</v>
      </c>
      <c r="AB439" s="9">
        <v>9</v>
      </c>
      <c r="AC439" s="42"/>
      <c r="AD439" s="113"/>
      <c r="AE439" s="113"/>
      <c r="AF439" s="9" t="s">
        <v>0</v>
      </c>
      <c r="AG439" s="9">
        <v>1</v>
      </c>
      <c r="AH439" s="9">
        <v>2</v>
      </c>
      <c r="AI439" s="9">
        <v>3</v>
      </c>
      <c r="AJ439" s="9">
        <v>4</v>
      </c>
      <c r="AK439" s="9">
        <v>5</v>
      </c>
      <c r="AL439" s="9">
        <v>6</v>
      </c>
      <c r="AM439" s="9">
        <v>7</v>
      </c>
      <c r="AN439" s="9">
        <v>8</v>
      </c>
      <c r="AO439" s="9">
        <v>9</v>
      </c>
      <c r="AP439" s="6"/>
      <c r="AQ439" s="113"/>
      <c r="AR439" s="113"/>
      <c r="AS439" s="9" t="s">
        <v>0</v>
      </c>
      <c r="AT439" s="9">
        <v>1</v>
      </c>
      <c r="AU439" s="9">
        <v>2</v>
      </c>
      <c r="AV439" s="9">
        <v>3</v>
      </c>
      <c r="AW439" s="9">
        <v>4</v>
      </c>
      <c r="AX439" s="9">
        <v>5</v>
      </c>
      <c r="AY439" s="9">
        <v>6</v>
      </c>
      <c r="AZ439" s="9">
        <v>7</v>
      </c>
      <c r="BA439" s="9">
        <v>8</v>
      </c>
      <c r="BB439" s="9">
        <v>9</v>
      </c>
      <c r="BC439" s="42"/>
      <c r="BD439" s="113"/>
      <c r="BE439" s="113"/>
      <c r="BF439" s="9" t="s">
        <v>0</v>
      </c>
      <c r="BG439" s="9">
        <v>1</v>
      </c>
      <c r="BH439" s="9">
        <v>2</v>
      </c>
      <c r="BI439" s="9">
        <v>3</v>
      </c>
      <c r="BJ439" s="9">
        <v>4</v>
      </c>
      <c r="BK439" s="9">
        <v>5</v>
      </c>
      <c r="BL439" s="9">
        <v>6</v>
      </c>
      <c r="BM439" s="9">
        <v>7</v>
      </c>
      <c r="BN439" s="9">
        <v>8</v>
      </c>
      <c r="BO439" s="9">
        <v>9</v>
      </c>
      <c r="BQ439" s="113"/>
      <c r="BR439" s="113"/>
      <c r="BS439" s="9" t="s">
        <v>0</v>
      </c>
      <c r="BT439" s="9">
        <v>1</v>
      </c>
      <c r="BU439" s="9">
        <v>2</v>
      </c>
      <c r="BV439" s="9">
        <v>3</v>
      </c>
      <c r="BW439" s="9">
        <v>4</v>
      </c>
      <c r="BX439" s="9">
        <v>5</v>
      </c>
      <c r="BY439" s="9">
        <v>6</v>
      </c>
      <c r="BZ439" s="9">
        <v>7</v>
      </c>
      <c r="CA439" s="9">
        <v>8</v>
      </c>
      <c r="CB439" s="9">
        <v>9</v>
      </c>
      <c r="CC439" s="42"/>
      <c r="CD439" s="113"/>
      <c r="CE439" s="113"/>
      <c r="CF439" s="9" t="s">
        <v>0</v>
      </c>
      <c r="CG439" s="9">
        <v>1</v>
      </c>
      <c r="CH439" s="9">
        <v>2</v>
      </c>
      <c r="CI439" s="9">
        <v>3</v>
      </c>
      <c r="CJ439" s="9">
        <v>4</v>
      </c>
      <c r="CK439" s="9">
        <v>5</v>
      </c>
      <c r="CL439" s="9">
        <v>6</v>
      </c>
      <c r="CM439" s="9">
        <v>7</v>
      </c>
      <c r="CN439" s="9">
        <v>8</v>
      </c>
      <c r="CO439" s="9">
        <v>9</v>
      </c>
      <c r="CQ439" s="113"/>
      <c r="CR439" s="113"/>
      <c r="CS439" s="9" t="s">
        <v>0</v>
      </c>
      <c r="CT439" s="9">
        <v>1</v>
      </c>
      <c r="CU439" s="9">
        <v>2</v>
      </c>
      <c r="CV439" s="9">
        <v>3</v>
      </c>
      <c r="CW439" s="9">
        <v>4</v>
      </c>
      <c r="CX439" s="9">
        <v>5</v>
      </c>
      <c r="CY439" s="9">
        <v>6</v>
      </c>
      <c r="CZ439" s="9">
        <v>7</v>
      </c>
      <c r="DA439" s="9">
        <v>8</v>
      </c>
      <c r="DB439" s="9">
        <v>9</v>
      </c>
      <c r="DC439" s="42"/>
      <c r="DD439" s="113"/>
      <c r="DE439" s="113"/>
      <c r="DF439" s="9" t="s">
        <v>0</v>
      </c>
      <c r="DG439" s="9">
        <v>1</v>
      </c>
      <c r="DH439" s="9">
        <v>2</v>
      </c>
      <c r="DI439" s="9">
        <v>3</v>
      </c>
      <c r="DJ439" s="9">
        <v>4</v>
      </c>
      <c r="DK439" s="9">
        <v>5</v>
      </c>
      <c r="DL439" s="9">
        <v>6</v>
      </c>
      <c r="DM439" s="9">
        <v>7</v>
      </c>
      <c r="DN439" s="9">
        <v>8</v>
      </c>
      <c r="DO439" s="9">
        <v>9</v>
      </c>
    </row>
    <row r="440" spans="2:119" ht="16.5" customHeight="1" x14ac:dyDescent="0.45">
      <c r="B440" s="134" t="s">
        <v>35</v>
      </c>
      <c r="C440" s="42"/>
      <c r="D440" s="109" t="s">
        <v>13</v>
      </c>
      <c r="E440" s="46" t="s">
        <v>1</v>
      </c>
      <c r="F440" s="103">
        <v>0</v>
      </c>
      <c r="G440" s="103">
        <v>2</v>
      </c>
      <c r="H440" s="103">
        <v>8</v>
      </c>
      <c r="I440" s="103">
        <v>2</v>
      </c>
      <c r="J440" s="103">
        <v>1</v>
      </c>
      <c r="K440" s="103">
        <v>2</v>
      </c>
      <c r="L440" s="103">
        <v>2</v>
      </c>
      <c r="M440" s="103">
        <v>0</v>
      </c>
      <c r="N440" s="103">
        <v>0</v>
      </c>
      <c r="O440" s="17">
        <v>0</v>
      </c>
      <c r="P440" s="42"/>
      <c r="Q440" s="109" t="s">
        <v>13</v>
      </c>
      <c r="R440" s="46" t="s">
        <v>1</v>
      </c>
      <c r="S440" s="103">
        <v>0</v>
      </c>
      <c r="T440" s="103">
        <v>0</v>
      </c>
      <c r="U440" s="103">
        <v>4</v>
      </c>
      <c r="V440" s="103">
        <v>2</v>
      </c>
      <c r="W440" s="103">
        <v>1</v>
      </c>
      <c r="X440" s="103">
        <v>2</v>
      </c>
      <c r="Y440" s="103">
        <v>1</v>
      </c>
      <c r="Z440" s="103">
        <v>0</v>
      </c>
      <c r="AA440" s="103">
        <v>0</v>
      </c>
      <c r="AB440" s="17">
        <v>0</v>
      </c>
      <c r="AC440" s="42"/>
      <c r="AD440" s="109" t="s">
        <v>13</v>
      </c>
      <c r="AE440" s="46" t="s">
        <v>1</v>
      </c>
      <c r="AF440" s="103">
        <v>0</v>
      </c>
      <c r="AG440" s="103">
        <v>2</v>
      </c>
      <c r="AH440" s="103">
        <v>4</v>
      </c>
      <c r="AI440" s="103">
        <v>0</v>
      </c>
      <c r="AJ440" s="103">
        <v>0</v>
      </c>
      <c r="AK440" s="103">
        <v>0</v>
      </c>
      <c r="AL440" s="103">
        <v>1</v>
      </c>
      <c r="AM440" s="103">
        <v>0</v>
      </c>
      <c r="AN440" s="103">
        <v>0</v>
      </c>
      <c r="AO440" s="17">
        <v>0</v>
      </c>
      <c r="AP440" s="6"/>
      <c r="AQ440" s="109" t="s">
        <v>13</v>
      </c>
      <c r="AR440" s="46" t="s">
        <v>1</v>
      </c>
      <c r="AS440" s="103">
        <v>0</v>
      </c>
      <c r="AT440" s="103">
        <v>1</v>
      </c>
      <c r="AU440" s="103">
        <v>5</v>
      </c>
      <c r="AV440" s="103">
        <v>1</v>
      </c>
      <c r="AW440" s="103">
        <v>1</v>
      </c>
      <c r="AX440" s="103">
        <v>0</v>
      </c>
      <c r="AY440" s="103">
        <v>1</v>
      </c>
      <c r="AZ440" s="103">
        <v>0</v>
      </c>
      <c r="BA440" s="103">
        <v>0</v>
      </c>
      <c r="BB440" s="17">
        <v>0</v>
      </c>
      <c r="BC440" s="42"/>
      <c r="BD440" s="109" t="s">
        <v>13</v>
      </c>
      <c r="BE440" s="46" t="s">
        <v>1</v>
      </c>
      <c r="BF440" s="103">
        <v>0</v>
      </c>
      <c r="BG440" s="103">
        <v>1</v>
      </c>
      <c r="BH440" s="103">
        <v>3</v>
      </c>
      <c r="BI440" s="103">
        <v>1</v>
      </c>
      <c r="BJ440" s="103">
        <v>0</v>
      </c>
      <c r="BK440" s="103">
        <v>2</v>
      </c>
      <c r="BL440" s="103">
        <v>1</v>
      </c>
      <c r="BM440" s="103">
        <v>0</v>
      </c>
      <c r="BN440" s="103">
        <v>0</v>
      </c>
      <c r="BO440" s="17">
        <v>0</v>
      </c>
      <c r="BQ440" s="109" t="s">
        <v>13</v>
      </c>
      <c r="BR440" s="46" t="s">
        <v>1</v>
      </c>
      <c r="BS440" s="103">
        <v>0</v>
      </c>
      <c r="BT440" s="103">
        <v>2</v>
      </c>
      <c r="BU440" s="103">
        <v>2</v>
      </c>
      <c r="BV440" s="103">
        <v>0</v>
      </c>
      <c r="BW440" s="103">
        <v>1</v>
      </c>
      <c r="BX440" s="103">
        <v>0</v>
      </c>
      <c r="BY440" s="103">
        <v>1</v>
      </c>
      <c r="BZ440" s="103">
        <v>0</v>
      </c>
      <c r="CA440" s="103">
        <v>0</v>
      </c>
      <c r="CB440" s="17">
        <v>0</v>
      </c>
      <c r="CC440" s="42"/>
      <c r="CD440" s="109" t="s">
        <v>13</v>
      </c>
      <c r="CE440" s="46" t="s">
        <v>1</v>
      </c>
      <c r="CF440" s="103">
        <v>0</v>
      </c>
      <c r="CG440" s="103">
        <v>0</v>
      </c>
      <c r="CH440" s="103">
        <v>6</v>
      </c>
      <c r="CI440" s="103">
        <v>2</v>
      </c>
      <c r="CJ440" s="103">
        <v>0</v>
      </c>
      <c r="CK440" s="103">
        <v>2</v>
      </c>
      <c r="CL440" s="103">
        <v>1</v>
      </c>
      <c r="CM440" s="103">
        <v>0</v>
      </c>
      <c r="CN440" s="103">
        <v>0</v>
      </c>
      <c r="CO440" s="17">
        <v>0</v>
      </c>
      <c r="CQ440" s="109" t="s">
        <v>13</v>
      </c>
      <c r="CR440" s="46" t="s">
        <v>1</v>
      </c>
      <c r="CS440" s="103">
        <v>0</v>
      </c>
      <c r="CT440" s="103">
        <v>2</v>
      </c>
      <c r="CU440" s="103">
        <v>8</v>
      </c>
      <c r="CV440" s="103">
        <v>1</v>
      </c>
      <c r="CW440" s="103">
        <v>1</v>
      </c>
      <c r="CX440" s="103">
        <v>2</v>
      </c>
      <c r="CY440" s="103">
        <v>2</v>
      </c>
      <c r="CZ440" s="103">
        <v>0</v>
      </c>
      <c r="DA440" s="103">
        <v>0</v>
      </c>
      <c r="DB440" s="17">
        <v>0</v>
      </c>
      <c r="DC440" s="42"/>
      <c r="DD440" s="109" t="s">
        <v>13</v>
      </c>
      <c r="DE440" s="46" t="s">
        <v>1</v>
      </c>
      <c r="DF440" s="103">
        <v>0</v>
      </c>
      <c r="DG440" s="103">
        <v>0</v>
      </c>
      <c r="DH440" s="103">
        <v>0</v>
      </c>
      <c r="DI440" s="103">
        <v>1</v>
      </c>
      <c r="DJ440" s="103">
        <v>0</v>
      </c>
      <c r="DK440" s="103">
        <v>0</v>
      </c>
      <c r="DL440" s="103">
        <v>0</v>
      </c>
      <c r="DM440" s="103">
        <v>0</v>
      </c>
      <c r="DN440" s="103">
        <v>0</v>
      </c>
      <c r="DO440" s="17">
        <v>0</v>
      </c>
    </row>
    <row r="441" spans="2:119" ht="16.5" customHeight="1" x14ac:dyDescent="0.45">
      <c r="B441" s="134"/>
      <c r="C441" s="42"/>
      <c r="D441" s="110"/>
      <c r="E441" s="46">
        <v>1</v>
      </c>
      <c r="F441" s="103">
        <v>18</v>
      </c>
      <c r="G441" s="103">
        <v>19</v>
      </c>
      <c r="H441" s="103">
        <v>12</v>
      </c>
      <c r="I441" s="103">
        <v>5</v>
      </c>
      <c r="J441" s="103">
        <v>3</v>
      </c>
      <c r="K441" s="103">
        <v>1</v>
      </c>
      <c r="L441" s="103">
        <v>2</v>
      </c>
      <c r="M441" s="103">
        <v>1</v>
      </c>
      <c r="N441" s="103">
        <v>1</v>
      </c>
      <c r="O441" s="103">
        <v>0</v>
      </c>
      <c r="P441" s="42"/>
      <c r="Q441" s="110"/>
      <c r="R441" s="46">
        <v>1</v>
      </c>
      <c r="S441" s="103">
        <v>9</v>
      </c>
      <c r="T441" s="103">
        <v>8</v>
      </c>
      <c r="U441" s="103">
        <v>5</v>
      </c>
      <c r="V441" s="103">
        <v>2</v>
      </c>
      <c r="W441" s="103">
        <v>2</v>
      </c>
      <c r="X441" s="103">
        <v>1</v>
      </c>
      <c r="Y441" s="103">
        <v>1</v>
      </c>
      <c r="Z441" s="103">
        <v>1</v>
      </c>
      <c r="AA441" s="103">
        <v>1</v>
      </c>
      <c r="AB441" s="103">
        <v>0</v>
      </c>
      <c r="AC441" s="42"/>
      <c r="AD441" s="110"/>
      <c r="AE441" s="46">
        <v>1</v>
      </c>
      <c r="AF441" s="103">
        <v>9</v>
      </c>
      <c r="AG441" s="103">
        <v>11</v>
      </c>
      <c r="AH441" s="103">
        <v>7</v>
      </c>
      <c r="AI441" s="103">
        <v>3</v>
      </c>
      <c r="AJ441" s="103">
        <v>1</v>
      </c>
      <c r="AK441" s="103">
        <v>0</v>
      </c>
      <c r="AL441" s="103">
        <v>1</v>
      </c>
      <c r="AM441" s="103">
        <v>0</v>
      </c>
      <c r="AN441" s="103">
        <v>0</v>
      </c>
      <c r="AO441" s="103">
        <v>0</v>
      </c>
      <c r="AP441" s="6"/>
      <c r="AQ441" s="110"/>
      <c r="AR441" s="46">
        <v>1</v>
      </c>
      <c r="AS441" s="103">
        <v>11</v>
      </c>
      <c r="AT441" s="103">
        <v>9</v>
      </c>
      <c r="AU441" s="103">
        <v>5</v>
      </c>
      <c r="AV441" s="103">
        <v>4</v>
      </c>
      <c r="AW441" s="103">
        <v>1</v>
      </c>
      <c r="AX441" s="103">
        <v>0</v>
      </c>
      <c r="AY441" s="103">
        <v>1</v>
      </c>
      <c r="AZ441" s="103">
        <v>0</v>
      </c>
      <c r="BA441" s="103">
        <v>0</v>
      </c>
      <c r="BB441" s="103">
        <v>0</v>
      </c>
      <c r="BC441" s="42"/>
      <c r="BD441" s="110"/>
      <c r="BE441" s="46">
        <v>1</v>
      </c>
      <c r="BF441" s="103">
        <v>7</v>
      </c>
      <c r="BG441" s="103">
        <v>10</v>
      </c>
      <c r="BH441" s="103">
        <v>7</v>
      </c>
      <c r="BI441" s="103">
        <v>1</v>
      </c>
      <c r="BJ441" s="103">
        <v>2</v>
      </c>
      <c r="BK441" s="103">
        <v>1</v>
      </c>
      <c r="BL441" s="103">
        <v>1</v>
      </c>
      <c r="BM441" s="103">
        <v>1</v>
      </c>
      <c r="BN441" s="103">
        <v>1</v>
      </c>
      <c r="BO441" s="103">
        <v>0</v>
      </c>
      <c r="BQ441" s="110"/>
      <c r="BR441" s="46">
        <v>1</v>
      </c>
      <c r="BS441" s="103">
        <v>8</v>
      </c>
      <c r="BT441" s="103">
        <v>10</v>
      </c>
      <c r="BU441" s="103">
        <v>4</v>
      </c>
      <c r="BV441" s="103">
        <v>0</v>
      </c>
      <c r="BW441" s="103">
        <v>1</v>
      </c>
      <c r="BX441" s="103">
        <v>0</v>
      </c>
      <c r="BY441" s="103">
        <v>0</v>
      </c>
      <c r="BZ441" s="103">
        <v>0</v>
      </c>
      <c r="CA441" s="103">
        <v>0</v>
      </c>
      <c r="CB441" s="103">
        <v>0</v>
      </c>
      <c r="CC441" s="42"/>
      <c r="CD441" s="110"/>
      <c r="CE441" s="46">
        <v>1</v>
      </c>
      <c r="CF441" s="103">
        <v>10</v>
      </c>
      <c r="CG441" s="103">
        <v>9</v>
      </c>
      <c r="CH441" s="103">
        <v>8</v>
      </c>
      <c r="CI441" s="103">
        <v>5</v>
      </c>
      <c r="CJ441" s="103">
        <v>2</v>
      </c>
      <c r="CK441" s="103">
        <v>1</v>
      </c>
      <c r="CL441" s="103">
        <v>2</v>
      </c>
      <c r="CM441" s="103">
        <v>1</v>
      </c>
      <c r="CN441" s="103">
        <v>1</v>
      </c>
      <c r="CO441" s="103">
        <v>0</v>
      </c>
      <c r="CQ441" s="110"/>
      <c r="CR441" s="46">
        <v>1</v>
      </c>
      <c r="CS441" s="103">
        <v>13</v>
      </c>
      <c r="CT441" s="103">
        <v>14</v>
      </c>
      <c r="CU441" s="103">
        <v>10</v>
      </c>
      <c r="CV441" s="103">
        <v>4</v>
      </c>
      <c r="CW441" s="103">
        <v>3</v>
      </c>
      <c r="CX441" s="103">
        <v>1</v>
      </c>
      <c r="CY441" s="103">
        <v>2</v>
      </c>
      <c r="CZ441" s="103">
        <v>1</v>
      </c>
      <c r="DA441" s="103">
        <v>1</v>
      </c>
      <c r="DB441" s="103">
        <v>0</v>
      </c>
      <c r="DC441" s="42"/>
      <c r="DD441" s="110"/>
      <c r="DE441" s="46">
        <v>1</v>
      </c>
      <c r="DF441" s="103">
        <v>5</v>
      </c>
      <c r="DG441" s="103">
        <v>5</v>
      </c>
      <c r="DH441" s="103">
        <v>2</v>
      </c>
      <c r="DI441" s="103">
        <v>1</v>
      </c>
      <c r="DJ441" s="103">
        <v>0</v>
      </c>
      <c r="DK441" s="103">
        <v>0</v>
      </c>
      <c r="DL441" s="103">
        <v>0</v>
      </c>
      <c r="DM441" s="103">
        <v>0</v>
      </c>
      <c r="DN441" s="103">
        <v>0</v>
      </c>
      <c r="DO441" s="103">
        <v>0</v>
      </c>
    </row>
    <row r="442" spans="2:119" ht="16.5" customHeight="1" x14ac:dyDescent="0.45">
      <c r="B442" s="134"/>
      <c r="C442" s="42"/>
      <c r="D442" s="110"/>
      <c r="E442" s="46" t="s">
        <v>2</v>
      </c>
      <c r="F442" s="103">
        <v>474</v>
      </c>
      <c r="G442" s="103">
        <v>1070</v>
      </c>
      <c r="H442" s="103">
        <v>703</v>
      </c>
      <c r="I442" s="103">
        <v>364</v>
      </c>
      <c r="J442" s="103">
        <v>122</v>
      </c>
      <c r="K442" s="103">
        <v>64</v>
      </c>
      <c r="L442" s="103">
        <v>22</v>
      </c>
      <c r="M442" s="103">
        <v>19</v>
      </c>
      <c r="N442" s="103">
        <v>5</v>
      </c>
      <c r="O442" s="103">
        <v>3</v>
      </c>
      <c r="P442" s="42"/>
      <c r="Q442" s="110"/>
      <c r="R442" s="46" t="s">
        <v>2</v>
      </c>
      <c r="S442" s="103">
        <v>197</v>
      </c>
      <c r="T442" s="103">
        <v>536</v>
      </c>
      <c r="U442" s="103">
        <v>338</v>
      </c>
      <c r="V442" s="103">
        <v>149</v>
      </c>
      <c r="W442" s="103">
        <v>58</v>
      </c>
      <c r="X442" s="103">
        <v>32</v>
      </c>
      <c r="Y442" s="103">
        <v>14</v>
      </c>
      <c r="Z442" s="103">
        <v>12</v>
      </c>
      <c r="AA442" s="103">
        <v>3</v>
      </c>
      <c r="AB442" s="103">
        <v>2</v>
      </c>
      <c r="AC442" s="42"/>
      <c r="AD442" s="110"/>
      <c r="AE442" s="46" t="s">
        <v>2</v>
      </c>
      <c r="AF442" s="103">
        <v>277</v>
      </c>
      <c r="AG442" s="103">
        <v>534</v>
      </c>
      <c r="AH442" s="103">
        <v>365</v>
      </c>
      <c r="AI442" s="103">
        <v>215</v>
      </c>
      <c r="AJ442" s="103">
        <v>64</v>
      </c>
      <c r="AK442" s="103">
        <v>32</v>
      </c>
      <c r="AL442" s="103">
        <v>8</v>
      </c>
      <c r="AM442" s="103">
        <v>7</v>
      </c>
      <c r="AN442" s="103">
        <v>2</v>
      </c>
      <c r="AO442" s="103">
        <v>1</v>
      </c>
      <c r="AP442" s="6"/>
      <c r="AQ442" s="110"/>
      <c r="AR442" s="46" t="s">
        <v>2</v>
      </c>
      <c r="AS442" s="103">
        <v>261</v>
      </c>
      <c r="AT442" s="103">
        <v>533</v>
      </c>
      <c r="AU442" s="103">
        <v>341</v>
      </c>
      <c r="AV442" s="103">
        <v>141</v>
      </c>
      <c r="AW442" s="103">
        <v>48</v>
      </c>
      <c r="AX442" s="103">
        <v>22</v>
      </c>
      <c r="AY442" s="103">
        <v>8</v>
      </c>
      <c r="AZ442" s="103">
        <v>5</v>
      </c>
      <c r="BA442" s="103">
        <v>3</v>
      </c>
      <c r="BB442" s="103">
        <v>1</v>
      </c>
      <c r="BC442" s="42"/>
      <c r="BD442" s="110"/>
      <c r="BE442" s="46" t="s">
        <v>2</v>
      </c>
      <c r="BF442" s="103">
        <v>213</v>
      </c>
      <c r="BG442" s="103">
        <v>537</v>
      </c>
      <c r="BH442" s="103">
        <v>362</v>
      </c>
      <c r="BI442" s="103">
        <v>223</v>
      </c>
      <c r="BJ442" s="103">
        <v>74</v>
      </c>
      <c r="BK442" s="103">
        <v>42</v>
      </c>
      <c r="BL442" s="103">
        <v>14</v>
      </c>
      <c r="BM442" s="103">
        <v>14</v>
      </c>
      <c r="BN442" s="103">
        <v>2</v>
      </c>
      <c r="BO442" s="103">
        <v>2</v>
      </c>
      <c r="BQ442" s="110"/>
      <c r="BR442" s="46" t="s">
        <v>2</v>
      </c>
      <c r="BS442" s="103">
        <v>299</v>
      </c>
      <c r="BT442" s="103">
        <v>706</v>
      </c>
      <c r="BU442" s="103">
        <v>449</v>
      </c>
      <c r="BV442" s="103">
        <v>219</v>
      </c>
      <c r="BW442" s="103">
        <v>61</v>
      </c>
      <c r="BX442" s="103">
        <v>25</v>
      </c>
      <c r="BY442" s="103">
        <v>5</v>
      </c>
      <c r="BZ442" s="103">
        <v>5</v>
      </c>
      <c r="CA442" s="103">
        <v>0</v>
      </c>
      <c r="CB442" s="103">
        <v>1</v>
      </c>
      <c r="CC442" s="42"/>
      <c r="CD442" s="110"/>
      <c r="CE442" s="46" t="s">
        <v>2</v>
      </c>
      <c r="CF442" s="103">
        <v>175</v>
      </c>
      <c r="CG442" s="103">
        <v>364</v>
      </c>
      <c r="CH442" s="103">
        <v>254</v>
      </c>
      <c r="CI442" s="103">
        <v>145</v>
      </c>
      <c r="CJ442" s="103">
        <v>61</v>
      </c>
      <c r="CK442" s="103">
        <v>39</v>
      </c>
      <c r="CL442" s="103">
        <v>17</v>
      </c>
      <c r="CM442" s="103">
        <v>14</v>
      </c>
      <c r="CN442" s="103">
        <v>5</v>
      </c>
      <c r="CO442" s="103">
        <v>2</v>
      </c>
      <c r="CQ442" s="110"/>
      <c r="CR442" s="46" t="s">
        <v>2</v>
      </c>
      <c r="CS442" s="103">
        <v>132</v>
      </c>
      <c r="CT442" s="103">
        <v>248</v>
      </c>
      <c r="CU442" s="103">
        <v>198</v>
      </c>
      <c r="CV442" s="103">
        <v>139</v>
      </c>
      <c r="CW442" s="103">
        <v>58</v>
      </c>
      <c r="CX442" s="103">
        <v>42</v>
      </c>
      <c r="CY442" s="103">
        <v>17</v>
      </c>
      <c r="CZ442" s="103">
        <v>17</v>
      </c>
      <c r="DA442" s="103">
        <v>4</v>
      </c>
      <c r="DB442" s="103">
        <v>2</v>
      </c>
      <c r="DC442" s="42"/>
      <c r="DD442" s="110"/>
      <c r="DE442" s="46" t="s">
        <v>2</v>
      </c>
      <c r="DF442" s="103">
        <v>342</v>
      </c>
      <c r="DG442" s="103">
        <v>822</v>
      </c>
      <c r="DH442" s="103">
        <v>505</v>
      </c>
      <c r="DI442" s="103">
        <v>225</v>
      </c>
      <c r="DJ442" s="103">
        <v>64</v>
      </c>
      <c r="DK442" s="103">
        <v>22</v>
      </c>
      <c r="DL442" s="103">
        <v>5</v>
      </c>
      <c r="DM442" s="103">
        <v>2</v>
      </c>
      <c r="DN442" s="103">
        <v>1</v>
      </c>
      <c r="DO442" s="103">
        <v>1</v>
      </c>
    </row>
    <row r="443" spans="2:119" ht="16.5" customHeight="1" x14ac:dyDescent="0.45">
      <c r="B443" s="134"/>
      <c r="C443" s="42"/>
      <c r="D443" s="110"/>
      <c r="E443" s="46" t="s">
        <v>3</v>
      </c>
      <c r="F443" s="103">
        <v>355</v>
      </c>
      <c r="G443" s="103">
        <v>770</v>
      </c>
      <c r="H443" s="103">
        <v>720</v>
      </c>
      <c r="I443" s="103">
        <v>375</v>
      </c>
      <c r="J443" s="103">
        <v>125</v>
      </c>
      <c r="K443" s="103">
        <v>66</v>
      </c>
      <c r="L443" s="103">
        <v>19</v>
      </c>
      <c r="M443" s="103">
        <v>9</v>
      </c>
      <c r="N443" s="103">
        <v>3</v>
      </c>
      <c r="O443" s="103">
        <v>0</v>
      </c>
      <c r="P443" s="42"/>
      <c r="Q443" s="110"/>
      <c r="R443" s="46" t="s">
        <v>3</v>
      </c>
      <c r="S443" s="103">
        <v>132</v>
      </c>
      <c r="T443" s="103">
        <v>371</v>
      </c>
      <c r="U443" s="103">
        <v>394</v>
      </c>
      <c r="V443" s="103">
        <v>196</v>
      </c>
      <c r="W443" s="103">
        <v>65</v>
      </c>
      <c r="X443" s="103">
        <v>28</v>
      </c>
      <c r="Y443" s="103">
        <v>13</v>
      </c>
      <c r="Z443" s="103">
        <v>6</v>
      </c>
      <c r="AA443" s="103">
        <v>3</v>
      </c>
      <c r="AB443" s="103">
        <v>0</v>
      </c>
      <c r="AC443" s="42"/>
      <c r="AD443" s="110"/>
      <c r="AE443" s="46" t="s">
        <v>3</v>
      </c>
      <c r="AF443" s="103">
        <v>223</v>
      </c>
      <c r="AG443" s="103">
        <v>399</v>
      </c>
      <c r="AH443" s="103">
        <v>326</v>
      </c>
      <c r="AI443" s="103">
        <v>179</v>
      </c>
      <c r="AJ443" s="103">
        <v>60</v>
      </c>
      <c r="AK443" s="103">
        <v>38</v>
      </c>
      <c r="AL443" s="103">
        <v>6</v>
      </c>
      <c r="AM443" s="103">
        <v>3</v>
      </c>
      <c r="AN443" s="103">
        <v>0</v>
      </c>
      <c r="AO443" s="103">
        <v>0</v>
      </c>
      <c r="AP443" s="6"/>
      <c r="AQ443" s="110"/>
      <c r="AR443" s="46" t="s">
        <v>3</v>
      </c>
      <c r="AS443" s="103">
        <v>208</v>
      </c>
      <c r="AT443" s="103">
        <v>394</v>
      </c>
      <c r="AU443" s="103">
        <v>304</v>
      </c>
      <c r="AV443" s="103">
        <v>135</v>
      </c>
      <c r="AW443" s="103">
        <v>48</v>
      </c>
      <c r="AX443" s="103">
        <v>21</v>
      </c>
      <c r="AY443" s="103">
        <v>5</v>
      </c>
      <c r="AZ443" s="103">
        <v>2</v>
      </c>
      <c r="BA443" s="103">
        <v>0</v>
      </c>
      <c r="BB443" s="103">
        <v>0</v>
      </c>
      <c r="BC443" s="42"/>
      <c r="BD443" s="110"/>
      <c r="BE443" s="46" t="s">
        <v>3</v>
      </c>
      <c r="BF443" s="103">
        <v>147</v>
      </c>
      <c r="BG443" s="103">
        <v>376</v>
      </c>
      <c r="BH443" s="103">
        <v>416</v>
      </c>
      <c r="BI443" s="103">
        <v>240</v>
      </c>
      <c r="BJ443" s="103">
        <v>77</v>
      </c>
      <c r="BK443" s="103">
        <v>45</v>
      </c>
      <c r="BL443" s="103">
        <v>14</v>
      </c>
      <c r="BM443" s="103">
        <v>7</v>
      </c>
      <c r="BN443" s="103">
        <v>3</v>
      </c>
      <c r="BO443" s="103">
        <v>0</v>
      </c>
      <c r="BQ443" s="110"/>
      <c r="BR443" s="46" t="s">
        <v>3</v>
      </c>
      <c r="BS443" s="103">
        <v>172</v>
      </c>
      <c r="BT443" s="103">
        <v>434</v>
      </c>
      <c r="BU443" s="103">
        <v>377</v>
      </c>
      <c r="BV443" s="103">
        <v>183</v>
      </c>
      <c r="BW443" s="103">
        <v>55</v>
      </c>
      <c r="BX443" s="103">
        <v>37</v>
      </c>
      <c r="BY443" s="103">
        <v>9</v>
      </c>
      <c r="BZ443" s="103">
        <v>2</v>
      </c>
      <c r="CA443" s="103">
        <v>2</v>
      </c>
      <c r="CB443" s="103">
        <v>0</v>
      </c>
      <c r="CC443" s="42"/>
      <c r="CD443" s="110"/>
      <c r="CE443" s="46" t="s">
        <v>3</v>
      </c>
      <c r="CF443" s="103">
        <v>183</v>
      </c>
      <c r="CG443" s="103">
        <v>336</v>
      </c>
      <c r="CH443" s="103">
        <v>343</v>
      </c>
      <c r="CI443" s="103">
        <v>192</v>
      </c>
      <c r="CJ443" s="103">
        <v>70</v>
      </c>
      <c r="CK443" s="103">
        <v>29</v>
      </c>
      <c r="CL443" s="103">
        <v>10</v>
      </c>
      <c r="CM443" s="103">
        <v>7</v>
      </c>
      <c r="CN443" s="103">
        <v>1</v>
      </c>
      <c r="CO443" s="103">
        <v>0</v>
      </c>
      <c r="CQ443" s="110"/>
      <c r="CR443" s="46" t="s">
        <v>3</v>
      </c>
      <c r="CS443" s="103">
        <v>49</v>
      </c>
      <c r="CT443" s="103">
        <v>117</v>
      </c>
      <c r="CU443" s="103">
        <v>147</v>
      </c>
      <c r="CV443" s="103">
        <v>104</v>
      </c>
      <c r="CW443" s="103">
        <v>56</v>
      </c>
      <c r="CX443" s="103">
        <v>26</v>
      </c>
      <c r="CY443" s="103">
        <v>11</v>
      </c>
      <c r="CZ443" s="103">
        <v>6</v>
      </c>
      <c r="DA443" s="103">
        <v>0</v>
      </c>
      <c r="DB443" s="103">
        <v>0</v>
      </c>
      <c r="DC443" s="42"/>
      <c r="DD443" s="110"/>
      <c r="DE443" s="46" t="s">
        <v>3</v>
      </c>
      <c r="DF443" s="103">
        <v>306</v>
      </c>
      <c r="DG443" s="103">
        <v>653</v>
      </c>
      <c r="DH443" s="103">
        <v>573</v>
      </c>
      <c r="DI443" s="103">
        <v>271</v>
      </c>
      <c r="DJ443" s="103">
        <v>69</v>
      </c>
      <c r="DK443" s="103">
        <v>40</v>
      </c>
      <c r="DL443" s="103">
        <v>8</v>
      </c>
      <c r="DM443" s="103">
        <v>3</v>
      </c>
      <c r="DN443" s="103">
        <v>3</v>
      </c>
      <c r="DO443" s="103">
        <v>0</v>
      </c>
    </row>
    <row r="444" spans="2:119" ht="16.5" customHeight="1" x14ac:dyDescent="0.45">
      <c r="B444" s="134"/>
      <c r="C444" s="42"/>
      <c r="D444" s="110"/>
      <c r="E444" s="46" t="s">
        <v>4</v>
      </c>
      <c r="F444" s="103">
        <v>484</v>
      </c>
      <c r="G444" s="103">
        <v>1184</v>
      </c>
      <c r="H444" s="103">
        <v>1205</v>
      </c>
      <c r="I444" s="103">
        <v>813</v>
      </c>
      <c r="J444" s="103">
        <v>293</v>
      </c>
      <c r="K444" s="103">
        <v>137</v>
      </c>
      <c r="L444" s="103">
        <v>64</v>
      </c>
      <c r="M444" s="103">
        <v>21</v>
      </c>
      <c r="N444" s="103">
        <v>5</v>
      </c>
      <c r="O444" s="103">
        <v>3</v>
      </c>
      <c r="P444" s="42"/>
      <c r="Q444" s="110"/>
      <c r="R444" s="46" t="s">
        <v>4</v>
      </c>
      <c r="S444" s="103">
        <v>185</v>
      </c>
      <c r="T444" s="103">
        <v>567</v>
      </c>
      <c r="U444" s="103">
        <v>665</v>
      </c>
      <c r="V444" s="103">
        <v>427</v>
      </c>
      <c r="W444" s="103">
        <v>145</v>
      </c>
      <c r="X444" s="103">
        <v>74</v>
      </c>
      <c r="Y444" s="103">
        <v>37</v>
      </c>
      <c r="Z444" s="103">
        <v>10</v>
      </c>
      <c r="AA444" s="103">
        <v>3</v>
      </c>
      <c r="AB444" s="103">
        <v>0</v>
      </c>
      <c r="AC444" s="42"/>
      <c r="AD444" s="110"/>
      <c r="AE444" s="46" t="s">
        <v>4</v>
      </c>
      <c r="AF444" s="103">
        <v>299</v>
      </c>
      <c r="AG444" s="103">
        <v>617</v>
      </c>
      <c r="AH444" s="103">
        <v>540</v>
      </c>
      <c r="AI444" s="103">
        <v>386</v>
      </c>
      <c r="AJ444" s="103">
        <v>148</v>
      </c>
      <c r="AK444" s="103">
        <v>63</v>
      </c>
      <c r="AL444" s="103">
        <v>27</v>
      </c>
      <c r="AM444" s="103">
        <v>11</v>
      </c>
      <c r="AN444" s="103">
        <v>2</v>
      </c>
      <c r="AO444" s="103">
        <v>3</v>
      </c>
      <c r="AP444" s="6"/>
      <c r="AQ444" s="110"/>
      <c r="AR444" s="46" t="s">
        <v>4</v>
      </c>
      <c r="AS444" s="103">
        <v>271</v>
      </c>
      <c r="AT444" s="103">
        <v>552</v>
      </c>
      <c r="AU444" s="103">
        <v>501</v>
      </c>
      <c r="AV444" s="103">
        <v>312</v>
      </c>
      <c r="AW444" s="103">
        <v>88</v>
      </c>
      <c r="AX444" s="103">
        <v>37</v>
      </c>
      <c r="AY444" s="103">
        <v>28</v>
      </c>
      <c r="AZ444" s="103">
        <v>4</v>
      </c>
      <c r="BA444" s="103">
        <v>1</v>
      </c>
      <c r="BB444" s="103">
        <v>0</v>
      </c>
      <c r="BC444" s="42"/>
      <c r="BD444" s="110"/>
      <c r="BE444" s="46" t="s">
        <v>4</v>
      </c>
      <c r="BF444" s="103">
        <v>213</v>
      </c>
      <c r="BG444" s="103">
        <v>632</v>
      </c>
      <c r="BH444" s="103">
        <v>704</v>
      </c>
      <c r="BI444" s="103">
        <v>501</v>
      </c>
      <c r="BJ444" s="103">
        <v>205</v>
      </c>
      <c r="BK444" s="103">
        <v>100</v>
      </c>
      <c r="BL444" s="103">
        <v>36</v>
      </c>
      <c r="BM444" s="103">
        <v>17</v>
      </c>
      <c r="BN444" s="103">
        <v>4</v>
      </c>
      <c r="BO444" s="103">
        <v>3</v>
      </c>
      <c r="BQ444" s="110"/>
      <c r="BR444" s="46" t="s">
        <v>4</v>
      </c>
      <c r="BS444" s="103">
        <v>195</v>
      </c>
      <c r="BT444" s="103">
        <v>476</v>
      </c>
      <c r="BU444" s="103">
        <v>448</v>
      </c>
      <c r="BV444" s="103">
        <v>331</v>
      </c>
      <c r="BW444" s="103">
        <v>105</v>
      </c>
      <c r="BX444" s="103">
        <v>42</v>
      </c>
      <c r="BY444" s="103">
        <v>22</v>
      </c>
      <c r="BZ444" s="103">
        <v>7</v>
      </c>
      <c r="CA444" s="103">
        <v>0</v>
      </c>
      <c r="CB444" s="103">
        <v>1</v>
      </c>
      <c r="CC444" s="42"/>
      <c r="CD444" s="110"/>
      <c r="CE444" s="46" t="s">
        <v>4</v>
      </c>
      <c r="CF444" s="103">
        <v>289</v>
      </c>
      <c r="CG444" s="103">
        <v>708</v>
      </c>
      <c r="CH444" s="103">
        <v>757</v>
      </c>
      <c r="CI444" s="103">
        <v>482</v>
      </c>
      <c r="CJ444" s="103">
        <v>188</v>
      </c>
      <c r="CK444" s="103">
        <v>95</v>
      </c>
      <c r="CL444" s="103">
        <v>42</v>
      </c>
      <c r="CM444" s="103">
        <v>14</v>
      </c>
      <c r="CN444" s="103">
        <v>5</v>
      </c>
      <c r="CO444" s="103">
        <v>2</v>
      </c>
      <c r="CQ444" s="110"/>
      <c r="CR444" s="46" t="s">
        <v>4</v>
      </c>
      <c r="CS444" s="103">
        <v>67</v>
      </c>
      <c r="CT444" s="103">
        <v>170</v>
      </c>
      <c r="CU444" s="103">
        <v>218</v>
      </c>
      <c r="CV444" s="103">
        <v>199</v>
      </c>
      <c r="CW444" s="103">
        <v>94</v>
      </c>
      <c r="CX444" s="103">
        <v>51</v>
      </c>
      <c r="CY444" s="103">
        <v>27</v>
      </c>
      <c r="CZ444" s="103">
        <v>12</v>
      </c>
      <c r="DA444" s="103">
        <v>5</v>
      </c>
      <c r="DB444" s="103">
        <v>0</v>
      </c>
      <c r="DC444" s="42"/>
      <c r="DD444" s="110"/>
      <c r="DE444" s="46" t="s">
        <v>4</v>
      </c>
      <c r="DF444" s="103">
        <v>417</v>
      </c>
      <c r="DG444" s="103">
        <v>1014</v>
      </c>
      <c r="DH444" s="103">
        <v>987</v>
      </c>
      <c r="DI444" s="103">
        <v>614</v>
      </c>
      <c r="DJ444" s="103">
        <v>199</v>
      </c>
      <c r="DK444" s="103">
        <v>86</v>
      </c>
      <c r="DL444" s="103">
        <v>37</v>
      </c>
      <c r="DM444" s="103">
        <v>9</v>
      </c>
      <c r="DN444" s="103">
        <v>0</v>
      </c>
      <c r="DO444" s="103">
        <v>3</v>
      </c>
    </row>
    <row r="445" spans="2:119" ht="16.5" customHeight="1" x14ac:dyDescent="0.45">
      <c r="B445" s="134"/>
      <c r="C445" s="42"/>
      <c r="D445" s="110"/>
      <c r="E445" s="46" t="s">
        <v>5</v>
      </c>
      <c r="F445" s="103">
        <v>777</v>
      </c>
      <c r="G445" s="103">
        <v>1912</v>
      </c>
      <c r="H445" s="103">
        <v>2367</v>
      </c>
      <c r="I445" s="103">
        <v>1809</v>
      </c>
      <c r="J445" s="103">
        <v>812</v>
      </c>
      <c r="K445" s="103">
        <v>459</v>
      </c>
      <c r="L445" s="103">
        <v>218</v>
      </c>
      <c r="M445" s="103">
        <v>81</v>
      </c>
      <c r="N445" s="103">
        <v>17</v>
      </c>
      <c r="O445" s="103">
        <v>2</v>
      </c>
      <c r="P445" s="42"/>
      <c r="Q445" s="110"/>
      <c r="R445" s="46" t="s">
        <v>5</v>
      </c>
      <c r="S445" s="103">
        <v>257</v>
      </c>
      <c r="T445" s="103">
        <v>924</v>
      </c>
      <c r="U445" s="103">
        <v>1369</v>
      </c>
      <c r="V445" s="103">
        <v>1004</v>
      </c>
      <c r="W445" s="103">
        <v>460</v>
      </c>
      <c r="X445" s="103">
        <v>261</v>
      </c>
      <c r="Y445" s="103">
        <v>128</v>
      </c>
      <c r="Z445" s="103">
        <v>42</v>
      </c>
      <c r="AA445" s="103">
        <v>9</v>
      </c>
      <c r="AB445" s="103">
        <v>1</v>
      </c>
      <c r="AC445" s="42"/>
      <c r="AD445" s="110"/>
      <c r="AE445" s="46" t="s">
        <v>5</v>
      </c>
      <c r="AF445" s="103">
        <v>520</v>
      </c>
      <c r="AG445" s="103">
        <v>988</v>
      </c>
      <c r="AH445" s="103">
        <v>998</v>
      </c>
      <c r="AI445" s="103">
        <v>805</v>
      </c>
      <c r="AJ445" s="103">
        <v>352</v>
      </c>
      <c r="AK445" s="103">
        <v>198</v>
      </c>
      <c r="AL445" s="103">
        <v>90</v>
      </c>
      <c r="AM445" s="103">
        <v>39</v>
      </c>
      <c r="AN445" s="103">
        <v>8</v>
      </c>
      <c r="AO445" s="103">
        <v>1</v>
      </c>
      <c r="AP445" s="6"/>
      <c r="AQ445" s="110"/>
      <c r="AR445" s="46" t="s">
        <v>5</v>
      </c>
      <c r="AS445" s="103">
        <v>374</v>
      </c>
      <c r="AT445" s="103">
        <v>851</v>
      </c>
      <c r="AU445" s="103">
        <v>941</v>
      </c>
      <c r="AV445" s="103">
        <v>591</v>
      </c>
      <c r="AW445" s="103">
        <v>234</v>
      </c>
      <c r="AX445" s="103">
        <v>137</v>
      </c>
      <c r="AY445" s="103">
        <v>61</v>
      </c>
      <c r="AZ445" s="103">
        <v>17</v>
      </c>
      <c r="BA445" s="103">
        <v>3</v>
      </c>
      <c r="BB445" s="103">
        <v>1</v>
      </c>
      <c r="BC445" s="42"/>
      <c r="BD445" s="110"/>
      <c r="BE445" s="46" t="s">
        <v>5</v>
      </c>
      <c r="BF445" s="103">
        <v>403</v>
      </c>
      <c r="BG445" s="103">
        <v>1061</v>
      </c>
      <c r="BH445" s="103">
        <v>1426</v>
      </c>
      <c r="BI445" s="103">
        <v>1218</v>
      </c>
      <c r="BJ445" s="103">
        <v>578</v>
      </c>
      <c r="BK445" s="103">
        <v>322</v>
      </c>
      <c r="BL445" s="103">
        <v>157</v>
      </c>
      <c r="BM445" s="103">
        <v>64</v>
      </c>
      <c r="BN445" s="103">
        <v>14</v>
      </c>
      <c r="BO445" s="103">
        <v>1</v>
      </c>
      <c r="BQ445" s="110"/>
      <c r="BR445" s="46" t="s">
        <v>5</v>
      </c>
      <c r="BS445" s="103">
        <v>244</v>
      </c>
      <c r="BT445" s="103">
        <v>573</v>
      </c>
      <c r="BU445" s="103">
        <v>632</v>
      </c>
      <c r="BV445" s="103">
        <v>444</v>
      </c>
      <c r="BW445" s="103">
        <v>196</v>
      </c>
      <c r="BX445" s="103">
        <v>122</v>
      </c>
      <c r="BY445" s="103">
        <v>46</v>
      </c>
      <c r="BZ445" s="103">
        <v>15</v>
      </c>
      <c r="CA445" s="103">
        <v>4</v>
      </c>
      <c r="CB445" s="103">
        <v>1</v>
      </c>
      <c r="CC445" s="42"/>
      <c r="CD445" s="110"/>
      <c r="CE445" s="46" t="s">
        <v>5</v>
      </c>
      <c r="CF445" s="103">
        <v>533</v>
      </c>
      <c r="CG445" s="103">
        <v>1339</v>
      </c>
      <c r="CH445" s="103">
        <v>1735</v>
      </c>
      <c r="CI445" s="103">
        <v>1365</v>
      </c>
      <c r="CJ445" s="103">
        <v>616</v>
      </c>
      <c r="CK445" s="103">
        <v>337</v>
      </c>
      <c r="CL445" s="103">
        <v>172</v>
      </c>
      <c r="CM445" s="103">
        <v>66</v>
      </c>
      <c r="CN445" s="103">
        <v>13</v>
      </c>
      <c r="CO445" s="103">
        <v>1</v>
      </c>
      <c r="CQ445" s="110"/>
      <c r="CR445" s="46" t="s">
        <v>5</v>
      </c>
      <c r="CS445" s="103">
        <v>87</v>
      </c>
      <c r="CT445" s="103">
        <v>231</v>
      </c>
      <c r="CU445" s="103">
        <v>329</v>
      </c>
      <c r="CV445" s="103">
        <v>375</v>
      </c>
      <c r="CW445" s="103">
        <v>174</v>
      </c>
      <c r="CX445" s="103">
        <v>134</v>
      </c>
      <c r="CY445" s="103">
        <v>67</v>
      </c>
      <c r="CZ445" s="103">
        <v>30</v>
      </c>
      <c r="DA445" s="103">
        <v>5</v>
      </c>
      <c r="DB445" s="103">
        <v>1</v>
      </c>
      <c r="DC445" s="42"/>
      <c r="DD445" s="110"/>
      <c r="DE445" s="46" t="s">
        <v>5</v>
      </c>
      <c r="DF445" s="103">
        <v>690</v>
      </c>
      <c r="DG445" s="103">
        <v>1681</v>
      </c>
      <c r="DH445" s="103">
        <v>2038</v>
      </c>
      <c r="DI445" s="103">
        <v>1434</v>
      </c>
      <c r="DJ445" s="103">
        <v>638</v>
      </c>
      <c r="DK445" s="103">
        <v>325</v>
      </c>
      <c r="DL445" s="103">
        <v>151</v>
      </c>
      <c r="DM445" s="103">
        <v>51</v>
      </c>
      <c r="DN445" s="103">
        <v>12</v>
      </c>
      <c r="DO445" s="103">
        <v>1</v>
      </c>
    </row>
    <row r="446" spans="2:119" ht="16.5" customHeight="1" x14ac:dyDescent="0.45">
      <c r="B446" s="134"/>
      <c r="C446" s="42"/>
      <c r="D446" s="110"/>
      <c r="E446" s="46" t="s">
        <v>6</v>
      </c>
      <c r="F446" s="103">
        <v>1293</v>
      </c>
      <c r="G446" s="103">
        <v>3183</v>
      </c>
      <c r="H446" s="103">
        <v>4714</v>
      </c>
      <c r="I446" s="103">
        <v>4605</v>
      </c>
      <c r="J446" s="103">
        <v>2353</v>
      </c>
      <c r="K446" s="103">
        <v>1530</v>
      </c>
      <c r="L446" s="103">
        <v>792</v>
      </c>
      <c r="M446" s="103">
        <v>299</v>
      </c>
      <c r="N446" s="103">
        <v>105</v>
      </c>
      <c r="O446" s="103">
        <v>23</v>
      </c>
      <c r="P446" s="42"/>
      <c r="Q446" s="110"/>
      <c r="R446" s="46" t="s">
        <v>6</v>
      </c>
      <c r="S446" s="103">
        <v>441</v>
      </c>
      <c r="T446" s="103">
        <v>1490</v>
      </c>
      <c r="U446" s="103">
        <v>2514</v>
      </c>
      <c r="V446" s="103">
        <v>2569</v>
      </c>
      <c r="W446" s="103">
        <v>1342</v>
      </c>
      <c r="X446" s="103">
        <v>928</v>
      </c>
      <c r="Y446" s="103">
        <v>460</v>
      </c>
      <c r="Z446" s="103">
        <v>184</v>
      </c>
      <c r="AA446" s="103">
        <v>70</v>
      </c>
      <c r="AB446" s="103">
        <v>13</v>
      </c>
      <c r="AC446" s="42"/>
      <c r="AD446" s="110"/>
      <c r="AE446" s="46" t="s">
        <v>6</v>
      </c>
      <c r="AF446" s="103">
        <v>852</v>
      </c>
      <c r="AG446" s="103">
        <v>1693</v>
      </c>
      <c r="AH446" s="103">
        <v>2200</v>
      </c>
      <c r="AI446" s="103">
        <v>2036</v>
      </c>
      <c r="AJ446" s="103">
        <v>1011</v>
      </c>
      <c r="AK446" s="103">
        <v>602</v>
      </c>
      <c r="AL446" s="103">
        <v>332</v>
      </c>
      <c r="AM446" s="103">
        <v>115</v>
      </c>
      <c r="AN446" s="103">
        <v>35</v>
      </c>
      <c r="AO446" s="103">
        <v>10</v>
      </c>
      <c r="AP446" s="6"/>
      <c r="AQ446" s="110"/>
      <c r="AR446" s="46" t="s">
        <v>6</v>
      </c>
      <c r="AS446" s="103">
        <v>666</v>
      </c>
      <c r="AT446" s="103">
        <v>1413</v>
      </c>
      <c r="AU446" s="103">
        <v>1795</v>
      </c>
      <c r="AV446" s="103">
        <v>1519</v>
      </c>
      <c r="AW446" s="103">
        <v>657</v>
      </c>
      <c r="AX446" s="103">
        <v>414</v>
      </c>
      <c r="AY446" s="103">
        <v>186</v>
      </c>
      <c r="AZ446" s="103">
        <v>74</v>
      </c>
      <c r="BA446" s="103">
        <v>31</v>
      </c>
      <c r="BB446" s="103">
        <v>4</v>
      </c>
      <c r="BC446" s="42"/>
      <c r="BD446" s="110"/>
      <c r="BE446" s="46" t="s">
        <v>6</v>
      </c>
      <c r="BF446" s="103">
        <v>627</v>
      </c>
      <c r="BG446" s="103">
        <v>1770</v>
      </c>
      <c r="BH446" s="103">
        <v>2919</v>
      </c>
      <c r="BI446" s="103">
        <v>3086</v>
      </c>
      <c r="BJ446" s="103">
        <v>1696</v>
      </c>
      <c r="BK446" s="103">
        <v>1116</v>
      </c>
      <c r="BL446" s="103">
        <v>606</v>
      </c>
      <c r="BM446" s="103">
        <v>225</v>
      </c>
      <c r="BN446" s="103">
        <v>74</v>
      </c>
      <c r="BO446" s="103">
        <v>19</v>
      </c>
      <c r="BQ446" s="110"/>
      <c r="BR446" s="46" t="s">
        <v>6</v>
      </c>
      <c r="BS446" s="103">
        <v>313</v>
      </c>
      <c r="BT446" s="103">
        <v>625</v>
      </c>
      <c r="BU446" s="103">
        <v>802</v>
      </c>
      <c r="BV446" s="103">
        <v>735</v>
      </c>
      <c r="BW446" s="103">
        <v>363</v>
      </c>
      <c r="BX446" s="103">
        <v>216</v>
      </c>
      <c r="BY446" s="103">
        <v>105</v>
      </c>
      <c r="BZ446" s="103">
        <v>44</v>
      </c>
      <c r="CA446" s="103">
        <v>20</v>
      </c>
      <c r="CB446" s="103">
        <v>3</v>
      </c>
      <c r="CC446" s="42"/>
      <c r="CD446" s="110"/>
      <c r="CE446" s="46" t="s">
        <v>6</v>
      </c>
      <c r="CF446" s="103">
        <v>980</v>
      </c>
      <c r="CG446" s="103">
        <v>2558</v>
      </c>
      <c r="CH446" s="103">
        <v>3912</v>
      </c>
      <c r="CI446" s="103">
        <v>3870</v>
      </c>
      <c r="CJ446" s="103">
        <v>1990</v>
      </c>
      <c r="CK446" s="103">
        <v>1314</v>
      </c>
      <c r="CL446" s="103">
        <v>687</v>
      </c>
      <c r="CM446" s="103">
        <v>255</v>
      </c>
      <c r="CN446" s="103">
        <v>85</v>
      </c>
      <c r="CO446" s="103">
        <v>20</v>
      </c>
      <c r="CQ446" s="110"/>
      <c r="CR446" s="46" t="s">
        <v>6</v>
      </c>
      <c r="CS446" s="103">
        <v>138</v>
      </c>
      <c r="CT446" s="103">
        <v>378</v>
      </c>
      <c r="CU446" s="103">
        <v>642</v>
      </c>
      <c r="CV446" s="103">
        <v>803</v>
      </c>
      <c r="CW446" s="103">
        <v>480</v>
      </c>
      <c r="CX446" s="103">
        <v>371</v>
      </c>
      <c r="CY446" s="103">
        <v>212</v>
      </c>
      <c r="CZ446" s="103">
        <v>97</v>
      </c>
      <c r="DA446" s="103">
        <v>40</v>
      </c>
      <c r="DB446" s="103">
        <v>6</v>
      </c>
      <c r="DC446" s="42"/>
      <c r="DD446" s="110"/>
      <c r="DE446" s="46" t="s">
        <v>6</v>
      </c>
      <c r="DF446" s="103">
        <v>1155</v>
      </c>
      <c r="DG446" s="103">
        <v>2805</v>
      </c>
      <c r="DH446" s="103">
        <v>4072</v>
      </c>
      <c r="DI446" s="103">
        <v>3802</v>
      </c>
      <c r="DJ446" s="103">
        <v>1873</v>
      </c>
      <c r="DK446" s="103">
        <v>1159</v>
      </c>
      <c r="DL446" s="103">
        <v>580</v>
      </c>
      <c r="DM446" s="103">
        <v>202</v>
      </c>
      <c r="DN446" s="103">
        <v>65</v>
      </c>
      <c r="DO446" s="103">
        <v>17</v>
      </c>
    </row>
    <row r="447" spans="2:119" ht="16.5" customHeight="1" x14ac:dyDescent="0.45">
      <c r="B447" s="134"/>
      <c r="C447" s="42"/>
      <c r="D447" s="110"/>
      <c r="E447" s="46" t="s">
        <v>7</v>
      </c>
      <c r="F447" s="103">
        <v>1737</v>
      </c>
      <c r="G447" s="103">
        <v>4287</v>
      </c>
      <c r="H447" s="103">
        <v>7029</v>
      </c>
      <c r="I447" s="103">
        <v>8994</v>
      </c>
      <c r="J447" s="103">
        <v>5722</v>
      </c>
      <c r="K447" s="103">
        <v>4432</v>
      </c>
      <c r="L447" s="103">
        <v>2776</v>
      </c>
      <c r="M447" s="103">
        <v>1295</v>
      </c>
      <c r="N447" s="103">
        <v>422</v>
      </c>
      <c r="O447" s="103">
        <v>85</v>
      </c>
      <c r="P447" s="42"/>
      <c r="Q447" s="110"/>
      <c r="R447" s="46" t="s">
        <v>7</v>
      </c>
      <c r="S447" s="103">
        <v>611</v>
      </c>
      <c r="T447" s="103">
        <v>1910</v>
      </c>
      <c r="U447" s="103">
        <v>3671</v>
      </c>
      <c r="V447" s="103">
        <v>4920</v>
      </c>
      <c r="W447" s="103">
        <v>3219</v>
      </c>
      <c r="X447" s="103">
        <v>2637</v>
      </c>
      <c r="Y447" s="103">
        <v>1695</v>
      </c>
      <c r="Z447" s="103">
        <v>850</v>
      </c>
      <c r="AA447" s="103">
        <v>270</v>
      </c>
      <c r="AB447" s="103">
        <v>55</v>
      </c>
      <c r="AC447" s="42"/>
      <c r="AD447" s="110"/>
      <c r="AE447" s="46" t="s">
        <v>7</v>
      </c>
      <c r="AF447" s="103">
        <v>1126</v>
      </c>
      <c r="AG447" s="103">
        <v>2377</v>
      </c>
      <c r="AH447" s="103">
        <v>3358</v>
      </c>
      <c r="AI447" s="103">
        <v>4074</v>
      </c>
      <c r="AJ447" s="103">
        <v>2503</v>
      </c>
      <c r="AK447" s="103">
        <v>1795</v>
      </c>
      <c r="AL447" s="103">
        <v>1081</v>
      </c>
      <c r="AM447" s="103">
        <v>445</v>
      </c>
      <c r="AN447" s="103">
        <v>152</v>
      </c>
      <c r="AO447" s="103">
        <v>30</v>
      </c>
      <c r="AP447" s="6"/>
      <c r="AQ447" s="110"/>
      <c r="AR447" s="46" t="s">
        <v>7</v>
      </c>
      <c r="AS447" s="103">
        <v>810</v>
      </c>
      <c r="AT447" s="103">
        <v>1802</v>
      </c>
      <c r="AU447" s="103">
        <v>2596</v>
      </c>
      <c r="AV447" s="103">
        <v>2847</v>
      </c>
      <c r="AW447" s="103">
        <v>1491</v>
      </c>
      <c r="AX447" s="103">
        <v>1115</v>
      </c>
      <c r="AY447" s="103">
        <v>599</v>
      </c>
      <c r="AZ447" s="103">
        <v>257</v>
      </c>
      <c r="BA447" s="103">
        <v>96</v>
      </c>
      <c r="BB447" s="103">
        <v>16</v>
      </c>
      <c r="BC447" s="42"/>
      <c r="BD447" s="110"/>
      <c r="BE447" s="46" t="s">
        <v>7</v>
      </c>
      <c r="BF447" s="103">
        <v>927</v>
      </c>
      <c r="BG447" s="103">
        <v>2485</v>
      </c>
      <c r="BH447" s="103">
        <v>4433</v>
      </c>
      <c r="BI447" s="103">
        <v>6147</v>
      </c>
      <c r="BJ447" s="103">
        <v>4231</v>
      </c>
      <c r="BK447" s="103">
        <v>3317</v>
      </c>
      <c r="BL447" s="103">
        <v>2177</v>
      </c>
      <c r="BM447" s="103">
        <v>1038</v>
      </c>
      <c r="BN447" s="103">
        <v>326</v>
      </c>
      <c r="BO447" s="103">
        <v>69</v>
      </c>
      <c r="BQ447" s="110"/>
      <c r="BR447" s="46" t="s">
        <v>7</v>
      </c>
      <c r="BS447" s="103">
        <v>266</v>
      </c>
      <c r="BT447" s="103">
        <v>665</v>
      </c>
      <c r="BU447" s="103">
        <v>878</v>
      </c>
      <c r="BV447" s="103">
        <v>921</v>
      </c>
      <c r="BW447" s="103">
        <v>555</v>
      </c>
      <c r="BX447" s="103">
        <v>404</v>
      </c>
      <c r="BY447" s="103">
        <v>247</v>
      </c>
      <c r="BZ447" s="103">
        <v>112</v>
      </c>
      <c r="CA447" s="103">
        <v>44</v>
      </c>
      <c r="CB447" s="103">
        <v>3</v>
      </c>
      <c r="CC447" s="42"/>
      <c r="CD447" s="110"/>
      <c r="CE447" s="46" t="s">
        <v>7</v>
      </c>
      <c r="CF447" s="103">
        <v>1471</v>
      </c>
      <c r="CG447" s="103">
        <v>3622</v>
      </c>
      <c r="CH447" s="103">
        <v>6151</v>
      </c>
      <c r="CI447" s="103">
        <v>8073</v>
      </c>
      <c r="CJ447" s="103">
        <v>5167</v>
      </c>
      <c r="CK447" s="103">
        <v>4028</v>
      </c>
      <c r="CL447" s="103">
        <v>2529</v>
      </c>
      <c r="CM447" s="103">
        <v>1183</v>
      </c>
      <c r="CN447" s="103">
        <v>378</v>
      </c>
      <c r="CO447" s="103">
        <v>82</v>
      </c>
      <c r="CQ447" s="110"/>
      <c r="CR447" s="46" t="s">
        <v>7</v>
      </c>
      <c r="CS447" s="103">
        <v>160</v>
      </c>
      <c r="CT447" s="103">
        <v>422</v>
      </c>
      <c r="CU447" s="103">
        <v>860</v>
      </c>
      <c r="CV447" s="103">
        <v>1307</v>
      </c>
      <c r="CW447" s="103">
        <v>971</v>
      </c>
      <c r="CX447" s="103">
        <v>879</v>
      </c>
      <c r="CY447" s="103">
        <v>575</v>
      </c>
      <c r="CZ447" s="103">
        <v>328</v>
      </c>
      <c r="DA447" s="103">
        <v>121</v>
      </c>
      <c r="DB447" s="103">
        <v>26</v>
      </c>
      <c r="DC447" s="42"/>
      <c r="DD447" s="110"/>
      <c r="DE447" s="46" t="s">
        <v>7</v>
      </c>
      <c r="DF447" s="103">
        <v>1577</v>
      </c>
      <c r="DG447" s="103">
        <v>3865</v>
      </c>
      <c r="DH447" s="103">
        <v>6169</v>
      </c>
      <c r="DI447" s="103">
        <v>7687</v>
      </c>
      <c r="DJ447" s="103">
        <v>4751</v>
      </c>
      <c r="DK447" s="103">
        <v>3553</v>
      </c>
      <c r="DL447" s="103">
        <v>2201</v>
      </c>
      <c r="DM447" s="103">
        <v>967</v>
      </c>
      <c r="DN447" s="103">
        <v>301</v>
      </c>
      <c r="DO447" s="103">
        <v>59</v>
      </c>
    </row>
    <row r="448" spans="2:119" ht="16.5" customHeight="1" x14ac:dyDescent="0.45">
      <c r="B448" s="134"/>
      <c r="C448" s="42"/>
      <c r="D448" s="110"/>
      <c r="E448" s="46" t="s">
        <v>8</v>
      </c>
      <c r="F448" s="103">
        <v>1350</v>
      </c>
      <c r="G448" s="103">
        <v>3406</v>
      </c>
      <c r="H448" s="103">
        <v>6089</v>
      </c>
      <c r="I448" s="103">
        <v>10172</v>
      </c>
      <c r="J448" s="103">
        <v>8416</v>
      </c>
      <c r="K448" s="103">
        <v>8530</v>
      </c>
      <c r="L448" s="103">
        <v>6794</v>
      </c>
      <c r="M448" s="103">
        <v>3889</v>
      </c>
      <c r="N448" s="103">
        <v>1669</v>
      </c>
      <c r="O448" s="103">
        <v>437</v>
      </c>
      <c r="P448" s="42"/>
      <c r="Q448" s="110"/>
      <c r="R448" s="46" t="s">
        <v>8</v>
      </c>
      <c r="S448" s="103">
        <v>408</v>
      </c>
      <c r="T448" s="103">
        <v>1343</v>
      </c>
      <c r="U448" s="103">
        <v>2978</v>
      </c>
      <c r="V448" s="103">
        <v>5320</v>
      </c>
      <c r="W448" s="103">
        <v>4516</v>
      </c>
      <c r="X448" s="103">
        <v>4824</v>
      </c>
      <c r="Y448" s="103">
        <v>4032</v>
      </c>
      <c r="Z448" s="103">
        <v>2563</v>
      </c>
      <c r="AA448" s="103">
        <v>1158</v>
      </c>
      <c r="AB448" s="103">
        <v>316</v>
      </c>
      <c r="AC448" s="42"/>
      <c r="AD448" s="110"/>
      <c r="AE448" s="46" t="s">
        <v>8</v>
      </c>
      <c r="AF448" s="103">
        <v>942</v>
      </c>
      <c r="AG448" s="103">
        <v>2063</v>
      </c>
      <c r="AH448" s="103">
        <v>3111</v>
      </c>
      <c r="AI448" s="103">
        <v>4852</v>
      </c>
      <c r="AJ448" s="103">
        <v>3900</v>
      </c>
      <c r="AK448" s="103">
        <v>3706</v>
      </c>
      <c r="AL448" s="103">
        <v>2762</v>
      </c>
      <c r="AM448" s="103">
        <v>1326</v>
      </c>
      <c r="AN448" s="103">
        <v>511</v>
      </c>
      <c r="AO448" s="103">
        <v>121</v>
      </c>
      <c r="AP448" s="6"/>
      <c r="AQ448" s="110"/>
      <c r="AR448" s="46" t="s">
        <v>8</v>
      </c>
      <c r="AS448" s="103">
        <v>615</v>
      </c>
      <c r="AT448" s="103">
        <v>1387</v>
      </c>
      <c r="AU448" s="103">
        <v>2205</v>
      </c>
      <c r="AV448" s="103">
        <v>2855</v>
      </c>
      <c r="AW448" s="103">
        <v>2048</v>
      </c>
      <c r="AX448" s="103">
        <v>1790</v>
      </c>
      <c r="AY448" s="103">
        <v>1331</v>
      </c>
      <c r="AZ448" s="103">
        <v>716</v>
      </c>
      <c r="BA448" s="103">
        <v>286</v>
      </c>
      <c r="BB448" s="103">
        <v>85</v>
      </c>
      <c r="BC448" s="42"/>
      <c r="BD448" s="110"/>
      <c r="BE448" s="46" t="s">
        <v>8</v>
      </c>
      <c r="BF448" s="103">
        <v>735</v>
      </c>
      <c r="BG448" s="103">
        <v>2019</v>
      </c>
      <c r="BH448" s="103">
        <v>3884</v>
      </c>
      <c r="BI448" s="103">
        <v>7317</v>
      </c>
      <c r="BJ448" s="103">
        <v>6368</v>
      </c>
      <c r="BK448" s="103">
        <v>6740</v>
      </c>
      <c r="BL448" s="103">
        <v>5463</v>
      </c>
      <c r="BM448" s="103">
        <v>3173</v>
      </c>
      <c r="BN448" s="103">
        <v>1383</v>
      </c>
      <c r="BO448" s="103">
        <v>352</v>
      </c>
      <c r="BQ448" s="110"/>
      <c r="BR448" s="46" t="s">
        <v>8</v>
      </c>
      <c r="BS448" s="103">
        <v>191</v>
      </c>
      <c r="BT448" s="103">
        <v>394</v>
      </c>
      <c r="BU448" s="103">
        <v>596</v>
      </c>
      <c r="BV448" s="103">
        <v>748</v>
      </c>
      <c r="BW448" s="103">
        <v>557</v>
      </c>
      <c r="BX448" s="103">
        <v>487</v>
      </c>
      <c r="BY448" s="103">
        <v>368</v>
      </c>
      <c r="BZ448" s="103">
        <v>222</v>
      </c>
      <c r="CA448" s="103">
        <v>93</v>
      </c>
      <c r="CB448" s="103">
        <v>23</v>
      </c>
      <c r="CC448" s="42"/>
      <c r="CD448" s="110"/>
      <c r="CE448" s="46" t="s">
        <v>8</v>
      </c>
      <c r="CF448" s="103">
        <v>1159</v>
      </c>
      <c r="CG448" s="103">
        <v>3012</v>
      </c>
      <c r="CH448" s="103">
        <v>5493</v>
      </c>
      <c r="CI448" s="103">
        <v>9424</v>
      </c>
      <c r="CJ448" s="103">
        <v>7859</v>
      </c>
      <c r="CK448" s="103">
        <v>8043</v>
      </c>
      <c r="CL448" s="103">
        <v>6426</v>
      </c>
      <c r="CM448" s="103">
        <v>3667</v>
      </c>
      <c r="CN448" s="103">
        <v>1576</v>
      </c>
      <c r="CO448" s="103">
        <v>414</v>
      </c>
      <c r="CQ448" s="110"/>
      <c r="CR448" s="46" t="s">
        <v>8</v>
      </c>
      <c r="CS448" s="103">
        <v>106</v>
      </c>
      <c r="CT448" s="103">
        <v>292</v>
      </c>
      <c r="CU448" s="103">
        <v>613</v>
      </c>
      <c r="CV448" s="103">
        <v>1198</v>
      </c>
      <c r="CW448" s="103">
        <v>1120</v>
      </c>
      <c r="CX448" s="103">
        <v>1288</v>
      </c>
      <c r="CY448" s="103">
        <v>1156</v>
      </c>
      <c r="CZ448" s="103">
        <v>729</v>
      </c>
      <c r="DA448" s="103">
        <v>339</v>
      </c>
      <c r="DB448" s="103">
        <v>118</v>
      </c>
      <c r="DC448" s="42"/>
      <c r="DD448" s="110"/>
      <c r="DE448" s="46" t="s">
        <v>8</v>
      </c>
      <c r="DF448" s="103">
        <v>1244</v>
      </c>
      <c r="DG448" s="103">
        <v>3114</v>
      </c>
      <c r="DH448" s="103">
        <v>5476</v>
      </c>
      <c r="DI448" s="103">
        <v>8974</v>
      </c>
      <c r="DJ448" s="103">
        <v>7296</v>
      </c>
      <c r="DK448" s="103">
        <v>7242</v>
      </c>
      <c r="DL448" s="103">
        <v>5638</v>
      </c>
      <c r="DM448" s="103">
        <v>3160</v>
      </c>
      <c r="DN448" s="103">
        <v>1330</v>
      </c>
      <c r="DO448" s="103">
        <v>319</v>
      </c>
    </row>
    <row r="449" spans="2:119" ht="16.5" customHeight="1" x14ac:dyDescent="0.45">
      <c r="B449" s="134"/>
      <c r="C449" s="42"/>
      <c r="D449" s="110"/>
      <c r="E449" s="46" t="s">
        <v>9</v>
      </c>
      <c r="F449" s="103">
        <v>688</v>
      </c>
      <c r="G449" s="103">
        <v>1690</v>
      </c>
      <c r="H449" s="103">
        <v>3371</v>
      </c>
      <c r="I449" s="103">
        <v>6981</v>
      </c>
      <c r="J449" s="103">
        <v>7734</v>
      </c>
      <c r="K449" s="103">
        <v>9971</v>
      </c>
      <c r="L449" s="103">
        <v>10425</v>
      </c>
      <c r="M449" s="103">
        <v>8075</v>
      </c>
      <c r="N449" s="103">
        <v>4651</v>
      </c>
      <c r="O449" s="103">
        <v>1879</v>
      </c>
      <c r="P449" s="42"/>
      <c r="Q449" s="110"/>
      <c r="R449" s="46" t="s">
        <v>9</v>
      </c>
      <c r="S449" s="103">
        <v>192</v>
      </c>
      <c r="T449" s="103">
        <v>582</v>
      </c>
      <c r="U449" s="103">
        <v>1453</v>
      </c>
      <c r="V449" s="103">
        <v>3187</v>
      </c>
      <c r="W449" s="103">
        <v>3781</v>
      </c>
      <c r="X449" s="103">
        <v>5192</v>
      </c>
      <c r="Y449" s="103">
        <v>5834</v>
      </c>
      <c r="Z449" s="103">
        <v>4994</v>
      </c>
      <c r="AA449" s="103">
        <v>3031</v>
      </c>
      <c r="AB449" s="103">
        <v>1326</v>
      </c>
      <c r="AC449" s="42"/>
      <c r="AD449" s="110"/>
      <c r="AE449" s="46" t="s">
        <v>9</v>
      </c>
      <c r="AF449" s="103">
        <v>496</v>
      </c>
      <c r="AG449" s="103">
        <v>1108</v>
      </c>
      <c r="AH449" s="103">
        <v>1918</v>
      </c>
      <c r="AI449" s="103">
        <v>3794</v>
      </c>
      <c r="AJ449" s="103">
        <v>3953</v>
      </c>
      <c r="AK449" s="103">
        <v>4779</v>
      </c>
      <c r="AL449" s="103">
        <v>4591</v>
      </c>
      <c r="AM449" s="103">
        <v>3081</v>
      </c>
      <c r="AN449" s="103">
        <v>1620</v>
      </c>
      <c r="AO449" s="103">
        <v>553</v>
      </c>
      <c r="AP449" s="6"/>
      <c r="AQ449" s="110"/>
      <c r="AR449" s="46" t="s">
        <v>9</v>
      </c>
      <c r="AS449" s="103">
        <v>294</v>
      </c>
      <c r="AT449" s="103">
        <v>605</v>
      </c>
      <c r="AU449" s="103">
        <v>1063</v>
      </c>
      <c r="AV449" s="103">
        <v>1847</v>
      </c>
      <c r="AW449" s="103">
        <v>1742</v>
      </c>
      <c r="AX449" s="103">
        <v>2021</v>
      </c>
      <c r="AY449" s="103">
        <v>1719</v>
      </c>
      <c r="AZ449" s="103">
        <v>1226</v>
      </c>
      <c r="BA449" s="103">
        <v>654</v>
      </c>
      <c r="BB449" s="103">
        <v>244</v>
      </c>
      <c r="BC449" s="42"/>
      <c r="BD449" s="110"/>
      <c r="BE449" s="46" t="s">
        <v>9</v>
      </c>
      <c r="BF449" s="103">
        <v>394</v>
      </c>
      <c r="BG449" s="103">
        <v>1085</v>
      </c>
      <c r="BH449" s="103">
        <v>2308</v>
      </c>
      <c r="BI449" s="103">
        <v>5134</v>
      </c>
      <c r="BJ449" s="103">
        <v>5992</v>
      </c>
      <c r="BK449" s="103">
        <v>7950</v>
      </c>
      <c r="BL449" s="103">
        <v>8706</v>
      </c>
      <c r="BM449" s="103">
        <v>6849</v>
      </c>
      <c r="BN449" s="103">
        <v>3997</v>
      </c>
      <c r="BO449" s="103">
        <v>1635</v>
      </c>
      <c r="BQ449" s="110"/>
      <c r="BR449" s="46" t="s">
        <v>9</v>
      </c>
      <c r="BS449" s="103">
        <v>84</v>
      </c>
      <c r="BT449" s="103">
        <v>182</v>
      </c>
      <c r="BU449" s="103">
        <v>284</v>
      </c>
      <c r="BV449" s="103">
        <v>454</v>
      </c>
      <c r="BW449" s="103">
        <v>394</v>
      </c>
      <c r="BX449" s="103">
        <v>503</v>
      </c>
      <c r="BY449" s="103">
        <v>467</v>
      </c>
      <c r="BZ449" s="103">
        <v>298</v>
      </c>
      <c r="CA449" s="103">
        <v>174</v>
      </c>
      <c r="CB449" s="103">
        <v>87</v>
      </c>
      <c r="CC449" s="42"/>
      <c r="CD449" s="110"/>
      <c r="CE449" s="46" t="s">
        <v>9</v>
      </c>
      <c r="CF449" s="103">
        <v>604</v>
      </c>
      <c r="CG449" s="103">
        <v>1508</v>
      </c>
      <c r="CH449" s="103">
        <v>3087</v>
      </c>
      <c r="CI449" s="103">
        <v>6527</v>
      </c>
      <c r="CJ449" s="103">
        <v>7340</v>
      </c>
      <c r="CK449" s="103">
        <v>9468</v>
      </c>
      <c r="CL449" s="103">
        <v>9958</v>
      </c>
      <c r="CM449" s="103">
        <v>7777</v>
      </c>
      <c r="CN449" s="103">
        <v>4477</v>
      </c>
      <c r="CO449" s="103">
        <v>1792</v>
      </c>
      <c r="CQ449" s="110"/>
      <c r="CR449" s="46" t="s">
        <v>9</v>
      </c>
      <c r="CS449" s="103">
        <v>46</v>
      </c>
      <c r="CT449" s="103">
        <v>131</v>
      </c>
      <c r="CU449" s="103">
        <v>288</v>
      </c>
      <c r="CV449" s="103">
        <v>705</v>
      </c>
      <c r="CW449" s="103">
        <v>806</v>
      </c>
      <c r="CX449" s="103">
        <v>1252</v>
      </c>
      <c r="CY449" s="103">
        <v>1452</v>
      </c>
      <c r="CZ449" s="103">
        <v>1164</v>
      </c>
      <c r="DA449" s="103">
        <v>752</v>
      </c>
      <c r="DB449" s="103">
        <v>309</v>
      </c>
      <c r="DC449" s="42"/>
      <c r="DD449" s="110"/>
      <c r="DE449" s="46" t="s">
        <v>9</v>
      </c>
      <c r="DF449" s="103">
        <v>642</v>
      </c>
      <c r="DG449" s="103">
        <v>1559</v>
      </c>
      <c r="DH449" s="103">
        <v>3083</v>
      </c>
      <c r="DI449" s="103">
        <v>6276</v>
      </c>
      <c r="DJ449" s="103">
        <v>6928</v>
      </c>
      <c r="DK449" s="103">
        <v>8719</v>
      </c>
      <c r="DL449" s="103">
        <v>8973</v>
      </c>
      <c r="DM449" s="103">
        <v>6911</v>
      </c>
      <c r="DN449" s="103">
        <v>3899</v>
      </c>
      <c r="DO449" s="103">
        <v>1570</v>
      </c>
    </row>
    <row r="450" spans="2:119" ht="16.5" customHeight="1" x14ac:dyDescent="0.45">
      <c r="B450" s="134"/>
      <c r="C450" s="42"/>
      <c r="D450" s="110"/>
      <c r="E450" s="46" t="s">
        <v>10</v>
      </c>
      <c r="F450" s="103">
        <v>208</v>
      </c>
      <c r="G450" s="103">
        <v>488</v>
      </c>
      <c r="H450" s="103">
        <v>1030</v>
      </c>
      <c r="I450" s="103">
        <v>2642</v>
      </c>
      <c r="J450" s="103">
        <v>3681</v>
      </c>
      <c r="K450" s="103">
        <v>6589</v>
      </c>
      <c r="L450" s="103">
        <v>9603</v>
      </c>
      <c r="M450" s="103">
        <v>10580</v>
      </c>
      <c r="N450" s="103">
        <v>8912</v>
      </c>
      <c r="O450" s="103">
        <v>5499</v>
      </c>
      <c r="P450" s="42"/>
      <c r="Q450" s="110"/>
      <c r="R450" s="46" t="s">
        <v>10</v>
      </c>
      <c r="S450" s="103">
        <v>52</v>
      </c>
      <c r="T450" s="103">
        <v>141</v>
      </c>
      <c r="U450" s="103">
        <v>391</v>
      </c>
      <c r="V450" s="103">
        <v>1045</v>
      </c>
      <c r="W450" s="103">
        <v>1527</v>
      </c>
      <c r="X450" s="103">
        <v>2901</v>
      </c>
      <c r="Y450" s="103">
        <v>4611</v>
      </c>
      <c r="Z450" s="103">
        <v>5641</v>
      </c>
      <c r="AA450" s="103">
        <v>5342</v>
      </c>
      <c r="AB450" s="103">
        <v>3576</v>
      </c>
      <c r="AC450" s="42"/>
      <c r="AD450" s="110"/>
      <c r="AE450" s="46" t="s">
        <v>10</v>
      </c>
      <c r="AF450" s="103">
        <v>156</v>
      </c>
      <c r="AG450" s="103">
        <v>347</v>
      </c>
      <c r="AH450" s="103">
        <v>639</v>
      </c>
      <c r="AI450" s="103">
        <v>1597</v>
      </c>
      <c r="AJ450" s="103">
        <v>2154</v>
      </c>
      <c r="AK450" s="103">
        <v>3688</v>
      </c>
      <c r="AL450" s="103">
        <v>4992</v>
      </c>
      <c r="AM450" s="103">
        <v>4939</v>
      </c>
      <c r="AN450" s="103">
        <v>3570</v>
      </c>
      <c r="AO450" s="103">
        <v>1923</v>
      </c>
      <c r="AP450" s="6"/>
      <c r="AQ450" s="110"/>
      <c r="AR450" s="46" t="s">
        <v>10</v>
      </c>
      <c r="AS450" s="103">
        <v>88</v>
      </c>
      <c r="AT450" s="103">
        <v>176</v>
      </c>
      <c r="AU450" s="103">
        <v>317</v>
      </c>
      <c r="AV450" s="103">
        <v>684</v>
      </c>
      <c r="AW450" s="103">
        <v>741</v>
      </c>
      <c r="AX450" s="103">
        <v>1140</v>
      </c>
      <c r="AY450" s="103">
        <v>1295</v>
      </c>
      <c r="AZ450" s="103">
        <v>1205</v>
      </c>
      <c r="BA450" s="103">
        <v>857</v>
      </c>
      <c r="BB450" s="103">
        <v>475</v>
      </c>
      <c r="BC450" s="42"/>
      <c r="BD450" s="110"/>
      <c r="BE450" s="46" t="s">
        <v>10</v>
      </c>
      <c r="BF450" s="103">
        <v>120</v>
      </c>
      <c r="BG450" s="103">
        <v>312</v>
      </c>
      <c r="BH450" s="103">
        <v>713</v>
      </c>
      <c r="BI450" s="103">
        <v>1958</v>
      </c>
      <c r="BJ450" s="103">
        <v>2940</v>
      </c>
      <c r="BK450" s="103">
        <v>5449</v>
      </c>
      <c r="BL450" s="103">
        <v>8308</v>
      </c>
      <c r="BM450" s="103">
        <v>9375</v>
      </c>
      <c r="BN450" s="103">
        <v>8055</v>
      </c>
      <c r="BO450" s="103">
        <v>5024</v>
      </c>
      <c r="BQ450" s="110"/>
      <c r="BR450" s="46" t="s">
        <v>10</v>
      </c>
      <c r="BS450" s="103">
        <v>17</v>
      </c>
      <c r="BT450" s="103">
        <v>30</v>
      </c>
      <c r="BU450" s="103">
        <v>78</v>
      </c>
      <c r="BV450" s="103">
        <v>157</v>
      </c>
      <c r="BW450" s="103">
        <v>176</v>
      </c>
      <c r="BX450" s="103">
        <v>281</v>
      </c>
      <c r="BY450" s="103">
        <v>376</v>
      </c>
      <c r="BZ450" s="103">
        <v>367</v>
      </c>
      <c r="CA450" s="103">
        <v>253</v>
      </c>
      <c r="CB450" s="103">
        <v>164</v>
      </c>
      <c r="CC450" s="42"/>
      <c r="CD450" s="110"/>
      <c r="CE450" s="46" t="s">
        <v>10</v>
      </c>
      <c r="CF450" s="103">
        <v>191</v>
      </c>
      <c r="CG450" s="103">
        <v>458</v>
      </c>
      <c r="CH450" s="103">
        <v>952</v>
      </c>
      <c r="CI450" s="103">
        <v>2485</v>
      </c>
      <c r="CJ450" s="103">
        <v>3505</v>
      </c>
      <c r="CK450" s="103">
        <v>6308</v>
      </c>
      <c r="CL450" s="103">
        <v>9227</v>
      </c>
      <c r="CM450" s="103">
        <v>10213</v>
      </c>
      <c r="CN450" s="103">
        <v>8659</v>
      </c>
      <c r="CO450" s="103">
        <v>5335</v>
      </c>
      <c r="CQ450" s="110"/>
      <c r="CR450" s="46" t="s">
        <v>10</v>
      </c>
      <c r="CS450" s="103">
        <v>13</v>
      </c>
      <c r="CT450" s="103">
        <v>41</v>
      </c>
      <c r="CU450" s="103">
        <v>99</v>
      </c>
      <c r="CV450" s="103">
        <v>218</v>
      </c>
      <c r="CW450" s="103">
        <v>369</v>
      </c>
      <c r="CX450" s="103">
        <v>699</v>
      </c>
      <c r="CY450" s="103">
        <v>1095</v>
      </c>
      <c r="CZ450" s="103">
        <v>1312</v>
      </c>
      <c r="DA450" s="103">
        <v>1221</v>
      </c>
      <c r="DB450" s="103">
        <v>818</v>
      </c>
      <c r="DC450" s="42"/>
      <c r="DD450" s="110"/>
      <c r="DE450" s="46" t="s">
        <v>10</v>
      </c>
      <c r="DF450" s="103">
        <v>195</v>
      </c>
      <c r="DG450" s="103">
        <v>447</v>
      </c>
      <c r="DH450" s="103">
        <v>931</v>
      </c>
      <c r="DI450" s="103">
        <v>2424</v>
      </c>
      <c r="DJ450" s="103">
        <v>3312</v>
      </c>
      <c r="DK450" s="103">
        <v>5890</v>
      </c>
      <c r="DL450" s="103">
        <v>8508</v>
      </c>
      <c r="DM450" s="103">
        <v>9268</v>
      </c>
      <c r="DN450" s="103">
        <v>7691</v>
      </c>
      <c r="DO450" s="103">
        <v>4681</v>
      </c>
    </row>
    <row r="451" spans="2:119" ht="16.5" customHeight="1" x14ac:dyDescent="0.45">
      <c r="B451" s="134"/>
      <c r="C451" s="42"/>
      <c r="D451" s="111"/>
      <c r="E451" s="46" t="s">
        <v>11</v>
      </c>
      <c r="F451" s="103">
        <v>11</v>
      </c>
      <c r="G451" s="103">
        <v>23</v>
      </c>
      <c r="H451" s="103">
        <v>64</v>
      </c>
      <c r="I451" s="103">
        <v>189</v>
      </c>
      <c r="J451" s="103">
        <v>304</v>
      </c>
      <c r="K451" s="103">
        <v>691</v>
      </c>
      <c r="L451" s="103">
        <v>1548</v>
      </c>
      <c r="M451" s="103">
        <v>2546</v>
      </c>
      <c r="N451" s="103">
        <v>3373</v>
      </c>
      <c r="O451" s="103">
        <v>3960</v>
      </c>
      <c r="P451" s="42"/>
      <c r="Q451" s="111"/>
      <c r="R451" s="46" t="s">
        <v>11</v>
      </c>
      <c r="S451" s="103">
        <v>1</v>
      </c>
      <c r="T451" s="103">
        <v>3</v>
      </c>
      <c r="U451" s="103">
        <v>17</v>
      </c>
      <c r="V451" s="103">
        <v>72</v>
      </c>
      <c r="W451" s="103">
        <v>110</v>
      </c>
      <c r="X451" s="103">
        <v>253</v>
      </c>
      <c r="Y451" s="103">
        <v>667</v>
      </c>
      <c r="Z451" s="103">
        <v>1183</v>
      </c>
      <c r="AA451" s="103">
        <v>1859</v>
      </c>
      <c r="AB451" s="103">
        <v>2380</v>
      </c>
      <c r="AC451" s="42"/>
      <c r="AD451" s="111"/>
      <c r="AE451" s="46" t="s">
        <v>11</v>
      </c>
      <c r="AF451" s="103">
        <v>10</v>
      </c>
      <c r="AG451" s="103">
        <v>20</v>
      </c>
      <c r="AH451" s="103">
        <v>47</v>
      </c>
      <c r="AI451" s="103">
        <v>117</v>
      </c>
      <c r="AJ451" s="103">
        <v>194</v>
      </c>
      <c r="AK451" s="103">
        <v>438</v>
      </c>
      <c r="AL451" s="103">
        <v>881</v>
      </c>
      <c r="AM451" s="103">
        <v>1363</v>
      </c>
      <c r="AN451" s="103">
        <v>1514</v>
      </c>
      <c r="AO451" s="103">
        <v>1580</v>
      </c>
      <c r="AP451" s="6"/>
      <c r="AQ451" s="111"/>
      <c r="AR451" s="46" t="s">
        <v>11</v>
      </c>
      <c r="AS451" s="103">
        <v>5</v>
      </c>
      <c r="AT451" s="103">
        <v>8</v>
      </c>
      <c r="AU451" s="103">
        <v>26</v>
      </c>
      <c r="AV451" s="103">
        <v>51</v>
      </c>
      <c r="AW451" s="103">
        <v>50</v>
      </c>
      <c r="AX451" s="103">
        <v>98</v>
      </c>
      <c r="AY451" s="103">
        <v>157</v>
      </c>
      <c r="AZ451" s="103">
        <v>184</v>
      </c>
      <c r="BA451" s="103">
        <v>251</v>
      </c>
      <c r="BB451" s="103">
        <v>219</v>
      </c>
      <c r="BC451" s="42"/>
      <c r="BD451" s="111"/>
      <c r="BE451" s="46" t="s">
        <v>11</v>
      </c>
      <c r="BF451" s="103">
        <v>6</v>
      </c>
      <c r="BG451" s="103">
        <v>15</v>
      </c>
      <c r="BH451" s="103">
        <v>38</v>
      </c>
      <c r="BI451" s="103">
        <v>138</v>
      </c>
      <c r="BJ451" s="103">
        <v>254</v>
      </c>
      <c r="BK451" s="103">
        <v>593</v>
      </c>
      <c r="BL451" s="103">
        <v>1391</v>
      </c>
      <c r="BM451" s="103">
        <v>2362</v>
      </c>
      <c r="BN451" s="103">
        <v>3122</v>
      </c>
      <c r="BO451" s="103">
        <v>3741</v>
      </c>
      <c r="BQ451" s="111"/>
      <c r="BR451" s="46" t="s">
        <v>11</v>
      </c>
      <c r="BS451" s="103">
        <v>1</v>
      </c>
      <c r="BT451" s="103">
        <v>4</v>
      </c>
      <c r="BU451" s="103">
        <v>7</v>
      </c>
      <c r="BV451" s="103">
        <v>11</v>
      </c>
      <c r="BW451" s="103">
        <v>16</v>
      </c>
      <c r="BX451" s="103">
        <v>36</v>
      </c>
      <c r="BY451" s="103">
        <v>46</v>
      </c>
      <c r="BZ451" s="103">
        <v>77</v>
      </c>
      <c r="CA451" s="103">
        <v>77</v>
      </c>
      <c r="CB451" s="103">
        <v>83</v>
      </c>
      <c r="CC451" s="42"/>
      <c r="CD451" s="111"/>
      <c r="CE451" s="46" t="s">
        <v>11</v>
      </c>
      <c r="CF451" s="103">
        <v>10</v>
      </c>
      <c r="CG451" s="103">
        <v>19</v>
      </c>
      <c r="CH451" s="103">
        <v>57</v>
      </c>
      <c r="CI451" s="103">
        <v>178</v>
      </c>
      <c r="CJ451" s="103">
        <v>288</v>
      </c>
      <c r="CK451" s="103">
        <v>655</v>
      </c>
      <c r="CL451" s="103">
        <v>1502</v>
      </c>
      <c r="CM451" s="103">
        <v>2469</v>
      </c>
      <c r="CN451" s="103">
        <v>3296</v>
      </c>
      <c r="CO451" s="103">
        <v>3877</v>
      </c>
      <c r="CQ451" s="111"/>
      <c r="CR451" s="46" t="s">
        <v>11</v>
      </c>
      <c r="CS451" s="103">
        <v>0</v>
      </c>
      <c r="CT451" s="103">
        <v>2</v>
      </c>
      <c r="CU451" s="103">
        <v>6</v>
      </c>
      <c r="CV451" s="103">
        <v>13</v>
      </c>
      <c r="CW451" s="103">
        <v>26</v>
      </c>
      <c r="CX451" s="103">
        <v>56</v>
      </c>
      <c r="CY451" s="103">
        <v>132</v>
      </c>
      <c r="CZ451" s="103">
        <v>222</v>
      </c>
      <c r="DA451" s="103">
        <v>374</v>
      </c>
      <c r="DB451" s="103">
        <v>498</v>
      </c>
      <c r="DC451" s="42"/>
      <c r="DD451" s="111"/>
      <c r="DE451" s="46" t="s">
        <v>11</v>
      </c>
      <c r="DF451" s="103">
        <v>11</v>
      </c>
      <c r="DG451" s="103">
        <v>21</v>
      </c>
      <c r="DH451" s="103">
        <v>58</v>
      </c>
      <c r="DI451" s="103">
        <v>176</v>
      </c>
      <c r="DJ451" s="103">
        <v>278</v>
      </c>
      <c r="DK451" s="103">
        <v>635</v>
      </c>
      <c r="DL451" s="103">
        <v>1416</v>
      </c>
      <c r="DM451" s="103">
        <v>2324</v>
      </c>
      <c r="DN451" s="103">
        <v>2999</v>
      </c>
      <c r="DO451" s="103">
        <v>3462</v>
      </c>
    </row>
    <row r="452" spans="2:119" ht="16.5" customHeight="1" x14ac:dyDescent="0.45">
      <c r="B452" s="99"/>
      <c r="C452" s="42"/>
      <c r="D452" s="42"/>
      <c r="E452" s="42"/>
      <c r="F452" s="42"/>
      <c r="G452" s="42"/>
      <c r="H452" s="42"/>
      <c r="I452" s="42"/>
      <c r="J452" s="42"/>
      <c r="K452" s="42"/>
      <c r="L452" s="42"/>
      <c r="M452" s="42"/>
      <c r="N452" s="42"/>
      <c r="O452" s="42"/>
      <c r="P452" s="42"/>
      <c r="Q452" s="42"/>
      <c r="R452" s="42"/>
      <c r="S452" s="42"/>
      <c r="T452" s="42"/>
      <c r="U452" s="42"/>
      <c r="V452" s="42"/>
      <c r="W452" s="42"/>
      <c r="X452" s="42"/>
      <c r="Y452" s="42"/>
      <c r="Z452" s="42"/>
      <c r="AA452" s="42"/>
      <c r="AB452" s="42"/>
      <c r="AC452" s="42"/>
      <c r="AD452" s="42"/>
      <c r="AE452" s="42"/>
      <c r="AF452" s="42"/>
      <c r="AG452" s="42"/>
      <c r="AH452" s="42"/>
      <c r="AI452" s="42"/>
      <c r="AJ452" s="42"/>
      <c r="AK452" s="42"/>
      <c r="AL452" s="42"/>
      <c r="AM452" s="42"/>
      <c r="AN452" s="42"/>
      <c r="AO452" s="42"/>
      <c r="AP452" s="6"/>
      <c r="AQ452" s="42"/>
      <c r="AR452" s="42"/>
      <c r="AS452" s="42"/>
      <c r="AT452" s="42"/>
      <c r="AU452" s="42"/>
      <c r="AV452" s="42"/>
      <c r="AW452" s="42"/>
      <c r="AX452" s="42"/>
      <c r="AY452" s="42"/>
      <c r="AZ452" s="42"/>
      <c r="BA452" s="42"/>
      <c r="BB452" s="42"/>
      <c r="BC452" s="42"/>
      <c r="BD452" s="42"/>
      <c r="BE452" s="42"/>
      <c r="BF452" s="42"/>
      <c r="BG452" s="42"/>
      <c r="BH452" s="42"/>
      <c r="BI452" s="42"/>
      <c r="BJ452" s="42"/>
      <c r="BK452" s="42"/>
      <c r="BL452" s="42"/>
      <c r="BM452" s="42"/>
      <c r="BN452" s="42"/>
      <c r="BO452" s="42"/>
      <c r="BQ452" s="42"/>
      <c r="BR452" s="42"/>
      <c r="BS452" s="42"/>
      <c r="BT452" s="42"/>
      <c r="BU452" s="42"/>
      <c r="BV452" s="42"/>
      <c r="BW452" s="42"/>
      <c r="BX452" s="42"/>
      <c r="BY452" s="42"/>
      <c r="BZ452" s="42"/>
      <c r="CA452" s="42"/>
      <c r="CB452" s="42"/>
      <c r="CC452" s="42"/>
      <c r="CD452" s="42"/>
      <c r="CE452" s="42"/>
      <c r="CF452" s="42"/>
      <c r="CG452" s="42"/>
      <c r="CH452" s="42"/>
      <c r="CI452" s="42"/>
      <c r="CJ452" s="42"/>
      <c r="CK452" s="42"/>
      <c r="CL452" s="42"/>
      <c r="CM452" s="42"/>
      <c r="CN452" s="42"/>
      <c r="CO452" s="42"/>
      <c r="CQ452" s="42"/>
      <c r="CR452" s="42"/>
      <c r="CS452" s="42"/>
      <c r="CT452" s="42"/>
      <c r="CU452" s="42"/>
      <c r="CV452" s="42"/>
      <c r="CW452" s="42"/>
      <c r="CX452" s="42"/>
      <c r="CY452" s="42"/>
      <c r="CZ452" s="42"/>
      <c r="DA452" s="42"/>
      <c r="DB452" s="42"/>
      <c r="DC452" s="42"/>
      <c r="DD452" s="42"/>
      <c r="DE452" s="42"/>
      <c r="DF452" s="42"/>
      <c r="DG452" s="42"/>
      <c r="DH452" s="42"/>
      <c r="DI452" s="42"/>
      <c r="DJ452" s="42"/>
      <c r="DK452" s="42"/>
      <c r="DL452" s="42"/>
      <c r="DM452" s="42"/>
      <c r="DN452" s="42"/>
      <c r="DO452" s="42"/>
    </row>
    <row r="453" spans="2:119" ht="16.5" customHeight="1" x14ac:dyDescent="0.55000000000000004">
      <c r="B453" s="99"/>
      <c r="C453" s="42"/>
      <c r="D453" s="112" t="s">
        <v>16</v>
      </c>
      <c r="E453" s="112"/>
      <c r="F453" s="45"/>
      <c r="G453" s="45"/>
      <c r="H453" s="45"/>
      <c r="I453" s="45"/>
      <c r="J453" s="45"/>
      <c r="K453" s="45"/>
      <c r="L453" s="45"/>
      <c r="M453" s="45"/>
      <c r="N453" s="45"/>
      <c r="O453" s="45"/>
      <c r="P453" s="42"/>
      <c r="Q453" s="112" t="s">
        <v>16</v>
      </c>
      <c r="R453" s="112"/>
      <c r="S453" s="45"/>
      <c r="T453" s="45"/>
      <c r="U453" s="45"/>
      <c r="V453" s="45"/>
      <c r="W453" s="45"/>
      <c r="X453" s="45"/>
      <c r="Y453" s="45"/>
      <c r="Z453" s="45"/>
      <c r="AA453" s="45"/>
      <c r="AB453" s="45"/>
      <c r="AC453" s="42"/>
      <c r="AD453" s="112" t="s">
        <v>16</v>
      </c>
      <c r="AE453" s="112"/>
      <c r="AF453" s="45"/>
      <c r="AG453" s="45"/>
      <c r="AH453" s="45"/>
      <c r="AI453" s="45"/>
      <c r="AJ453" s="45"/>
      <c r="AK453" s="45"/>
      <c r="AL453" s="45"/>
      <c r="AM453" s="45"/>
      <c r="AN453" s="45"/>
      <c r="AO453" s="45"/>
      <c r="AP453" s="6"/>
      <c r="AQ453" s="112" t="s">
        <v>16</v>
      </c>
      <c r="AR453" s="112"/>
      <c r="AS453" s="45"/>
      <c r="AT453" s="45"/>
      <c r="AU453" s="45"/>
      <c r="AV453" s="45"/>
      <c r="AW453" s="45"/>
      <c r="AX453" s="45"/>
      <c r="AY453" s="45"/>
      <c r="AZ453" s="45"/>
      <c r="BA453" s="45"/>
      <c r="BB453" s="45"/>
      <c r="BC453" s="42"/>
      <c r="BD453" s="112" t="s">
        <v>16</v>
      </c>
      <c r="BE453" s="112"/>
      <c r="BF453" s="45"/>
      <c r="BG453" s="45"/>
      <c r="BH453" s="45"/>
      <c r="BI453" s="45"/>
      <c r="BJ453" s="45"/>
      <c r="BK453" s="45"/>
      <c r="BL453" s="45"/>
      <c r="BM453" s="45"/>
      <c r="BN453" s="45"/>
      <c r="BO453" s="45"/>
      <c r="BQ453" s="112" t="s">
        <v>16</v>
      </c>
      <c r="BR453" s="112"/>
      <c r="BS453" s="45"/>
      <c r="BT453" s="45"/>
      <c r="BU453" s="45"/>
      <c r="BV453" s="45"/>
      <c r="BW453" s="45"/>
      <c r="BX453" s="45"/>
      <c r="BY453" s="45"/>
      <c r="BZ453" s="45"/>
      <c r="CA453" s="45"/>
      <c r="CB453" s="45"/>
      <c r="CC453" s="42"/>
      <c r="CD453" s="112" t="s">
        <v>16</v>
      </c>
      <c r="CE453" s="112"/>
      <c r="CF453" s="45"/>
      <c r="CG453" s="45"/>
      <c r="CH453" s="45"/>
      <c r="CI453" s="45"/>
      <c r="CJ453" s="45"/>
      <c r="CK453" s="45"/>
      <c r="CL453" s="45"/>
      <c r="CM453" s="45"/>
      <c r="CN453" s="45"/>
      <c r="CO453" s="45"/>
      <c r="CQ453" s="112" t="s">
        <v>16</v>
      </c>
      <c r="CR453" s="112"/>
      <c r="CS453" s="45"/>
      <c r="CT453" s="45"/>
      <c r="CU453" s="45"/>
      <c r="CV453" s="45"/>
      <c r="CW453" s="45"/>
      <c r="CX453" s="45"/>
      <c r="CY453" s="45"/>
      <c r="CZ453" s="45"/>
      <c r="DA453" s="45"/>
      <c r="DB453" s="45"/>
      <c r="DC453" s="42"/>
      <c r="DD453" s="112" t="s">
        <v>16</v>
      </c>
      <c r="DE453" s="112"/>
      <c r="DF453" s="45"/>
      <c r="DG453" s="45"/>
      <c r="DH453" s="45"/>
      <c r="DI453" s="45"/>
      <c r="DJ453" s="45"/>
      <c r="DK453" s="45"/>
      <c r="DL453" s="45"/>
      <c r="DM453" s="45"/>
      <c r="DN453" s="45"/>
      <c r="DO453" s="45"/>
    </row>
    <row r="454" spans="2:119" ht="28.9" customHeight="1" x14ac:dyDescent="0.45">
      <c r="B454" s="99"/>
      <c r="C454" s="42"/>
      <c r="D454" s="112"/>
      <c r="E454" s="112"/>
      <c r="F454" s="108" t="s">
        <v>12</v>
      </c>
      <c r="G454" s="108"/>
      <c r="H454" s="108"/>
      <c r="I454" s="108"/>
      <c r="J454" s="108"/>
      <c r="K454" s="108"/>
      <c r="L454" s="108"/>
      <c r="M454" s="108"/>
      <c r="N454" s="108"/>
      <c r="O454" s="108"/>
      <c r="P454" s="42"/>
      <c r="Q454" s="112"/>
      <c r="R454" s="112"/>
      <c r="S454" s="108" t="s">
        <v>12</v>
      </c>
      <c r="T454" s="108"/>
      <c r="U454" s="108"/>
      <c r="V454" s="108"/>
      <c r="W454" s="108"/>
      <c r="X454" s="108"/>
      <c r="Y454" s="108"/>
      <c r="Z454" s="108"/>
      <c r="AA454" s="108"/>
      <c r="AB454" s="108"/>
      <c r="AC454" s="42"/>
      <c r="AD454" s="112"/>
      <c r="AE454" s="112"/>
      <c r="AF454" s="131" t="s">
        <v>12</v>
      </c>
      <c r="AG454" s="132"/>
      <c r="AH454" s="132"/>
      <c r="AI454" s="132"/>
      <c r="AJ454" s="132"/>
      <c r="AK454" s="132"/>
      <c r="AL454" s="132"/>
      <c r="AM454" s="132"/>
      <c r="AN454" s="132"/>
      <c r="AO454" s="133"/>
      <c r="AP454" s="6"/>
      <c r="AQ454" s="112"/>
      <c r="AR454" s="112"/>
      <c r="AS454" s="108" t="s">
        <v>12</v>
      </c>
      <c r="AT454" s="108"/>
      <c r="AU454" s="108"/>
      <c r="AV454" s="108"/>
      <c r="AW454" s="108"/>
      <c r="AX454" s="108"/>
      <c r="AY454" s="108"/>
      <c r="AZ454" s="108"/>
      <c r="BA454" s="108"/>
      <c r="BB454" s="108"/>
      <c r="BC454" s="42"/>
      <c r="BD454" s="112"/>
      <c r="BE454" s="112"/>
      <c r="BF454" s="108" t="s">
        <v>12</v>
      </c>
      <c r="BG454" s="108"/>
      <c r="BH454" s="108"/>
      <c r="BI454" s="108"/>
      <c r="BJ454" s="108"/>
      <c r="BK454" s="108"/>
      <c r="BL454" s="108"/>
      <c r="BM454" s="108"/>
      <c r="BN454" s="108"/>
      <c r="BO454" s="108"/>
      <c r="BQ454" s="112"/>
      <c r="BR454" s="112"/>
      <c r="BS454" s="108" t="s">
        <v>12</v>
      </c>
      <c r="BT454" s="108"/>
      <c r="BU454" s="108"/>
      <c r="BV454" s="108"/>
      <c r="BW454" s="108"/>
      <c r="BX454" s="108"/>
      <c r="BY454" s="108"/>
      <c r="BZ454" s="108"/>
      <c r="CA454" s="108"/>
      <c r="CB454" s="108"/>
      <c r="CC454" s="42"/>
      <c r="CD454" s="112"/>
      <c r="CE454" s="112"/>
      <c r="CF454" s="108" t="s">
        <v>12</v>
      </c>
      <c r="CG454" s="108"/>
      <c r="CH454" s="108"/>
      <c r="CI454" s="108"/>
      <c r="CJ454" s="108"/>
      <c r="CK454" s="108"/>
      <c r="CL454" s="108"/>
      <c r="CM454" s="108"/>
      <c r="CN454" s="108"/>
      <c r="CO454" s="108"/>
      <c r="CQ454" s="112"/>
      <c r="CR454" s="112"/>
      <c r="CS454" s="108" t="s">
        <v>12</v>
      </c>
      <c r="CT454" s="108"/>
      <c r="CU454" s="108"/>
      <c r="CV454" s="108"/>
      <c r="CW454" s="108"/>
      <c r="CX454" s="108"/>
      <c r="CY454" s="108"/>
      <c r="CZ454" s="108"/>
      <c r="DA454" s="108"/>
      <c r="DB454" s="108"/>
      <c r="DC454" s="42"/>
      <c r="DD454" s="112"/>
      <c r="DE454" s="112"/>
      <c r="DF454" s="108" t="s">
        <v>12</v>
      </c>
      <c r="DG454" s="108"/>
      <c r="DH454" s="108"/>
      <c r="DI454" s="108"/>
      <c r="DJ454" s="108"/>
      <c r="DK454" s="108"/>
      <c r="DL454" s="108"/>
      <c r="DM454" s="108"/>
      <c r="DN454" s="108"/>
      <c r="DO454" s="108"/>
    </row>
    <row r="455" spans="2:119" ht="15" customHeight="1" x14ac:dyDescent="0.45">
      <c r="B455" s="99"/>
      <c r="C455" s="42"/>
      <c r="D455" s="113"/>
      <c r="E455" s="113"/>
      <c r="F455" s="9" t="s">
        <v>0</v>
      </c>
      <c r="G455" s="9">
        <v>1</v>
      </c>
      <c r="H455" s="9">
        <v>2</v>
      </c>
      <c r="I455" s="9">
        <v>3</v>
      </c>
      <c r="J455" s="9">
        <v>4</v>
      </c>
      <c r="K455" s="9">
        <v>5</v>
      </c>
      <c r="L455" s="9">
        <v>6</v>
      </c>
      <c r="M455" s="9">
        <v>7</v>
      </c>
      <c r="N455" s="9">
        <v>8</v>
      </c>
      <c r="O455" s="9">
        <v>9</v>
      </c>
      <c r="P455" s="42"/>
      <c r="Q455" s="113"/>
      <c r="R455" s="113"/>
      <c r="S455" s="9" t="s">
        <v>0</v>
      </c>
      <c r="T455" s="9">
        <v>1</v>
      </c>
      <c r="U455" s="9">
        <v>2</v>
      </c>
      <c r="V455" s="9">
        <v>3</v>
      </c>
      <c r="W455" s="9">
        <v>4</v>
      </c>
      <c r="X455" s="9">
        <v>5</v>
      </c>
      <c r="Y455" s="9">
        <v>6</v>
      </c>
      <c r="Z455" s="9">
        <v>7</v>
      </c>
      <c r="AA455" s="9">
        <v>8</v>
      </c>
      <c r="AB455" s="9">
        <v>9</v>
      </c>
      <c r="AC455" s="42"/>
      <c r="AD455" s="113"/>
      <c r="AE455" s="113"/>
      <c r="AF455" s="9" t="s">
        <v>0</v>
      </c>
      <c r="AG455" s="9">
        <v>1</v>
      </c>
      <c r="AH455" s="9">
        <v>2</v>
      </c>
      <c r="AI455" s="9">
        <v>3</v>
      </c>
      <c r="AJ455" s="9">
        <v>4</v>
      </c>
      <c r="AK455" s="9">
        <v>5</v>
      </c>
      <c r="AL455" s="9">
        <v>6</v>
      </c>
      <c r="AM455" s="9">
        <v>7</v>
      </c>
      <c r="AN455" s="9">
        <v>8</v>
      </c>
      <c r="AO455" s="9">
        <v>9</v>
      </c>
      <c r="AP455" s="6"/>
      <c r="AQ455" s="113"/>
      <c r="AR455" s="113"/>
      <c r="AS455" s="9" t="s">
        <v>0</v>
      </c>
      <c r="AT455" s="9">
        <v>1</v>
      </c>
      <c r="AU455" s="9">
        <v>2</v>
      </c>
      <c r="AV455" s="9">
        <v>3</v>
      </c>
      <c r="AW455" s="9">
        <v>4</v>
      </c>
      <c r="AX455" s="9">
        <v>5</v>
      </c>
      <c r="AY455" s="9">
        <v>6</v>
      </c>
      <c r="AZ455" s="9">
        <v>7</v>
      </c>
      <c r="BA455" s="9">
        <v>8</v>
      </c>
      <c r="BB455" s="9">
        <v>9</v>
      </c>
      <c r="BC455" s="42"/>
      <c r="BD455" s="113"/>
      <c r="BE455" s="113"/>
      <c r="BF455" s="9" t="s">
        <v>0</v>
      </c>
      <c r="BG455" s="9">
        <v>1</v>
      </c>
      <c r="BH455" s="9">
        <v>2</v>
      </c>
      <c r="BI455" s="9">
        <v>3</v>
      </c>
      <c r="BJ455" s="9">
        <v>4</v>
      </c>
      <c r="BK455" s="9">
        <v>5</v>
      </c>
      <c r="BL455" s="9">
        <v>6</v>
      </c>
      <c r="BM455" s="9">
        <v>7</v>
      </c>
      <c r="BN455" s="9">
        <v>8</v>
      </c>
      <c r="BO455" s="9">
        <v>9</v>
      </c>
      <c r="BQ455" s="113"/>
      <c r="BR455" s="113"/>
      <c r="BS455" s="9" t="s">
        <v>0</v>
      </c>
      <c r="BT455" s="9">
        <v>1</v>
      </c>
      <c r="BU455" s="9">
        <v>2</v>
      </c>
      <c r="BV455" s="9">
        <v>3</v>
      </c>
      <c r="BW455" s="9">
        <v>4</v>
      </c>
      <c r="BX455" s="9">
        <v>5</v>
      </c>
      <c r="BY455" s="9">
        <v>6</v>
      </c>
      <c r="BZ455" s="9">
        <v>7</v>
      </c>
      <c r="CA455" s="9">
        <v>8</v>
      </c>
      <c r="CB455" s="9">
        <v>9</v>
      </c>
      <c r="CC455" s="42"/>
      <c r="CD455" s="113"/>
      <c r="CE455" s="113"/>
      <c r="CF455" s="9" t="s">
        <v>0</v>
      </c>
      <c r="CG455" s="9">
        <v>1</v>
      </c>
      <c r="CH455" s="9">
        <v>2</v>
      </c>
      <c r="CI455" s="9">
        <v>3</v>
      </c>
      <c r="CJ455" s="9">
        <v>4</v>
      </c>
      <c r="CK455" s="9">
        <v>5</v>
      </c>
      <c r="CL455" s="9">
        <v>6</v>
      </c>
      <c r="CM455" s="9">
        <v>7</v>
      </c>
      <c r="CN455" s="9">
        <v>8</v>
      </c>
      <c r="CO455" s="9">
        <v>9</v>
      </c>
      <c r="CQ455" s="113"/>
      <c r="CR455" s="113"/>
      <c r="CS455" s="9" t="s">
        <v>0</v>
      </c>
      <c r="CT455" s="9">
        <v>1</v>
      </c>
      <c r="CU455" s="9">
        <v>2</v>
      </c>
      <c r="CV455" s="9">
        <v>3</v>
      </c>
      <c r="CW455" s="9">
        <v>4</v>
      </c>
      <c r="CX455" s="9">
        <v>5</v>
      </c>
      <c r="CY455" s="9">
        <v>6</v>
      </c>
      <c r="CZ455" s="9">
        <v>7</v>
      </c>
      <c r="DA455" s="9">
        <v>8</v>
      </c>
      <c r="DB455" s="9">
        <v>9</v>
      </c>
      <c r="DC455" s="42"/>
      <c r="DD455" s="113"/>
      <c r="DE455" s="113"/>
      <c r="DF455" s="9" t="s">
        <v>0</v>
      </c>
      <c r="DG455" s="9">
        <v>1</v>
      </c>
      <c r="DH455" s="9">
        <v>2</v>
      </c>
      <c r="DI455" s="9">
        <v>3</v>
      </c>
      <c r="DJ455" s="9">
        <v>4</v>
      </c>
      <c r="DK455" s="9">
        <v>5</v>
      </c>
      <c r="DL455" s="9">
        <v>6</v>
      </c>
      <c r="DM455" s="9">
        <v>7</v>
      </c>
      <c r="DN455" s="9">
        <v>8</v>
      </c>
      <c r="DO455" s="9">
        <v>9</v>
      </c>
    </row>
    <row r="456" spans="2:119" ht="16.5" customHeight="1" x14ac:dyDescent="0.45">
      <c r="B456" s="99"/>
      <c r="C456" s="42"/>
      <c r="D456" s="109" t="s">
        <v>13</v>
      </c>
      <c r="E456" s="47" t="s">
        <v>1</v>
      </c>
      <c r="F456" s="103">
        <v>0</v>
      </c>
      <c r="G456" s="103">
        <v>11.76470588235294</v>
      </c>
      <c r="H456" s="103">
        <v>47.058823529411761</v>
      </c>
      <c r="I456" s="103">
        <v>11.76470588235294</v>
      </c>
      <c r="J456" s="103">
        <v>5.8823529411764701</v>
      </c>
      <c r="K456" s="103">
        <v>11.76470588235294</v>
      </c>
      <c r="L456" s="103">
        <v>11.76470588235294</v>
      </c>
      <c r="M456" s="103">
        <v>0</v>
      </c>
      <c r="N456" s="103">
        <v>0</v>
      </c>
      <c r="O456" s="17">
        <v>0</v>
      </c>
      <c r="P456" s="42"/>
      <c r="Q456" s="109" t="s">
        <v>13</v>
      </c>
      <c r="R456" s="46" t="s">
        <v>1</v>
      </c>
      <c r="S456" s="103">
        <v>0</v>
      </c>
      <c r="T456" s="103">
        <v>0</v>
      </c>
      <c r="U456" s="103">
        <v>40</v>
      </c>
      <c r="V456" s="103">
        <v>20</v>
      </c>
      <c r="W456" s="103">
        <v>10</v>
      </c>
      <c r="X456" s="103">
        <v>20</v>
      </c>
      <c r="Y456" s="103">
        <v>10</v>
      </c>
      <c r="Z456" s="103">
        <v>0</v>
      </c>
      <c r="AA456" s="103">
        <v>0</v>
      </c>
      <c r="AB456" s="17">
        <v>0</v>
      </c>
      <c r="AC456" s="42"/>
      <c r="AD456" s="109" t="s">
        <v>13</v>
      </c>
      <c r="AE456" s="46" t="s">
        <v>1</v>
      </c>
      <c r="AF456" s="103">
        <v>0</v>
      </c>
      <c r="AG456" s="103">
        <v>28.571428571428569</v>
      </c>
      <c r="AH456" s="103">
        <v>57.142857142857139</v>
      </c>
      <c r="AI456" s="103">
        <v>0</v>
      </c>
      <c r="AJ456" s="103">
        <v>0</v>
      </c>
      <c r="AK456" s="103">
        <v>0</v>
      </c>
      <c r="AL456" s="103">
        <v>14.285714285714285</v>
      </c>
      <c r="AM456" s="103">
        <v>0</v>
      </c>
      <c r="AN456" s="103">
        <v>0</v>
      </c>
      <c r="AO456" s="17">
        <v>0</v>
      </c>
      <c r="AP456" s="6"/>
      <c r="AQ456" s="109" t="s">
        <v>13</v>
      </c>
      <c r="AR456" s="46" t="s">
        <v>1</v>
      </c>
      <c r="AS456" s="103">
        <v>0</v>
      </c>
      <c r="AT456" s="103">
        <v>11.111111111111111</v>
      </c>
      <c r="AU456" s="103">
        <v>55.555555555555557</v>
      </c>
      <c r="AV456" s="103">
        <v>11.111111111111111</v>
      </c>
      <c r="AW456" s="103">
        <v>11.111111111111111</v>
      </c>
      <c r="AX456" s="103">
        <v>0</v>
      </c>
      <c r="AY456" s="103">
        <v>11.111111111111111</v>
      </c>
      <c r="AZ456" s="103">
        <v>0</v>
      </c>
      <c r="BA456" s="103">
        <v>0</v>
      </c>
      <c r="BB456" s="17">
        <v>0</v>
      </c>
      <c r="BC456" s="42"/>
      <c r="BD456" s="109" t="s">
        <v>13</v>
      </c>
      <c r="BE456" s="46" t="s">
        <v>1</v>
      </c>
      <c r="BF456" s="103">
        <v>0</v>
      </c>
      <c r="BG456" s="103">
        <v>12.5</v>
      </c>
      <c r="BH456" s="103">
        <v>37.5</v>
      </c>
      <c r="BI456" s="103">
        <v>12.5</v>
      </c>
      <c r="BJ456" s="103">
        <v>0</v>
      </c>
      <c r="BK456" s="103">
        <v>25</v>
      </c>
      <c r="BL456" s="103">
        <v>12.5</v>
      </c>
      <c r="BM456" s="103">
        <v>0</v>
      </c>
      <c r="BN456" s="103">
        <v>0</v>
      </c>
      <c r="BO456" s="17">
        <v>0</v>
      </c>
      <c r="BQ456" s="109" t="s">
        <v>13</v>
      </c>
      <c r="BR456" s="46" t="s">
        <v>1</v>
      </c>
      <c r="BS456" s="103">
        <v>0</v>
      </c>
      <c r="BT456" s="103">
        <v>33.333333333333329</v>
      </c>
      <c r="BU456" s="103">
        <v>33.333333333333329</v>
      </c>
      <c r="BV456" s="103">
        <v>0</v>
      </c>
      <c r="BW456" s="103">
        <v>16.666666666666664</v>
      </c>
      <c r="BX456" s="103">
        <v>0</v>
      </c>
      <c r="BY456" s="103">
        <v>16.666666666666664</v>
      </c>
      <c r="BZ456" s="103">
        <v>0</v>
      </c>
      <c r="CA456" s="103">
        <v>0</v>
      </c>
      <c r="CB456" s="17">
        <v>0</v>
      </c>
      <c r="CC456" s="42"/>
      <c r="CD456" s="109" t="s">
        <v>13</v>
      </c>
      <c r="CE456" s="46" t="s">
        <v>1</v>
      </c>
      <c r="CF456" s="103">
        <v>0</v>
      </c>
      <c r="CG456" s="103">
        <v>0</v>
      </c>
      <c r="CH456" s="103">
        <v>54.54545454545454</v>
      </c>
      <c r="CI456" s="103">
        <v>18.181818181818183</v>
      </c>
      <c r="CJ456" s="103">
        <v>0</v>
      </c>
      <c r="CK456" s="103">
        <v>18.181818181818183</v>
      </c>
      <c r="CL456" s="103">
        <v>9.0909090909090917</v>
      </c>
      <c r="CM456" s="103">
        <v>0</v>
      </c>
      <c r="CN456" s="103">
        <v>0</v>
      </c>
      <c r="CO456" s="17">
        <v>0</v>
      </c>
      <c r="CQ456" s="109" t="s">
        <v>13</v>
      </c>
      <c r="CR456" s="46" t="s">
        <v>1</v>
      </c>
      <c r="CS456" s="103">
        <v>0</v>
      </c>
      <c r="CT456" s="103">
        <v>12.5</v>
      </c>
      <c r="CU456" s="103">
        <v>50</v>
      </c>
      <c r="CV456" s="103">
        <v>6.25</v>
      </c>
      <c r="CW456" s="103">
        <v>6.25</v>
      </c>
      <c r="CX456" s="103">
        <v>12.5</v>
      </c>
      <c r="CY456" s="103">
        <v>12.5</v>
      </c>
      <c r="CZ456" s="103">
        <v>0</v>
      </c>
      <c r="DA456" s="103">
        <v>0</v>
      </c>
      <c r="DB456" s="17">
        <v>0</v>
      </c>
      <c r="DC456" s="42"/>
      <c r="DD456" s="109" t="s">
        <v>13</v>
      </c>
      <c r="DE456" s="46" t="s">
        <v>1</v>
      </c>
      <c r="DF456" s="103">
        <v>0</v>
      </c>
      <c r="DG456" s="103">
        <v>0</v>
      </c>
      <c r="DH456" s="103">
        <v>0</v>
      </c>
      <c r="DI456" s="103">
        <v>100</v>
      </c>
      <c r="DJ456" s="103">
        <v>0</v>
      </c>
      <c r="DK456" s="103">
        <v>0</v>
      </c>
      <c r="DL456" s="103">
        <v>0</v>
      </c>
      <c r="DM456" s="103">
        <v>0</v>
      </c>
      <c r="DN456" s="103">
        <v>0</v>
      </c>
      <c r="DO456" s="17">
        <v>0</v>
      </c>
    </row>
    <row r="457" spans="2:119" ht="16.5" customHeight="1" x14ac:dyDescent="0.45">
      <c r="B457" s="99"/>
      <c r="C457" s="42"/>
      <c r="D457" s="110"/>
      <c r="E457" s="47">
        <v>1</v>
      </c>
      <c r="F457" s="103">
        <v>29.032258064516132</v>
      </c>
      <c r="G457" s="103">
        <v>30.64516129032258</v>
      </c>
      <c r="H457" s="103">
        <v>19.35483870967742</v>
      </c>
      <c r="I457" s="103">
        <v>8.064516129032258</v>
      </c>
      <c r="J457" s="103">
        <v>4.838709677419355</v>
      </c>
      <c r="K457" s="103">
        <v>1.6129032258064515</v>
      </c>
      <c r="L457" s="103">
        <v>3.225806451612903</v>
      </c>
      <c r="M457" s="103">
        <v>1.6129032258064515</v>
      </c>
      <c r="N457" s="103">
        <v>1.6129032258064515</v>
      </c>
      <c r="O457" s="103">
        <v>0</v>
      </c>
      <c r="P457" s="42"/>
      <c r="Q457" s="110"/>
      <c r="R457" s="46">
        <v>1</v>
      </c>
      <c r="S457" s="103">
        <v>30</v>
      </c>
      <c r="T457" s="103">
        <v>26.666666666666668</v>
      </c>
      <c r="U457" s="103">
        <v>16.666666666666664</v>
      </c>
      <c r="V457" s="103">
        <v>6.666666666666667</v>
      </c>
      <c r="W457" s="103">
        <v>6.666666666666667</v>
      </c>
      <c r="X457" s="103">
        <v>3.3333333333333335</v>
      </c>
      <c r="Y457" s="103">
        <v>3.3333333333333335</v>
      </c>
      <c r="Z457" s="103">
        <v>3.3333333333333335</v>
      </c>
      <c r="AA457" s="103">
        <v>3.3333333333333335</v>
      </c>
      <c r="AB457" s="103">
        <v>0</v>
      </c>
      <c r="AC457" s="42"/>
      <c r="AD457" s="110"/>
      <c r="AE457" s="46">
        <v>1</v>
      </c>
      <c r="AF457" s="103">
        <v>28.125</v>
      </c>
      <c r="AG457" s="103">
        <v>34.375</v>
      </c>
      <c r="AH457" s="103">
        <v>21.875</v>
      </c>
      <c r="AI457" s="103">
        <v>9.375</v>
      </c>
      <c r="AJ457" s="103">
        <v>3.125</v>
      </c>
      <c r="AK457" s="103">
        <v>0</v>
      </c>
      <c r="AL457" s="103">
        <v>3.125</v>
      </c>
      <c r="AM457" s="103">
        <v>0</v>
      </c>
      <c r="AN457" s="103">
        <v>0</v>
      </c>
      <c r="AO457" s="103">
        <v>0</v>
      </c>
      <c r="AP457" s="6"/>
      <c r="AQ457" s="110"/>
      <c r="AR457" s="46">
        <v>1</v>
      </c>
      <c r="AS457" s="103">
        <v>35.483870967741936</v>
      </c>
      <c r="AT457" s="103">
        <v>29.032258064516132</v>
      </c>
      <c r="AU457" s="103">
        <v>16.129032258064516</v>
      </c>
      <c r="AV457" s="103">
        <v>12.903225806451612</v>
      </c>
      <c r="AW457" s="103">
        <v>3.225806451612903</v>
      </c>
      <c r="AX457" s="103">
        <v>0</v>
      </c>
      <c r="AY457" s="103">
        <v>3.225806451612903</v>
      </c>
      <c r="AZ457" s="103">
        <v>0</v>
      </c>
      <c r="BA457" s="103">
        <v>0</v>
      </c>
      <c r="BB457" s="103">
        <v>0</v>
      </c>
      <c r="BC457" s="42"/>
      <c r="BD457" s="110"/>
      <c r="BE457" s="46">
        <v>1</v>
      </c>
      <c r="BF457" s="103">
        <v>22.58064516129032</v>
      </c>
      <c r="BG457" s="103">
        <v>32.258064516129032</v>
      </c>
      <c r="BH457" s="103">
        <v>22.58064516129032</v>
      </c>
      <c r="BI457" s="103">
        <v>3.225806451612903</v>
      </c>
      <c r="BJ457" s="103">
        <v>6.4516129032258061</v>
      </c>
      <c r="BK457" s="103">
        <v>3.225806451612903</v>
      </c>
      <c r="BL457" s="103">
        <v>3.225806451612903</v>
      </c>
      <c r="BM457" s="103">
        <v>3.225806451612903</v>
      </c>
      <c r="BN457" s="103">
        <v>3.225806451612903</v>
      </c>
      <c r="BO457" s="103">
        <v>0</v>
      </c>
      <c r="BQ457" s="110"/>
      <c r="BR457" s="46">
        <v>1</v>
      </c>
      <c r="BS457" s="103">
        <v>34.782608695652172</v>
      </c>
      <c r="BT457" s="103">
        <v>43.478260869565219</v>
      </c>
      <c r="BU457" s="103">
        <v>17.391304347826086</v>
      </c>
      <c r="BV457" s="103">
        <v>0</v>
      </c>
      <c r="BW457" s="103">
        <v>4.3478260869565215</v>
      </c>
      <c r="BX457" s="103">
        <v>0</v>
      </c>
      <c r="BY457" s="103">
        <v>0</v>
      </c>
      <c r="BZ457" s="103">
        <v>0</v>
      </c>
      <c r="CA457" s="103">
        <v>0</v>
      </c>
      <c r="CB457" s="103">
        <v>0</v>
      </c>
      <c r="CC457" s="42"/>
      <c r="CD457" s="110"/>
      <c r="CE457" s="46">
        <v>1</v>
      </c>
      <c r="CF457" s="103">
        <v>25.641025641025639</v>
      </c>
      <c r="CG457" s="103">
        <v>23.076923076923077</v>
      </c>
      <c r="CH457" s="103">
        <v>20.512820512820511</v>
      </c>
      <c r="CI457" s="103">
        <v>12.820512820512819</v>
      </c>
      <c r="CJ457" s="103">
        <v>5.1282051282051277</v>
      </c>
      <c r="CK457" s="103">
        <v>2.5641025641025639</v>
      </c>
      <c r="CL457" s="103">
        <v>5.1282051282051277</v>
      </c>
      <c r="CM457" s="103">
        <v>2.5641025641025639</v>
      </c>
      <c r="CN457" s="103">
        <v>2.5641025641025639</v>
      </c>
      <c r="CO457" s="103">
        <v>0</v>
      </c>
      <c r="CQ457" s="110"/>
      <c r="CR457" s="46">
        <v>1</v>
      </c>
      <c r="CS457" s="103">
        <v>26.530612244897959</v>
      </c>
      <c r="CT457" s="103">
        <v>28.571428571428569</v>
      </c>
      <c r="CU457" s="103">
        <v>20.408163265306122</v>
      </c>
      <c r="CV457" s="103">
        <v>8.1632653061224492</v>
      </c>
      <c r="CW457" s="103">
        <v>6.1224489795918364</v>
      </c>
      <c r="CX457" s="103">
        <v>2.0408163265306123</v>
      </c>
      <c r="CY457" s="103">
        <v>4.0816326530612246</v>
      </c>
      <c r="CZ457" s="103">
        <v>2.0408163265306123</v>
      </c>
      <c r="DA457" s="103">
        <v>2.0408163265306123</v>
      </c>
      <c r="DB457" s="103">
        <v>0</v>
      </c>
      <c r="DC457" s="42"/>
      <c r="DD457" s="110"/>
      <c r="DE457" s="46">
        <v>1</v>
      </c>
      <c r="DF457" s="103">
        <v>38.461538461538467</v>
      </c>
      <c r="DG457" s="103">
        <v>38.461538461538467</v>
      </c>
      <c r="DH457" s="103">
        <v>15.384615384615385</v>
      </c>
      <c r="DI457" s="103">
        <v>7.6923076923076925</v>
      </c>
      <c r="DJ457" s="103">
        <v>0</v>
      </c>
      <c r="DK457" s="103">
        <v>0</v>
      </c>
      <c r="DL457" s="103">
        <v>0</v>
      </c>
      <c r="DM457" s="103">
        <v>0</v>
      </c>
      <c r="DN457" s="103">
        <v>0</v>
      </c>
      <c r="DO457" s="103">
        <v>0</v>
      </c>
    </row>
    <row r="458" spans="2:119" ht="16.5" customHeight="1" x14ac:dyDescent="0.45">
      <c r="B458" s="99"/>
      <c r="C458" s="42"/>
      <c r="D458" s="110"/>
      <c r="E458" s="47" t="s">
        <v>2</v>
      </c>
      <c r="F458" s="103">
        <v>16.654954321855236</v>
      </c>
      <c r="G458" s="103">
        <v>37.596626844694306</v>
      </c>
      <c r="H458" s="103">
        <v>24.701335207308503</v>
      </c>
      <c r="I458" s="103">
        <v>12.789880534082924</v>
      </c>
      <c r="J458" s="103">
        <v>4.2867182009838372</v>
      </c>
      <c r="K458" s="103">
        <v>2.2487702037947996</v>
      </c>
      <c r="L458" s="103">
        <v>0.77301475755446236</v>
      </c>
      <c r="M458" s="103">
        <v>0.66760365425158119</v>
      </c>
      <c r="N458" s="103">
        <v>0.17568517217146873</v>
      </c>
      <c r="O458" s="103">
        <v>0.10541110330288123</v>
      </c>
      <c r="P458" s="42"/>
      <c r="Q458" s="110"/>
      <c r="R458" s="46" t="s">
        <v>2</v>
      </c>
      <c r="S458" s="103">
        <v>14.690529455630127</v>
      </c>
      <c r="T458" s="103">
        <v>39.970171513795677</v>
      </c>
      <c r="U458" s="103">
        <v>25.205070842654738</v>
      </c>
      <c r="V458" s="103">
        <v>11.111111111111111</v>
      </c>
      <c r="W458" s="103">
        <v>4.3251304996271438</v>
      </c>
      <c r="X458" s="103">
        <v>2.3862788963460102</v>
      </c>
      <c r="Y458" s="103">
        <v>1.0439970171513795</v>
      </c>
      <c r="Z458" s="103">
        <v>0.89485458612975388</v>
      </c>
      <c r="AA458" s="103">
        <v>0.22371364653243847</v>
      </c>
      <c r="AB458" s="103">
        <v>0.14914243102162564</v>
      </c>
      <c r="AC458" s="42"/>
      <c r="AD458" s="110"/>
      <c r="AE458" s="46" t="s">
        <v>2</v>
      </c>
      <c r="AF458" s="103">
        <v>18.40531561461794</v>
      </c>
      <c r="AG458" s="103">
        <v>35.481727574750835</v>
      </c>
      <c r="AH458" s="103">
        <v>24.252491694352159</v>
      </c>
      <c r="AI458" s="103">
        <v>14.285714285714285</v>
      </c>
      <c r="AJ458" s="103">
        <v>4.2524916943521598</v>
      </c>
      <c r="AK458" s="103">
        <v>2.1262458471760799</v>
      </c>
      <c r="AL458" s="103">
        <v>0.53156146179401997</v>
      </c>
      <c r="AM458" s="103">
        <v>0.46511627906976744</v>
      </c>
      <c r="AN458" s="103">
        <v>0.13289036544850499</v>
      </c>
      <c r="AO458" s="103">
        <v>6.6445182724252497E-2</v>
      </c>
      <c r="AP458" s="6"/>
      <c r="AQ458" s="110"/>
      <c r="AR458" s="46" t="s">
        <v>2</v>
      </c>
      <c r="AS458" s="103">
        <v>19.148936170212767</v>
      </c>
      <c r="AT458" s="103">
        <v>39.104915627292733</v>
      </c>
      <c r="AU458" s="103">
        <v>25.018341892883345</v>
      </c>
      <c r="AV458" s="103">
        <v>10.344827586206897</v>
      </c>
      <c r="AW458" s="103">
        <v>3.5216434336023479</v>
      </c>
      <c r="AX458" s="103">
        <v>1.6140865737344092</v>
      </c>
      <c r="AY458" s="103">
        <v>0.58694057226705798</v>
      </c>
      <c r="AZ458" s="103">
        <v>0.36683785766691124</v>
      </c>
      <c r="BA458" s="103">
        <v>0.22010271460014674</v>
      </c>
      <c r="BB458" s="103">
        <v>7.3367571533382248E-2</v>
      </c>
      <c r="BC458" s="42"/>
      <c r="BD458" s="110"/>
      <c r="BE458" s="46" t="s">
        <v>2</v>
      </c>
      <c r="BF458" s="103">
        <v>14.362778152393796</v>
      </c>
      <c r="BG458" s="103">
        <v>36.210384356035064</v>
      </c>
      <c r="BH458" s="103">
        <v>24.409979770734996</v>
      </c>
      <c r="BI458" s="103">
        <v>15.037086985839515</v>
      </c>
      <c r="BJ458" s="103">
        <v>4.9898853674983146</v>
      </c>
      <c r="BK458" s="103">
        <v>2.8320971004720161</v>
      </c>
      <c r="BL458" s="103">
        <v>0.94403236682400538</v>
      </c>
      <c r="BM458" s="103">
        <v>0.94403236682400538</v>
      </c>
      <c r="BN458" s="103">
        <v>0.13486176668914363</v>
      </c>
      <c r="BO458" s="103">
        <v>0.13486176668914363</v>
      </c>
      <c r="BQ458" s="110"/>
      <c r="BR458" s="46" t="s">
        <v>2</v>
      </c>
      <c r="BS458" s="103">
        <v>16.892655367231637</v>
      </c>
      <c r="BT458" s="103">
        <v>39.887005649717516</v>
      </c>
      <c r="BU458" s="103">
        <v>25.36723163841808</v>
      </c>
      <c r="BV458" s="103">
        <v>12.372881355932204</v>
      </c>
      <c r="BW458" s="103">
        <v>3.4463276836158192</v>
      </c>
      <c r="BX458" s="103">
        <v>1.4124293785310735</v>
      </c>
      <c r="BY458" s="103">
        <v>0.2824858757062147</v>
      </c>
      <c r="BZ458" s="103">
        <v>0.2824858757062147</v>
      </c>
      <c r="CA458" s="103">
        <v>0</v>
      </c>
      <c r="CB458" s="103">
        <v>5.6497175141242938E-2</v>
      </c>
      <c r="CC458" s="42"/>
      <c r="CD458" s="110"/>
      <c r="CE458" s="46" t="s">
        <v>2</v>
      </c>
      <c r="CF458" s="103">
        <v>16.263940520446095</v>
      </c>
      <c r="CG458" s="103">
        <v>33.828996282527882</v>
      </c>
      <c r="CH458" s="103">
        <v>23.605947955390334</v>
      </c>
      <c r="CI458" s="103">
        <v>13.475836431226766</v>
      </c>
      <c r="CJ458" s="103">
        <v>5.6691449814126393</v>
      </c>
      <c r="CK458" s="103">
        <v>3.6245353159851299</v>
      </c>
      <c r="CL458" s="103">
        <v>1.5799256505576207</v>
      </c>
      <c r="CM458" s="103">
        <v>1.3011152416356877</v>
      </c>
      <c r="CN458" s="103">
        <v>0.46468401486988847</v>
      </c>
      <c r="CO458" s="103">
        <v>0.18587360594795538</v>
      </c>
      <c r="CQ458" s="110"/>
      <c r="CR458" s="46" t="s">
        <v>2</v>
      </c>
      <c r="CS458" s="103">
        <v>15.402567094515755</v>
      </c>
      <c r="CT458" s="103">
        <v>28.938156359393229</v>
      </c>
      <c r="CU458" s="103">
        <v>23.103850641773629</v>
      </c>
      <c r="CV458" s="103">
        <v>16.219369894982496</v>
      </c>
      <c r="CW458" s="103">
        <v>6.7677946324387399</v>
      </c>
      <c r="CX458" s="103">
        <v>4.9008168028004668</v>
      </c>
      <c r="CY458" s="103">
        <v>1.9836639439906651</v>
      </c>
      <c r="CZ458" s="103">
        <v>1.9836639439906651</v>
      </c>
      <c r="DA458" s="103">
        <v>0.46674445740956821</v>
      </c>
      <c r="DB458" s="103">
        <v>0.23337222870478411</v>
      </c>
      <c r="DC458" s="42"/>
      <c r="DD458" s="110"/>
      <c r="DE458" s="46" t="s">
        <v>2</v>
      </c>
      <c r="DF458" s="103">
        <v>17.194570135746606</v>
      </c>
      <c r="DG458" s="103">
        <v>41.327300150829558</v>
      </c>
      <c r="DH458" s="103">
        <v>25.389643036701859</v>
      </c>
      <c r="DI458" s="103">
        <v>11.312217194570136</v>
      </c>
      <c r="DJ458" s="103">
        <v>3.2176973353443938</v>
      </c>
      <c r="DK458" s="103">
        <v>1.1060834590246356</v>
      </c>
      <c r="DL458" s="103">
        <v>0.25138260432378079</v>
      </c>
      <c r="DM458" s="103">
        <v>0.10055304172951231</v>
      </c>
      <c r="DN458" s="103">
        <v>5.0276520864756154E-2</v>
      </c>
      <c r="DO458" s="103">
        <v>5.0276520864756154E-2</v>
      </c>
    </row>
    <row r="459" spans="2:119" ht="16.5" customHeight="1" x14ac:dyDescent="0.45">
      <c r="B459" s="99"/>
      <c r="C459" s="42"/>
      <c r="D459" s="110"/>
      <c r="E459" s="47" t="s">
        <v>3</v>
      </c>
      <c r="F459" s="103">
        <v>14.537264537264537</v>
      </c>
      <c r="G459" s="103">
        <v>31.531531531531531</v>
      </c>
      <c r="H459" s="103">
        <v>29.484029484029485</v>
      </c>
      <c r="I459" s="103">
        <v>15.356265356265355</v>
      </c>
      <c r="J459" s="103">
        <v>5.1187551187551188</v>
      </c>
      <c r="K459" s="103">
        <v>2.7027027027027026</v>
      </c>
      <c r="L459" s="103">
        <v>0.77805077805077805</v>
      </c>
      <c r="M459" s="103">
        <v>0.36855036855036855</v>
      </c>
      <c r="N459" s="103">
        <v>0.12285012285012285</v>
      </c>
      <c r="O459" s="103">
        <v>0</v>
      </c>
      <c r="P459" s="42"/>
      <c r="Q459" s="110"/>
      <c r="R459" s="46" t="s">
        <v>3</v>
      </c>
      <c r="S459" s="103">
        <v>10.927152317880795</v>
      </c>
      <c r="T459" s="103">
        <v>30.711920529801322</v>
      </c>
      <c r="U459" s="103">
        <v>32.615894039735096</v>
      </c>
      <c r="V459" s="103">
        <v>16.225165562913908</v>
      </c>
      <c r="W459" s="103">
        <v>5.3807947019867548</v>
      </c>
      <c r="X459" s="103">
        <v>2.3178807947019866</v>
      </c>
      <c r="Y459" s="103">
        <v>1.076158940397351</v>
      </c>
      <c r="Z459" s="103">
        <v>0.49668874172185434</v>
      </c>
      <c r="AA459" s="103">
        <v>0.24834437086092717</v>
      </c>
      <c r="AB459" s="103">
        <v>0</v>
      </c>
      <c r="AC459" s="42"/>
      <c r="AD459" s="110"/>
      <c r="AE459" s="46" t="s">
        <v>3</v>
      </c>
      <c r="AF459" s="103">
        <v>18.071312803889789</v>
      </c>
      <c r="AG459" s="103">
        <v>32.333873581847648</v>
      </c>
      <c r="AH459" s="103">
        <v>26.418152350081037</v>
      </c>
      <c r="AI459" s="103">
        <v>14.505672609400325</v>
      </c>
      <c r="AJ459" s="103">
        <v>4.8622366288492707</v>
      </c>
      <c r="AK459" s="103">
        <v>3.0794165316045379</v>
      </c>
      <c r="AL459" s="103">
        <v>0.48622366288492713</v>
      </c>
      <c r="AM459" s="103">
        <v>0.24311183144246357</v>
      </c>
      <c r="AN459" s="103">
        <v>0</v>
      </c>
      <c r="AO459" s="103">
        <v>0</v>
      </c>
      <c r="AP459" s="6"/>
      <c r="AQ459" s="110"/>
      <c r="AR459" s="46" t="s">
        <v>3</v>
      </c>
      <c r="AS459" s="103">
        <v>18.621307072515666</v>
      </c>
      <c r="AT459" s="103">
        <v>35.273052820053714</v>
      </c>
      <c r="AU459" s="103">
        <v>27.215756490599819</v>
      </c>
      <c r="AV459" s="103">
        <v>12.085944494180842</v>
      </c>
      <c r="AW459" s="103">
        <v>4.2972247090420774</v>
      </c>
      <c r="AX459" s="103">
        <v>1.8800358102059087</v>
      </c>
      <c r="AY459" s="103">
        <v>0.44762757385854968</v>
      </c>
      <c r="AZ459" s="103">
        <v>0.17905102954341987</v>
      </c>
      <c r="BA459" s="103">
        <v>0</v>
      </c>
      <c r="BB459" s="103">
        <v>0</v>
      </c>
      <c r="BC459" s="42"/>
      <c r="BD459" s="110"/>
      <c r="BE459" s="46" t="s">
        <v>3</v>
      </c>
      <c r="BF459" s="103">
        <v>11.09433962264151</v>
      </c>
      <c r="BG459" s="103">
        <v>28.377358490566039</v>
      </c>
      <c r="BH459" s="103">
        <v>31.39622641509434</v>
      </c>
      <c r="BI459" s="103">
        <v>18.113207547169811</v>
      </c>
      <c r="BJ459" s="103">
        <v>5.8113207547169807</v>
      </c>
      <c r="BK459" s="103">
        <v>3.3962264150943398</v>
      </c>
      <c r="BL459" s="103">
        <v>1.0566037735849056</v>
      </c>
      <c r="BM459" s="103">
        <v>0.52830188679245282</v>
      </c>
      <c r="BN459" s="103">
        <v>0.22641509433962265</v>
      </c>
      <c r="BO459" s="103">
        <v>0</v>
      </c>
      <c r="BQ459" s="110"/>
      <c r="BR459" s="46" t="s">
        <v>3</v>
      </c>
      <c r="BS459" s="103">
        <v>13.532651455546812</v>
      </c>
      <c r="BT459" s="103">
        <v>34.146341463414636</v>
      </c>
      <c r="BU459" s="103">
        <v>29.661683713611332</v>
      </c>
      <c r="BV459" s="103">
        <v>14.398111723052715</v>
      </c>
      <c r="BW459" s="103">
        <v>4.3273013375295042</v>
      </c>
      <c r="BX459" s="103">
        <v>2.9110936270653029</v>
      </c>
      <c r="BY459" s="103">
        <v>0.70810385523210073</v>
      </c>
      <c r="BZ459" s="103">
        <v>0.15735641227380015</v>
      </c>
      <c r="CA459" s="103">
        <v>0.15735641227380015</v>
      </c>
      <c r="CB459" s="103">
        <v>0</v>
      </c>
      <c r="CC459" s="42"/>
      <c r="CD459" s="110"/>
      <c r="CE459" s="46" t="s">
        <v>3</v>
      </c>
      <c r="CF459" s="103">
        <v>15.627668659265584</v>
      </c>
      <c r="CG459" s="103">
        <v>28.693424423569596</v>
      </c>
      <c r="CH459" s="103">
        <v>29.291204099060629</v>
      </c>
      <c r="CI459" s="103">
        <v>16.396242527754058</v>
      </c>
      <c r="CJ459" s="103">
        <v>5.977796754910333</v>
      </c>
      <c r="CK459" s="103">
        <v>2.4765157984628523</v>
      </c>
      <c r="CL459" s="103">
        <v>0.85397096498719038</v>
      </c>
      <c r="CM459" s="103">
        <v>0.59777967549103328</v>
      </c>
      <c r="CN459" s="103">
        <v>8.5397096498719044E-2</v>
      </c>
      <c r="CO459" s="103">
        <v>0</v>
      </c>
      <c r="CQ459" s="110"/>
      <c r="CR459" s="46" t="s">
        <v>3</v>
      </c>
      <c r="CS459" s="103">
        <v>9.4961240310077528</v>
      </c>
      <c r="CT459" s="103">
        <v>22.674418604651162</v>
      </c>
      <c r="CU459" s="103">
        <v>28.488372093023255</v>
      </c>
      <c r="CV459" s="103">
        <v>20.155038759689923</v>
      </c>
      <c r="CW459" s="103">
        <v>10.852713178294573</v>
      </c>
      <c r="CX459" s="103">
        <v>5.0387596899224807</v>
      </c>
      <c r="CY459" s="103">
        <v>2.1317829457364339</v>
      </c>
      <c r="CZ459" s="103">
        <v>1.1627906976744187</v>
      </c>
      <c r="DA459" s="103">
        <v>0</v>
      </c>
      <c r="DB459" s="103">
        <v>0</v>
      </c>
      <c r="DC459" s="42"/>
      <c r="DD459" s="110"/>
      <c r="DE459" s="46" t="s">
        <v>3</v>
      </c>
      <c r="DF459" s="103">
        <v>15.887850467289718</v>
      </c>
      <c r="DG459" s="103">
        <v>33.904465212876431</v>
      </c>
      <c r="DH459" s="103">
        <v>29.750778816199375</v>
      </c>
      <c r="DI459" s="103">
        <v>14.070612668743509</v>
      </c>
      <c r="DJ459" s="103">
        <v>3.5825545171339561</v>
      </c>
      <c r="DK459" s="103">
        <v>2.0768431983385254</v>
      </c>
      <c r="DL459" s="103">
        <v>0.4153686396677051</v>
      </c>
      <c r="DM459" s="103">
        <v>0.1557632398753894</v>
      </c>
      <c r="DN459" s="103">
        <v>0.1557632398753894</v>
      </c>
      <c r="DO459" s="103">
        <v>0</v>
      </c>
    </row>
    <row r="460" spans="2:119" ht="16.5" customHeight="1" x14ac:dyDescent="0.45">
      <c r="B460" s="99"/>
      <c r="C460" s="42"/>
      <c r="D460" s="110"/>
      <c r="E460" s="47" t="s">
        <v>4</v>
      </c>
      <c r="F460" s="103">
        <v>11.499168448562603</v>
      </c>
      <c r="G460" s="103">
        <v>28.130197196483724</v>
      </c>
      <c r="H460" s="103">
        <v>28.62912805892136</v>
      </c>
      <c r="I460" s="103">
        <v>19.315751960085532</v>
      </c>
      <c r="J460" s="103">
        <v>6.9612734616298413</v>
      </c>
      <c r="K460" s="103">
        <v>3.2549299120931336</v>
      </c>
      <c r="L460" s="103">
        <v>1.520551199809931</v>
      </c>
      <c r="M460" s="103">
        <v>0.49893086243763368</v>
      </c>
      <c r="N460" s="103">
        <v>0.11879306248515087</v>
      </c>
      <c r="O460" s="103">
        <v>7.1275837491090524E-2</v>
      </c>
      <c r="P460" s="42"/>
      <c r="Q460" s="110"/>
      <c r="R460" s="46" t="s">
        <v>4</v>
      </c>
      <c r="S460" s="103">
        <v>8.7553241836251772</v>
      </c>
      <c r="T460" s="103">
        <v>26.833885470894465</v>
      </c>
      <c r="U460" s="103">
        <v>31.471840984382393</v>
      </c>
      <c r="V460" s="103">
        <v>20.208234737340273</v>
      </c>
      <c r="W460" s="103">
        <v>6.8622811168954092</v>
      </c>
      <c r="X460" s="103">
        <v>3.5021296734500709</v>
      </c>
      <c r="Y460" s="103">
        <v>1.7510648367250354</v>
      </c>
      <c r="Z460" s="103">
        <v>0.47326076668244199</v>
      </c>
      <c r="AA460" s="103">
        <v>0.14197823000473261</v>
      </c>
      <c r="AB460" s="103">
        <v>0</v>
      </c>
      <c r="AC460" s="42"/>
      <c r="AD460" s="110"/>
      <c r="AE460" s="46" t="s">
        <v>4</v>
      </c>
      <c r="AF460" s="103">
        <v>14.265267175572518</v>
      </c>
      <c r="AG460" s="103">
        <v>29.43702290076336</v>
      </c>
      <c r="AH460" s="103">
        <v>25.763358778625957</v>
      </c>
      <c r="AI460" s="103">
        <v>18.416030534351144</v>
      </c>
      <c r="AJ460" s="103">
        <v>7.0610687022900773</v>
      </c>
      <c r="AK460" s="103">
        <v>3.0057251908396947</v>
      </c>
      <c r="AL460" s="103">
        <v>1.2881679389312977</v>
      </c>
      <c r="AM460" s="103">
        <v>0.52480916030534353</v>
      </c>
      <c r="AN460" s="103">
        <v>9.5419847328244267E-2</v>
      </c>
      <c r="AO460" s="103">
        <v>0.1431297709923664</v>
      </c>
      <c r="AP460" s="6"/>
      <c r="AQ460" s="110"/>
      <c r="AR460" s="46" t="s">
        <v>4</v>
      </c>
      <c r="AS460" s="103">
        <v>15.105908584169454</v>
      </c>
      <c r="AT460" s="103">
        <v>30.76923076923077</v>
      </c>
      <c r="AU460" s="103">
        <v>27.926421404682273</v>
      </c>
      <c r="AV460" s="103">
        <v>17.391304347826086</v>
      </c>
      <c r="AW460" s="103">
        <v>4.9052396878483835</v>
      </c>
      <c r="AX460" s="103">
        <v>2.0624303232998886</v>
      </c>
      <c r="AY460" s="103">
        <v>1.5607580824972129</v>
      </c>
      <c r="AZ460" s="103">
        <v>0.2229654403567447</v>
      </c>
      <c r="BA460" s="103">
        <v>5.5741360089186176E-2</v>
      </c>
      <c r="BB460" s="103">
        <v>0</v>
      </c>
      <c r="BC460" s="42"/>
      <c r="BD460" s="110"/>
      <c r="BE460" s="46" t="s">
        <v>4</v>
      </c>
      <c r="BF460" s="103">
        <v>8.8198757763975149</v>
      </c>
      <c r="BG460" s="103">
        <v>26.16977225672878</v>
      </c>
      <c r="BH460" s="103">
        <v>29.151138716356108</v>
      </c>
      <c r="BI460" s="103">
        <v>20.745341614906831</v>
      </c>
      <c r="BJ460" s="103">
        <v>8.4886128364389233</v>
      </c>
      <c r="BK460" s="103">
        <v>4.1407867494824018</v>
      </c>
      <c r="BL460" s="103">
        <v>1.4906832298136645</v>
      </c>
      <c r="BM460" s="103">
        <v>0.70393374741200831</v>
      </c>
      <c r="BN460" s="103">
        <v>0.16563146997929606</v>
      </c>
      <c r="BO460" s="103">
        <v>0.12422360248447205</v>
      </c>
      <c r="BQ460" s="110"/>
      <c r="BR460" s="46" t="s">
        <v>4</v>
      </c>
      <c r="BS460" s="103">
        <v>11.985248924400738</v>
      </c>
      <c r="BT460" s="103">
        <v>29.256299938537182</v>
      </c>
      <c r="BU460" s="103">
        <v>27.535341118623236</v>
      </c>
      <c r="BV460" s="103">
        <v>20.344191763982792</v>
      </c>
      <c r="BW460" s="103">
        <v>6.4535955746773208</v>
      </c>
      <c r="BX460" s="103">
        <v>2.581438229870928</v>
      </c>
      <c r="BY460" s="103">
        <v>1.3521819299323909</v>
      </c>
      <c r="BZ460" s="103">
        <v>0.43023970497848807</v>
      </c>
      <c r="CA460" s="103">
        <v>0</v>
      </c>
      <c r="CB460" s="103">
        <v>6.1462814996926851E-2</v>
      </c>
      <c r="CC460" s="42"/>
      <c r="CD460" s="110"/>
      <c r="CE460" s="46" t="s">
        <v>4</v>
      </c>
      <c r="CF460" s="103">
        <v>11.192873741285824</v>
      </c>
      <c r="CG460" s="103">
        <v>27.420604182804027</v>
      </c>
      <c r="CH460" s="103">
        <v>29.318357862122387</v>
      </c>
      <c r="CI460" s="103">
        <v>18.667699457784661</v>
      </c>
      <c r="CJ460" s="103">
        <v>7.2811773818745165</v>
      </c>
      <c r="CK460" s="103">
        <v>3.679318357862122</v>
      </c>
      <c r="CL460" s="103">
        <v>1.6266460108443066</v>
      </c>
      <c r="CM460" s="103">
        <v>0.5422153369481022</v>
      </c>
      <c r="CN460" s="103">
        <v>0.19364833462432224</v>
      </c>
      <c r="CO460" s="103">
        <v>7.7459333849728904E-2</v>
      </c>
      <c r="CQ460" s="110"/>
      <c r="CR460" s="46" t="s">
        <v>4</v>
      </c>
      <c r="CS460" s="103">
        <v>7.9478054567022536</v>
      </c>
      <c r="CT460" s="103">
        <v>20.166073546856463</v>
      </c>
      <c r="CU460" s="103">
        <v>25.860023724792409</v>
      </c>
      <c r="CV460" s="103">
        <v>23.606168446026096</v>
      </c>
      <c r="CW460" s="103">
        <v>11.150652431791222</v>
      </c>
      <c r="CX460" s="103">
        <v>6.0498220640569391</v>
      </c>
      <c r="CY460" s="103">
        <v>3.2028469750889679</v>
      </c>
      <c r="CZ460" s="103">
        <v>1.4234875444839856</v>
      </c>
      <c r="DA460" s="103">
        <v>0.59311981020166071</v>
      </c>
      <c r="DB460" s="103">
        <v>0</v>
      </c>
      <c r="DC460" s="42"/>
      <c r="DD460" s="110"/>
      <c r="DE460" s="46" t="s">
        <v>4</v>
      </c>
      <c r="DF460" s="103">
        <v>12.388591800356506</v>
      </c>
      <c r="DG460" s="103">
        <v>30.124777183600713</v>
      </c>
      <c r="DH460" s="103">
        <v>29.322638146167556</v>
      </c>
      <c r="DI460" s="103">
        <v>18.241235888294714</v>
      </c>
      <c r="DJ460" s="103">
        <v>5.9120617944147362</v>
      </c>
      <c r="DK460" s="103">
        <v>2.5549613784907903</v>
      </c>
      <c r="DL460" s="103">
        <v>1.0992275698158052</v>
      </c>
      <c r="DM460" s="103">
        <v>0.26737967914438499</v>
      </c>
      <c r="DN460" s="103">
        <v>0</v>
      </c>
      <c r="DO460" s="103">
        <v>8.9126559714795009E-2</v>
      </c>
    </row>
    <row r="461" spans="2:119" ht="16.5" customHeight="1" x14ac:dyDescent="0.45">
      <c r="B461" s="99"/>
      <c r="C461" s="42"/>
      <c r="D461" s="110"/>
      <c r="E461" s="47" t="s">
        <v>5</v>
      </c>
      <c r="F461" s="103">
        <v>9.190915542938253</v>
      </c>
      <c r="G461" s="103">
        <v>22.616512893304943</v>
      </c>
      <c r="H461" s="103">
        <v>27.998580553584102</v>
      </c>
      <c r="I461" s="103">
        <v>21.398154719659331</v>
      </c>
      <c r="J461" s="103">
        <v>9.6049207475751128</v>
      </c>
      <c r="K461" s="103">
        <v>5.4293825408090841</v>
      </c>
      <c r="L461" s="103">
        <v>2.578660988881003</v>
      </c>
      <c r="M461" s="103">
        <v>0.95812633073101494</v>
      </c>
      <c r="N461" s="103">
        <v>0.20108824225218833</v>
      </c>
      <c r="O461" s="103">
        <v>2.3657440264963331E-2</v>
      </c>
      <c r="P461" s="42"/>
      <c r="Q461" s="110"/>
      <c r="R461" s="46" t="s">
        <v>5</v>
      </c>
      <c r="S461" s="103">
        <v>5.7687991021324354</v>
      </c>
      <c r="T461" s="103">
        <v>20.74074074074074</v>
      </c>
      <c r="U461" s="103">
        <v>30.729517396184065</v>
      </c>
      <c r="V461" s="103">
        <v>22.536475869809202</v>
      </c>
      <c r="W461" s="103">
        <v>10.32547699214366</v>
      </c>
      <c r="X461" s="103">
        <v>5.858585858585859</v>
      </c>
      <c r="Y461" s="103">
        <v>2.8731762065095401</v>
      </c>
      <c r="Z461" s="103">
        <v>0.94276094276094269</v>
      </c>
      <c r="AA461" s="103">
        <v>0.20202020202020202</v>
      </c>
      <c r="AB461" s="103">
        <v>2.2446689113355782E-2</v>
      </c>
      <c r="AC461" s="42"/>
      <c r="AD461" s="110"/>
      <c r="AE461" s="46" t="s">
        <v>5</v>
      </c>
      <c r="AF461" s="103">
        <v>13.003250812703177</v>
      </c>
      <c r="AG461" s="103">
        <v>24.706176544136035</v>
      </c>
      <c r="AH461" s="103">
        <v>24.956239059764943</v>
      </c>
      <c r="AI461" s="103">
        <v>20.130032508127034</v>
      </c>
      <c r="AJ461" s="103">
        <v>8.8022005501375347</v>
      </c>
      <c r="AK461" s="103">
        <v>4.9512378094523628</v>
      </c>
      <c r="AL461" s="103">
        <v>2.2505626406601649</v>
      </c>
      <c r="AM461" s="103">
        <v>0.97524381095273827</v>
      </c>
      <c r="AN461" s="103">
        <v>0.20005001250312579</v>
      </c>
      <c r="AO461" s="103">
        <v>2.5006251562890724E-2</v>
      </c>
      <c r="AP461" s="6"/>
      <c r="AQ461" s="110"/>
      <c r="AR461" s="46" t="s">
        <v>5</v>
      </c>
      <c r="AS461" s="103">
        <v>11.651090342679128</v>
      </c>
      <c r="AT461" s="103">
        <v>26.510903426791277</v>
      </c>
      <c r="AU461" s="103">
        <v>29.314641744548286</v>
      </c>
      <c r="AV461" s="103">
        <v>18.411214953271028</v>
      </c>
      <c r="AW461" s="103">
        <v>7.2897196261682247</v>
      </c>
      <c r="AX461" s="103">
        <v>4.26791277258567</v>
      </c>
      <c r="AY461" s="103">
        <v>1.9003115264797508</v>
      </c>
      <c r="AZ461" s="103">
        <v>0.52959501557632394</v>
      </c>
      <c r="BA461" s="103">
        <v>9.3457943925233655E-2</v>
      </c>
      <c r="BB461" s="103">
        <v>3.1152647975077882E-2</v>
      </c>
      <c r="BC461" s="42"/>
      <c r="BD461" s="110"/>
      <c r="BE461" s="46" t="s">
        <v>5</v>
      </c>
      <c r="BF461" s="103">
        <v>7.6849733028222733</v>
      </c>
      <c r="BG461" s="103">
        <v>20.232646834477496</v>
      </c>
      <c r="BH461" s="103">
        <v>27.192982456140353</v>
      </c>
      <c r="BI461" s="103">
        <v>23.226544622425628</v>
      </c>
      <c r="BJ461" s="103">
        <v>11.022120518688025</v>
      </c>
      <c r="BK461" s="103">
        <v>6.140350877192982</v>
      </c>
      <c r="BL461" s="103">
        <v>2.9938977879481312</v>
      </c>
      <c r="BM461" s="103">
        <v>1.2204424103737606</v>
      </c>
      <c r="BN461" s="103">
        <v>0.26697177726926014</v>
      </c>
      <c r="BO461" s="103">
        <v>1.9069412662090009E-2</v>
      </c>
      <c r="BQ461" s="110"/>
      <c r="BR461" s="46" t="s">
        <v>5</v>
      </c>
      <c r="BS461" s="103">
        <v>10.715854194115064</v>
      </c>
      <c r="BT461" s="103">
        <v>25.164690382081687</v>
      </c>
      <c r="BU461" s="103">
        <v>27.755819060166885</v>
      </c>
      <c r="BV461" s="103">
        <v>19.499341238471672</v>
      </c>
      <c r="BW461" s="103">
        <v>8.607817303469476</v>
      </c>
      <c r="BX461" s="103">
        <v>5.3579270970575319</v>
      </c>
      <c r="BY461" s="103">
        <v>2.0202020202020203</v>
      </c>
      <c r="BZ461" s="103">
        <v>0.65876152832674573</v>
      </c>
      <c r="CA461" s="103">
        <v>0.17566974088713219</v>
      </c>
      <c r="CB461" s="103">
        <v>4.3917435221783048E-2</v>
      </c>
      <c r="CC461" s="42"/>
      <c r="CD461" s="110"/>
      <c r="CE461" s="46" t="s">
        <v>5</v>
      </c>
      <c r="CF461" s="103">
        <v>8.6287841994495711</v>
      </c>
      <c r="CG461" s="103">
        <v>21.677189574226972</v>
      </c>
      <c r="CH461" s="103">
        <v>28.088068641735468</v>
      </c>
      <c r="CI461" s="103">
        <v>22.098105876639146</v>
      </c>
      <c r="CJ461" s="103">
        <v>9.9724785494576658</v>
      </c>
      <c r="CK461" s="103">
        <v>5.4557228428039499</v>
      </c>
      <c r="CL461" s="103">
        <v>2.7845232313420754</v>
      </c>
      <c r="CM461" s="103">
        <v>1.0684798445847499</v>
      </c>
      <c r="CN461" s="103">
        <v>0.2104581512060871</v>
      </c>
      <c r="CO461" s="103">
        <v>1.6189088554314394E-2</v>
      </c>
      <c r="CQ461" s="110"/>
      <c r="CR461" s="46" t="s">
        <v>5</v>
      </c>
      <c r="CS461" s="103">
        <v>6.0711793440334967</v>
      </c>
      <c r="CT461" s="103">
        <v>16.120027913468249</v>
      </c>
      <c r="CU461" s="103">
        <v>22.958827634333566</v>
      </c>
      <c r="CV461" s="103">
        <v>26.168876482903002</v>
      </c>
      <c r="CW461" s="103">
        <v>12.142358688066993</v>
      </c>
      <c r="CX461" s="103">
        <v>9.3510118632240058</v>
      </c>
      <c r="CY461" s="103">
        <v>4.6755059316120029</v>
      </c>
      <c r="CZ461" s="103">
        <v>2.0935101186322398</v>
      </c>
      <c r="DA461" s="103">
        <v>0.34891835310537334</v>
      </c>
      <c r="DB461" s="103">
        <v>6.978367062107467E-2</v>
      </c>
      <c r="DC461" s="42"/>
      <c r="DD461" s="110"/>
      <c r="DE461" s="46" t="s">
        <v>5</v>
      </c>
      <c r="DF461" s="103">
        <v>9.8276598775103263</v>
      </c>
      <c r="DG461" s="103">
        <v>23.942458339267912</v>
      </c>
      <c r="DH461" s="103">
        <v>29.027204101979777</v>
      </c>
      <c r="DI461" s="103">
        <v>20.424440962825805</v>
      </c>
      <c r="DJ461" s="103">
        <v>9.0870246403646195</v>
      </c>
      <c r="DK461" s="103">
        <v>4.6289702321606612</v>
      </c>
      <c r="DL461" s="103">
        <v>2.1506907847884915</v>
      </c>
      <c r="DM461" s="103">
        <v>0.72639225181598066</v>
      </c>
      <c r="DN461" s="103">
        <v>0.17091582395670132</v>
      </c>
      <c r="DO461" s="103">
        <v>1.424298532972511E-2</v>
      </c>
    </row>
    <row r="462" spans="2:119" ht="16.5" customHeight="1" x14ac:dyDescent="0.45">
      <c r="B462" s="99"/>
      <c r="C462" s="42"/>
      <c r="D462" s="110"/>
      <c r="E462" s="47" t="s">
        <v>6</v>
      </c>
      <c r="F462" s="103">
        <v>6.8423559295126211</v>
      </c>
      <c r="G462" s="103">
        <v>16.843943483092556</v>
      </c>
      <c r="H462" s="103">
        <v>24.945758586018947</v>
      </c>
      <c r="I462" s="103">
        <v>24.368947451976506</v>
      </c>
      <c r="J462" s="103">
        <v>12.451711911943693</v>
      </c>
      <c r="K462" s="103">
        <v>8.0965232576599462</v>
      </c>
      <c r="L462" s="103">
        <v>4.191141451023972</v>
      </c>
      <c r="M462" s="103">
        <v>1.5822617346668784</v>
      </c>
      <c r="N462" s="103">
        <v>0.55564375297666302</v>
      </c>
      <c r="O462" s="103">
        <v>0.12171244112822142</v>
      </c>
      <c r="P462" s="42"/>
      <c r="Q462" s="110"/>
      <c r="R462" s="46" t="s">
        <v>6</v>
      </c>
      <c r="S462" s="103">
        <v>4.4051543302367397</v>
      </c>
      <c r="T462" s="103">
        <v>14.883628009189891</v>
      </c>
      <c r="U462" s="103">
        <v>25.112376385975427</v>
      </c>
      <c r="V462" s="103">
        <v>25.66177205074418</v>
      </c>
      <c r="W462" s="103">
        <v>13.405254220357607</v>
      </c>
      <c r="X462" s="103">
        <v>9.2698032164618915</v>
      </c>
      <c r="Y462" s="103">
        <v>4.5949455598841276</v>
      </c>
      <c r="Z462" s="103">
        <v>1.8379782239536508</v>
      </c>
      <c r="AA462" s="103">
        <v>0.69923084606932373</v>
      </c>
      <c r="AB462" s="103">
        <v>0.12985715712716012</v>
      </c>
      <c r="AC462" s="42"/>
      <c r="AD462" s="110"/>
      <c r="AE462" s="46" t="s">
        <v>6</v>
      </c>
      <c r="AF462" s="103">
        <v>9.5881161377447679</v>
      </c>
      <c r="AG462" s="103">
        <v>19.052442043664193</v>
      </c>
      <c r="AH462" s="103">
        <v>24.758046365068648</v>
      </c>
      <c r="AI462" s="103">
        <v>22.912446545127167</v>
      </c>
      <c r="AJ462" s="103">
        <v>11.377447670492909</v>
      </c>
      <c r="AK462" s="103">
        <v>6.7747017780778753</v>
      </c>
      <c r="AL462" s="103">
        <v>3.7362142696376326</v>
      </c>
      <c r="AM462" s="103">
        <v>1.2941706054467701</v>
      </c>
      <c r="AN462" s="103">
        <v>0.39387801035336478</v>
      </c>
      <c r="AO462" s="103">
        <v>0.11253657438667568</v>
      </c>
      <c r="AP462" s="6"/>
      <c r="AQ462" s="110"/>
      <c r="AR462" s="46" t="s">
        <v>6</v>
      </c>
      <c r="AS462" s="103">
        <v>9.8535286284953401</v>
      </c>
      <c r="AT462" s="103">
        <v>20.905459387483354</v>
      </c>
      <c r="AU462" s="103">
        <v>26.557183015238937</v>
      </c>
      <c r="AV462" s="103">
        <v>22.473738718745377</v>
      </c>
      <c r="AW462" s="103">
        <v>9.7203728362183757</v>
      </c>
      <c r="AX462" s="103">
        <v>6.125166444740346</v>
      </c>
      <c r="AY462" s="103">
        <v>2.7518863737239236</v>
      </c>
      <c r="AZ462" s="103">
        <v>1.0948365142772598</v>
      </c>
      <c r="BA462" s="103">
        <v>0.45864772895398725</v>
      </c>
      <c r="BB462" s="103">
        <v>5.918035212309513E-2</v>
      </c>
      <c r="BC462" s="42"/>
      <c r="BD462" s="110"/>
      <c r="BE462" s="46" t="s">
        <v>6</v>
      </c>
      <c r="BF462" s="103">
        <v>5.1655956500247155</v>
      </c>
      <c r="BG462" s="103">
        <v>14.58230350963915</v>
      </c>
      <c r="BH462" s="103">
        <v>24.048442906574394</v>
      </c>
      <c r="BI462" s="103">
        <v>25.424287362003621</v>
      </c>
      <c r="BJ462" s="103">
        <v>13.972647882682484</v>
      </c>
      <c r="BK462" s="103">
        <v>9.1942659416707855</v>
      </c>
      <c r="BL462" s="103">
        <v>4.9925852694018786</v>
      </c>
      <c r="BM462" s="103">
        <v>1.8536826495304006</v>
      </c>
      <c r="BN462" s="103">
        <v>0.60965562695666509</v>
      </c>
      <c r="BO462" s="103">
        <v>0.15653320151590047</v>
      </c>
      <c r="BQ462" s="110"/>
      <c r="BR462" s="46" t="s">
        <v>6</v>
      </c>
      <c r="BS462" s="103">
        <v>9.7024178549287043</v>
      </c>
      <c r="BT462" s="103">
        <v>19.373837569745817</v>
      </c>
      <c r="BU462" s="103">
        <v>24.860508369497829</v>
      </c>
      <c r="BV462" s="103">
        <v>22.783632982021079</v>
      </c>
      <c r="BW462" s="103">
        <v>11.25232486050837</v>
      </c>
      <c r="BX462" s="103">
        <v>6.695598264104154</v>
      </c>
      <c r="BY462" s="103">
        <v>3.2548047117172971</v>
      </c>
      <c r="BZ462" s="103">
        <v>1.3639181649101055</v>
      </c>
      <c r="CA462" s="103">
        <v>0.61996280223186617</v>
      </c>
      <c r="CB462" s="103">
        <v>9.299442033477992E-2</v>
      </c>
      <c r="CC462" s="42"/>
      <c r="CD462" s="110"/>
      <c r="CE462" s="46" t="s">
        <v>6</v>
      </c>
      <c r="CF462" s="103">
        <v>6.2535894327101023</v>
      </c>
      <c r="CG462" s="103">
        <v>16.323144662114732</v>
      </c>
      <c r="CH462" s="103">
        <v>24.963308021185629</v>
      </c>
      <c r="CI462" s="103">
        <v>24.695297045498055</v>
      </c>
      <c r="CJ462" s="103">
        <v>12.698615276625613</v>
      </c>
      <c r="CK462" s="103">
        <v>8.3849148107970137</v>
      </c>
      <c r="CL462" s="103">
        <v>4.3838938166039183</v>
      </c>
      <c r="CM462" s="103">
        <v>1.6272094952459959</v>
      </c>
      <c r="CN462" s="103">
        <v>0.5424031650819986</v>
      </c>
      <c r="CO462" s="103">
        <v>0.12762427413694086</v>
      </c>
      <c r="CQ462" s="110"/>
      <c r="CR462" s="46" t="s">
        <v>6</v>
      </c>
      <c r="CS462" s="103">
        <v>4.3574360593621719</v>
      </c>
      <c r="CT462" s="103">
        <v>11.935585727818124</v>
      </c>
      <c r="CU462" s="103">
        <v>20.271550363119673</v>
      </c>
      <c r="CV462" s="103">
        <v>25.355225765708873</v>
      </c>
      <c r="CW462" s="103">
        <v>15.156299336911905</v>
      </c>
      <c r="CX462" s="103">
        <v>11.714556362488159</v>
      </c>
      <c r="CY462" s="103">
        <v>6.6940322071360914</v>
      </c>
      <c r="CZ462" s="103">
        <v>3.0628354910009472</v>
      </c>
      <c r="DA462" s="103">
        <v>1.2630249447426587</v>
      </c>
      <c r="DB462" s="103">
        <v>0.18945374171139881</v>
      </c>
      <c r="DC462" s="42"/>
      <c r="DD462" s="110"/>
      <c r="DE462" s="46" t="s">
        <v>6</v>
      </c>
      <c r="DF462" s="103">
        <v>7.3426573426573425</v>
      </c>
      <c r="DG462" s="103">
        <v>17.832167832167833</v>
      </c>
      <c r="DH462" s="103">
        <v>25.886840432294978</v>
      </c>
      <c r="DI462" s="103">
        <v>24.170375079465988</v>
      </c>
      <c r="DJ462" s="103">
        <v>11.907183725365543</v>
      </c>
      <c r="DK462" s="103">
        <v>7.3680864589955499</v>
      </c>
      <c r="DL462" s="103">
        <v>3.6872218690400507</v>
      </c>
      <c r="DM462" s="103">
        <v>1.284170375079466</v>
      </c>
      <c r="DN462" s="103">
        <v>0.41322314049586778</v>
      </c>
      <c r="DO462" s="103">
        <v>0.1080737444373808</v>
      </c>
    </row>
    <row r="463" spans="2:119" ht="16.5" customHeight="1" x14ac:dyDescent="0.45">
      <c r="B463" s="99"/>
      <c r="C463" s="42"/>
      <c r="D463" s="110"/>
      <c r="E463" s="47" t="s">
        <v>7</v>
      </c>
      <c r="F463" s="103">
        <v>4.7228037738927107</v>
      </c>
      <c r="G463" s="103">
        <v>11.656108105168711</v>
      </c>
      <c r="H463" s="103">
        <v>19.111449468446668</v>
      </c>
      <c r="I463" s="103">
        <v>24.454172217841702</v>
      </c>
      <c r="J463" s="103">
        <v>15.55779113080834</v>
      </c>
      <c r="K463" s="103">
        <v>12.05035482204519</v>
      </c>
      <c r="L463" s="103">
        <v>7.547785421028304</v>
      </c>
      <c r="M463" s="103">
        <v>3.521031023138204</v>
      </c>
      <c r="N463" s="103">
        <v>1.1473938932543026</v>
      </c>
      <c r="O463" s="103">
        <v>0.23111014437586669</v>
      </c>
      <c r="P463" s="42"/>
      <c r="Q463" s="110"/>
      <c r="R463" s="46" t="s">
        <v>7</v>
      </c>
      <c r="S463" s="103">
        <v>3.0799475753604191</v>
      </c>
      <c r="T463" s="103">
        <v>9.6279866922068766</v>
      </c>
      <c r="U463" s="103">
        <v>18.504889605807037</v>
      </c>
      <c r="V463" s="103">
        <v>24.800887186208286</v>
      </c>
      <c r="W463" s="103">
        <v>16.226434116342372</v>
      </c>
      <c r="X463" s="103">
        <v>13.292670632120174</v>
      </c>
      <c r="Y463" s="103">
        <v>8.5442080854924907</v>
      </c>
      <c r="Z463" s="103">
        <v>4.2847061195685052</v>
      </c>
      <c r="AA463" s="103">
        <v>1.3610242968041133</v>
      </c>
      <c r="AB463" s="103">
        <v>0.27724569008972677</v>
      </c>
      <c r="AC463" s="42"/>
      <c r="AD463" s="110"/>
      <c r="AE463" s="46" t="s">
        <v>7</v>
      </c>
      <c r="AF463" s="103">
        <v>6.6465970131633316</v>
      </c>
      <c r="AG463" s="103">
        <v>14.031048934537512</v>
      </c>
      <c r="AH463" s="103">
        <v>19.82173425417626</v>
      </c>
      <c r="AI463" s="103">
        <v>24.048167168408003</v>
      </c>
      <c r="AJ463" s="103">
        <v>14.774806682014049</v>
      </c>
      <c r="AK463" s="103">
        <v>10.595596481907798</v>
      </c>
      <c r="AL463" s="103">
        <v>6.3809692462074254</v>
      </c>
      <c r="AM463" s="103">
        <v>2.626763473230624</v>
      </c>
      <c r="AN463" s="103">
        <v>0.89723156838439289</v>
      </c>
      <c r="AO463" s="103">
        <v>0.17708517797060386</v>
      </c>
      <c r="AP463" s="6"/>
      <c r="AQ463" s="110"/>
      <c r="AR463" s="46" t="s">
        <v>7</v>
      </c>
      <c r="AS463" s="103">
        <v>6.965345257545791</v>
      </c>
      <c r="AT463" s="103">
        <v>15.495743400120388</v>
      </c>
      <c r="AU463" s="103">
        <v>22.323501590850462</v>
      </c>
      <c r="AV463" s="103">
        <v>24.481898701522056</v>
      </c>
      <c r="AW463" s="103">
        <v>12.821394788889846</v>
      </c>
      <c r="AX463" s="103">
        <v>9.5880987187204401</v>
      </c>
      <c r="AY463" s="103">
        <v>5.1509158139134916</v>
      </c>
      <c r="AZ463" s="103">
        <v>2.2099922607274913</v>
      </c>
      <c r="BA463" s="103">
        <v>0.82552240089431594</v>
      </c>
      <c r="BB463" s="103">
        <v>0.13758706681571931</v>
      </c>
      <c r="BC463" s="42"/>
      <c r="BD463" s="110"/>
      <c r="BE463" s="46" t="s">
        <v>7</v>
      </c>
      <c r="BF463" s="103">
        <v>3.6858846918489063</v>
      </c>
      <c r="BG463" s="103">
        <v>9.8807157057654074</v>
      </c>
      <c r="BH463" s="103">
        <v>17.62624254473161</v>
      </c>
      <c r="BI463" s="103">
        <v>24.441351888667992</v>
      </c>
      <c r="BJ463" s="103">
        <v>16.823061630218689</v>
      </c>
      <c r="BK463" s="103">
        <v>13.188866799204771</v>
      </c>
      <c r="BL463" s="103">
        <v>8.6560636182902577</v>
      </c>
      <c r="BM463" s="103">
        <v>4.1272365805168985</v>
      </c>
      <c r="BN463" s="103">
        <v>1.2962226640159047</v>
      </c>
      <c r="BO463" s="103">
        <v>0.27435387673956263</v>
      </c>
      <c r="BQ463" s="110"/>
      <c r="BR463" s="46" t="s">
        <v>7</v>
      </c>
      <c r="BS463" s="103">
        <v>6.4957264957264966</v>
      </c>
      <c r="BT463" s="103">
        <v>16.239316239316238</v>
      </c>
      <c r="BU463" s="103">
        <v>21.440781440781439</v>
      </c>
      <c r="BV463" s="103">
        <v>22.490842490842493</v>
      </c>
      <c r="BW463" s="103">
        <v>13.553113553113553</v>
      </c>
      <c r="BX463" s="103">
        <v>9.8656898656898662</v>
      </c>
      <c r="BY463" s="103">
        <v>6.0317460317460316</v>
      </c>
      <c r="BZ463" s="103">
        <v>2.7350427350427351</v>
      </c>
      <c r="CA463" s="103">
        <v>1.0744810744810744</v>
      </c>
      <c r="CB463" s="103">
        <v>7.3260073260073263E-2</v>
      </c>
      <c r="CC463" s="42"/>
      <c r="CD463" s="110"/>
      <c r="CE463" s="46" t="s">
        <v>7</v>
      </c>
      <c r="CF463" s="103">
        <v>4.5006731122261661</v>
      </c>
      <c r="CG463" s="103">
        <v>11.081874923509973</v>
      </c>
      <c r="CH463" s="103">
        <v>18.819605923387588</v>
      </c>
      <c r="CI463" s="103">
        <v>24.700159099253458</v>
      </c>
      <c r="CJ463" s="103">
        <v>15.80895851181006</v>
      </c>
      <c r="CK463" s="103">
        <v>12.324072940888509</v>
      </c>
      <c r="CL463" s="103">
        <v>7.7377309998776163</v>
      </c>
      <c r="CM463" s="103">
        <v>3.6195080161546933</v>
      </c>
      <c r="CN463" s="103">
        <v>1.1565291885938074</v>
      </c>
      <c r="CO463" s="103">
        <v>0.25088728429812751</v>
      </c>
      <c r="CQ463" s="110"/>
      <c r="CR463" s="46" t="s">
        <v>7</v>
      </c>
      <c r="CS463" s="103">
        <v>2.8323597096831299</v>
      </c>
      <c r="CT463" s="103">
        <v>7.4703487342892547</v>
      </c>
      <c r="CU463" s="103">
        <v>15.223933439546823</v>
      </c>
      <c r="CV463" s="103">
        <v>23.136838378474067</v>
      </c>
      <c r="CW463" s="103">
        <v>17.188882988139493</v>
      </c>
      <c r="CX463" s="103">
        <v>15.560276155071694</v>
      </c>
      <c r="CY463" s="103">
        <v>10.178792706673748</v>
      </c>
      <c r="CZ463" s="103">
        <v>5.8063374048504164</v>
      </c>
      <c r="DA463" s="103">
        <v>2.1419720304478669</v>
      </c>
      <c r="DB463" s="103">
        <v>0.46025845282350858</v>
      </c>
      <c r="DC463" s="42"/>
      <c r="DD463" s="110"/>
      <c r="DE463" s="46" t="s">
        <v>7</v>
      </c>
      <c r="DF463" s="103">
        <v>5.0658528750401537</v>
      </c>
      <c r="DG463" s="103">
        <v>12.415676196594925</v>
      </c>
      <c r="DH463" s="103">
        <v>19.816896884034694</v>
      </c>
      <c r="DI463" s="103">
        <v>24.693221972373916</v>
      </c>
      <c r="DJ463" s="103">
        <v>15.26180533247671</v>
      </c>
      <c r="DK463" s="103">
        <v>11.413427561837455</v>
      </c>
      <c r="DL463" s="103">
        <v>7.0703501445550918</v>
      </c>
      <c r="DM463" s="103">
        <v>3.1063283006745901</v>
      </c>
      <c r="DN463" s="103">
        <v>0.9669129457115323</v>
      </c>
      <c r="DO463" s="103">
        <v>0.18952778670093157</v>
      </c>
    </row>
    <row r="464" spans="2:119" ht="16.5" customHeight="1" x14ac:dyDescent="0.45">
      <c r="B464" s="99"/>
      <c r="C464" s="42"/>
      <c r="D464" s="110"/>
      <c r="E464" s="47" t="s">
        <v>8</v>
      </c>
      <c r="F464" s="103">
        <v>2.6599936948297604</v>
      </c>
      <c r="G464" s="103">
        <v>6.7110655737704921</v>
      </c>
      <c r="H464" s="103">
        <v>11.997556746532156</v>
      </c>
      <c r="I464" s="103">
        <v>20.042559899117276</v>
      </c>
      <c r="J464" s="103">
        <v>16.582597730138716</v>
      </c>
      <c r="K464" s="103">
        <v>16.807219419924337</v>
      </c>
      <c r="L464" s="103">
        <v>13.386664564943255</v>
      </c>
      <c r="M464" s="103">
        <v>7.6627522068095839</v>
      </c>
      <c r="N464" s="103">
        <v>3.2885403530895334</v>
      </c>
      <c r="O464" s="103">
        <v>0.86104981084489285</v>
      </c>
      <c r="P464" s="42"/>
      <c r="Q464" s="110"/>
      <c r="R464" s="46" t="s">
        <v>8</v>
      </c>
      <c r="S464" s="103">
        <v>1.485905746958992</v>
      </c>
      <c r="T464" s="103">
        <v>4.8911064170733489</v>
      </c>
      <c r="U464" s="103">
        <v>10.845655182460485</v>
      </c>
      <c r="V464" s="103">
        <v>19.37504552407313</v>
      </c>
      <c r="W464" s="103">
        <v>16.446937140359822</v>
      </c>
      <c r="X464" s="103">
        <v>17.568650302279845</v>
      </c>
      <c r="Y464" s="103">
        <v>14.684245028771215</v>
      </c>
      <c r="Z464" s="103">
        <v>9.334255954548766</v>
      </c>
      <c r="AA464" s="103">
        <v>4.2173501347512561</v>
      </c>
      <c r="AB464" s="103">
        <v>1.1508485687231407</v>
      </c>
      <c r="AC464" s="42"/>
      <c r="AD464" s="110"/>
      <c r="AE464" s="46" t="s">
        <v>8</v>
      </c>
      <c r="AF464" s="103">
        <v>4.0439598179788785</v>
      </c>
      <c r="AG464" s="103">
        <v>8.8563578603932331</v>
      </c>
      <c r="AH464" s="103">
        <v>13.355370481669098</v>
      </c>
      <c r="AI464" s="103">
        <v>20.829398128273375</v>
      </c>
      <c r="AJ464" s="103">
        <v>16.742508800549498</v>
      </c>
      <c r="AK464" s="103">
        <v>15.909676311496524</v>
      </c>
      <c r="AL464" s="103">
        <v>11.857130591568644</v>
      </c>
      <c r="AM464" s="103">
        <v>5.692452992186829</v>
      </c>
      <c r="AN464" s="103">
        <v>2.1936979479694343</v>
      </c>
      <c r="AO464" s="103">
        <v>0.51944706791448447</v>
      </c>
      <c r="AP464" s="6"/>
      <c r="AQ464" s="110"/>
      <c r="AR464" s="46" t="s">
        <v>8</v>
      </c>
      <c r="AS464" s="103">
        <v>4.6178104820543622</v>
      </c>
      <c r="AT464" s="103">
        <v>10.414476648145367</v>
      </c>
      <c r="AU464" s="103">
        <v>16.556540021024176</v>
      </c>
      <c r="AV464" s="103">
        <v>21.43715272563448</v>
      </c>
      <c r="AW464" s="103">
        <v>15.377684336987535</v>
      </c>
      <c r="AX464" s="103">
        <v>13.440456525003755</v>
      </c>
      <c r="AY464" s="103">
        <v>9.9939930920558631</v>
      </c>
      <c r="AZ464" s="103">
        <v>5.3761826100015018</v>
      </c>
      <c r="BA464" s="103">
        <v>2.1474695900285328</v>
      </c>
      <c r="BB464" s="103">
        <v>0.63823396906442409</v>
      </c>
      <c r="BC464" s="42"/>
      <c r="BD464" s="110"/>
      <c r="BE464" s="46" t="s">
        <v>8</v>
      </c>
      <c r="BF464" s="103">
        <v>1.9634556820003206</v>
      </c>
      <c r="BG464" s="103">
        <v>5.3934925468825137</v>
      </c>
      <c r="BH464" s="103">
        <v>10.37559437944115</v>
      </c>
      <c r="BI464" s="103">
        <v>19.546401666933804</v>
      </c>
      <c r="BJ464" s="103">
        <v>17.011273174119783</v>
      </c>
      <c r="BK464" s="103">
        <v>18.005022172356679</v>
      </c>
      <c r="BL464" s="103">
        <v>14.5936848853983</v>
      </c>
      <c r="BM464" s="103">
        <v>8.4762515360367576</v>
      </c>
      <c r="BN464" s="103">
        <v>3.6945023240903994</v>
      </c>
      <c r="BO464" s="103">
        <v>0.94032163274028957</v>
      </c>
      <c r="BQ464" s="110"/>
      <c r="BR464" s="46" t="s">
        <v>8</v>
      </c>
      <c r="BS464" s="103">
        <v>5.1916281598260392</v>
      </c>
      <c r="BT464" s="103">
        <v>10.709431910845337</v>
      </c>
      <c r="BU464" s="103">
        <v>16.200054362598532</v>
      </c>
      <c r="BV464" s="103">
        <v>20.331611851046478</v>
      </c>
      <c r="BW464" s="103">
        <v>15.13998369122044</v>
      </c>
      <c r="BX464" s="103">
        <v>13.237292742593096</v>
      </c>
      <c r="BY464" s="103">
        <v>10.00271812992661</v>
      </c>
      <c r="BZ464" s="103">
        <v>6.0342484370752922</v>
      </c>
      <c r="CA464" s="103">
        <v>2.5278608317477578</v>
      </c>
      <c r="CB464" s="103">
        <v>0.62516988312041311</v>
      </c>
      <c r="CC464" s="42"/>
      <c r="CD464" s="110"/>
      <c r="CE464" s="46" t="s">
        <v>8</v>
      </c>
      <c r="CF464" s="103">
        <v>2.4621332823486926</v>
      </c>
      <c r="CG464" s="103">
        <v>6.3985724300554461</v>
      </c>
      <c r="CH464" s="103">
        <v>11.669109680708686</v>
      </c>
      <c r="CI464" s="103">
        <v>20.019968984343468</v>
      </c>
      <c r="CJ464" s="103">
        <v>16.695345527159944</v>
      </c>
      <c r="CK464" s="103">
        <v>17.086227773883117</v>
      </c>
      <c r="CL464" s="103">
        <v>13.651137594799568</v>
      </c>
      <c r="CM464" s="103">
        <v>7.7900282539884858</v>
      </c>
      <c r="CN464" s="103">
        <v>3.3479914175854524</v>
      </c>
      <c r="CO464" s="103">
        <v>0.87948505512714292</v>
      </c>
      <c r="CQ464" s="110"/>
      <c r="CR464" s="46" t="s">
        <v>8</v>
      </c>
      <c r="CS464" s="103">
        <v>1.5232073573789338</v>
      </c>
      <c r="CT464" s="103">
        <v>4.1960051731570625</v>
      </c>
      <c r="CU464" s="103">
        <v>8.8087368874838337</v>
      </c>
      <c r="CV464" s="103">
        <v>17.215117114527949</v>
      </c>
      <c r="CW464" s="103">
        <v>16.094266417588734</v>
      </c>
      <c r="CX464" s="103">
        <v>18.508406380227044</v>
      </c>
      <c r="CY464" s="103">
        <v>16.61158212386837</v>
      </c>
      <c r="CZ464" s="103">
        <v>10.475643052162667</v>
      </c>
      <c r="DA464" s="103">
        <v>4.8713895674665899</v>
      </c>
      <c r="DB464" s="103">
        <v>1.695645926138813</v>
      </c>
      <c r="DC464" s="42"/>
      <c r="DD464" s="110"/>
      <c r="DE464" s="46" t="s">
        <v>8</v>
      </c>
      <c r="DF464" s="103">
        <v>2.8406366314251135</v>
      </c>
      <c r="DG464" s="103">
        <v>7.110725458406594</v>
      </c>
      <c r="DH464" s="103">
        <v>12.504281506176786</v>
      </c>
      <c r="DI464" s="103">
        <v>20.491859429589205</v>
      </c>
      <c r="DJ464" s="103">
        <v>16.660196835110632</v>
      </c>
      <c r="DK464" s="103">
        <v>16.536889457219189</v>
      </c>
      <c r="DL464" s="103">
        <v>12.874203639851117</v>
      </c>
      <c r="DM464" s="103">
        <v>7.2157650766104169</v>
      </c>
      <c r="DN464" s="103">
        <v>3.0370150480670426</v>
      </c>
      <c r="DO464" s="103">
        <v>0.72842691754389965</v>
      </c>
    </row>
    <row r="465" spans="2:119" ht="16.5" customHeight="1" x14ac:dyDescent="0.45">
      <c r="B465" s="99"/>
      <c r="C465" s="42"/>
      <c r="D465" s="110"/>
      <c r="E465" s="47" t="s">
        <v>9</v>
      </c>
      <c r="F465" s="103">
        <v>1.2404218876769133</v>
      </c>
      <c r="G465" s="103">
        <v>3.046966555485441</v>
      </c>
      <c r="H465" s="103">
        <v>6.07770666185883</v>
      </c>
      <c r="I465" s="103">
        <v>12.58631569458217</v>
      </c>
      <c r="J465" s="103">
        <v>13.943928603623906</v>
      </c>
      <c r="K465" s="103">
        <v>17.977102677364105</v>
      </c>
      <c r="L465" s="103">
        <v>18.79563688812765</v>
      </c>
      <c r="M465" s="103">
        <v>14.558730731091678</v>
      </c>
      <c r="N465" s="103">
        <v>8.3854683133507617</v>
      </c>
      <c r="O465" s="103">
        <v>3.3877219868385469</v>
      </c>
      <c r="P465" s="42"/>
      <c r="Q465" s="110"/>
      <c r="R465" s="46" t="s">
        <v>9</v>
      </c>
      <c r="S465" s="103">
        <v>0.64926281617746517</v>
      </c>
      <c r="T465" s="103">
        <v>1.9680779115379414</v>
      </c>
      <c r="U465" s="103">
        <v>4.9134316245096707</v>
      </c>
      <c r="V465" s="103">
        <v>10.777086433112403</v>
      </c>
      <c r="W465" s="103">
        <v>12.785743270661436</v>
      </c>
      <c r="X465" s="103">
        <v>17.557148654132288</v>
      </c>
      <c r="Y465" s="103">
        <v>19.728121195725688</v>
      </c>
      <c r="Z465" s="103">
        <v>16.887596374949275</v>
      </c>
      <c r="AA465" s="103">
        <v>10.249560394968213</v>
      </c>
      <c r="AB465" s="103">
        <v>4.4839713242256192</v>
      </c>
      <c r="AC465" s="42"/>
      <c r="AD465" s="110"/>
      <c r="AE465" s="46" t="s">
        <v>9</v>
      </c>
      <c r="AF465" s="103">
        <v>1.9155756382033755</v>
      </c>
      <c r="AG465" s="103">
        <v>4.2791488046962503</v>
      </c>
      <c r="AH465" s="103">
        <v>7.4074074074074066</v>
      </c>
      <c r="AI465" s="103">
        <v>14.652608813192755</v>
      </c>
      <c r="AJ465" s="103">
        <v>15.266674390761981</v>
      </c>
      <c r="AK465" s="103">
        <v>18.45672575599583</v>
      </c>
      <c r="AL465" s="103">
        <v>17.730660796354229</v>
      </c>
      <c r="AM465" s="103">
        <v>11.898968833275402</v>
      </c>
      <c r="AN465" s="103">
        <v>6.2565172054223153</v>
      </c>
      <c r="AO465" s="103">
        <v>2.1357123546904568</v>
      </c>
      <c r="AP465" s="6"/>
      <c r="AQ465" s="110"/>
      <c r="AR465" s="46" t="s">
        <v>9</v>
      </c>
      <c r="AS465" s="103">
        <v>2.5755584756898817</v>
      </c>
      <c r="AT465" s="103">
        <v>5.3000438020148932</v>
      </c>
      <c r="AU465" s="103">
        <v>9.312308366184844</v>
      </c>
      <c r="AV465" s="103">
        <v>16.180464301357862</v>
      </c>
      <c r="AW465" s="103">
        <v>15.260621988611476</v>
      </c>
      <c r="AX465" s="103">
        <v>17.704774419623305</v>
      </c>
      <c r="AY465" s="103">
        <v>15.059132720105126</v>
      </c>
      <c r="AZ465" s="103">
        <v>10.740254051686378</v>
      </c>
      <c r="BA465" s="103">
        <v>5.7293035479632062</v>
      </c>
      <c r="BB465" s="103">
        <v>2.137538326763031</v>
      </c>
      <c r="BC465" s="42"/>
      <c r="BD465" s="110"/>
      <c r="BE465" s="46" t="s">
        <v>9</v>
      </c>
      <c r="BF465" s="103">
        <v>0.89443813847900122</v>
      </c>
      <c r="BG465" s="103">
        <v>2.4631101021566399</v>
      </c>
      <c r="BH465" s="103">
        <v>5.23950056753689</v>
      </c>
      <c r="BI465" s="103">
        <v>11.654937570942112</v>
      </c>
      <c r="BJ465" s="103">
        <v>13.60272417707151</v>
      </c>
      <c r="BK465" s="103">
        <v>18.047673098751417</v>
      </c>
      <c r="BL465" s="103">
        <v>19.763904653802499</v>
      </c>
      <c r="BM465" s="103">
        <v>15.548240635641317</v>
      </c>
      <c r="BN465" s="103">
        <v>9.0737797956867183</v>
      </c>
      <c r="BO465" s="103">
        <v>3.7116912599318956</v>
      </c>
      <c r="BQ465" s="110"/>
      <c r="BR465" s="46" t="s">
        <v>9</v>
      </c>
      <c r="BS465" s="103">
        <v>2.8698325930987361</v>
      </c>
      <c r="BT465" s="103">
        <v>6.2179706183805941</v>
      </c>
      <c r="BU465" s="103">
        <v>9.7027673385719169</v>
      </c>
      <c r="BV465" s="103">
        <v>15.510761872224121</v>
      </c>
      <c r="BW465" s="103">
        <v>13.460881448582166</v>
      </c>
      <c r="BX465" s="103">
        <v>17.18483088486505</v>
      </c>
      <c r="BY465" s="103">
        <v>15.954902630679877</v>
      </c>
      <c r="BZ465" s="103">
        <v>10.181072770755041</v>
      </c>
      <c r="CA465" s="103">
        <v>5.9446532285616671</v>
      </c>
      <c r="CB465" s="103">
        <v>2.9723266142808336</v>
      </c>
      <c r="CC465" s="42"/>
      <c r="CD465" s="110"/>
      <c r="CE465" s="46" t="s">
        <v>9</v>
      </c>
      <c r="CF465" s="103">
        <v>1.1496440671513952</v>
      </c>
      <c r="CG465" s="103">
        <v>2.8703033994442118</v>
      </c>
      <c r="CH465" s="103">
        <v>5.8757470783052268</v>
      </c>
      <c r="CI465" s="103">
        <v>12.423388785260192</v>
      </c>
      <c r="CJ465" s="103">
        <v>13.970840153793446</v>
      </c>
      <c r="CK465" s="103">
        <v>18.021241767863259</v>
      </c>
      <c r="CL465" s="103">
        <v>18.953900034260915</v>
      </c>
      <c r="CM465" s="103">
        <v>14.802619056682781</v>
      </c>
      <c r="CN465" s="103">
        <v>8.5214511401271462</v>
      </c>
      <c r="CO465" s="103">
        <v>3.410864517111424</v>
      </c>
      <c r="CQ465" s="110"/>
      <c r="CR465" s="46" t="s">
        <v>9</v>
      </c>
      <c r="CS465" s="103">
        <v>0.66618392469225196</v>
      </c>
      <c r="CT465" s="103">
        <v>1.8971759594496742</v>
      </c>
      <c r="CU465" s="103">
        <v>4.1708906589427945</v>
      </c>
      <c r="CV465" s="103">
        <v>10.209992758870385</v>
      </c>
      <c r="CW465" s="103">
        <v>11.67270094134685</v>
      </c>
      <c r="CX465" s="103">
        <v>18.131788559015206</v>
      </c>
      <c r="CY465" s="103">
        <v>21.028240405503258</v>
      </c>
      <c r="CZ465" s="103">
        <v>16.857349746560462</v>
      </c>
      <c r="DA465" s="103">
        <v>10.890658942795076</v>
      </c>
      <c r="DB465" s="103">
        <v>4.4750181028240403</v>
      </c>
      <c r="DC465" s="42"/>
      <c r="DD465" s="110"/>
      <c r="DE465" s="46" t="s">
        <v>9</v>
      </c>
      <c r="DF465" s="103">
        <v>1.3220757825370677</v>
      </c>
      <c r="DG465" s="103">
        <v>3.210461285008237</v>
      </c>
      <c r="DH465" s="103">
        <v>6.3488467874794061</v>
      </c>
      <c r="DI465" s="103">
        <v>12.924217462932456</v>
      </c>
      <c r="DJ465" s="103">
        <v>14.266886326194397</v>
      </c>
      <c r="DK465" s="103">
        <v>17.955107084019769</v>
      </c>
      <c r="DL465" s="103">
        <v>18.478171334431632</v>
      </c>
      <c r="DM465" s="103">
        <v>14.231878088962107</v>
      </c>
      <c r="DN465" s="103">
        <v>8.0292421746293243</v>
      </c>
      <c r="DO465" s="103">
        <v>3.2331136738056014</v>
      </c>
    </row>
    <row r="466" spans="2:119" ht="16.5" customHeight="1" x14ac:dyDescent="0.45">
      <c r="B466" s="99"/>
      <c r="C466" s="42"/>
      <c r="D466" s="110"/>
      <c r="E466" s="47" t="s">
        <v>10</v>
      </c>
      <c r="F466" s="103">
        <v>0.42248943776405595</v>
      </c>
      <c r="G466" s="103">
        <v>0.99122521936951569</v>
      </c>
      <c r="H466" s="103">
        <v>2.0921351966200845</v>
      </c>
      <c r="I466" s="103">
        <v>5.3664283392915184</v>
      </c>
      <c r="J466" s="103">
        <v>7.4768443288917785</v>
      </c>
      <c r="K466" s="103">
        <v>13.383571660708482</v>
      </c>
      <c r="L466" s="103">
        <v>19.505606109847253</v>
      </c>
      <c r="M466" s="103">
        <v>21.490087747806307</v>
      </c>
      <c r="N466" s="103">
        <v>18.102047448813778</v>
      </c>
      <c r="O466" s="103">
        <v>11.169564510887229</v>
      </c>
      <c r="P466" s="42"/>
      <c r="Q466" s="110"/>
      <c r="R466" s="46" t="s">
        <v>10</v>
      </c>
      <c r="S466" s="103">
        <v>0.20612835454076983</v>
      </c>
      <c r="T466" s="103">
        <v>0.5589249613509335</v>
      </c>
      <c r="U466" s="103">
        <v>1.5499266658738653</v>
      </c>
      <c r="V466" s="103">
        <v>4.1423871249058548</v>
      </c>
      <c r="W466" s="103">
        <v>6.0530384112260673</v>
      </c>
      <c r="X466" s="103">
        <v>11.4995837792841</v>
      </c>
      <c r="Y466" s="103">
        <v>18.278035438220954</v>
      </c>
      <c r="Z466" s="103">
        <v>22.360962460855433</v>
      </c>
      <c r="AA466" s="103">
        <v>21.175724422246006</v>
      </c>
      <c r="AB466" s="103">
        <v>14.175288381496015</v>
      </c>
      <c r="AC466" s="42"/>
      <c r="AD466" s="110"/>
      <c r="AE466" s="46" t="s">
        <v>10</v>
      </c>
      <c r="AF466" s="103">
        <v>0.64986461153926267</v>
      </c>
      <c r="AG466" s="103">
        <v>1.4455321807956676</v>
      </c>
      <c r="AH466" s="103">
        <v>2.6619454280358257</v>
      </c>
      <c r="AI466" s="103">
        <v>6.6527806706936063</v>
      </c>
      <c r="AJ466" s="103">
        <v>8.9731305977921263</v>
      </c>
      <c r="AK466" s="103">
        <v>15.363465944594875</v>
      </c>
      <c r="AL466" s="103">
        <v>20.795667569256405</v>
      </c>
      <c r="AM466" s="103">
        <v>20.57488023328473</v>
      </c>
      <c r="AN466" s="103">
        <v>14.871901687148512</v>
      </c>
      <c r="AO466" s="103">
        <v>8.0108310768589881</v>
      </c>
      <c r="AP466" s="6"/>
      <c r="AQ466" s="110"/>
      <c r="AR466" s="46" t="s">
        <v>10</v>
      </c>
      <c r="AS466" s="103">
        <v>1.2611063341931785</v>
      </c>
      <c r="AT466" s="103">
        <v>2.522212668386357</v>
      </c>
      <c r="AU466" s="103">
        <v>4.542848953854973</v>
      </c>
      <c r="AV466" s="103">
        <v>9.8022355975924338</v>
      </c>
      <c r="AW466" s="103">
        <v>10.619088564058469</v>
      </c>
      <c r="AX466" s="103">
        <v>16.33705932932072</v>
      </c>
      <c r="AY466" s="103">
        <v>18.558326167956434</v>
      </c>
      <c r="AZ466" s="103">
        <v>17.268558326167955</v>
      </c>
      <c r="BA466" s="103">
        <v>12.281456004585841</v>
      </c>
      <c r="BB466" s="103">
        <v>6.8071080538836339</v>
      </c>
      <c r="BC466" s="42"/>
      <c r="BD466" s="110"/>
      <c r="BE466" s="46" t="s">
        <v>10</v>
      </c>
      <c r="BF466" s="103">
        <v>0.28399678136981116</v>
      </c>
      <c r="BG466" s="103">
        <v>0.738391631561509</v>
      </c>
      <c r="BH466" s="103">
        <v>1.6874142093056279</v>
      </c>
      <c r="BI466" s="103">
        <v>4.6338808160174185</v>
      </c>
      <c r="BJ466" s="103">
        <v>6.9579211435603732</v>
      </c>
      <c r="BK466" s="103">
        <v>12.895820514034174</v>
      </c>
      <c r="BL466" s="103">
        <v>19.662043830169925</v>
      </c>
      <c r="BM466" s="103">
        <v>22.187248544516496</v>
      </c>
      <c r="BN466" s="103">
        <v>19.063283949448572</v>
      </c>
      <c r="BO466" s="103">
        <v>11.889998580016094</v>
      </c>
      <c r="BQ466" s="110"/>
      <c r="BR466" s="46" t="s">
        <v>10</v>
      </c>
      <c r="BS466" s="103">
        <v>0.89520800421274349</v>
      </c>
      <c r="BT466" s="103">
        <v>1.5797788309636649</v>
      </c>
      <c r="BU466" s="103">
        <v>4.1074249605055293</v>
      </c>
      <c r="BV466" s="103">
        <v>8.2675092153765153</v>
      </c>
      <c r="BW466" s="103">
        <v>9.2680358083201693</v>
      </c>
      <c r="BX466" s="103">
        <v>14.797261716692997</v>
      </c>
      <c r="BY466" s="103">
        <v>19.799894681411271</v>
      </c>
      <c r="BZ466" s="103">
        <v>19.325961032122169</v>
      </c>
      <c r="CA466" s="103">
        <v>13.322801474460242</v>
      </c>
      <c r="CB466" s="103">
        <v>8.6361242759347014</v>
      </c>
      <c r="CC466" s="42"/>
      <c r="CD466" s="110"/>
      <c r="CE466" s="46" t="s">
        <v>10</v>
      </c>
      <c r="CF466" s="103">
        <v>0.40352396847865124</v>
      </c>
      <c r="CG466" s="103">
        <v>0.96761244797498569</v>
      </c>
      <c r="CH466" s="103">
        <v>2.0112817695899268</v>
      </c>
      <c r="CI466" s="103">
        <v>5.2500369720913529</v>
      </c>
      <c r="CJ466" s="103">
        <v>7.4049817252234167</v>
      </c>
      <c r="CK466" s="103">
        <v>13.326854414467707</v>
      </c>
      <c r="CL466" s="103">
        <v>19.493799252107411</v>
      </c>
      <c r="CM466" s="103">
        <v>21.576912513468404</v>
      </c>
      <c r="CN466" s="103">
        <v>18.293790801343672</v>
      </c>
      <c r="CO466" s="103">
        <v>11.271206135254474</v>
      </c>
      <c r="CQ466" s="110"/>
      <c r="CR466" s="46" t="s">
        <v>10</v>
      </c>
      <c r="CS466" s="103">
        <v>0.22090059473237042</v>
      </c>
      <c r="CT466" s="103">
        <v>0.69668649107901448</v>
      </c>
      <c r="CU466" s="103">
        <v>1.6822429906542056</v>
      </c>
      <c r="CV466" s="103">
        <v>3.7043330501274423</v>
      </c>
      <c r="CW466" s="103">
        <v>6.2701784197111294</v>
      </c>
      <c r="CX466" s="103">
        <v>11.87765505522515</v>
      </c>
      <c r="CY466" s="103">
        <v>18.606627017841969</v>
      </c>
      <c r="CZ466" s="103">
        <v>22.293967714528463</v>
      </c>
      <c r="DA466" s="103">
        <v>20.747663551401867</v>
      </c>
      <c r="DB466" s="103">
        <v>13.899745114698387</v>
      </c>
      <c r="DC466" s="42"/>
      <c r="DD466" s="110"/>
      <c r="DE466" s="46" t="s">
        <v>10</v>
      </c>
      <c r="DF466" s="103">
        <v>0.44985812166931971</v>
      </c>
      <c r="DG466" s="103">
        <v>1.0312132327496712</v>
      </c>
      <c r="DH466" s="103">
        <v>2.1477841603801879</v>
      </c>
      <c r="DI466" s="103">
        <v>5.5920824970586205</v>
      </c>
      <c r="DJ466" s="103">
        <v>7.6406671741989065</v>
      </c>
      <c r="DK466" s="103">
        <v>13.588022239139963</v>
      </c>
      <c r="DL466" s="103">
        <v>19.627655893141394</v>
      </c>
      <c r="DM466" s="103">
        <v>21.380949085288485</v>
      </c>
      <c r="DN466" s="103">
        <v>17.742865711583271</v>
      </c>
      <c r="DO466" s="103">
        <v>10.798901884790181</v>
      </c>
    </row>
    <row r="467" spans="2:119" ht="16.5" customHeight="1" x14ac:dyDescent="0.45">
      <c r="B467" s="99"/>
      <c r="C467" s="42"/>
      <c r="D467" s="111"/>
      <c r="E467" s="47" t="s">
        <v>11</v>
      </c>
      <c r="F467" s="103">
        <v>8.6552836572507674E-2</v>
      </c>
      <c r="G467" s="103">
        <v>0.18097411283342513</v>
      </c>
      <c r="H467" s="103">
        <v>0.50358014005822649</v>
      </c>
      <c r="I467" s="103">
        <v>1.48713510110945</v>
      </c>
      <c r="J467" s="103">
        <v>2.3920056652765758</v>
      </c>
      <c r="K467" s="103">
        <v>5.437091824691163</v>
      </c>
      <c r="L467" s="103">
        <v>12.180344637658353</v>
      </c>
      <c r="M467" s="103">
        <v>20.03304744669132</v>
      </c>
      <c r="N467" s="103">
        <v>26.540247069006217</v>
      </c>
      <c r="O467" s="103">
        <v>31.159021166102761</v>
      </c>
      <c r="P467" s="42"/>
      <c r="Q467" s="111"/>
      <c r="R467" s="46" t="s">
        <v>11</v>
      </c>
      <c r="S467" s="103">
        <v>1.5278838808250572E-2</v>
      </c>
      <c r="T467" s="103">
        <v>4.5836516424751721E-2</v>
      </c>
      <c r="U467" s="103">
        <v>0.25974025974025972</v>
      </c>
      <c r="V467" s="103">
        <v>1.1000763941940412</v>
      </c>
      <c r="W467" s="103">
        <v>1.680672268907563</v>
      </c>
      <c r="X467" s="103">
        <v>3.865546218487395</v>
      </c>
      <c r="Y467" s="103">
        <v>10.190985485103132</v>
      </c>
      <c r="Z467" s="103">
        <v>18.074866310160427</v>
      </c>
      <c r="AA467" s="103">
        <v>28.403361344537814</v>
      </c>
      <c r="AB467" s="103">
        <v>36.363636363636367</v>
      </c>
      <c r="AC467" s="42"/>
      <c r="AD467" s="111"/>
      <c r="AE467" s="46" t="s">
        <v>11</v>
      </c>
      <c r="AF467" s="103">
        <v>0.16223231667748217</v>
      </c>
      <c r="AG467" s="103">
        <v>0.32446463335496434</v>
      </c>
      <c r="AH467" s="103">
        <v>0.76249188838416604</v>
      </c>
      <c r="AI467" s="103">
        <v>1.8981181051265412</v>
      </c>
      <c r="AJ467" s="103">
        <v>3.1473069435431538</v>
      </c>
      <c r="AK467" s="103">
        <v>7.1057754704737182</v>
      </c>
      <c r="AL467" s="103">
        <v>14.292667099286177</v>
      </c>
      <c r="AM467" s="103">
        <v>22.112264763140818</v>
      </c>
      <c r="AN467" s="103">
        <v>24.561972744970799</v>
      </c>
      <c r="AO467" s="103">
        <v>25.63270603504218</v>
      </c>
      <c r="AP467" s="6"/>
      <c r="AQ467" s="111"/>
      <c r="AR467" s="46" t="s">
        <v>11</v>
      </c>
      <c r="AS467" s="103">
        <v>0.47664442326024786</v>
      </c>
      <c r="AT467" s="103">
        <v>0.76263107721639656</v>
      </c>
      <c r="AU467" s="103">
        <v>2.478551000953289</v>
      </c>
      <c r="AV467" s="103">
        <v>4.8617731172545282</v>
      </c>
      <c r="AW467" s="103">
        <v>4.7664442326024785</v>
      </c>
      <c r="AX467" s="103">
        <v>9.3422306959008576</v>
      </c>
      <c r="AY467" s="103">
        <v>14.966634890371783</v>
      </c>
      <c r="AZ467" s="103">
        <v>17.540514775977119</v>
      </c>
      <c r="BA467" s="103">
        <v>23.927550047664443</v>
      </c>
      <c r="BB467" s="103">
        <v>20.877025738798856</v>
      </c>
      <c r="BC467" s="42"/>
      <c r="BD467" s="111"/>
      <c r="BE467" s="46" t="s">
        <v>11</v>
      </c>
      <c r="BF467" s="103">
        <v>5.1457975986277875E-2</v>
      </c>
      <c r="BG467" s="103">
        <v>0.1286449399656947</v>
      </c>
      <c r="BH467" s="103">
        <v>0.32590051457975988</v>
      </c>
      <c r="BI467" s="103">
        <v>1.1835334476843911</v>
      </c>
      <c r="BJ467" s="103">
        <v>2.1783876500857633</v>
      </c>
      <c r="BK467" s="103">
        <v>5.0857632933104631</v>
      </c>
      <c r="BL467" s="103">
        <v>11.929674099485419</v>
      </c>
      <c r="BM467" s="103">
        <v>20.257289879931388</v>
      </c>
      <c r="BN467" s="103">
        <v>26.775300171526588</v>
      </c>
      <c r="BO467" s="103">
        <v>32.084048027444254</v>
      </c>
      <c r="BQ467" s="111"/>
      <c r="BR467" s="46" t="s">
        <v>11</v>
      </c>
      <c r="BS467" s="103">
        <v>0.27932960893854747</v>
      </c>
      <c r="BT467" s="103">
        <v>1.1173184357541899</v>
      </c>
      <c r="BU467" s="103">
        <v>1.9553072625698324</v>
      </c>
      <c r="BV467" s="103">
        <v>3.0726256983240221</v>
      </c>
      <c r="BW467" s="103">
        <v>4.4692737430167595</v>
      </c>
      <c r="BX467" s="103">
        <v>10.05586592178771</v>
      </c>
      <c r="BY467" s="103">
        <v>12.849162011173185</v>
      </c>
      <c r="BZ467" s="103">
        <v>21.508379888268156</v>
      </c>
      <c r="CA467" s="103">
        <v>21.508379888268156</v>
      </c>
      <c r="CB467" s="103">
        <v>23.184357541899441</v>
      </c>
      <c r="CC467" s="42"/>
      <c r="CD467" s="111"/>
      <c r="CE467" s="46" t="s">
        <v>11</v>
      </c>
      <c r="CF467" s="103">
        <v>8.0965104040158692E-2</v>
      </c>
      <c r="CG467" s="103">
        <v>0.15383369767630151</v>
      </c>
      <c r="CH467" s="103">
        <v>0.46150109302890457</v>
      </c>
      <c r="CI467" s="103">
        <v>1.4411788519148248</v>
      </c>
      <c r="CJ467" s="103">
        <v>2.3317949963565705</v>
      </c>
      <c r="CK467" s="103">
        <v>5.3032143146303943</v>
      </c>
      <c r="CL467" s="103">
        <v>12.160958626831835</v>
      </c>
      <c r="CM467" s="103">
        <v>19.990284187515179</v>
      </c>
      <c r="CN467" s="103">
        <v>26.686098291636306</v>
      </c>
      <c r="CO467" s="103">
        <v>31.390170836369524</v>
      </c>
      <c r="CQ467" s="111"/>
      <c r="CR467" s="46" t="s">
        <v>11</v>
      </c>
      <c r="CS467" s="103">
        <v>0</v>
      </c>
      <c r="CT467" s="103">
        <v>0.15048908954100826</v>
      </c>
      <c r="CU467" s="103">
        <v>0.45146726862302478</v>
      </c>
      <c r="CV467" s="103">
        <v>0.97817908201655379</v>
      </c>
      <c r="CW467" s="103">
        <v>1.9563581640331076</v>
      </c>
      <c r="CX467" s="103">
        <v>4.2136945071482312</v>
      </c>
      <c r="CY467" s="103">
        <v>9.932279909706546</v>
      </c>
      <c r="CZ467" s="103">
        <v>16.704288939051921</v>
      </c>
      <c r="DA467" s="103">
        <v>28.141459744168547</v>
      </c>
      <c r="DB467" s="103">
        <v>37.471783295711056</v>
      </c>
      <c r="DC467" s="42"/>
      <c r="DD467" s="111"/>
      <c r="DE467" s="46" t="s">
        <v>11</v>
      </c>
      <c r="DF467" s="103">
        <v>9.6660808435852369E-2</v>
      </c>
      <c r="DG467" s="103">
        <v>0.18453427065026362</v>
      </c>
      <c r="DH467" s="103">
        <v>0.50966608084358522</v>
      </c>
      <c r="DI467" s="103">
        <v>1.5465729349736379</v>
      </c>
      <c r="DJ467" s="103">
        <v>2.4428822495606326</v>
      </c>
      <c r="DK467" s="103">
        <v>5.5799648506151138</v>
      </c>
      <c r="DL467" s="103">
        <v>12.442882249560633</v>
      </c>
      <c r="DM467" s="103">
        <v>20.421792618629173</v>
      </c>
      <c r="DN467" s="103">
        <v>26.353251318101933</v>
      </c>
      <c r="DO467" s="103">
        <v>30.421792618629173</v>
      </c>
    </row>
    <row r="468" spans="2:119" x14ac:dyDescent="0.45">
      <c r="B468" s="99"/>
      <c r="C468" s="42"/>
      <c r="D468" s="42"/>
      <c r="E468" s="42"/>
      <c r="F468" s="42"/>
      <c r="G468" s="42"/>
      <c r="H468" s="42"/>
      <c r="I468" s="42"/>
      <c r="J468" s="42"/>
      <c r="K468" s="42"/>
      <c r="L468" s="42"/>
      <c r="M468" s="42"/>
      <c r="N468" s="42"/>
      <c r="O468" s="42"/>
      <c r="P468" s="42"/>
      <c r="Q468" s="42"/>
      <c r="R468" s="42"/>
      <c r="S468" s="42"/>
      <c r="T468" s="42"/>
      <c r="U468" s="42"/>
      <c r="V468" s="42"/>
      <c r="W468" s="42"/>
      <c r="X468" s="42"/>
      <c r="Y468" s="42"/>
      <c r="Z468" s="42"/>
      <c r="AA468" s="42"/>
      <c r="AB468" s="42"/>
      <c r="AC468" s="42"/>
      <c r="AD468" s="42"/>
      <c r="AE468" s="42"/>
      <c r="AF468" s="42"/>
      <c r="AG468" s="42"/>
      <c r="AH468" s="42"/>
      <c r="AI468" s="42"/>
      <c r="AJ468" s="42"/>
      <c r="AK468" s="42"/>
      <c r="AL468" s="42"/>
      <c r="AM468" s="42"/>
      <c r="AN468" s="42"/>
      <c r="AO468" s="42"/>
      <c r="AQ468" s="42"/>
      <c r="AR468" s="42"/>
      <c r="AS468" s="42"/>
      <c r="AT468" s="42"/>
      <c r="AU468" s="42"/>
      <c r="AV468" s="42"/>
      <c r="AW468" s="42"/>
      <c r="AX468" s="42"/>
      <c r="AY468" s="42"/>
      <c r="AZ468" s="42"/>
      <c r="BA468" s="42"/>
      <c r="BB468" s="42"/>
      <c r="BC468" s="42"/>
      <c r="BD468" s="42"/>
      <c r="BE468" s="42"/>
      <c r="BF468" s="42"/>
      <c r="BG468" s="42"/>
      <c r="BH468" s="42"/>
      <c r="BI468" s="42"/>
      <c r="BJ468" s="42"/>
      <c r="BK468" s="42"/>
      <c r="BL468" s="42"/>
      <c r="BM468" s="42"/>
      <c r="BN468" s="42"/>
      <c r="BO468" s="42"/>
      <c r="BQ468" s="42"/>
      <c r="BR468" s="42"/>
      <c r="BS468" s="42"/>
      <c r="BT468" s="42"/>
      <c r="BU468" s="42"/>
      <c r="BV468" s="42"/>
      <c r="BW468" s="42"/>
      <c r="BX468" s="42"/>
      <c r="BY468" s="42"/>
      <c r="BZ468" s="42"/>
      <c r="CA468" s="42"/>
      <c r="CB468" s="42"/>
      <c r="CC468" s="42"/>
      <c r="CD468" s="42"/>
      <c r="CE468" s="42"/>
      <c r="CF468" s="42"/>
      <c r="CG468" s="42"/>
      <c r="CH468" s="42"/>
      <c r="CI468" s="42"/>
      <c r="CJ468" s="42"/>
      <c r="CK468" s="42"/>
      <c r="CL468" s="42"/>
      <c r="CM468" s="42"/>
      <c r="CN468" s="42"/>
      <c r="CO468" s="42"/>
      <c r="CQ468" s="42"/>
      <c r="CR468" s="42"/>
      <c r="CS468" s="42"/>
      <c r="CT468" s="42"/>
      <c r="CU468" s="42"/>
      <c r="CV468" s="42"/>
      <c r="CW468" s="42"/>
      <c r="CX468" s="42"/>
      <c r="CY468" s="42"/>
      <c r="CZ468" s="42"/>
      <c r="DA468" s="42"/>
      <c r="DB468" s="42"/>
      <c r="DC468" s="42"/>
      <c r="DD468" s="42"/>
      <c r="DE468" s="42"/>
      <c r="DF468" s="42"/>
      <c r="DG468" s="42"/>
      <c r="DH468" s="42"/>
      <c r="DI468" s="42"/>
      <c r="DJ468" s="42"/>
      <c r="DK468" s="42"/>
      <c r="DL468" s="42"/>
      <c r="DM468" s="42"/>
      <c r="DN468" s="42"/>
      <c r="DO468" s="42"/>
    </row>
    <row r="469" spans="2:119" x14ac:dyDescent="0.45">
      <c r="B469" s="99"/>
      <c r="C469" s="42"/>
      <c r="D469" s="42"/>
      <c r="E469" s="42"/>
      <c r="F469" s="42"/>
      <c r="G469" s="42"/>
      <c r="H469" s="42"/>
      <c r="I469" s="42"/>
      <c r="J469" s="42"/>
      <c r="K469" s="42"/>
      <c r="L469" s="42"/>
      <c r="M469" s="42"/>
      <c r="N469" s="42"/>
      <c r="O469" s="42"/>
      <c r="P469" s="42"/>
      <c r="Q469" s="42"/>
      <c r="R469" s="42"/>
      <c r="S469" s="42"/>
      <c r="T469" s="42"/>
      <c r="U469" s="42"/>
      <c r="V469" s="42"/>
      <c r="W469" s="42"/>
      <c r="X469" s="42"/>
      <c r="Y469" s="42"/>
      <c r="Z469" s="42"/>
      <c r="AA469" s="42"/>
      <c r="AB469" s="42"/>
      <c r="AC469" s="42"/>
      <c r="AD469" s="42"/>
      <c r="AE469" s="42"/>
      <c r="AF469" s="42"/>
      <c r="AG469" s="42"/>
      <c r="AH469" s="42"/>
      <c r="AI469" s="42"/>
      <c r="AJ469" s="42"/>
      <c r="AK469" s="42"/>
      <c r="AL469" s="42"/>
      <c r="AM469" s="42"/>
      <c r="AN469" s="42"/>
      <c r="AO469" s="42"/>
      <c r="AQ469" s="42"/>
      <c r="AR469" s="42"/>
      <c r="AS469" s="42"/>
      <c r="AT469" s="42"/>
      <c r="AU469" s="42"/>
      <c r="AV469" s="42"/>
      <c r="AW469" s="42"/>
      <c r="AX469" s="42"/>
      <c r="AY469" s="42"/>
      <c r="AZ469" s="42"/>
      <c r="BA469" s="42"/>
      <c r="BB469" s="42"/>
      <c r="BC469" s="42"/>
      <c r="BD469" s="42"/>
      <c r="BE469" s="42"/>
      <c r="BF469" s="42"/>
      <c r="BG469" s="42"/>
      <c r="BH469" s="42"/>
      <c r="BI469" s="42"/>
      <c r="BJ469" s="42"/>
      <c r="BK469" s="42"/>
      <c r="BL469" s="42"/>
      <c r="BM469" s="42"/>
      <c r="BN469" s="42"/>
      <c r="BO469" s="42"/>
      <c r="BQ469" s="42"/>
      <c r="BR469" s="42"/>
      <c r="BS469" s="42"/>
      <c r="BT469" s="42"/>
      <c r="BU469" s="42"/>
      <c r="BV469" s="42"/>
      <c r="BW469" s="42"/>
      <c r="BX469" s="42"/>
      <c r="BY469" s="42"/>
      <c r="BZ469" s="42"/>
      <c r="CA469" s="42"/>
      <c r="CB469" s="42"/>
      <c r="CC469" s="42"/>
      <c r="CD469" s="42"/>
      <c r="CE469" s="42"/>
      <c r="CF469" s="42"/>
      <c r="CG469" s="42"/>
      <c r="CH469" s="42"/>
      <c r="CI469" s="42"/>
      <c r="CJ469" s="42"/>
      <c r="CK469" s="42"/>
      <c r="CL469" s="42"/>
      <c r="CM469" s="42"/>
      <c r="CN469" s="42"/>
      <c r="CO469" s="42"/>
      <c r="CQ469" s="42"/>
      <c r="CR469" s="42"/>
      <c r="CS469" s="42"/>
      <c r="CT469" s="42"/>
      <c r="CU469" s="42"/>
      <c r="CV469" s="42"/>
      <c r="CW469" s="42"/>
      <c r="CX469" s="42"/>
      <c r="CY469" s="42"/>
      <c r="CZ469" s="42"/>
      <c r="DA469" s="42"/>
      <c r="DB469" s="42"/>
      <c r="DC469" s="42"/>
      <c r="DD469" s="42"/>
      <c r="DE469" s="42"/>
      <c r="DF469" s="42"/>
      <c r="DG469" s="42"/>
      <c r="DH469" s="42"/>
      <c r="DI469" s="42"/>
      <c r="DJ469" s="42"/>
      <c r="DK469" s="42"/>
      <c r="DL469" s="42"/>
      <c r="DM469" s="42"/>
      <c r="DN469" s="42"/>
      <c r="DO469" s="42"/>
    </row>
    <row r="470" spans="2:119" ht="18.75" customHeight="1" x14ac:dyDescent="0.55000000000000004">
      <c r="B470" s="99"/>
      <c r="C470" s="42"/>
      <c r="D470" s="112" t="s">
        <v>24</v>
      </c>
      <c r="E470" s="112"/>
      <c r="F470" s="45"/>
      <c r="G470" s="45"/>
      <c r="H470" s="45"/>
      <c r="I470" s="45"/>
      <c r="J470" s="45"/>
      <c r="K470" s="45"/>
      <c r="L470" s="45"/>
      <c r="M470" s="45"/>
      <c r="N470" s="45"/>
      <c r="O470" s="45"/>
      <c r="P470" s="42"/>
      <c r="Q470" s="112" t="s">
        <v>24</v>
      </c>
      <c r="R470" s="112"/>
      <c r="S470" s="45"/>
      <c r="T470" s="45"/>
      <c r="U470" s="45"/>
      <c r="V470" s="45"/>
      <c r="W470" s="45"/>
      <c r="X470" s="45"/>
      <c r="Y470" s="45"/>
      <c r="Z470" s="45"/>
      <c r="AA470" s="45"/>
      <c r="AB470" s="45"/>
      <c r="AC470" s="42"/>
      <c r="AD470" s="112" t="s">
        <v>24</v>
      </c>
      <c r="AE470" s="112"/>
      <c r="AF470" s="45"/>
      <c r="AG470" s="45"/>
      <c r="AH470" s="45"/>
      <c r="AI470" s="45"/>
      <c r="AJ470" s="45"/>
      <c r="AK470" s="45"/>
      <c r="AL470" s="45"/>
      <c r="AM470" s="45"/>
      <c r="AN470" s="45"/>
      <c r="AO470" s="45"/>
      <c r="AP470" s="6"/>
      <c r="AQ470" s="112" t="s">
        <v>24</v>
      </c>
      <c r="AR470" s="112"/>
      <c r="AS470" s="45"/>
      <c r="AT470" s="45"/>
      <c r="AU470" s="45"/>
      <c r="AV470" s="45"/>
      <c r="AW470" s="45"/>
      <c r="AX470" s="45"/>
      <c r="AY470" s="45"/>
      <c r="AZ470" s="45"/>
      <c r="BA470" s="45"/>
      <c r="BB470" s="45"/>
      <c r="BC470" s="42"/>
      <c r="BD470" s="112" t="s">
        <v>24</v>
      </c>
      <c r="BE470" s="112"/>
      <c r="BF470" s="45"/>
      <c r="BG470" s="45"/>
      <c r="BH470" s="45"/>
      <c r="BI470" s="45"/>
      <c r="BJ470" s="45"/>
      <c r="BK470" s="45"/>
      <c r="BL470" s="45"/>
      <c r="BM470" s="45"/>
      <c r="BN470" s="45"/>
      <c r="BO470" s="45"/>
      <c r="BQ470" s="112" t="s">
        <v>24</v>
      </c>
      <c r="BR470" s="112"/>
      <c r="BS470" s="45"/>
      <c r="BT470" s="45"/>
      <c r="BU470" s="45"/>
      <c r="BV470" s="45"/>
      <c r="BW470" s="45"/>
      <c r="BX470" s="45"/>
      <c r="BY470" s="45"/>
      <c r="BZ470" s="45"/>
      <c r="CA470" s="45"/>
      <c r="CB470" s="45"/>
      <c r="CC470" s="42"/>
      <c r="CD470" s="112" t="s">
        <v>24</v>
      </c>
      <c r="CE470" s="112"/>
      <c r="CF470" s="45"/>
      <c r="CG470" s="45"/>
      <c r="CH470" s="45"/>
      <c r="CI470" s="45"/>
      <c r="CJ470" s="45"/>
      <c r="CK470" s="45"/>
      <c r="CL470" s="45"/>
      <c r="CM470" s="45"/>
      <c r="CN470" s="45"/>
      <c r="CO470" s="45"/>
      <c r="CQ470" s="112" t="s">
        <v>24</v>
      </c>
      <c r="CR470" s="112"/>
      <c r="CS470" s="45"/>
      <c r="CT470" s="45"/>
      <c r="CU470" s="45"/>
      <c r="CV470" s="45"/>
      <c r="CW470" s="45"/>
      <c r="CX470" s="45"/>
      <c r="CY470" s="45"/>
      <c r="CZ470" s="45"/>
      <c r="DA470" s="45"/>
      <c r="DB470" s="45"/>
      <c r="DC470" s="42"/>
      <c r="DD470" s="112" t="s">
        <v>24</v>
      </c>
      <c r="DE470" s="112"/>
      <c r="DF470" s="45"/>
      <c r="DG470" s="45"/>
      <c r="DH470" s="45"/>
      <c r="DI470" s="45"/>
      <c r="DJ470" s="45"/>
      <c r="DK470" s="45"/>
      <c r="DL470" s="45"/>
      <c r="DM470" s="45"/>
      <c r="DN470" s="45"/>
      <c r="DO470" s="45"/>
    </row>
    <row r="471" spans="2:119" ht="28.9" customHeight="1" x14ac:dyDescent="0.45">
      <c r="B471" s="99"/>
      <c r="C471" s="42"/>
      <c r="D471" s="112"/>
      <c r="E471" s="112"/>
      <c r="F471" s="108" t="s">
        <v>12</v>
      </c>
      <c r="G471" s="108"/>
      <c r="H471" s="108"/>
      <c r="I471" s="108"/>
      <c r="J471" s="108"/>
      <c r="K471" s="108"/>
      <c r="L471" s="108"/>
      <c r="M471" s="108"/>
      <c r="N471" s="108"/>
      <c r="O471" s="108"/>
      <c r="P471" s="42"/>
      <c r="Q471" s="112"/>
      <c r="R471" s="112"/>
      <c r="S471" s="108" t="s">
        <v>12</v>
      </c>
      <c r="T471" s="108"/>
      <c r="U471" s="108"/>
      <c r="V471" s="108"/>
      <c r="W471" s="108"/>
      <c r="X471" s="108"/>
      <c r="Y471" s="108"/>
      <c r="Z471" s="108"/>
      <c r="AA471" s="108"/>
      <c r="AB471" s="108"/>
      <c r="AC471" s="42"/>
      <c r="AD471" s="112"/>
      <c r="AE471" s="112"/>
      <c r="AF471" s="108" t="s">
        <v>12</v>
      </c>
      <c r="AG471" s="108"/>
      <c r="AH471" s="108"/>
      <c r="AI471" s="108"/>
      <c r="AJ471" s="108"/>
      <c r="AK471" s="108"/>
      <c r="AL471" s="108"/>
      <c r="AM471" s="108"/>
      <c r="AN471" s="108"/>
      <c r="AO471" s="108"/>
      <c r="AP471" s="6"/>
      <c r="AQ471" s="112"/>
      <c r="AR471" s="112"/>
      <c r="AS471" s="108" t="s">
        <v>12</v>
      </c>
      <c r="AT471" s="108"/>
      <c r="AU471" s="108"/>
      <c r="AV471" s="108"/>
      <c r="AW471" s="108"/>
      <c r="AX471" s="108"/>
      <c r="AY471" s="108"/>
      <c r="AZ471" s="108"/>
      <c r="BA471" s="108"/>
      <c r="BB471" s="108"/>
      <c r="BC471" s="42"/>
      <c r="BD471" s="112"/>
      <c r="BE471" s="112"/>
      <c r="BF471" s="108" t="s">
        <v>12</v>
      </c>
      <c r="BG471" s="108"/>
      <c r="BH471" s="108"/>
      <c r="BI471" s="108"/>
      <c r="BJ471" s="108"/>
      <c r="BK471" s="108"/>
      <c r="BL471" s="108"/>
      <c r="BM471" s="108"/>
      <c r="BN471" s="108"/>
      <c r="BO471" s="108"/>
      <c r="BQ471" s="112"/>
      <c r="BR471" s="112"/>
      <c r="BS471" s="108" t="s">
        <v>12</v>
      </c>
      <c r="BT471" s="108"/>
      <c r="BU471" s="108"/>
      <c r="BV471" s="108"/>
      <c r="BW471" s="108"/>
      <c r="BX471" s="108"/>
      <c r="BY471" s="108"/>
      <c r="BZ471" s="108"/>
      <c r="CA471" s="108"/>
      <c r="CB471" s="108"/>
      <c r="CC471" s="42"/>
      <c r="CD471" s="112"/>
      <c r="CE471" s="112"/>
      <c r="CF471" s="108" t="s">
        <v>12</v>
      </c>
      <c r="CG471" s="108"/>
      <c r="CH471" s="108"/>
      <c r="CI471" s="108"/>
      <c r="CJ471" s="108"/>
      <c r="CK471" s="108"/>
      <c r="CL471" s="108"/>
      <c r="CM471" s="108"/>
      <c r="CN471" s="108"/>
      <c r="CO471" s="108"/>
      <c r="CQ471" s="112"/>
      <c r="CR471" s="112"/>
      <c r="CS471" s="108" t="s">
        <v>12</v>
      </c>
      <c r="CT471" s="108"/>
      <c r="CU471" s="108"/>
      <c r="CV471" s="108"/>
      <c r="CW471" s="108"/>
      <c r="CX471" s="108"/>
      <c r="CY471" s="108"/>
      <c r="CZ471" s="108"/>
      <c r="DA471" s="108"/>
      <c r="DB471" s="108"/>
      <c r="DC471" s="42"/>
      <c r="DD471" s="112"/>
      <c r="DE471" s="112"/>
      <c r="DF471" s="108" t="s">
        <v>12</v>
      </c>
      <c r="DG471" s="108"/>
      <c r="DH471" s="108"/>
      <c r="DI471" s="108"/>
      <c r="DJ471" s="108"/>
      <c r="DK471" s="108"/>
      <c r="DL471" s="108"/>
      <c r="DM471" s="108"/>
      <c r="DN471" s="108"/>
      <c r="DO471" s="108"/>
    </row>
    <row r="472" spans="2:119" ht="15" customHeight="1" x14ac:dyDescent="0.45">
      <c r="B472" s="99"/>
      <c r="C472" s="42"/>
      <c r="D472" s="113"/>
      <c r="E472" s="113"/>
      <c r="F472" s="9" t="s">
        <v>0</v>
      </c>
      <c r="G472" s="9">
        <v>1</v>
      </c>
      <c r="H472" s="9">
        <v>2</v>
      </c>
      <c r="I472" s="9">
        <v>3</v>
      </c>
      <c r="J472" s="9">
        <v>4</v>
      </c>
      <c r="K472" s="9">
        <v>5</v>
      </c>
      <c r="L472" s="9">
        <v>6</v>
      </c>
      <c r="M472" s="9">
        <v>7</v>
      </c>
      <c r="N472" s="9">
        <v>8</v>
      </c>
      <c r="O472" s="9">
        <v>9</v>
      </c>
      <c r="P472" s="42"/>
      <c r="Q472" s="113"/>
      <c r="R472" s="113"/>
      <c r="S472" s="9" t="s">
        <v>0</v>
      </c>
      <c r="T472" s="9">
        <v>1</v>
      </c>
      <c r="U472" s="9">
        <v>2</v>
      </c>
      <c r="V472" s="9">
        <v>3</v>
      </c>
      <c r="W472" s="9">
        <v>4</v>
      </c>
      <c r="X472" s="9">
        <v>5</v>
      </c>
      <c r="Y472" s="9">
        <v>6</v>
      </c>
      <c r="Z472" s="9">
        <v>7</v>
      </c>
      <c r="AA472" s="9">
        <v>8</v>
      </c>
      <c r="AB472" s="9">
        <v>9</v>
      </c>
      <c r="AC472" s="42"/>
      <c r="AD472" s="113"/>
      <c r="AE472" s="113"/>
      <c r="AF472" s="9" t="s">
        <v>0</v>
      </c>
      <c r="AG472" s="9">
        <v>1</v>
      </c>
      <c r="AH472" s="9">
        <v>2</v>
      </c>
      <c r="AI472" s="9">
        <v>3</v>
      </c>
      <c r="AJ472" s="9">
        <v>4</v>
      </c>
      <c r="AK472" s="9">
        <v>5</v>
      </c>
      <c r="AL472" s="9">
        <v>6</v>
      </c>
      <c r="AM472" s="9">
        <v>7</v>
      </c>
      <c r="AN472" s="9">
        <v>8</v>
      </c>
      <c r="AO472" s="9">
        <v>9</v>
      </c>
      <c r="AP472" s="6"/>
      <c r="AQ472" s="113"/>
      <c r="AR472" s="113"/>
      <c r="AS472" s="9" t="s">
        <v>0</v>
      </c>
      <c r="AT472" s="9">
        <v>1</v>
      </c>
      <c r="AU472" s="9">
        <v>2</v>
      </c>
      <c r="AV472" s="9">
        <v>3</v>
      </c>
      <c r="AW472" s="9">
        <v>4</v>
      </c>
      <c r="AX472" s="9">
        <v>5</v>
      </c>
      <c r="AY472" s="9">
        <v>6</v>
      </c>
      <c r="AZ472" s="9">
        <v>7</v>
      </c>
      <c r="BA472" s="9">
        <v>8</v>
      </c>
      <c r="BB472" s="9">
        <v>9</v>
      </c>
      <c r="BC472" s="42"/>
      <c r="BD472" s="113"/>
      <c r="BE472" s="113"/>
      <c r="BF472" s="9" t="s">
        <v>0</v>
      </c>
      <c r="BG472" s="9">
        <v>1</v>
      </c>
      <c r="BH472" s="9">
        <v>2</v>
      </c>
      <c r="BI472" s="9">
        <v>3</v>
      </c>
      <c r="BJ472" s="9">
        <v>4</v>
      </c>
      <c r="BK472" s="9">
        <v>5</v>
      </c>
      <c r="BL472" s="9">
        <v>6</v>
      </c>
      <c r="BM472" s="9">
        <v>7</v>
      </c>
      <c r="BN472" s="9">
        <v>8</v>
      </c>
      <c r="BO472" s="9">
        <v>9</v>
      </c>
      <c r="BQ472" s="113"/>
      <c r="BR472" s="113"/>
      <c r="BS472" s="9" t="s">
        <v>0</v>
      </c>
      <c r="BT472" s="9">
        <v>1</v>
      </c>
      <c r="BU472" s="9">
        <v>2</v>
      </c>
      <c r="BV472" s="9">
        <v>3</v>
      </c>
      <c r="BW472" s="9">
        <v>4</v>
      </c>
      <c r="BX472" s="9">
        <v>5</v>
      </c>
      <c r="BY472" s="9">
        <v>6</v>
      </c>
      <c r="BZ472" s="9">
        <v>7</v>
      </c>
      <c r="CA472" s="9">
        <v>8</v>
      </c>
      <c r="CB472" s="9">
        <v>9</v>
      </c>
      <c r="CC472" s="42"/>
      <c r="CD472" s="113"/>
      <c r="CE472" s="113"/>
      <c r="CF472" s="9" t="s">
        <v>0</v>
      </c>
      <c r="CG472" s="9">
        <v>1</v>
      </c>
      <c r="CH472" s="9">
        <v>2</v>
      </c>
      <c r="CI472" s="9">
        <v>3</v>
      </c>
      <c r="CJ472" s="9">
        <v>4</v>
      </c>
      <c r="CK472" s="9">
        <v>5</v>
      </c>
      <c r="CL472" s="9">
        <v>6</v>
      </c>
      <c r="CM472" s="9">
        <v>7</v>
      </c>
      <c r="CN472" s="9">
        <v>8</v>
      </c>
      <c r="CO472" s="9">
        <v>9</v>
      </c>
      <c r="CQ472" s="113"/>
      <c r="CR472" s="113"/>
      <c r="CS472" s="9" t="s">
        <v>0</v>
      </c>
      <c r="CT472" s="9">
        <v>1</v>
      </c>
      <c r="CU472" s="9">
        <v>2</v>
      </c>
      <c r="CV472" s="9">
        <v>3</v>
      </c>
      <c r="CW472" s="9">
        <v>4</v>
      </c>
      <c r="CX472" s="9">
        <v>5</v>
      </c>
      <c r="CY472" s="9">
        <v>6</v>
      </c>
      <c r="CZ472" s="9">
        <v>7</v>
      </c>
      <c r="DA472" s="9">
        <v>8</v>
      </c>
      <c r="DB472" s="9">
        <v>9</v>
      </c>
      <c r="DC472" s="42"/>
      <c r="DD472" s="113"/>
      <c r="DE472" s="113"/>
      <c r="DF472" s="9" t="s">
        <v>0</v>
      </c>
      <c r="DG472" s="9">
        <v>1</v>
      </c>
      <c r="DH472" s="9">
        <v>2</v>
      </c>
      <c r="DI472" s="9">
        <v>3</v>
      </c>
      <c r="DJ472" s="9">
        <v>4</v>
      </c>
      <c r="DK472" s="9">
        <v>5</v>
      </c>
      <c r="DL472" s="9">
        <v>6</v>
      </c>
      <c r="DM472" s="9">
        <v>7</v>
      </c>
      <c r="DN472" s="9">
        <v>8</v>
      </c>
      <c r="DO472" s="9">
        <v>9</v>
      </c>
    </row>
    <row r="473" spans="2:119" ht="16.25" customHeight="1" x14ac:dyDescent="0.45">
      <c r="B473" s="134" t="s">
        <v>36</v>
      </c>
      <c r="C473" s="42"/>
      <c r="D473" s="109" t="s">
        <v>13</v>
      </c>
      <c r="E473" s="46" t="s">
        <v>1</v>
      </c>
      <c r="F473" s="103" t="s">
        <v>129</v>
      </c>
      <c r="G473" s="103" t="s">
        <v>129</v>
      </c>
      <c r="H473" s="103" t="s">
        <v>129</v>
      </c>
      <c r="I473" s="103" t="s">
        <v>129</v>
      </c>
      <c r="J473" s="103" t="s">
        <v>129</v>
      </c>
      <c r="K473" s="103" t="s">
        <v>129</v>
      </c>
      <c r="L473" s="103" t="s">
        <v>129</v>
      </c>
      <c r="M473" s="103" t="s">
        <v>129</v>
      </c>
      <c r="N473" s="103" t="s">
        <v>129</v>
      </c>
      <c r="O473" s="103" t="s">
        <v>129</v>
      </c>
      <c r="P473" s="42"/>
      <c r="Q473" s="109" t="s">
        <v>13</v>
      </c>
      <c r="R473" s="46" t="s">
        <v>1</v>
      </c>
      <c r="S473" s="103" t="s">
        <v>129</v>
      </c>
      <c r="T473" s="103" t="s">
        <v>129</v>
      </c>
      <c r="U473" s="103" t="s">
        <v>129</v>
      </c>
      <c r="V473" s="103" t="s">
        <v>129</v>
      </c>
      <c r="W473" s="103" t="s">
        <v>129</v>
      </c>
      <c r="X473" s="103" t="s">
        <v>129</v>
      </c>
      <c r="Y473" s="103" t="s">
        <v>129</v>
      </c>
      <c r="Z473" s="103" t="s">
        <v>129</v>
      </c>
      <c r="AA473" s="103" t="s">
        <v>129</v>
      </c>
      <c r="AB473" s="103" t="s">
        <v>129</v>
      </c>
      <c r="AC473" s="42"/>
      <c r="AD473" s="109" t="s">
        <v>13</v>
      </c>
      <c r="AE473" s="46" t="s">
        <v>1</v>
      </c>
      <c r="AF473" s="103" t="s">
        <v>129</v>
      </c>
      <c r="AG473" s="103" t="s">
        <v>129</v>
      </c>
      <c r="AH473" s="103" t="s">
        <v>129</v>
      </c>
      <c r="AI473" s="103" t="s">
        <v>129</v>
      </c>
      <c r="AJ473" s="103" t="s">
        <v>129</v>
      </c>
      <c r="AK473" s="103" t="s">
        <v>129</v>
      </c>
      <c r="AL473" s="103" t="s">
        <v>129</v>
      </c>
      <c r="AM473" s="103" t="s">
        <v>129</v>
      </c>
      <c r="AN473" s="103" t="s">
        <v>129</v>
      </c>
      <c r="AO473" s="103" t="s">
        <v>129</v>
      </c>
      <c r="AP473" s="6"/>
      <c r="AQ473" s="109" t="s">
        <v>13</v>
      </c>
      <c r="AR473" s="46" t="s">
        <v>1</v>
      </c>
      <c r="AS473" s="103" t="s">
        <v>129</v>
      </c>
      <c r="AT473" s="103" t="s">
        <v>129</v>
      </c>
      <c r="AU473" s="103" t="s">
        <v>129</v>
      </c>
      <c r="AV473" s="103" t="s">
        <v>129</v>
      </c>
      <c r="AW473" s="103" t="s">
        <v>129</v>
      </c>
      <c r="AX473" s="103" t="s">
        <v>129</v>
      </c>
      <c r="AY473" s="103" t="s">
        <v>129</v>
      </c>
      <c r="AZ473" s="103" t="s">
        <v>129</v>
      </c>
      <c r="BA473" s="103" t="s">
        <v>129</v>
      </c>
      <c r="BB473" s="103" t="s">
        <v>129</v>
      </c>
      <c r="BC473" s="42"/>
      <c r="BD473" s="109" t="s">
        <v>13</v>
      </c>
      <c r="BE473" s="46" t="s">
        <v>1</v>
      </c>
      <c r="BF473" s="103" t="s">
        <v>129</v>
      </c>
      <c r="BG473" s="103" t="s">
        <v>129</v>
      </c>
      <c r="BH473" s="103" t="s">
        <v>129</v>
      </c>
      <c r="BI473" s="103" t="s">
        <v>129</v>
      </c>
      <c r="BJ473" s="103" t="s">
        <v>129</v>
      </c>
      <c r="BK473" s="103" t="s">
        <v>129</v>
      </c>
      <c r="BL473" s="103" t="s">
        <v>129</v>
      </c>
      <c r="BM473" s="103" t="s">
        <v>129</v>
      </c>
      <c r="BN473" s="103" t="s">
        <v>129</v>
      </c>
      <c r="BO473" s="103" t="s">
        <v>129</v>
      </c>
      <c r="BQ473" s="109" t="s">
        <v>13</v>
      </c>
      <c r="BR473" s="46" t="s">
        <v>1</v>
      </c>
      <c r="BS473" s="103" t="s">
        <v>129</v>
      </c>
      <c r="BT473" s="103" t="s">
        <v>129</v>
      </c>
      <c r="BU473" s="103" t="s">
        <v>129</v>
      </c>
      <c r="BV473" s="103" t="s">
        <v>129</v>
      </c>
      <c r="BW473" s="103" t="s">
        <v>129</v>
      </c>
      <c r="BX473" s="103" t="s">
        <v>129</v>
      </c>
      <c r="BY473" s="103" t="s">
        <v>129</v>
      </c>
      <c r="BZ473" s="103" t="s">
        <v>129</v>
      </c>
      <c r="CA473" s="103" t="s">
        <v>129</v>
      </c>
      <c r="CB473" s="103" t="s">
        <v>129</v>
      </c>
      <c r="CC473" s="42"/>
      <c r="CD473" s="109" t="s">
        <v>13</v>
      </c>
      <c r="CE473" s="46" t="s">
        <v>1</v>
      </c>
      <c r="CF473" s="103" t="s">
        <v>129</v>
      </c>
      <c r="CG473" s="103" t="s">
        <v>129</v>
      </c>
      <c r="CH473" s="103" t="s">
        <v>129</v>
      </c>
      <c r="CI473" s="103" t="s">
        <v>129</v>
      </c>
      <c r="CJ473" s="103" t="s">
        <v>129</v>
      </c>
      <c r="CK473" s="103" t="s">
        <v>129</v>
      </c>
      <c r="CL473" s="103" t="s">
        <v>129</v>
      </c>
      <c r="CM473" s="103" t="s">
        <v>129</v>
      </c>
      <c r="CN473" s="103" t="s">
        <v>129</v>
      </c>
      <c r="CO473" s="103" t="s">
        <v>129</v>
      </c>
      <c r="CQ473" s="109" t="s">
        <v>13</v>
      </c>
      <c r="CR473" s="46" t="s">
        <v>1</v>
      </c>
      <c r="CS473" s="103" t="s">
        <v>129</v>
      </c>
      <c r="CT473" s="103" t="s">
        <v>129</v>
      </c>
      <c r="CU473" s="103" t="s">
        <v>129</v>
      </c>
      <c r="CV473" s="103" t="s">
        <v>129</v>
      </c>
      <c r="CW473" s="103" t="s">
        <v>129</v>
      </c>
      <c r="CX473" s="103" t="s">
        <v>129</v>
      </c>
      <c r="CY473" s="103" t="s">
        <v>129</v>
      </c>
      <c r="CZ473" s="103" t="s">
        <v>129</v>
      </c>
      <c r="DA473" s="103" t="s">
        <v>129</v>
      </c>
      <c r="DB473" s="103" t="s">
        <v>129</v>
      </c>
      <c r="DC473" s="42"/>
      <c r="DD473" s="109" t="s">
        <v>13</v>
      </c>
      <c r="DE473" s="46" t="s">
        <v>1</v>
      </c>
      <c r="DF473" s="103" t="s">
        <v>129</v>
      </c>
      <c r="DG473" s="103" t="s">
        <v>129</v>
      </c>
      <c r="DH473" s="103" t="s">
        <v>129</v>
      </c>
      <c r="DI473" s="103" t="s">
        <v>129</v>
      </c>
      <c r="DJ473" s="103" t="s">
        <v>129</v>
      </c>
      <c r="DK473" s="103" t="s">
        <v>129</v>
      </c>
      <c r="DL473" s="103" t="s">
        <v>129</v>
      </c>
      <c r="DM473" s="103" t="s">
        <v>129</v>
      </c>
      <c r="DN473" s="103" t="s">
        <v>129</v>
      </c>
      <c r="DO473" s="103" t="s">
        <v>129</v>
      </c>
    </row>
    <row r="474" spans="2:119" ht="16.25" customHeight="1" x14ac:dyDescent="0.45">
      <c r="B474" s="134"/>
      <c r="C474" s="42"/>
      <c r="D474" s="110"/>
      <c r="E474" s="46">
        <v>1</v>
      </c>
      <c r="F474" s="103" t="s">
        <v>129</v>
      </c>
      <c r="G474" s="103" t="s">
        <v>129</v>
      </c>
      <c r="H474" s="103" t="s">
        <v>129</v>
      </c>
      <c r="I474" s="103" t="s">
        <v>129</v>
      </c>
      <c r="J474" s="103" t="s">
        <v>129</v>
      </c>
      <c r="K474" s="103" t="s">
        <v>129</v>
      </c>
      <c r="L474" s="103" t="s">
        <v>129</v>
      </c>
      <c r="M474" s="103" t="s">
        <v>129</v>
      </c>
      <c r="N474" s="103" t="s">
        <v>129</v>
      </c>
      <c r="O474" s="103" t="s">
        <v>129</v>
      </c>
      <c r="P474" s="42"/>
      <c r="Q474" s="110"/>
      <c r="R474" s="46">
        <v>1</v>
      </c>
      <c r="S474" s="103" t="s">
        <v>129</v>
      </c>
      <c r="T474" s="103" t="s">
        <v>129</v>
      </c>
      <c r="U474" s="103" t="s">
        <v>129</v>
      </c>
      <c r="V474" s="103" t="s">
        <v>129</v>
      </c>
      <c r="W474" s="103" t="s">
        <v>129</v>
      </c>
      <c r="X474" s="103" t="s">
        <v>129</v>
      </c>
      <c r="Y474" s="103" t="s">
        <v>129</v>
      </c>
      <c r="Z474" s="103" t="s">
        <v>129</v>
      </c>
      <c r="AA474" s="103" t="s">
        <v>129</v>
      </c>
      <c r="AB474" s="103" t="s">
        <v>129</v>
      </c>
      <c r="AC474" s="42"/>
      <c r="AD474" s="110"/>
      <c r="AE474" s="46">
        <v>1</v>
      </c>
      <c r="AF474" s="103" t="s">
        <v>129</v>
      </c>
      <c r="AG474" s="103" t="s">
        <v>129</v>
      </c>
      <c r="AH474" s="103" t="s">
        <v>129</v>
      </c>
      <c r="AI474" s="103" t="s">
        <v>129</v>
      </c>
      <c r="AJ474" s="103" t="s">
        <v>129</v>
      </c>
      <c r="AK474" s="103" t="s">
        <v>129</v>
      </c>
      <c r="AL474" s="103" t="s">
        <v>129</v>
      </c>
      <c r="AM474" s="103" t="s">
        <v>129</v>
      </c>
      <c r="AN474" s="103" t="s">
        <v>129</v>
      </c>
      <c r="AO474" s="103" t="s">
        <v>129</v>
      </c>
      <c r="AP474" s="6"/>
      <c r="AQ474" s="110"/>
      <c r="AR474" s="46">
        <v>1</v>
      </c>
      <c r="AS474" s="103" t="s">
        <v>129</v>
      </c>
      <c r="AT474" s="103" t="s">
        <v>129</v>
      </c>
      <c r="AU474" s="103" t="s">
        <v>129</v>
      </c>
      <c r="AV474" s="103" t="s">
        <v>129</v>
      </c>
      <c r="AW474" s="103" t="s">
        <v>129</v>
      </c>
      <c r="AX474" s="103" t="s">
        <v>129</v>
      </c>
      <c r="AY474" s="103" t="s">
        <v>129</v>
      </c>
      <c r="AZ474" s="103" t="s">
        <v>129</v>
      </c>
      <c r="BA474" s="103" t="s">
        <v>129</v>
      </c>
      <c r="BB474" s="103" t="s">
        <v>129</v>
      </c>
      <c r="BC474" s="42"/>
      <c r="BD474" s="110"/>
      <c r="BE474" s="46">
        <v>1</v>
      </c>
      <c r="BF474" s="103" t="s">
        <v>129</v>
      </c>
      <c r="BG474" s="103" t="s">
        <v>129</v>
      </c>
      <c r="BH474" s="103" t="s">
        <v>129</v>
      </c>
      <c r="BI474" s="103" t="s">
        <v>129</v>
      </c>
      <c r="BJ474" s="103" t="s">
        <v>129</v>
      </c>
      <c r="BK474" s="103" t="s">
        <v>129</v>
      </c>
      <c r="BL474" s="103" t="s">
        <v>129</v>
      </c>
      <c r="BM474" s="103" t="s">
        <v>129</v>
      </c>
      <c r="BN474" s="103" t="s">
        <v>129</v>
      </c>
      <c r="BO474" s="103" t="s">
        <v>129</v>
      </c>
      <c r="BQ474" s="110"/>
      <c r="BR474" s="46">
        <v>1</v>
      </c>
      <c r="BS474" s="103" t="s">
        <v>129</v>
      </c>
      <c r="BT474" s="103" t="s">
        <v>129</v>
      </c>
      <c r="BU474" s="103" t="s">
        <v>129</v>
      </c>
      <c r="BV474" s="103" t="s">
        <v>129</v>
      </c>
      <c r="BW474" s="103" t="s">
        <v>129</v>
      </c>
      <c r="BX474" s="103" t="s">
        <v>129</v>
      </c>
      <c r="BY474" s="103" t="s">
        <v>129</v>
      </c>
      <c r="BZ474" s="103" t="s">
        <v>129</v>
      </c>
      <c r="CA474" s="103" t="s">
        <v>129</v>
      </c>
      <c r="CB474" s="103" t="s">
        <v>129</v>
      </c>
      <c r="CC474" s="42"/>
      <c r="CD474" s="110"/>
      <c r="CE474" s="46">
        <v>1</v>
      </c>
      <c r="CF474" s="103" t="s">
        <v>129</v>
      </c>
      <c r="CG474" s="103" t="s">
        <v>129</v>
      </c>
      <c r="CH474" s="103" t="s">
        <v>129</v>
      </c>
      <c r="CI474" s="103" t="s">
        <v>129</v>
      </c>
      <c r="CJ474" s="103" t="s">
        <v>129</v>
      </c>
      <c r="CK474" s="103" t="s">
        <v>129</v>
      </c>
      <c r="CL474" s="103" t="s">
        <v>129</v>
      </c>
      <c r="CM474" s="103" t="s">
        <v>129</v>
      </c>
      <c r="CN474" s="103" t="s">
        <v>129</v>
      </c>
      <c r="CO474" s="103" t="s">
        <v>129</v>
      </c>
      <c r="CQ474" s="110"/>
      <c r="CR474" s="46">
        <v>1</v>
      </c>
      <c r="CS474" s="103" t="s">
        <v>129</v>
      </c>
      <c r="CT474" s="103" t="s">
        <v>129</v>
      </c>
      <c r="CU474" s="103" t="s">
        <v>129</v>
      </c>
      <c r="CV474" s="103" t="s">
        <v>129</v>
      </c>
      <c r="CW474" s="103" t="s">
        <v>129</v>
      </c>
      <c r="CX474" s="103" t="s">
        <v>129</v>
      </c>
      <c r="CY474" s="103" t="s">
        <v>129</v>
      </c>
      <c r="CZ474" s="103" t="s">
        <v>129</v>
      </c>
      <c r="DA474" s="103" t="s">
        <v>129</v>
      </c>
      <c r="DB474" s="103" t="s">
        <v>129</v>
      </c>
      <c r="DC474" s="42"/>
      <c r="DD474" s="110"/>
      <c r="DE474" s="46">
        <v>1</v>
      </c>
      <c r="DF474" s="103" t="s">
        <v>129</v>
      </c>
      <c r="DG474" s="103" t="s">
        <v>129</v>
      </c>
      <c r="DH474" s="103" t="s">
        <v>129</v>
      </c>
      <c r="DI474" s="103" t="s">
        <v>129</v>
      </c>
      <c r="DJ474" s="103" t="s">
        <v>129</v>
      </c>
      <c r="DK474" s="103" t="s">
        <v>129</v>
      </c>
      <c r="DL474" s="103" t="s">
        <v>129</v>
      </c>
      <c r="DM474" s="103" t="s">
        <v>129</v>
      </c>
      <c r="DN474" s="103" t="s">
        <v>129</v>
      </c>
      <c r="DO474" s="103" t="s">
        <v>129</v>
      </c>
    </row>
    <row r="475" spans="2:119" ht="16.25" customHeight="1" x14ac:dyDescent="0.45">
      <c r="B475" s="134"/>
      <c r="C475" s="42"/>
      <c r="D475" s="110"/>
      <c r="E475" s="46" t="s">
        <v>2</v>
      </c>
      <c r="F475" s="103">
        <v>1</v>
      </c>
      <c r="G475" s="103">
        <v>0</v>
      </c>
      <c r="H475" s="103">
        <v>0</v>
      </c>
      <c r="I475" s="103">
        <v>2</v>
      </c>
      <c r="J475" s="103">
        <v>0</v>
      </c>
      <c r="K475" s="103">
        <v>4</v>
      </c>
      <c r="L475" s="103">
        <v>0</v>
      </c>
      <c r="M475" s="103">
        <v>0</v>
      </c>
      <c r="N475" s="103">
        <v>0</v>
      </c>
      <c r="O475" s="103">
        <v>0</v>
      </c>
      <c r="P475" s="42"/>
      <c r="Q475" s="110"/>
      <c r="R475" s="46" t="s">
        <v>2</v>
      </c>
      <c r="S475" s="103">
        <v>0</v>
      </c>
      <c r="T475" s="103">
        <v>0</v>
      </c>
      <c r="U475" s="103">
        <v>0</v>
      </c>
      <c r="V475" s="103">
        <v>1</v>
      </c>
      <c r="W475" s="103">
        <v>0</v>
      </c>
      <c r="X475" s="103">
        <v>1</v>
      </c>
      <c r="Y475" s="103">
        <v>0</v>
      </c>
      <c r="Z475" s="103">
        <v>0</v>
      </c>
      <c r="AA475" s="103">
        <v>0</v>
      </c>
      <c r="AB475" s="103">
        <v>0</v>
      </c>
      <c r="AC475" s="42"/>
      <c r="AD475" s="110"/>
      <c r="AE475" s="46" t="s">
        <v>2</v>
      </c>
      <c r="AF475" s="103">
        <v>1</v>
      </c>
      <c r="AG475" s="103">
        <v>0</v>
      </c>
      <c r="AH475" s="103">
        <v>0</v>
      </c>
      <c r="AI475" s="103">
        <v>1</v>
      </c>
      <c r="AJ475" s="103">
        <v>0</v>
      </c>
      <c r="AK475" s="103">
        <v>3</v>
      </c>
      <c r="AL475" s="103">
        <v>0</v>
      </c>
      <c r="AM475" s="103">
        <v>0</v>
      </c>
      <c r="AN475" s="103">
        <v>0</v>
      </c>
      <c r="AO475" s="103">
        <v>0</v>
      </c>
      <c r="AP475" s="6"/>
      <c r="AQ475" s="110"/>
      <c r="AR475" s="46" t="s">
        <v>2</v>
      </c>
      <c r="AS475" s="103">
        <v>0</v>
      </c>
      <c r="AT475" s="103">
        <v>0</v>
      </c>
      <c r="AU475" s="103">
        <v>0</v>
      </c>
      <c r="AV475" s="103">
        <v>1</v>
      </c>
      <c r="AW475" s="103">
        <v>0</v>
      </c>
      <c r="AX475" s="103">
        <v>0</v>
      </c>
      <c r="AY475" s="103">
        <v>0</v>
      </c>
      <c r="AZ475" s="103">
        <v>0</v>
      </c>
      <c r="BA475" s="103">
        <v>0</v>
      </c>
      <c r="BB475" s="103">
        <v>0</v>
      </c>
      <c r="BC475" s="42"/>
      <c r="BD475" s="110"/>
      <c r="BE475" s="46" t="s">
        <v>2</v>
      </c>
      <c r="BF475" s="103">
        <v>1</v>
      </c>
      <c r="BG475" s="103">
        <v>0</v>
      </c>
      <c r="BH475" s="103">
        <v>0</v>
      </c>
      <c r="BI475" s="103">
        <v>1</v>
      </c>
      <c r="BJ475" s="103">
        <v>0</v>
      </c>
      <c r="BK475" s="103">
        <v>4</v>
      </c>
      <c r="BL475" s="103">
        <v>0</v>
      </c>
      <c r="BM475" s="103">
        <v>0</v>
      </c>
      <c r="BN475" s="103">
        <v>0</v>
      </c>
      <c r="BO475" s="103">
        <v>0</v>
      </c>
      <c r="BQ475" s="110"/>
      <c r="BR475" s="46" t="s">
        <v>2</v>
      </c>
      <c r="BS475" s="103">
        <v>0</v>
      </c>
      <c r="BT475" s="103">
        <v>0</v>
      </c>
      <c r="BU475" s="103">
        <v>0</v>
      </c>
      <c r="BV475" s="103">
        <v>1</v>
      </c>
      <c r="BW475" s="103">
        <v>0</v>
      </c>
      <c r="BX475" s="103">
        <v>0</v>
      </c>
      <c r="BY475" s="103">
        <v>0</v>
      </c>
      <c r="BZ475" s="103">
        <v>0</v>
      </c>
      <c r="CA475" s="103">
        <v>0</v>
      </c>
      <c r="CB475" s="103">
        <v>0</v>
      </c>
      <c r="CC475" s="42"/>
      <c r="CD475" s="110"/>
      <c r="CE475" s="46" t="s">
        <v>2</v>
      </c>
      <c r="CF475" s="103">
        <v>1</v>
      </c>
      <c r="CG475" s="103">
        <v>0</v>
      </c>
      <c r="CH475" s="103">
        <v>0</v>
      </c>
      <c r="CI475" s="103">
        <v>1</v>
      </c>
      <c r="CJ475" s="103">
        <v>0</v>
      </c>
      <c r="CK475" s="103">
        <v>4</v>
      </c>
      <c r="CL475" s="103">
        <v>0</v>
      </c>
      <c r="CM475" s="103">
        <v>0</v>
      </c>
      <c r="CN475" s="103">
        <v>0</v>
      </c>
      <c r="CO475" s="103">
        <v>0</v>
      </c>
      <c r="CQ475" s="110"/>
      <c r="CR475" s="46" t="s">
        <v>2</v>
      </c>
      <c r="CS475" s="103">
        <v>0</v>
      </c>
      <c r="CT475" s="103">
        <v>0</v>
      </c>
      <c r="CU475" s="103">
        <v>0</v>
      </c>
      <c r="CV475" s="103">
        <v>2</v>
      </c>
      <c r="CW475" s="103">
        <v>0</v>
      </c>
      <c r="CX475" s="103">
        <v>3</v>
      </c>
      <c r="CY475" s="103">
        <v>0</v>
      </c>
      <c r="CZ475" s="103">
        <v>0</v>
      </c>
      <c r="DA475" s="103">
        <v>0</v>
      </c>
      <c r="DB475" s="103">
        <v>0</v>
      </c>
      <c r="DC475" s="42"/>
      <c r="DD475" s="110"/>
      <c r="DE475" s="46" t="s">
        <v>2</v>
      </c>
      <c r="DF475" s="103">
        <v>1</v>
      </c>
      <c r="DG475" s="103">
        <v>0</v>
      </c>
      <c r="DH475" s="103">
        <v>0</v>
      </c>
      <c r="DI475" s="103">
        <v>0</v>
      </c>
      <c r="DJ475" s="103">
        <v>0</v>
      </c>
      <c r="DK475" s="103">
        <v>1</v>
      </c>
      <c r="DL475" s="103">
        <v>0</v>
      </c>
      <c r="DM475" s="103">
        <v>0</v>
      </c>
      <c r="DN475" s="103">
        <v>0</v>
      </c>
      <c r="DO475" s="103">
        <v>0</v>
      </c>
    </row>
    <row r="476" spans="2:119" ht="16.25" customHeight="1" x14ac:dyDescent="0.45">
      <c r="B476" s="134"/>
      <c r="C476" s="42"/>
      <c r="D476" s="110"/>
      <c r="E476" s="46" t="s">
        <v>3</v>
      </c>
      <c r="F476" s="103">
        <v>2</v>
      </c>
      <c r="G476" s="103">
        <v>1</v>
      </c>
      <c r="H476" s="103">
        <v>0</v>
      </c>
      <c r="I476" s="103">
        <v>1</v>
      </c>
      <c r="J476" s="103">
        <v>0</v>
      </c>
      <c r="K476" s="103">
        <v>0</v>
      </c>
      <c r="L476" s="103">
        <v>1</v>
      </c>
      <c r="M476" s="103">
        <v>0</v>
      </c>
      <c r="N476" s="103">
        <v>0</v>
      </c>
      <c r="O476" s="103">
        <v>0</v>
      </c>
      <c r="P476" s="42"/>
      <c r="Q476" s="110"/>
      <c r="R476" s="46" t="s">
        <v>3</v>
      </c>
      <c r="S476" s="103">
        <v>1</v>
      </c>
      <c r="T476" s="103">
        <v>1</v>
      </c>
      <c r="U476" s="103">
        <v>0</v>
      </c>
      <c r="V476" s="103">
        <v>0</v>
      </c>
      <c r="W476" s="103">
        <v>0</v>
      </c>
      <c r="X476" s="103">
        <v>0</v>
      </c>
      <c r="Y476" s="103">
        <v>0</v>
      </c>
      <c r="Z476" s="103">
        <v>0</v>
      </c>
      <c r="AA476" s="103">
        <v>0</v>
      </c>
      <c r="AB476" s="103">
        <v>0</v>
      </c>
      <c r="AC476" s="42"/>
      <c r="AD476" s="110"/>
      <c r="AE476" s="46" t="s">
        <v>3</v>
      </c>
      <c r="AF476" s="103">
        <v>1</v>
      </c>
      <c r="AG476" s="103">
        <v>0</v>
      </c>
      <c r="AH476" s="103">
        <v>0</v>
      </c>
      <c r="AI476" s="103">
        <v>1</v>
      </c>
      <c r="AJ476" s="103">
        <v>0</v>
      </c>
      <c r="AK476" s="103">
        <v>0</v>
      </c>
      <c r="AL476" s="103">
        <v>1</v>
      </c>
      <c r="AM476" s="103">
        <v>0</v>
      </c>
      <c r="AN476" s="103">
        <v>0</v>
      </c>
      <c r="AO476" s="103">
        <v>0</v>
      </c>
      <c r="AP476" s="6"/>
      <c r="AQ476" s="110"/>
      <c r="AR476" s="46" t="s">
        <v>3</v>
      </c>
      <c r="AS476" s="103">
        <v>1</v>
      </c>
      <c r="AT476" s="103">
        <v>0</v>
      </c>
      <c r="AU476" s="103">
        <v>0</v>
      </c>
      <c r="AV476" s="103">
        <v>0</v>
      </c>
      <c r="AW476" s="103">
        <v>0</v>
      </c>
      <c r="AX476" s="103">
        <v>0</v>
      </c>
      <c r="AY476" s="103">
        <v>0</v>
      </c>
      <c r="AZ476" s="103">
        <v>0</v>
      </c>
      <c r="BA476" s="103">
        <v>0</v>
      </c>
      <c r="BB476" s="103">
        <v>0</v>
      </c>
      <c r="BC476" s="42"/>
      <c r="BD476" s="110"/>
      <c r="BE476" s="46" t="s">
        <v>3</v>
      </c>
      <c r="BF476" s="103">
        <v>1</v>
      </c>
      <c r="BG476" s="103">
        <v>1</v>
      </c>
      <c r="BH476" s="103">
        <v>0</v>
      </c>
      <c r="BI476" s="103">
        <v>1</v>
      </c>
      <c r="BJ476" s="103">
        <v>0</v>
      </c>
      <c r="BK476" s="103">
        <v>0</v>
      </c>
      <c r="BL476" s="103">
        <v>1</v>
      </c>
      <c r="BM476" s="103">
        <v>0</v>
      </c>
      <c r="BN476" s="103">
        <v>0</v>
      </c>
      <c r="BO476" s="103">
        <v>0</v>
      </c>
      <c r="BQ476" s="110"/>
      <c r="BR476" s="46" t="s">
        <v>3</v>
      </c>
      <c r="BS476" s="103">
        <v>2</v>
      </c>
      <c r="BT476" s="103">
        <v>0</v>
      </c>
      <c r="BU476" s="103">
        <v>0</v>
      </c>
      <c r="BV476" s="103">
        <v>0</v>
      </c>
      <c r="BW476" s="103">
        <v>0</v>
      </c>
      <c r="BX476" s="103">
        <v>0</v>
      </c>
      <c r="BY476" s="103">
        <v>0</v>
      </c>
      <c r="BZ476" s="103">
        <v>0</v>
      </c>
      <c r="CA476" s="103">
        <v>0</v>
      </c>
      <c r="CB476" s="103">
        <v>0</v>
      </c>
      <c r="CC476" s="42"/>
      <c r="CD476" s="110"/>
      <c r="CE476" s="46" t="s">
        <v>3</v>
      </c>
      <c r="CF476" s="103">
        <v>0</v>
      </c>
      <c r="CG476" s="103">
        <v>1</v>
      </c>
      <c r="CH476" s="103">
        <v>0</v>
      </c>
      <c r="CI476" s="103">
        <v>1</v>
      </c>
      <c r="CJ476" s="103">
        <v>0</v>
      </c>
      <c r="CK476" s="103">
        <v>0</v>
      </c>
      <c r="CL476" s="103">
        <v>1</v>
      </c>
      <c r="CM476" s="103">
        <v>0</v>
      </c>
      <c r="CN476" s="103">
        <v>0</v>
      </c>
      <c r="CO476" s="103">
        <v>0</v>
      </c>
      <c r="CQ476" s="110"/>
      <c r="CR476" s="46" t="s">
        <v>3</v>
      </c>
      <c r="CS476" s="103">
        <v>1</v>
      </c>
      <c r="CT476" s="103">
        <v>1</v>
      </c>
      <c r="CU476" s="103">
        <v>0</v>
      </c>
      <c r="CV476" s="103">
        <v>0</v>
      </c>
      <c r="CW476" s="103">
        <v>0</v>
      </c>
      <c r="CX476" s="103">
        <v>0</v>
      </c>
      <c r="CY476" s="103">
        <v>1</v>
      </c>
      <c r="CZ476" s="103">
        <v>0</v>
      </c>
      <c r="DA476" s="103">
        <v>0</v>
      </c>
      <c r="DB476" s="103">
        <v>0</v>
      </c>
      <c r="DC476" s="42"/>
      <c r="DD476" s="110"/>
      <c r="DE476" s="46" t="s">
        <v>3</v>
      </c>
      <c r="DF476" s="103">
        <v>1</v>
      </c>
      <c r="DG476" s="103">
        <v>0</v>
      </c>
      <c r="DH476" s="103">
        <v>0</v>
      </c>
      <c r="DI476" s="103">
        <v>1</v>
      </c>
      <c r="DJ476" s="103">
        <v>0</v>
      </c>
      <c r="DK476" s="103">
        <v>0</v>
      </c>
      <c r="DL476" s="103">
        <v>0</v>
      </c>
      <c r="DM476" s="103">
        <v>0</v>
      </c>
      <c r="DN476" s="103">
        <v>0</v>
      </c>
      <c r="DO476" s="103">
        <v>0</v>
      </c>
    </row>
    <row r="477" spans="2:119" ht="16.25" customHeight="1" x14ac:dyDescent="0.45">
      <c r="B477" s="134"/>
      <c r="C477" s="42"/>
      <c r="D477" s="110"/>
      <c r="E477" s="46" t="s">
        <v>4</v>
      </c>
      <c r="F477" s="103">
        <v>3</v>
      </c>
      <c r="G477" s="103">
        <v>3</v>
      </c>
      <c r="H477" s="103">
        <v>3</v>
      </c>
      <c r="I477" s="103">
        <v>2</v>
      </c>
      <c r="J477" s="103">
        <v>1</v>
      </c>
      <c r="K477" s="103">
        <v>0</v>
      </c>
      <c r="L477" s="103">
        <v>0</v>
      </c>
      <c r="M477" s="103">
        <v>0</v>
      </c>
      <c r="N477" s="103">
        <v>0</v>
      </c>
      <c r="O477" s="103">
        <v>0</v>
      </c>
      <c r="P477" s="42"/>
      <c r="Q477" s="110"/>
      <c r="R477" s="46" t="s">
        <v>4</v>
      </c>
      <c r="S477" s="103">
        <v>0</v>
      </c>
      <c r="T477" s="103">
        <v>2</v>
      </c>
      <c r="U477" s="103">
        <v>0</v>
      </c>
      <c r="V477" s="103">
        <v>2</v>
      </c>
      <c r="W477" s="103">
        <v>0</v>
      </c>
      <c r="X477" s="103">
        <v>0</v>
      </c>
      <c r="Y477" s="103">
        <v>0</v>
      </c>
      <c r="Z477" s="103">
        <v>0</v>
      </c>
      <c r="AA477" s="103">
        <v>0</v>
      </c>
      <c r="AB477" s="103">
        <v>0</v>
      </c>
      <c r="AC477" s="42"/>
      <c r="AD477" s="110"/>
      <c r="AE477" s="46" t="s">
        <v>4</v>
      </c>
      <c r="AF477" s="103">
        <v>3</v>
      </c>
      <c r="AG477" s="103">
        <v>1</v>
      </c>
      <c r="AH477" s="103">
        <v>3</v>
      </c>
      <c r="AI477" s="103">
        <v>0</v>
      </c>
      <c r="AJ477" s="103">
        <v>1</v>
      </c>
      <c r="AK477" s="103">
        <v>0</v>
      </c>
      <c r="AL477" s="103">
        <v>0</v>
      </c>
      <c r="AM477" s="103">
        <v>0</v>
      </c>
      <c r="AN477" s="103">
        <v>0</v>
      </c>
      <c r="AO477" s="103">
        <v>0</v>
      </c>
      <c r="AP477" s="6"/>
      <c r="AQ477" s="110"/>
      <c r="AR477" s="46" t="s">
        <v>4</v>
      </c>
      <c r="AS477" s="103">
        <v>1</v>
      </c>
      <c r="AT477" s="103">
        <v>0</v>
      </c>
      <c r="AU477" s="103">
        <v>2</v>
      </c>
      <c r="AV477" s="103">
        <v>1</v>
      </c>
      <c r="AW477" s="103">
        <v>0</v>
      </c>
      <c r="AX477" s="103">
        <v>0</v>
      </c>
      <c r="AY477" s="103">
        <v>0</v>
      </c>
      <c r="AZ477" s="103">
        <v>0</v>
      </c>
      <c r="BA477" s="103">
        <v>0</v>
      </c>
      <c r="BB477" s="103">
        <v>0</v>
      </c>
      <c r="BC477" s="42"/>
      <c r="BD477" s="110"/>
      <c r="BE477" s="46" t="s">
        <v>4</v>
      </c>
      <c r="BF477" s="103">
        <v>2</v>
      </c>
      <c r="BG477" s="103">
        <v>3</v>
      </c>
      <c r="BH477" s="103">
        <v>1</v>
      </c>
      <c r="BI477" s="103">
        <v>1</v>
      </c>
      <c r="BJ477" s="103">
        <v>1</v>
      </c>
      <c r="BK477" s="103">
        <v>0</v>
      </c>
      <c r="BL477" s="103">
        <v>0</v>
      </c>
      <c r="BM477" s="103">
        <v>0</v>
      </c>
      <c r="BN477" s="103">
        <v>0</v>
      </c>
      <c r="BO477" s="103">
        <v>0</v>
      </c>
      <c r="BQ477" s="110"/>
      <c r="BR477" s="46" t="s">
        <v>4</v>
      </c>
      <c r="BS477" s="103">
        <v>1</v>
      </c>
      <c r="BT477" s="103">
        <v>0</v>
      </c>
      <c r="BU477" s="103">
        <v>1</v>
      </c>
      <c r="BV477" s="103">
        <v>0</v>
      </c>
      <c r="BW477" s="103">
        <v>0</v>
      </c>
      <c r="BX477" s="103">
        <v>0</v>
      </c>
      <c r="BY477" s="103">
        <v>0</v>
      </c>
      <c r="BZ477" s="103">
        <v>0</v>
      </c>
      <c r="CA477" s="103">
        <v>0</v>
      </c>
      <c r="CB477" s="103">
        <v>0</v>
      </c>
      <c r="CC477" s="42"/>
      <c r="CD477" s="110"/>
      <c r="CE477" s="46" t="s">
        <v>4</v>
      </c>
      <c r="CF477" s="103">
        <v>2</v>
      </c>
      <c r="CG477" s="103">
        <v>3</v>
      </c>
      <c r="CH477" s="103">
        <v>2</v>
      </c>
      <c r="CI477" s="103">
        <v>2</v>
      </c>
      <c r="CJ477" s="103">
        <v>1</v>
      </c>
      <c r="CK477" s="103">
        <v>0</v>
      </c>
      <c r="CL477" s="103">
        <v>0</v>
      </c>
      <c r="CM477" s="103">
        <v>0</v>
      </c>
      <c r="CN477" s="103">
        <v>0</v>
      </c>
      <c r="CO477" s="103">
        <v>0</v>
      </c>
      <c r="CQ477" s="110"/>
      <c r="CR477" s="46" t="s">
        <v>4</v>
      </c>
      <c r="CS477" s="103">
        <v>2</v>
      </c>
      <c r="CT477" s="103">
        <v>1</v>
      </c>
      <c r="CU477" s="103">
        <v>1</v>
      </c>
      <c r="CV477" s="103">
        <v>1</v>
      </c>
      <c r="CW477" s="103">
        <v>1</v>
      </c>
      <c r="CX477" s="103">
        <v>0</v>
      </c>
      <c r="CY477" s="103">
        <v>0</v>
      </c>
      <c r="CZ477" s="103">
        <v>0</v>
      </c>
      <c r="DA477" s="103">
        <v>0</v>
      </c>
      <c r="DB477" s="103">
        <v>0</v>
      </c>
      <c r="DC477" s="42"/>
      <c r="DD477" s="110"/>
      <c r="DE477" s="46" t="s">
        <v>4</v>
      </c>
      <c r="DF477" s="103">
        <v>1</v>
      </c>
      <c r="DG477" s="103">
        <v>2</v>
      </c>
      <c r="DH477" s="103">
        <v>2</v>
      </c>
      <c r="DI477" s="103">
        <v>1</v>
      </c>
      <c r="DJ477" s="103">
        <v>0</v>
      </c>
      <c r="DK477" s="103">
        <v>0</v>
      </c>
      <c r="DL477" s="103">
        <v>0</v>
      </c>
      <c r="DM477" s="103">
        <v>0</v>
      </c>
      <c r="DN477" s="103">
        <v>0</v>
      </c>
      <c r="DO477" s="103">
        <v>0</v>
      </c>
    </row>
    <row r="478" spans="2:119" ht="16.25" customHeight="1" x14ac:dyDescent="0.45">
      <c r="B478" s="134"/>
      <c r="C478" s="42"/>
      <c r="D478" s="110"/>
      <c r="E478" s="46" t="s">
        <v>5</v>
      </c>
      <c r="F478" s="103">
        <v>1</v>
      </c>
      <c r="G478" s="103">
        <v>10</v>
      </c>
      <c r="H478" s="103">
        <v>6</v>
      </c>
      <c r="I478" s="103">
        <v>8</v>
      </c>
      <c r="J478" s="103">
        <v>2</v>
      </c>
      <c r="K478" s="103">
        <v>1</v>
      </c>
      <c r="L478" s="103">
        <v>1</v>
      </c>
      <c r="M478" s="103">
        <v>0</v>
      </c>
      <c r="N478" s="103">
        <v>0</v>
      </c>
      <c r="O478" s="103">
        <v>0</v>
      </c>
      <c r="P478" s="42"/>
      <c r="Q478" s="110"/>
      <c r="R478" s="46" t="s">
        <v>5</v>
      </c>
      <c r="S478" s="103">
        <v>1</v>
      </c>
      <c r="T478" s="103">
        <v>5</v>
      </c>
      <c r="U478" s="103">
        <v>1</v>
      </c>
      <c r="V478" s="103">
        <v>4</v>
      </c>
      <c r="W478" s="103">
        <v>2</v>
      </c>
      <c r="X478" s="103">
        <v>0</v>
      </c>
      <c r="Y478" s="103">
        <v>0</v>
      </c>
      <c r="Z478" s="103">
        <v>0</v>
      </c>
      <c r="AA478" s="103">
        <v>0</v>
      </c>
      <c r="AB478" s="103">
        <v>0</v>
      </c>
      <c r="AC478" s="42"/>
      <c r="AD478" s="110"/>
      <c r="AE478" s="46" t="s">
        <v>5</v>
      </c>
      <c r="AF478" s="103">
        <v>0</v>
      </c>
      <c r="AG478" s="103">
        <v>5</v>
      </c>
      <c r="AH478" s="103">
        <v>5</v>
      </c>
      <c r="AI478" s="103">
        <v>4</v>
      </c>
      <c r="AJ478" s="103">
        <v>0</v>
      </c>
      <c r="AK478" s="103">
        <v>1</v>
      </c>
      <c r="AL478" s="103">
        <v>1</v>
      </c>
      <c r="AM478" s="103">
        <v>0</v>
      </c>
      <c r="AN478" s="103">
        <v>0</v>
      </c>
      <c r="AO478" s="103">
        <v>0</v>
      </c>
      <c r="AP478" s="6"/>
      <c r="AQ478" s="110"/>
      <c r="AR478" s="46" t="s">
        <v>5</v>
      </c>
      <c r="AS478" s="103">
        <v>1</v>
      </c>
      <c r="AT478" s="103">
        <v>2</v>
      </c>
      <c r="AU478" s="103">
        <v>1</v>
      </c>
      <c r="AV478" s="103">
        <v>2</v>
      </c>
      <c r="AW478" s="103">
        <v>0</v>
      </c>
      <c r="AX478" s="103">
        <v>1</v>
      </c>
      <c r="AY478" s="103">
        <v>0</v>
      </c>
      <c r="AZ478" s="103">
        <v>0</v>
      </c>
      <c r="BA478" s="103">
        <v>0</v>
      </c>
      <c r="BB478" s="103">
        <v>0</v>
      </c>
      <c r="BC478" s="42"/>
      <c r="BD478" s="110"/>
      <c r="BE478" s="46" t="s">
        <v>5</v>
      </c>
      <c r="BF478" s="103">
        <v>0</v>
      </c>
      <c r="BG478" s="103">
        <v>8</v>
      </c>
      <c r="BH478" s="103">
        <v>5</v>
      </c>
      <c r="BI478" s="103">
        <v>6</v>
      </c>
      <c r="BJ478" s="103">
        <v>2</v>
      </c>
      <c r="BK478" s="103">
        <v>0</v>
      </c>
      <c r="BL478" s="103">
        <v>1</v>
      </c>
      <c r="BM478" s="103">
        <v>0</v>
      </c>
      <c r="BN478" s="103">
        <v>0</v>
      </c>
      <c r="BO478" s="103">
        <v>0</v>
      </c>
      <c r="BQ478" s="110"/>
      <c r="BR478" s="46" t="s">
        <v>5</v>
      </c>
      <c r="BS478" s="103">
        <v>0</v>
      </c>
      <c r="BT478" s="103">
        <v>0</v>
      </c>
      <c r="BU478" s="103">
        <v>1</v>
      </c>
      <c r="BV478" s="103">
        <v>3</v>
      </c>
      <c r="BW478" s="103">
        <v>1</v>
      </c>
      <c r="BX478" s="103">
        <v>0</v>
      </c>
      <c r="BY478" s="103">
        <v>0</v>
      </c>
      <c r="BZ478" s="103">
        <v>0</v>
      </c>
      <c r="CA478" s="103">
        <v>0</v>
      </c>
      <c r="CB478" s="103">
        <v>0</v>
      </c>
      <c r="CC478" s="42"/>
      <c r="CD478" s="110"/>
      <c r="CE478" s="46" t="s">
        <v>5</v>
      </c>
      <c r="CF478" s="103">
        <v>1</v>
      </c>
      <c r="CG478" s="103">
        <v>10</v>
      </c>
      <c r="CH478" s="103">
        <v>5</v>
      </c>
      <c r="CI478" s="103">
        <v>5</v>
      </c>
      <c r="CJ478" s="103">
        <v>1</v>
      </c>
      <c r="CK478" s="103">
        <v>1</v>
      </c>
      <c r="CL478" s="103">
        <v>1</v>
      </c>
      <c r="CM478" s="103">
        <v>0</v>
      </c>
      <c r="CN478" s="103">
        <v>0</v>
      </c>
      <c r="CO478" s="103">
        <v>0</v>
      </c>
      <c r="CQ478" s="110"/>
      <c r="CR478" s="46" t="s">
        <v>5</v>
      </c>
      <c r="CS478" s="103">
        <v>0</v>
      </c>
      <c r="CT478" s="103">
        <v>4</v>
      </c>
      <c r="CU478" s="103">
        <v>2</v>
      </c>
      <c r="CV478" s="103">
        <v>5</v>
      </c>
      <c r="CW478" s="103">
        <v>2</v>
      </c>
      <c r="CX478" s="103">
        <v>0</v>
      </c>
      <c r="CY478" s="103">
        <v>1</v>
      </c>
      <c r="CZ478" s="103">
        <v>0</v>
      </c>
      <c r="DA478" s="103">
        <v>0</v>
      </c>
      <c r="DB478" s="103">
        <v>0</v>
      </c>
      <c r="DC478" s="42"/>
      <c r="DD478" s="110"/>
      <c r="DE478" s="46" t="s">
        <v>5</v>
      </c>
      <c r="DF478" s="103">
        <v>1</v>
      </c>
      <c r="DG478" s="103">
        <v>6</v>
      </c>
      <c r="DH478" s="103">
        <v>4</v>
      </c>
      <c r="DI478" s="103">
        <v>3</v>
      </c>
      <c r="DJ478" s="103">
        <v>0</v>
      </c>
      <c r="DK478" s="103">
        <v>1</v>
      </c>
      <c r="DL478" s="103">
        <v>0</v>
      </c>
      <c r="DM478" s="103">
        <v>0</v>
      </c>
      <c r="DN478" s="103">
        <v>0</v>
      </c>
      <c r="DO478" s="103">
        <v>0</v>
      </c>
    </row>
    <row r="479" spans="2:119" ht="16.25" customHeight="1" x14ac:dyDescent="0.45">
      <c r="B479" s="134"/>
      <c r="C479" s="42"/>
      <c r="D479" s="110"/>
      <c r="E479" s="46" t="s">
        <v>6</v>
      </c>
      <c r="F479" s="103">
        <v>9</v>
      </c>
      <c r="G479" s="103">
        <v>18</v>
      </c>
      <c r="H479" s="103">
        <v>12</v>
      </c>
      <c r="I479" s="103">
        <v>23</v>
      </c>
      <c r="J479" s="103">
        <v>20</v>
      </c>
      <c r="K479" s="103">
        <v>5</v>
      </c>
      <c r="L479" s="103">
        <v>5</v>
      </c>
      <c r="M479" s="103">
        <v>0</v>
      </c>
      <c r="N479" s="103">
        <v>0</v>
      </c>
      <c r="O479" s="103">
        <v>0</v>
      </c>
      <c r="P479" s="42"/>
      <c r="Q479" s="110"/>
      <c r="R479" s="46" t="s">
        <v>6</v>
      </c>
      <c r="S479" s="103">
        <v>3</v>
      </c>
      <c r="T479" s="103">
        <v>7</v>
      </c>
      <c r="U479" s="103">
        <v>6</v>
      </c>
      <c r="V479" s="103">
        <v>12</v>
      </c>
      <c r="W479" s="103">
        <v>8</v>
      </c>
      <c r="X479" s="103">
        <v>3</v>
      </c>
      <c r="Y479" s="103">
        <v>2</v>
      </c>
      <c r="Z479" s="103">
        <v>0</v>
      </c>
      <c r="AA479" s="103">
        <v>0</v>
      </c>
      <c r="AB479" s="103">
        <v>0</v>
      </c>
      <c r="AC479" s="42"/>
      <c r="AD479" s="110"/>
      <c r="AE479" s="46" t="s">
        <v>6</v>
      </c>
      <c r="AF479" s="103">
        <v>6</v>
      </c>
      <c r="AG479" s="103">
        <v>11</v>
      </c>
      <c r="AH479" s="103">
        <v>6</v>
      </c>
      <c r="AI479" s="103">
        <v>11</v>
      </c>
      <c r="AJ479" s="103">
        <v>12</v>
      </c>
      <c r="AK479" s="103">
        <v>2</v>
      </c>
      <c r="AL479" s="103">
        <v>3</v>
      </c>
      <c r="AM479" s="103">
        <v>0</v>
      </c>
      <c r="AN479" s="103">
        <v>0</v>
      </c>
      <c r="AO479" s="103">
        <v>0</v>
      </c>
      <c r="AP479" s="6"/>
      <c r="AQ479" s="110"/>
      <c r="AR479" s="46" t="s">
        <v>6</v>
      </c>
      <c r="AS479" s="103">
        <v>4</v>
      </c>
      <c r="AT479" s="103">
        <v>8</v>
      </c>
      <c r="AU479" s="103">
        <v>5</v>
      </c>
      <c r="AV479" s="103">
        <v>9</v>
      </c>
      <c r="AW479" s="103">
        <v>4</v>
      </c>
      <c r="AX479" s="103">
        <v>0</v>
      </c>
      <c r="AY479" s="103">
        <v>2</v>
      </c>
      <c r="AZ479" s="103">
        <v>0</v>
      </c>
      <c r="BA479" s="103">
        <v>0</v>
      </c>
      <c r="BB479" s="103">
        <v>0</v>
      </c>
      <c r="BC479" s="42"/>
      <c r="BD479" s="110"/>
      <c r="BE479" s="46" t="s">
        <v>6</v>
      </c>
      <c r="BF479" s="103">
        <v>5</v>
      </c>
      <c r="BG479" s="103">
        <v>10</v>
      </c>
      <c r="BH479" s="103">
        <v>7</v>
      </c>
      <c r="BI479" s="103">
        <v>14</v>
      </c>
      <c r="BJ479" s="103">
        <v>16</v>
      </c>
      <c r="BK479" s="103">
        <v>5</v>
      </c>
      <c r="BL479" s="103">
        <v>3</v>
      </c>
      <c r="BM479" s="103">
        <v>0</v>
      </c>
      <c r="BN479" s="103">
        <v>0</v>
      </c>
      <c r="BO479" s="103">
        <v>0</v>
      </c>
      <c r="BQ479" s="110"/>
      <c r="BR479" s="46" t="s">
        <v>6</v>
      </c>
      <c r="BS479" s="103">
        <v>2</v>
      </c>
      <c r="BT479" s="103">
        <v>3</v>
      </c>
      <c r="BU479" s="103">
        <v>2</v>
      </c>
      <c r="BV479" s="103">
        <v>3</v>
      </c>
      <c r="BW479" s="103">
        <v>2</v>
      </c>
      <c r="BX479" s="103">
        <v>0</v>
      </c>
      <c r="BY479" s="103">
        <v>1</v>
      </c>
      <c r="BZ479" s="103">
        <v>0</v>
      </c>
      <c r="CA479" s="103">
        <v>0</v>
      </c>
      <c r="CB479" s="103">
        <v>0</v>
      </c>
      <c r="CC479" s="42"/>
      <c r="CD479" s="110"/>
      <c r="CE479" s="46" t="s">
        <v>6</v>
      </c>
      <c r="CF479" s="103">
        <v>7</v>
      </c>
      <c r="CG479" s="103">
        <v>15</v>
      </c>
      <c r="CH479" s="103">
        <v>10</v>
      </c>
      <c r="CI479" s="103">
        <v>20</v>
      </c>
      <c r="CJ479" s="103">
        <v>18</v>
      </c>
      <c r="CK479" s="103">
        <v>5</v>
      </c>
      <c r="CL479" s="103">
        <v>4</v>
      </c>
      <c r="CM479" s="103">
        <v>0</v>
      </c>
      <c r="CN479" s="103">
        <v>0</v>
      </c>
      <c r="CO479" s="103">
        <v>0</v>
      </c>
      <c r="CQ479" s="110"/>
      <c r="CR479" s="46" t="s">
        <v>6</v>
      </c>
      <c r="CS479" s="103">
        <v>1</v>
      </c>
      <c r="CT479" s="103">
        <v>7</v>
      </c>
      <c r="CU479" s="103">
        <v>9</v>
      </c>
      <c r="CV479" s="103">
        <v>7</v>
      </c>
      <c r="CW479" s="103">
        <v>10</v>
      </c>
      <c r="CX479" s="103">
        <v>2</v>
      </c>
      <c r="CY479" s="103">
        <v>4</v>
      </c>
      <c r="CZ479" s="103">
        <v>0</v>
      </c>
      <c r="DA479" s="103">
        <v>0</v>
      </c>
      <c r="DB479" s="103">
        <v>0</v>
      </c>
      <c r="DC479" s="42"/>
      <c r="DD479" s="110"/>
      <c r="DE479" s="46" t="s">
        <v>6</v>
      </c>
      <c r="DF479" s="103">
        <v>8</v>
      </c>
      <c r="DG479" s="103">
        <v>11</v>
      </c>
      <c r="DH479" s="103">
        <v>3</v>
      </c>
      <c r="DI479" s="103">
        <v>16</v>
      </c>
      <c r="DJ479" s="103">
        <v>10</v>
      </c>
      <c r="DK479" s="103">
        <v>3</v>
      </c>
      <c r="DL479" s="103">
        <v>1</v>
      </c>
      <c r="DM479" s="103">
        <v>0</v>
      </c>
      <c r="DN479" s="103">
        <v>0</v>
      </c>
      <c r="DO479" s="103">
        <v>0</v>
      </c>
    </row>
    <row r="480" spans="2:119" ht="16.25" customHeight="1" x14ac:dyDescent="0.45">
      <c r="B480" s="134"/>
      <c r="C480" s="42"/>
      <c r="D480" s="110"/>
      <c r="E480" s="46" t="s">
        <v>7</v>
      </c>
      <c r="F480" s="103">
        <v>4</v>
      </c>
      <c r="G480" s="103">
        <v>22</v>
      </c>
      <c r="H480" s="103">
        <v>36</v>
      </c>
      <c r="I480" s="103">
        <v>83</v>
      </c>
      <c r="J480" s="103">
        <v>52</v>
      </c>
      <c r="K480" s="103">
        <v>32</v>
      </c>
      <c r="L480" s="103">
        <v>13</v>
      </c>
      <c r="M480" s="103">
        <v>4</v>
      </c>
      <c r="N480" s="103">
        <v>1</v>
      </c>
      <c r="O480" s="103">
        <v>0</v>
      </c>
      <c r="P480" s="42"/>
      <c r="Q480" s="110"/>
      <c r="R480" s="46" t="s">
        <v>7</v>
      </c>
      <c r="S480" s="103">
        <v>1</v>
      </c>
      <c r="T480" s="103">
        <v>9</v>
      </c>
      <c r="U480" s="103">
        <v>17</v>
      </c>
      <c r="V480" s="103">
        <v>28</v>
      </c>
      <c r="W480" s="103">
        <v>22</v>
      </c>
      <c r="X480" s="103">
        <v>15</v>
      </c>
      <c r="Y480" s="103">
        <v>3</v>
      </c>
      <c r="Z480" s="103">
        <v>2</v>
      </c>
      <c r="AA480" s="103">
        <v>0</v>
      </c>
      <c r="AB480" s="103">
        <v>0</v>
      </c>
      <c r="AC480" s="42"/>
      <c r="AD480" s="110"/>
      <c r="AE480" s="46" t="s">
        <v>7</v>
      </c>
      <c r="AF480" s="103">
        <v>3</v>
      </c>
      <c r="AG480" s="103">
        <v>13</v>
      </c>
      <c r="AH480" s="103">
        <v>19</v>
      </c>
      <c r="AI480" s="103">
        <v>55</v>
      </c>
      <c r="AJ480" s="103">
        <v>30</v>
      </c>
      <c r="AK480" s="103">
        <v>17</v>
      </c>
      <c r="AL480" s="103">
        <v>10</v>
      </c>
      <c r="AM480" s="103">
        <v>2</v>
      </c>
      <c r="AN480" s="103">
        <v>1</v>
      </c>
      <c r="AO480" s="103">
        <v>0</v>
      </c>
      <c r="AP480" s="6"/>
      <c r="AQ480" s="110"/>
      <c r="AR480" s="46" t="s">
        <v>7</v>
      </c>
      <c r="AS480" s="103">
        <v>1</v>
      </c>
      <c r="AT480" s="103">
        <v>11</v>
      </c>
      <c r="AU480" s="103">
        <v>16</v>
      </c>
      <c r="AV480" s="103">
        <v>27</v>
      </c>
      <c r="AW480" s="103">
        <v>13</v>
      </c>
      <c r="AX480" s="103">
        <v>11</v>
      </c>
      <c r="AY480" s="103">
        <v>3</v>
      </c>
      <c r="AZ480" s="103">
        <v>0</v>
      </c>
      <c r="BA480" s="103">
        <v>0</v>
      </c>
      <c r="BB480" s="103">
        <v>0</v>
      </c>
      <c r="BC480" s="42"/>
      <c r="BD480" s="110"/>
      <c r="BE480" s="46" t="s">
        <v>7</v>
      </c>
      <c r="BF480" s="103">
        <v>3</v>
      </c>
      <c r="BG480" s="103">
        <v>11</v>
      </c>
      <c r="BH480" s="103">
        <v>20</v>
      </c>
      <c r="BI480" s="103">
        <v>56</v>
      </c>
      <c r="BJ480" s="103">
        <v>39</v>
      </c>
      <c r="BK480" s="103">
        <v>21</v>
      </c>
      <c r="BL480" s="103">
        <v>10</v>
      </c>
      <c r="BM480" s="103">
        <v>4</v>
      </c>
      <c r="BN480" s="103">
        <v>1</v>
      </c>
      <c r="BO480" s="103">
        <v>0</v>
      </c>
      <c r="BQ480" s="110"/>
      <c r="BR480" s="46" t="s">
        <v>7</v>
      </c>
      <c r="BS480" s="103">
        <v>1</v>
      </c>
      <c r="BT480" s="103">
        <v>4</v>
      </c>
      <c r="BU480" s="103">
        <v>4</v>
      </c>
      <c r="BV480" s="103">
        <v>6</v>
      </c>
      <c r="BW480" s="103">
        <v>3</v>
      </c>
      <c r="BX480" s="103">
        <v>0</v>
      </c>
      <c r="BY480" s="103">
        <v>2</v>
      </c>
      <c r="BZ480" s="103">
        <v>0</v>
      </c>
      <c r="CA480" s="103">
        <v>1</v>
      </c>
      <c r="CB480" s="103">
        <v>0</v>
      </c>
      <c r="CC480" s="42"/>
      <c r="CD480" s="110"/>
      <c r="CE480" s="46" t="s">
        <v>7</v>
      </c>
      <c r="CF480" s="103">
        <v>3</v>
      </c>
      <c r="CG480" s="103">
        <v>18</v>
      </c>
      <c r="CH480" s="103">
        <v>32</v>
      </c>
      <c r="CI480" s="103">
        <v>77</v>
      </c>
      <c r="CJ480" s="103">
        <v>49</v>
      </c>
      <c r="CK480" s="103">
        <v>32</v>
      </c>
      <c r="CL480" s="103">
        <v>11</v>
      </c>
      <c r="CM480" s="103">
        <v>4</v>
      </c>
      <c r="CN480" s="103">
        <v>0</v>
      </c>
      <c r="CO480" s="103">
        <v>0</v>
      </c>
      <c r="CQ480" s="110"/>
      <c r="CR480" s="46" t="s">
        <v>7</v>
      </c>
      <c r="CS480" s="103">
        <v>1</v>
      </c>
      <c r="CT480" s="103">
        <v>10</v>
      </c>
      <c r="CU480" s="103">
        <v>17</v>
      </c>
      <c r="CV480" s="103">
        <v>33</v>
      </c>
      <c r="CW480" s="103">
        <v>23</v>
      </c>
      <c r="CX480" s="103">
        <v>12</v>
      </c>
      <c r="CY480" s="103">
        <v>3</v>
      </c>
      <c r="CZ480" s="103">
        <v>0</v>
      </c>
      <c r="DA480" s="103">
        <v>0</v>
      </c>
      <c r="DB480" s="103">
        <v>0</v>
      </c>
      <c r="DC480" s="42"/>
      <c r="DD480" s="110"/>
      <c r="DE480" s="46" t="s">
        <v>7</v>
      </c>
      <c r="DF480" s="103">
        <v>3</v>
      </c>
      <c r="DG480" s="103">
        <v>12</v>
      </c>
      <c r="DH480" s="103">
        <v>19</v>
      </c>
      <c r="DI480" s="103">
        <v>50</v>
      </c>
      <c r="DJ480" s="103">
        <v>29</v>
      </c>
      <c r="DK480" s="103">
        <v>20</v>
      </c>
      <c r="DL480" s="103">
        <v>10</v>
      </c>
      <c r="DM480" s="103">
        <v>4</v>
      </c>
      <c r="DN480" s="103">
        <v>1</v>
      </c>
      <c r="DO480" s="103">
        <v>0</v>
      </c>
    </row>
    <row r="481" spans="2:119" ht="16.25" customHeight="1" x14ac:dyDescent="0.45">
      <c r="B481" s="134"/>
      <c r="C481" s="42"/>
      <c r="D481" s="110"/>
      <c r="E481" s="46" t="s">
        <v>8</v>
      </c>
      <c r="F481" s="103">
        <v>6</v>
      </c>
      <c r="G481" s="103">
        <v>24</v>
      </c>
      <c r="H481" s="103">
        <v>85</v>
      </c>
      <c r="I481" s="103">
        <v>155</v>
      </c>
      <c r="J481" s="103">
        <v>110</v>
      </c>
      <c r="K481" s="103">
        <v>140</v>
      </c>
      <c r="L481" s="103">
        <v>87</v>
      </c>
      <c r="M481" s="103">
        <v>29</v>
      </c>
      <c r="N481" s="103">
        <v>13</v>
      </c>
      <c r="O481" s="103">
        <v>1</v>
      </c>
      <c r="P481" s="42"/>
      <c r="Q481" s="110"/>
      <c r="R481" s="46" t="s">
        <v>8</v>
      </c>
      <c r="S481" s="103">
        <v>0</v>
      </c>
      <c r="T481" s="103">
        <v>8</v>
      </c>
      <c r="U481" s="103">
        <v>32</v>
      </c>
      <c r="V481" s="103">
        <v>59</v>
      </c>
      <c r="W481" s="103">
        <v>36</v>
      </c>
      <c r="X481" s="103">
        <v>47</v>
      </c>
      <c r="Y481" s="103">
        <v>31</v>
      </c>
      <c r="Z481" s="103">
        <v>11</v>
      </c>
      <c r="AA481" s="103">
        <v>7</v>
      </c>
      <c r="AB481" s="103">
        <v>1</v>
      </c>
      <c r="AC481" s="42"/>
      <c r="AD481" s="110"/>
      <c r="AE481" s="46" t="s">
        <v>8</v>
      </c>
      <c r="AF481" s="103">
        <v>6</v>
      </c>
      <c r="AG481" s="103">
        <v>16</v>
      </c>
      <c r="AH481" s="103">
        <v>53</v>
      </c>
      <c r="AI481" s="103">
        <v>96</v>
      </c>
      <c r="AJ481" s="103">
        <v>74</v>
      </c>
      <c r="AK481" s="103">
        <v>93</v>
      </c>
      <c r="AL481" s="103">
        <v>56</v>
      </c>
      <c r="AM481" s="103">
        <v>18</v>
      </c>
      <c r="AN481" s="103">
        <v>6</v>
      </c>
      <c r="AO481" s="103">
        <v>0</v>
      </c>
      <c r="AP481" s="6"/>
      <c r="AQ481" s="110"/>
      <c r="AR481" s="46" t="s">
        <v>8</v>
      </c>
      <c r="AS481" s="103">
        <v>5</v>
      </c>
      <c r="AT481" s="103">
        <v>8</v>
      </c>
      <c r="AU481" s="103">
        <v>24</v>
      </c>
      <c r="AV481" s="103">
        <v>49</v>
      </c>
      <c r="AW481" s="103">
        <v>25</v>
      </c>
      <c r="AX481" s="103">
        <v>36</v>
      </c>
      <c r="AY481" s="103">
        <v>16</v>
      </c>
      <c r="AZ481" s="103">
        <v>12</v>
      </c>
      <c r="BA481" s="103">
        <v>3</v>
      </c>
      <c r="BB481" s="103">
        <v>0</v>
      </c>
      <c r="BC481" s="42"/>
      <c r="BD481" s="110"/>
      <c r="BE481" s="46" t="s">
        <v>8</v>
      </c>
      <c r="BF481" s="103">
        <v>1</v>
      </c>
      <c r="BG481" s="103">
        <v>16</v>
      </c>
      <c r="BH481" s="103">
        <v>61</v>
      </c>
      <c r="BI481" s="103">
        <v>106</v>
      </c>
      <c r="BJ481" s="103">
        <v>85</v>
      </c>
      <c r="BK481" s="103">
        <v>104</v>
      </c>
      <c r="BL481" s="103">
        <v>71</v>
      </c>
      <c r="BM481" s="103">
        <v>17</v>
      </c>
      <c r="BN481" s="103">
        <v>10</v>
      </c>
      <c r="BO481" s="103">
        <v>1</v>
      </c>
      <c r="BQ481" s="110"/>
      <c r="BR481" s="46" t="s">
        <v>8</v>
      </c>
      <c r="BS481" s="103">
        <v>2</v>
      </c>
      <c r="BT481" s="103">
        <v>2</v>
      </c>
      <c r="BU481" s="103">
        <v>9</v>
      </c>
      <c r="BV481" s="103">
        <v>6</v>
      </c>
      <c r="BW481" s="103">
        <v>7</v>
      </c>
      <c r="BX481" s="103">
        <v>7</v>
      </c>
      <c r="BY481" s="103">
        <v>7</v>
      </c>
      <c r="BZ481" s="103">
        <v>1</v>
      </c>
      <c r="CA481" s="103">
        <v>0</v>
      </c>
      <c r="CB481" s="103">
        <v>0</v>
      </c>
      <c r="CC481" s="42"/>
      <c r="CD481" s="110"/>
      <c r="CE481" s="46" t="s">
        <v>8</v>
      </c>
      <c r="CF481" s="103">
        <v>4</v>
      </c>
      <c r="CG481" s="103">
        <v>22</v>
      </c>
      <c r="CH481" s="103">
        <v>76</v>
      </c>
      <c r="CI481" s="103">
        <v>149</v>
      </c>
      <c r="CJ481" s="103">
        <v>103</v>
      </c>
      <c r="CK481" s="103">
        <v>133</v>
      </c>
      <c r="CL481" s="103">
        <v>80</v>
      </c>
      <c r="CM481" s="103">
        <v>28</v>
      </c>
      <c r="CN481" s="103">
        <v>13</v>
      </c>
      <c r="CO481" s="103">
        <v>1</v>
      </c>
      <c r="CQ481" s="110"/>
      <c r="CR481" s="46" t="s">
        <v>8</v>
      </c>
      <c r="CS481" s="103">
        <v>3</v>
      </c>
      <c r="CT481" s="103">
        <v>8</v>
      </c>
      <c r="CU481" s="103">
        <v>31</v>
      </c>
      <c r="CV481" s="103">
        <v>45</v>
      </c>
      <c r="CW481" s="103">
        <v>34</v>
      </c>
      <c r="CX481" s="103">
        <v>53</v>
      </c>
      <c r="CY481" s="103">
        <v>32</v>
      </c>
      <c r="CZ481" s="103">
        <v>12</v>
      </c>
      <c r="DA481" s="103">
        <v>6</v>
      </c>
      <c r="DB481" s="103">
        <v>0</v>
      </c>
      <c r="DC481" s="42"/>
      <c r="DD481" s="110"/>
      <c r="DE481" s="46" t="s">
        <v>8</v>
      </c>
      <c r="DF481" s="103">
        <v>3</v>
      </c>
      <c r="DG481" s="103">
        <v>16</v>
      </c>
      <c r="DH481" s="103">
        <v>54</v>
      </c>
      <c r="DI481" s="103">
        <v>110</v>
      </c>
      <c r="DJ481" s="103">
        <v>76</v>
      </c>
      <c r="DK481" s="103">
        <v>87</v>
      </c>
      <c r="DL481" s="103">
        <v>55</v>
      </c>
      <c r="DM481" s="103">
        <v>17</v>
      </c>
      <c r="DN481" s="103">
        <v>7</v>
      </c>
      <c r="DO481" s="103">
        <v>1</v>
      </c>
    </row>
    <row r="482" spans="2:119" ht="16.25" customHeight="1" x14ac:dyDescent="0.45">
      <c r="B482" s="134"/>
      <c r="C482" s="42"/>
      <c r="D482" s="110"/>
      <c r="E482" s="46" t="s">
        <v>9</v>
      </c>
      <c r="F482" s="103">
        <v>6</v>
      </c>
      <c r="G482" s="103">
        <v>20</v>
      </c>
      <c r="H482" s="103">
        <v>74</v>
      </c>
      <c r="I482" s="103">
        <v>186</v>
      </c>
      <c r="J482" s="103">
        <v>232</v>
      </c>
      <c r="K482" s="103">
        <v>267</v>
      </c>
      <c r="L482" s="103">
        <v>293</v>
      </c>
      <c r="M482" s="103">
        <v>123</v>
      </c>
      <c r="N482" s="103">
        <v>65</v>
      </c>
      <c r="O482" s="103">
        <v>17</v>
      </c>
      <c r="P482" s="42"/>
      <c r="Q482" s="110"/>
      <c r="R482" s="46" t="s">
        <v>9</v>
      </c>
      <c r="S482" s="103">
        <v>1</v>
      </c>
      <c r="T482" s="103">
        <v>4</v>
      </c>
      <c r="U482" s="103">
        <v>25</v>
      </c>
      <c r="V482" s="103">
        <v>60</v>
      </c>
      <c r="W482" s="103">
        <v>91</v>
      </c>
      <c r="X482" s="103">
        <v>96</v>
      </c>
      <c r="Y482" s="103">
        <v>112</v>
      </c>
      <c r="Z482" s="103">
        <v>54</v>
      </c>
      <c r="AA482" s="103">
        <v>28</v>
      </c>
      <c r="AB482" s="103">
        <v>8</v>
      </c>
      <c r="AC482" s="42"/>
      <c r="AD482" s="110"/>
      <c r="AE482" s="46" t="s">
        <v>9</v>
      </c>
      <c r="AF482" s="103">
        <v>5</v>
      </c>
      <c r="AG482" s="103">
        <v>16</v>
      </c>
      <c r="AH482" s="103">
        <v>49</v>
      </c>
      <c r="AI482" s="103">
        <v>126</v>
      </c>
      <c r="AJ482" s="103">
        <v>141</v>
      </c>
      <c r="AK482" s="103">
        <v>171</v>
      </c>
      <c r="AL482" s="103">
        <v>181</v>
      </c>
      <c r="AM482" s="103">
        <v>69</v>
      </c>
      <c r="AN482" s="103">
        <v>37</v>
      </c>
      <c r="AO482" s="103">
        <v>9</v>
      </c>
      <c r="AP482" s="6"/>
      <c r="AQ482" s="110"/>
      <c r="AR482" s="46" t="s">
        <v>9</v>
      </c>
      <c r="AS482" s="103">
        <v>2</v>
      </c>
      <c r="AT482" s="103">
        <v>6</v>
      </c>
      <c r="AU482" s="103">
        <v>20</v>
      </c>
      <c r="AV482" s="103">
        <v>50</v>
      </c>
      <c r="AW482" s="103">
        <v>49</v>
      </c>
      <c r="AX482" s="103">
        <v>48</v>
      </c>
      <c r="AY482" s="103">
        <v>48</v>
      </c>
      <c r="AZ482" s="103">
        <v>15</v>
      </c>
      <c r="BA482" s="103">
        <v>13</v>
      </c>
      <c r="BB482" s="103">
        <v>2</v>
      </c>
      <c r="BC482" s="42"/>
      <c r="BD482" s="110"/>
      <c r="BE482" s="46" t="s">
        <v>9</v>
      </c>
      <c r="BF482" s="103">
        <v>4</v>
      </c>
      <c r="BG482" s="103">
        <v>14</v>
      </c>
      <c r="BH482" s="103">
        <v>54</v>
      </c>
      <c r="BI482" s="103">
        <v>136</v>
      </c>
      <c r="BJ482" s="103">
        <v>183</v>
      </c>
      <c r="BK482" s="103">
        <v>219</v>
      </c>
      <c r="BL482" s="103">
        <v>245</v>
      </c>
      <c r="BM482" s="103">
        <v>108</v>
      </c>
      <c r="BN482" s="103">
        <v>52</v>
      </c>
      <c r="BO482" s="103">
        <v>15</v>
      </c>
      <c r="BQ482" s="110"/>
      <c r="BR482" s="46" t="s">
        <v>9</v>
      </c>
      <c r="BS482" s="103">
        <v>1</v>
      </c>
      <c r="BT482" s="103">
        <v>1</v>
      </c>
      <c r="BU482" s="103">
        <v>1</v>
      </c>
      <c r="BV482" s="103">
        <v>7</v>
      </c>
      <c r="BW482" s="103">
        <v>12</v>
      </c>
      <c r="BX482" s="103">
        <v>14</v>
      </c>
      <c r="BY482" s="103">
        <v>11</v>
      </c>
      <c r="BZ482" s="103">
        <v>1</v>
      </c>
      <c r="CA482" s="103">
        <v>5</v>
      </c>
      <c r="CB482" s="103">
        <v>1</v>
      </c>
      <c r="CC482" s="42"/>
      <c r="CD482" s="110"/>
      <c r="CE482" s="46" t="s">
        <v>9</v>
      </c>
      <c r="CF482" s="103">
        <v>5</v>
      </c>
      <c r="CG482" s="103">
        <v>19</v>
      </c>
      <c r="CH482" s="103">
        <v>73</v>
      </c>
      <c r="CI482" s="103">
        <v>179</v>
      </c>
      <c r="CJ482" s="103">
        <v>220</v>
      </c>
      <c r="CK482" s="103">
        <v>253</v>
      </c>
      <c r="CL482" s="103">
        <v>282</v>
      </c>
      <c r="CM482" s="103">
        <v>122</v>
      </c>
      <c r="CN482" s="103">
        <v>60</v>
      </c>
      <c r="CO482" s="103">
        <v>16</v>
      </c>
      <c r="CQ482" s="110"/>
      <c r="CR482" s="46" t="s">
        <v>9</v>
      </c>
      <c r="CS482" s="103">
        <v>3</v>
      </c>
      <c r="CT482" s="103">
        <v>7</v>
      </c>
      <c r="CU482" s="103">
        <v>21</v>
      </c>
      <c r="CV482" s="103">
        <v>56</v>
      </c>
      <c r="CW482" s="103">
        <v>79</v>
      </c>
      <c r="CX482" s="103">
        <v>85</v>
      </c>
      <c r="CY482" s="103">
        <v>91</v>
      </c>
      <c r="CZ482" s="103">
        <v>36</v>
      </c>
      <c r="DA482" s="103">
        <v>28</v>
      </c>
      <c r="DB482" s="103">
        <v>6</v>
      </c>
      <c r="DC482" s="42"/>
      <c r="DD482" s="110"/>
      <c r="DE482" s="46" t="s">
        <v>9</v>
      </c>
      <c r="DF482" s="103">
        <v>3</v>
      </c>
      <c r="DG482" s="103">
        <v>13</v>
      </c>
      <c r="DH482" s="103">
        <v>53</v>
      </c>
      <c r="DI482" s="103">
        <v>130</v>
      </c>
      <c r="DJ482" s="103">
        <v>153</v>
      </c>
      <c r="DK482" s="103">
        <v>182</v>
      </c>
      <c r="DL482" s="103">
        <v>202</v>
      </c>
      <c r="DM482" s="103">
        <v>87</v>
      </c>
      <c r="DN482" s="103">
        <v>37</v>
      </c>
      <c r="DO482" s="103">
        <v>11</v>
      </c>
    </row>
    <row r="483" spans="2:119" ht="16.25" customHeight="1" x14ac:dyDescent="0.45">
      <c r="B483" s="134"/>
      <c r="C483" s="42"/>
      <c r="D483" s="110"/>
      <c r="E483" s="46" t="s">
        <v>10</v>
      </c>
      <c r="F483" s="103">
        <v>4</v>
      </c>
      <c r="G483" s="103">
        <v>4</v>
      </c>
      <c r="H483" s="103">
        <v>32</v>
      </c>
      <c r="I483" s="103">
        <v>101</v>
      </c>
      <c r="J483" s="103">
        <v>170</v>
      </c>
      <c r="K483" s="103">
        <v>366</v>
      </c>
      <c r="L483" s="103">
        <v>569</v>
      </c>
      <c r="M483" s="103">
        <v>404</v>
      </c>
      <c r="N483" s="103">
        <v>271</v>
      </c>
      <c r="O483" s="103">
        <v>167</v>
      </c>
      <c r="P483" s="42"/>
      <c r="Q483" s="110"/>
      <c r="R483" s="46" t="s">
        <v>10</v>
      </c>
      <c r="S483" s="103">
        <v>0</v>
      </c>
      <c r="T483" s="103">
        <v>2</v>
      </c>
      <c r="U483" s="103">
        <v>10</v>
      </c>
      <c r="V483" s="103">
        <v>27</v>
      </c>
      <c r="W483" s="103">
        <v>51</v>
      </c>
      <c r="X483" s="103">
        <v>100</v>
      </c>
      <c r="Y483" s="103">
        <v>172</v>
      </c>
      <c r="Z483" s="103">
        <v>117</v>
      </c>
      <c r="AA483" s="103">
        <v>94</v>
      </c>
      <c r="AB483" s="103">
        <v>56</v>
      </c>
      <c r="AC483" s="42"/>
      <c r="AD483" s="110"/>
      <c r="AE483" s="46" t="s">
        <v>10</v>
      </c>
      <c r="AF483" s="103">
        <v>4</v>
      </c>
      <c r="AG483" s="103">
        <v>2</v>
      </c>
      <c r="AH483" s="103">
        <v>22</v>
      </c>
      <c r="AI483" s="103">
        <v>74</v>
      </c>
      <c r="AJ483" s="103">
        <v>119</v>
      </c>
      <c r="AK483" s="103">
        <v>266</v>
      </c>
      <c r="AL483" s="103">
        <v>397</v>
      </c>
      <c r="AM483" s="103">
        <v>287</v>
      </c>
      <c r="AN483" s="103">
        <v>177</v>
      </c>
      <c r="AO483" s="103">
        <v>111</v>
      </c>
      <c r="AP483" s="6"/>
      <c r="AQ483" s="110"/>
      <c r="AR483" s="46" t="s">
        <v>10</v>
      </c>
      <c r="AS483" s="103">
        <v>1</v>
      </c>
      <c r="AT483" s="103">
        <v>2</v>
      </c>
      <c r="AU483" s="103">
        <v>12</v>
      </c>
      <c r="AV483" s="103">
        <v>20</v>
      </c>
      <c r="AW483" s="103">
        <v>40</v>
      </c>
      <c r="AX483" s="103">
        <v>46</v>
      </c>
      <c r="AY483" s="103">
        <v>79</v>
      </c>
      <c r="AZ483" s="103">
        <v>52</v>
      </c>
      <c r="BA483" s="103">
        <v>27</v>
      </c>
      <c r="BB483" s="103">
        <v>9</v>
      </c>
      <c r="BC483" s="42"/>
      <c r="BD483" s="110"/>
      <c r="BE483" s="46" t="s">
        <v>10</v>
      </c>
      <c r="BF483" s="103">
        <v>3</v>
      </c>
      <c r="BG483" s="103">
        <v>2</v>
      </c>
      <c r="BH483" s="103">
        <v>20</v>
      </c>
      <c r="BI483" s="103">
        <v>81</v>
      </c>
      <c r="BJ483" s="103">
        <v>130</v>
      </c>
      <c r="BK483" s="103">
        <v>320</v>
      </c>
      <c r="BL483" s="103">
        <v>490</v>
      </c>
      <c r="BM483" s="103">
        <v>352</v>
      </c>
      <c r="BN483" s="103">
        <v>244</v>
      </c>
      <c r="BO483" s="103">
        <v>158</v>
      </c>
      <c r="BQ483" s="110"/>
      <c r="BR483" s="46" t="s">
        <v>10</v>
      </c>
      <c r="BS483" s="103">
        <v>0</v>
      </c>
      <c r="BT483" s="103">
        <v>0</v>
      </c>
      <c r="BU483" s="103">
        <v>3</v>
      </c>
      <c r="BV483" s="103">
        <v>4</v>
      </c>
      <c r="BW483" s="103">
        <v>10</v>
      </c>
      <c r="BX483" s="103">
        <v>18</v>
      </c>
      <c r="BY483" s="103">
        <v>17</v>
      </c>
      <c r="BZ483" s="103">
        <v>12</v>
      </c>
      <c r="CA483" s="103">
        <v>10</v>
      </c>
      <c r="CB483" s="103">
        <v>1</v>
      </c>
      <c r="CC483" s="42"/>
      <c r="CD483" s="110"/>
      <c r="CE483" s="46" t="s">
        <v>10</v>
      </c>
      <c r="CF483" s="103">
        <v>4</v>
      </c>
      <c r="CG483" s="103">
        <v>4</v>
      </c>
      <c r="CH483" s="103">
        <v>29</v>
      </c>
      <c r="CI483" s="103">
        <v>97</v>
      </c>
      <c r="CJ483" s="103">
        <v>160</v>
      </c>
      <c r="CK483" s="103">
        <v>348</v>
      </c>
      <c r="CL483" s="103">
        <v>552</v>
      </c>
      <c r="CM483" s="103">
        <v>392</v>
      </c>
      <c r="CN483" s="103">
        <v>261</v>
      </c>
      <c r="CO483" s="103">
        <v>166</v>
      </c>
      <c r="CQ483" s="110"/>
      <c r="CR483" s="46" t="s">
        <v>10</v>
      </c>
      <c r="CS483" s="103">
        <v>2</v>
      </c>
      <c r="CT483" s="103">
        <v>2</v>
      </c>
      <c r="CU483" s="103">
        <v>9</v>
      </c>
      <c r="CV483" s="103">
        <v>25</v>
      </c>
      <c r="CW483" s="103">
        <v>46</v>
      </c>
      <c r="CX483" s="103">
        <v>91</v>
      </c>
      <c r="CY483" s="103">
        <v>168</v>
      </c>
      <c r="CZ483" s="103">
        <v>103</v>
      </c>
      <c r="DA483" s="103">
        <v>60</v>
      </c>
      <c r="DB483" s="103">
        <v>44</v>
      </c>
      <c r="DC483" s="42"/>
      <c r="DD483" s="110"/>
      <c r="DE483" s="46" t="s">
        <v>10</v>
      </c>
      <c r="DF483" s="103">
        <v>2</v>
      </c>
      <c r="DG483" s="103">
        <v>2</v>
      </c>
      <c r="DH483" s="103">
        <v>23</v>
      </c>
      <c r="DI483" s="103">
        <v>76</v>
      </c>
      <c r="DJ483" s="103">
        <v>124</v>
      </c>
      <c r="DK483" s="103">
        <v>275</v>
      </c>
      <c r="DL483" s="103">
        <v>401</v>
      </c>
      <c r="DM483" s="103">
        <v>301</v>
      </c>
      <c r="DN483" s="103">
        <v>211</v>
      </c>
      <c r="DO483" s="103">
        <v>123</v>
      </c>
    </row>
    <row r="484" spans="2:119" ht="16.25" customHeight="1" x14ac:dyDescent="0.45">
      <c r="B484" s="134"/>
      <c r="C484" s="42"/>
      <c r="D484" s="111"/>
      <c r="E484" s="46" t="s">
        <v>11</v>
      </c>
      <c r="F484" s="103">
        <v>0</v>
      </c>
      <c r="G484" s="103">
        <v>0</v>
      </c>
      <c r="H484" s="103">
        <v>1</v>
      </c>
      <c r="I484" s="103">
        <v>4</v>
      </c>
      <c r="J484" s="103">
        <v>28</v>
      </c>
      <c r="K484" s="103">
        <v>53</v>
      </c>
      <c r="L484" s="103">
        <v>142</v>
      </c>
      <c r="M484" s="103">
        <v>163</v>
      </c>
      <c r="N484" s="103">
        <v>203</v>
      </c>
      <c r="O484" s="103">
        <v>215</v>
      </c>
      <c r="P484" s="42"/>
      <c r="Q484" s="111"/>
      <c r="R484" s="46" t="s">
        <v>11</v>
      </c>
      <c r="S484" s="103">
        <v>0</v>
      </c>
      <c r="T484" s="103">
        <v>0</v>
      </c>
      <c r="U484" s="103">
        <v>0</v>
      </c>
      <c r="V484" s="103">
        <v>1</v>
      </c>
      <c r="W484" s="103">
        <v>10</v>
      </c>
      <c r="X484" s="103">
        <v>12</v>
      </c>
      <c r="Y484" s="103">
        <v>33</v>
      </c>
      <c r="Z484" s="103">
        <v>42</v>
      </c>
      <c r="AA484" s="103">
        <v>54</v>
      </c>
      <c r="AB484" s="103">
        <v>42</v>
      </c>
      <c r="AC484" s="42"/>
      <c r="AD484" s="111"/>
      <c r="AE484" s="46" t="s">
        <v>11</v>
      </c>
      <c r="AF484" s="103">
        <v>0</v>
      </c>
      <c r="AG484" s="103">
        <v>0</v>
      </c>
      <c r="AH484" s="103">
        <v>1</v>
      </c>
      <c r="AI484" s="103">
        <v>3</v>
      </c>
      <c r="AJ484" s="103">
        <v>18</v>
      </c>
      <c r="AK484" s="103">
        <v>41</v>
      </c>
      <c r="AL484" s="103">
        <v>109</v>
      </c>
      <c r="AM484" s="103">
        <v>121</v>
      </c>
      <c r="AN484" s="103">
        <v>149</v>
      </c>
      <c r="AO484" s="103">
        <v>173</v>
      </c>
      <c r="AP484" s="6"/>
      <c r="AQ484" s="111"/>
      <c r="AR484" s="46" t="s">
        <v>11</v>
      </c>
      <c r="AS484" s="103">
        <v>0</v>
      </c>
      <c r="AT484" s="103">
        <v>0</v>
      </c>
      <c r="AU484" s="103">
        <v>0</v>
      </c>
      <c r="AV484" s="103">
        <v>0</v>
      </c>
      <c r="AW484" s="103">
        <v>5</v>
      </c>
      <c r="AX484" s="103">
        <v>4</v>
      </c>
      <c r="AY484" s="103">
        <v>13</v>
      </c>
      <c r="AZ484" s="103">
        <v>16</v>
      </c>
      <c r="BA484" s="103">
        <v>13</v>
      </c>
      <c r="BB484" s="103">
        <v>12</v>
      </c>
      <c r="BC484" s="42"/>
      <c r="BD484" s="111"/>
      <c r="BE484" s="46" t="s">
        <v>11</v>
      </c>
      <c r="BF484" s="103">
        <v>0</v>
      </c>
      <c r="BG484" s="103">
        <v>0</v>
      </c>
      <c r="BH484" s="103">
        <v>1</v>
      </c>
      <c r="BI484" s="103">
        <v>4</v>
      </c>
      <c r="BJ484" s="103">
        <v>23</v>
      </c>
      <c r="BK484" s="103">
        <v>49</v>
      </c>
      <c r="BL484" s="103">
        <v>129</v>
      </c>
      <c r="BM484" s="103">
        <v>147</v>
      </c>
      <c r="BN484" s="103">
        <v>190</v>
      </c>
      <c r="BO484" s="103">
        <v>203</v>
      </c>
      <c r="BQ484" s="111"/>
      <c r="BR484" s="46" t="s">
        <v>11</v>
      </c>
      <c r="BS484" s="103">
        <v>0</v>
      </c>
      <c r="BT484" s="103">
        <v>0</v>
      </c>
      <c r="BU484" s="103">
        <v>0</v>
      </c>
      <c r="BV484" s="103">
        <v>0</v>
      </c>
      <c r="BW484" s="103">
        <v>4</v>
      </c>
      <c r="BX484" s="103">
        <v>2</v>
      </c>
      <c r="BY484" s="103">
        <v>4</v>
      </c>
      <c r="BZ484" s="103">
        <v>5</v>
      </c>
      <c r="CA484" s="103">
        <v>2</v>
      </c>
      <c r="CB484" s="103">
        <v>4</v>
      </c>
      <c r="CC484" s="42"/>
      <c r="CD484" s="111"/>
      <c r="CE484" s="46" t="s">
        <v>11</v>
      </c>
      <c r="CF484" s="103">
        <v>0</v>
      </c>
      <c r="CG484" s="103">
        <v>0</v>
      </c>
      <c r="CH484" s="103">
        <v>1</v>
      </c>
      <c r="CI484" s="103">
        <v>4</v>
      </c>
      <c r="CJ484" s="103">
        <v>24</v>
      </c>
      <c r="CK484" s="103">
        <v>51</v>
      </c>
      <c r="CL484" s="103">
        <v>138</v>
      </c>
      <c r="CM484" s="103">
        <v>158</v>
      </c>
      <c r="CN484" s="103">
        <v>201</v>
      </c>
      <c r="CO484" s="103">
        <v>211</v>
      </c>
      <c r="CQ484" s="111"/>
      <c r="CR484" s="46" t="s">
        <v>11</v>
      </c>
      <c r="CS484" s="103">
        <v>0</v>
      </c>
      <c r="CT484" s="103">
        <v>0</v>
      </c>
      <c r="CU484" s="103">
        <v>0</v>
      </c>
      <c r="CV484" s="103">
        <v>0</v>
      </c>
      <c r="CW484" s="103">
        <v>5</v>
      </c>
      <c r="CX484" s="103">
        <v>5</v>
      </c>
      <c r="CY484" s="103">
        <v>32</v>
      </c>
      <c r="CZ484" s="103">
        <v>33</v>
      </c>
      <c r="DA484" s="103">
        <v>36</v>
      </c>
      <c r="DB484" s="103">
        <v>48</v>
      </c>
      <c r="DC484" s="42"/>
      <c r="DD484" s="111"/>
      <c r="DE484" s="46" t="s">
        <v>11</v>
      </c>
      <c r="DF484" s="103">
        <v>0</v>
      </c>
      <c r="DG484" s="103">
        <v>0</v>
      </c>
      <c r="DH484" s="103">
        <v>1</v>
      </c>
      <c r="DI484" s="103">
        <v>4</v>
      </c>
      <c r="DJ484" s="103">
        <v>23</v>
      </c>
      <c r="DK484" s="103">
        <v>48</v>
      </c>
      <c r="DL484" s="103">
        <v>110</v>
      </c>
      <c r="DM484" s="103">
        <v>130</v>
      </c>
      <c r="DN484" s="103">
        <v>167</v>
      </c>
      <c r="DO484" s="103">
        <v>167</v>
      </c>
    </row>
    <row r="485" spans="2:119" ht="22.5" x14ac:dyDescent="0.45">
      <c r="B485" s="99"/>
      <c r="C485" s="42"/>
      <c r="D485" s="42"/>
      <c r="E485" s="42"/>
      <c r="F485" s="42"/>
      <c r="G485" s="42"/>
      <c r="H485" s="42"/>
      <c r="I485" s="42"/>
      <c r="J485" s="42"/>
      <c r="K485" s="42"/>
      <c r="L485" s="42"/>
      <c r="M485" s="42"/>
      <c r="N485" s="42"/>
      <c r="O485" s="42"/>
      <c r="P485" s="42"/>
      <c r="Q485" s="42"/>
      <c r="R485" s="42"/>
      <c r="S485" s="42"/>
      <c r="T485" s="42"/>
      <c r="U485" s="42"/>
      <c r="V485" s="42"/>
      <c r="W485" s="42"/>
      <c r="X485" s="42"/>
      <c r="Y485" s="42"/>
      <c r="Z485" s="42"/>
      <c r="AA485" s="42"/>
      <c r="AB485" s="42"/>
      <c r="AC485" s="42"/>
      <c r="AD485" s="42"/>
      <c r="AE485" s="42"/>
      <c r="AF485" s="42"/>
      <c r="AG485" s="42"/>
      <c r="AH485" s="42"/>
      <c r="AI485" s="42"/>
      <c r="AJ485" s="42"/>
      <c r="AK485" s="42"/>
      <c r="AL485" s="42"/>
      <c r="AM485" s="42"/>
      <c r="AN485" s="42"/>
      <c r="AO485" s="42"/>
      <c r="AP485" s="6"/>
      <c r="AQ485" s="42"/>
      <c r="AR485" s="42"/>
      <c r="AS485" s="42"/>
      <c r="AT485" s="42"/>
      <c r="AU485" s="42"/>
      <c r="AV485" s="42"/>
      <c r="AW485" s="42"/>
      <c r="AX485" s="42"/>
      <c r="AY485" s="42"/>
      <c r="AZ485" s="42"/>
      <c r="BA485" s="42"/>
      <c r="BB485" s="42"/>
      <c r="BC485" s="42"/>
      <c r="BD485" s="42"/>
      <c r="BE485" s="42"/>
      <c r="BF485" s="42"/>
      <c r="BG485" s="42"/>
      <c r="BH485" s="42"/>
      <c r="BI485" s="42"/>
      <c r="BJ485" s="42"/>
      <c r="BK485" s="42"/>
      <c r="BL485" s="42"/>
      <c r="BM485" s="42"/>
      <c r="BN485" s="42"/>
      <c r="BO485" s="42"/>
      <c r="BQ485" s="42"/>
      <c r="BR485" s="42"/>
      <c r="BS485" s="42"/>
      <c r="BT485" s="42"/>
      <c r="BU485" s="42"/>
      <c r="BV485" s="42"/>
      <c r="BW485" s="42"/>
      <c r="BX485" s="42"/>
      <c r="BY485" s="42"/>
      <c r="BZ485" s="42"/>
      <c r="CA485" s="42"/>
      <c r="CB485" s="42"/>
      <c r="CC485" s="42"/>
      <c r="CD485" s="42"/>
      <c r="CE485" s="42"/>
      <c r="CF485" s="42"/>
      <c r="CG485" s="42"/>
      <c r="CH485" s="42"/>
      <c r="CI485" s="42"/>
      <c r="CJ485" s="42"/>
      <c r="CK485" s="42"/>
      <c r="CL485" s="42"/>
      <c r="CM485" s="42"/>
      <c r="CN485" s="42"/>
      <c r="CO485" s="42"/>
      <c r="CQ485" s="42"/>
      <c r="CR485" s="42"/>
      <c r="CS485" s="42"/>
      <c r="CT485" s="42"/>
      <c r="CU485" s="42"/>
      <c r="CV485" s="42"/>
      <c r="CW485" s="42"/>
      <c r="CX485" s="42"/>
      <c r="CY485" s="42"/>
      <c r="CZ485" s="42"/>
      <c r="DA485" s="42"/>
      <c r="DB485" s="42"/>
      <c r="DC485" s="42"/>
      <c r="DD485" s="42"/>
      <c r="DE485" s="42"/>
      <c r="DF485" s="42"/>
      <c r="DG485" s="42"/>
      <c r="DH485" s="42"/>
      <c r="DI485" s="42"/>
      <c r="DJ485" s="42"/>
      <c r="DK485" s="42"/>
      <c r="DL485" s="42"/>
      <c r="DM485" s="42"/>
      <c r="DN485" s="42"/>
      <c r="DO485" s="42"/>
    </row>
    <row r="486" spans="2:119" ht="18.75" customHeight="1" x14ac:dyDescent="0.55000000000000004">
      <c r="B486" s="99"/>
      <c r="C486" s="42"/>
      <c r="D486" s="112" t="s">
        <v>16</v>
      </c>
      <c r="E486" s="112"/>
      <c r="F486" s="45"/>
      <c r="G486" s="45"/>
      <c r="H486" s="45"/>
      <c r="I486" s="45"/>
      <c r="J486" s="45"/>
      <c r="K486" s="45"/>
      <c r="L486" s="45"/>
      <c r="M486" s="45"/>
      <c r="N486" s="45"/>
      <c r="O486" s="45"/>
      <c r="P486" s="42"/>
      <c r="Q486" s="112" t="s">
        <v>16</v>
      </c>
      <c r="R486" s="112"/>
      <c r="S486" s="45"/>
      <c r="T486" s="45"/>
      <c r="U486" s="45"/>
      <c r="V486" s="45"/>
      <c r="W486" s="45"/>
      <c r="X486" s="45"/>
      <c r="Y486" s="45"/>
      <c r="Z486" s="45"/>
      <c r="AA486" s="45"/>
      <c r="AB486" s="45"/>
      <c r="AC486" s="42"/>
      <c r="AD486" s="112" t="s">
        <v>16</v>
      </c>
      <c r="AE486" s="112"/>
      <c r="AF486" s="45"/>
      <c r="AG486" s="45"/>
      <c r="AH486" s="45"/>
      <c r="AI486" s="45"/>
      <c r="AJ486" s="45"/>
      <c r="AK486" s="45"/>
      <c r="AL486" s="45"/>
      <c r="AM486" s="45"/>
      <c r="AN486" s="45"/>
      <c r="AO486" s="45"/>
      <c r="AP486" s="6"/>
      <c r="AQ486" s="112" t="s">
        <v>16</v>
      </c>
      <c r="AR486" s="112"/>
      <c r="AS486" s="45"/>
      <c r="AT486" s="45"/>
      <c r="AU486" s="45"/>
      <c r="AV486" s="45"/>
      <c r="AW486" s="45"/>
      <c r="AX486" s="45"/>
      <c r="AY486" s="45"/>
      <c r="AZ486" s="45"/>
      <c r="BA486" s="45"/>
      <c r="BB486" s="45"/>
      <c r="BC486" s="42"/>
      <c r="BD486" s="112" t="s">
        <v>16</v>
      </c>
      <c r="BE486" s="112"/>
      <c r="BF486" s="45"/>
      <c r="BG486" s="45"/>
      <c r="BH486" s="45"/>
      <c r="BI486" s="45"/>
      <c r="BJ486" s="45"/>
      <c r="BK486" s="45"/>
      <c r="BL486" s="45"/>
      <c r="BM486" s="45"/>
      <c r="BN486" s="45"/>
      <c r="BO486" s="45"/>
      <c r="BQ486" s="112" t="s">
        <v>16</v>
      </c>
      <c r="BR486" s="112"/>
      <c r="BS486" s="45"/>
      <c r="BT486" s="45"/>
      <c r="BU486" s="45"/>
      <c r="BV486" s="45"/>
      <c r="BW486" s="45"/>
      <c r="BX486" s="45"/>
      <c r="BY486" s="45"/>
      <c r="BZ486" s="45"/>
      <c r="CA486" s="45"/>
      <c r="CB486" s="45"/>
      <c r="CC486" s="42"/>
      <c r="CD486" s="112" t="s">
        <v>16</v>
      </c>
      <c r="CE486" s="112"/>
      <c r="CF486" s="45"/>
      <c r="CG486" s="45"/>
      <c r="CH486" s="45"/>
      <c r="CI486" s="45"/>
      <c r="CJ486" s="45"/>
      <c r="CK486" s="45"/>
      <c r="CL486" s="45"/>
      <c r="CM486" s="45"/>
      <c r="CN486" s="45"/>
      <c r="CO486" s="45"/>
      <c r="CQ486" s="112" t="s">
        <v>16</v>
      </c>
      <c r="CR486" s="112"/>
      <c r="CS486" s="45"/>
      <c r="CT486" s="45"/>
      <c r="CU486" s="45"/>
      <c r="CV486" s="45"/>
      <c r="CW486" s="45"/>
      <c r="CX486" s="45"/>
      <c r="CY486" s="45"/>
      <c r="CZ486" s="45"/>
      <c r="DA486" s="45"/>
      <c r="DB486" s="45"/>
      <c r="DC486" s="42"/>
      <c r="DD486" s="112" t="s">
        <v>16</v>
      </c>
      <c r="DE486" s="112"/>
      <c r="DF486" s="45"/>
      <c r="DG486" s="45"/>
      <c r="DH486" s="45"/>
      <c r="DI486" s="45"/>
      <c r="DJ486" s="45"/>
      <c r="DK486" s="45"/>
      <c r="DL486" s="45"/>
      <c r="DM486" s="45"/>
      <c r="DN486" s="45"/>
      <c r="DO486" s="45"/>
    </row>
    <row r="487" spans="2:119" ht="28.9" customHeight="1" x14ac:dyDescent="0.45">
      <c r="B487" s="99"/>
      <c r="C487" s="42"/>
      <c r="D487" s="112"/>
      <c r="E487" s="112"/>
      <c r="F487" s="108" t="s">
        <v>12</v>
      </c>
      <c r="G487" s="108"/>
      <c r="H487" s="108"/>
      <c r="I487" s="108"/>
      <c r="J487" s="108"/>
      <c r="K487" s="108"/>
      <c r="L487" s="108"/>
      <c r="M487" s="108"/>
      <c r="N487" s="108"/>
      <c r="O487" s="108"/>
      <c r="P487" s="42"/>
      <c r="Q487" s="112"/>
      <c r="R487" s="112"/>
      <c r="S487" s="108" t="s">
        <v>12</v>
      </c>
      <c r="T487" s="108"/>
      <c r="U487" s="108"/>
      <c r="V487" s="108"/>
      <c r="W487" s="108"/>
      <c r="X487" s="108"/>
      <c r="Y487" s="108"/>
      <c r="Z487" s="108"/>
      <c r="AA487" s="108"/>
      <c r="AB487" s="108"/>
      <c r="AC487" s="42"/>
      <c r="AD487" s="112"/>
      <c r="AE487" s="112"/>
      <c r="AF487" s="131" t="s">
        <v>12</v>
      </c>
      <c r="AG487" s="132"/>
      <c r="AH487" s="132"/>
      <c r="AI487" s="132"/>
      <c r="AJ487" s="132"/>
      <c r="AK487" s="132"/>
      <c r="AL487" s="132"/>
      <c r="AM487" s="132"/>
      <c r="AN487" s="132"/>
      <c r="AO487" s="133"/>
      <c r="AP487" s="6"/>
      <c r="AQ487" s="112"/>
      <c r="AR487" s="112"/>
      <c r="AS487" s="108" t="s">
        <v>12</v>
      </c>
      <c r="AT487" s="108"/>
      <c r="AU487" s="108"/>
      <c r="AV487" s="108"/>
      <c r="AW487" s="108"/>
      <c r="AX487" s="108"/>
      <c r="AY487" s="108"/>
      <c r="AZ487" s="108"/>
      <c r="BA487" s="108"/>
      <c r="BB487" s="108"/>
      <c r="BC487" s="42"/>
      <c r="BD487" s="112"/>
      <c r="BE487" s="112"/>
      <c r="BF487" s="108" t="s">
        <v>12</v>
      </c>
      <c r="BG487" s="108"/>
      <c r="BH487" s="108"/>
      <c r="BI487" s="108"/>
      <c r="BJ487" s="108"/>
      <c r="BK487" s="108"/>
      <c r="BL487" s="108"/>
      <c r="BM487" s="108"/>
      <c r="BN487" s="108"/>
      <c r="BO487" s="108"/>
      <c r="BQ487" s="112"/>
      <c r="BR487" s="112"/>
      <c r="BS487" s="108" t="s">
        <v>12</v>
      </c>
      <c r="BT487" s="108"/>
      <c r="BU487" s="108"/>
      <c r="BV487" s="108"/>
      <c r="BW487" s="108"/>
      <c r="BX487" s="108"/>
      <c r="BY487" s="108"/>
      <c r="BZ487" s="108"/>
      <c r="CA487" s="108"/>
      <c r="CB487" s="108"/>
      <c r="CC487" s="42"/>
      <c r="CD487" s="112"/>
      <c r="CE487" s="112"/>
      <c r="CF487" s="108" t="s">
        <v>12</v>
      </c>
      <c r="CG487" s="108"/>
      <c r="CH487" s="108"/>
      <c r="CI487" s="108"/>
      <c r="CJ487" s="108"/>
      <c r="CK487" s="108"/>
      <c r="CL487" s="108"/>
      <c r="CM487" s="108"/>
      <c r="CN487" s="108"/>
      <c r="CO487" s="108"/>
      <c r="CQ487" s="112"/>
      <c r="CR487" s="112"/>
      <c r="CS487" s="108" t="s">
        <v>12</v>
      </c>
      <c r="CT487" s="108"/>
      <c r="CU487" s="108"/>
      <c r="CV487" s="108"/>
      <c r="CW487" s="108"/>
      <c r="CX487" s="108"/>
      <c r="CY487" s="108"/>
      <c r="CZ487" s="108"/>
      <c r="DA487" s="108"/>
      <c r="DB487" s="108"/>
      <c r="DC487" s="42"/>
      <c r="DD487" s="112"/>
      <c r="DE487" s="112"/>
      <c r="DF487" s="108" t="s">
        <v>12</v>
      </c>
      <c r="DG487" s="108"/>
      <c r="DH487" s="108"/>
      <c r="DI487" s="108"/>
      <c r="DJ487" s="108"/>
      <c r="DK487" s="108"/>
      <c r="DL487" s="108"/>
      <c r="DM487" s="108"/>
      <c r="DN487" s="108"/>
      <c r="DO487" s="108"/>
    </row>
    <row r="488" spans="2:119" ht="15" customHeight="1" x14ac:dyDescent="0.45">
      <c r="B488" s="99"/>
      <c r="C488" s="42"/>
      <c r="D488" s="113"/>
      <c r="E488" s="113"/>
      <c r="F488" s="9" t="s">
        <v>0</v>
      </c>
      <c r="G488" s="9">
        <v>1</v>
      </c>
      <c r="H488" s="9">
        <v>2</v>
      </c>
      <c r="I488" s="9">
        <v>3</v>
      </c>
      <c r="J488" s="9">
        <v>4</v>
      </c>
      <c r="K488" s="9">
        <v>5</v>
      </c>
      <c r="L488" s="9">
        <v>6</v>
      </c>
      <c r="M488" s="9">
        <v>7</v>
      </c>
      <c r="N488" s="9">
        <v>8</v>
      </c>
      <c r="O488" s="9">
        <v>9</v>
      </c>
      <c r="P488" s="42"/>
      <c r="Q488" s="113"/>
      <c r="R488" s="113"/>
      <c r="S488" s="9" t="s">
        <v>0</v>
      </c>
      <c r="T488" s="9">
        <v>1</v>
      </c>
      <c r="U488" s="9">
        <v>2</v>
      </c>
      <c r="V488" s="9">
        <v>3</v>
      </c>
      <c r="W488" s="9">
        <v>4</v>
      </c>
      <c r="X488" s="9">
        <v>5</v>
      </c>
      <c r="Y488" s="9">
        <v>6</v>
      </c>
      <c r="Z488" s="9">
        <v>7</v>
      </c>
      <c r="AA488" s="9">
        <v>8</v>
      </c>
      <c r="AB488" s="9">
        <v>9</v>
      </c>
      <c r="AC488" s="42"/>
      <c r="AD488" s="113"/>
      <c r="AE488" s="113"/>
      <c r="AF488" s="9" t="s">
        <v>0</v>
      </c>
      <c r="AG488" s="9">
        <v>1</v>
      </c>
      <c r="AH488" s="9">
        <v>2</v>
      </c>
      <c r="AI488" s="9">
        <v>3</v>
      </c>
      <c r="AJ488" s="9">
        <v>4</v>
      </c>
      <c r="AK488" s="9">
        <v>5</v>
      </c>
      <c r="AL488" s="9">
        <v>6</v>
      </c>
      <c r="AM488" s="9">
        <v>7</v>
      </c>
      <c r="AN488" s="9">
        <v>8</v>
      </c>
      <c r="AO488" s="9">
        <v>9</v>
      </c>
      <c r="AP488" s="6"/>
      <c r="AQ488" s="113"/>
      <c r="AR488" s="113"/>
      <c r="AS488" s="9" t="s">
        <v>0</v>
      </c>
      <c r="AT488" s="9">
        <v>1</v>
      </c>
      <c r="AU488" s="9">
        <v>2</v>
      </c>
      <c r="AV488" s="9">
        <v>3</v>
      </c>
      <c r="AW488" s="9">
        <v>4</v>
      </c>
      <c r="AX488" s="9">
        <v>5</v>
      </c>
      <c r="AY488" s="9">
        <v>6</v>
      </c>
      <c r="AZ488" s="9">
        <v>7</v>
      </c>
      <c r="BA488" s="9">
        <v>8</v>
      </c>
      <c r="BB488" s="9">
        <v>9</v>
      </c>
      <c r="BC488" s="42"/>
      <c r="BD488" s="113"/>
      <c r="BE488" s="113"/>
      <c r="BF488" s="9" t="s">
        <v>0</v>
      </c>
      <c r="BG488" s="9">
        <v>1</v>
      </c>
      <c r="BH488" s="9">
        <v>2</v>
      </c>
      <c r="BI488" s="9">
        <v>3</v>
      </c>
      <c r="BJ488" s="9">
        <v>4</v>
      </c>
      <c r="BK488" s="9">
        <v>5</v>
      </c>
      <c r="BL488" s="9">
        <v>6</v>
      </c>
      <c r="BM488" s="9">
        <v>7</v>
      </c>
      <c r="BN488" s="9">
        <v>8</v>
      </c>
      <c r="BO488" s="9">
        <v>9</v>
      </c>
      <c r="BQ488" s="113"/>
      <c r="BR488" s="113"/>
      <c r="BS488" s="9" t="s">
        <v>0</v>
      </c>
      <c r="BT488" s="9">
        <v>1</v>
      </c>
      <c r="BU488" s="9">
        <v>2</v>
      </c>
      <c r="BV488" s="9">
        <v>3</v>
      </c>
      <c r="BW488" s="9">
        <v>4</v>
      </c>
      <c r="BX488" s="9">
        <v>5</v>
      </c>
      <c r="BY488" s="9">
        <v>6</v>
      </c>
      <c r="BZ488" s="9">
        <v>7</v>
      </c>
      <c r="CA488" s="9">
        <v>8</v>
      </c>
      <c r="CB488" s="9">
        <v>9</v>
      </c>
      <c r="CC488" s="42"/>
      <c r="CD488" s="113"/>
      <c r="CE488" s="113"/>
      <c r="CF488" s="9" t="s">
        <v>0</v>
      </c>
      <c r="CG488" s="9">
        <v>1</v>
      </c>
      <c r="CH488" s="9">
        <v>2</v>
      </c>
      <c r="CI488" s="9">
        <v>3</v>
      </c>
      <c r="CJ488" s="9">
        <v>4</v>
      </c>
      <c r="CK488" s="9">
        <v>5</v>
      </c>
      <c r="CL488" s="9">
        <v>6</v>
      </c>
      <c r="CM488" s="9">
        <v>7</v>
      </c>
      <c r="CN488" s="9">
        <v>8</v>
      </c>
      <c r="CO488" s="9">
        <v>9</v>
      </c>
      <c r="CQ488" s="113"/>
      <c r="CR488" s="113"/>
      <c r="CS488" s="9" t="s">
        <v>0</v>
      </c>
      <c r="CT488" s="9">
        <v>1</v>
      </c>
      <c r="CU488" s="9">
        <v>2</v>
      </c>
      <c r="CV488" s="9">
        <v>3</v>
      </c>
      <c r="CW488" s="9">
        <v>4</v>
      </c>
      <c r="CX488" s="9">
        <v>5</v>
      </c>
      <c r="CY488" s="9">
        <v>6</v>
      </c>
      <c r="CZ488" s="9">
        <v>7</v>
      </c>
      <c r="DA488" s="9">
        <v>8</v>
      </c>
      <c r="DB488" s="9">
        <v>9</v>
      </c>
      <c r="DC488" s="42"/>
      <c r="DD488" s="113"/>
      <c r="DE488" s="113"/>
      <c r="DF488" s="9" t="s">
        <v>0</v>
      </c>
      <c r="DG488" s="9">
        <v>1</v>
      </c>
      <c r="DH488" s="9">
        <v>2</v>
      </c>
      <c r="DI488" s="9">
        <v>3</v>
      </c>
      <c r="DJ488" s="9">
        <v>4</v>
      </c>
      <c r="DK488" s="9">
        <v>5</v>
      </c>
      <c r="DL488" s="9">
        <v>6</v>
      </c>
      <c r="DM488" s="9">
        <v>7</v>
      </c>
      <c r="DN488" s="9">
        <v>8</v>
      </c>
      <c r="DO488" s="9">
        <v>9</v>
      </c>
    </row>
    <row r="489" spans="2:119" ht="16.25" customHeight="1" x14ac:dyDescent="0.45">
      <c r="B489" s="99"/>
      <c r="C489" s="42"/>
      <c r="D489" s="109" t="s">
        <v>13</v>
      </c>
      <c r="E489" s="47" t="s">
        <v>1</v>
      </c>
      <c r="F489" s="103" t="s">
        <v>128</v>
      </c>
      <c r="G489" s="103" t="s">
        <v>128</v>
      </c>
      <c r="H489" s="103" t="s">
        <v>128</v>
      </c>
      <c r="I489" s="103" t="s">
        <v>128</v>
      </c>
      <c r="J489" s="103" t="s">
        <v>128</v>
      </c>
      <c r="K489" s="103" t="s">
        <v>128</v>
      </c>
      <c r="L489" s="103" t="s">
        <v>128</v>
      </c>
      <c r="M489" s="103" t="s">
        <v>128</v>
      </c>
      <c r="N489" s="103" t="s">
        <v>128</v>
      </c>
      <c r="O489" s="17" t="s">
        <v>128</v>
      </c>
      <c r="P489" s="42"/>
      <c r="Q489" s="109" t="s">
        <v>13</v>
      </c>
      <c r="R489" s="46" t="s">
        <v>1</v>
      </c>
      <c r="S489" s="103" t="s">
        <v>128</v>
      </c>
      <c r="T489" s="103" t="s">
        <v>128</v>
      </c>
      <c r="U489" s="103" t="s">
        <v>128</v>
      </c>
      <c r="V489" s="103" t="s">
        <v>128</v>
      </c>
      <c r="W489" s="103" t="s">
        <v>128</v>
      </c>
      <c r="X489" s="103" t="s">
        <v>128</v>
      </c>
      <c r="Y489" s="103" t="s">
        <v>128</v>
      </c>
      <c r="Z489" s="103" t="s">
        <v>128</v>
      </c>
      <c r="AA489" s="103" t="s">
        <v>128</v>
      </c>
      <c r="AB489" s="17" t="s">
        <v>128</v>
      </c>
      <c r="AC489" s="42"/>
      <c r="AD489" s="109" t="s">
        <v>13</v>
      </c>
      <c r="AE489" s="46" t="s">
        <v>1</v>
      </c>
      <c r="AF489" s="103" t="s">
        <v>128</v>
      </c>
      <c r="AG489" s="103" t="s">
        <v>128</v>
      </c>
      <c r="AH489" s="103" t="s">
        <v>128</v>
      </c>
      <c r="AI489" s="103" t="s">
        <v>128</v>
      </c>
      <c r="AJ489" s="103" t="s">
        <v>128</v>
      </c>
      <c r="AK489" s="103" t="s">
        <v>128</v>
      </c>
      <c r="AL489" s="103" t="s">
        <v>128</v>
      </c>
      <c r="AM489" s="103" t="s">
        <v>128</v>
      </c>
      <c r="AN489" s="103" t="s">
        <v>128</v>
      </c>
      <c r="AO489" s="17" t="s">
        <v>128</v>
      </c>
      <c r="AP489" s="6"/>
      <c r="AQ489" s="109" t="s">
        <v>13</v>
      </c>
      <c r="AR489" s="46" t="s">
        <v>1</v>
      </c>
      <c r="AS489" s="103" t="s">
        <v>128</v>
      </c>
      <c r="AT489" s="103" t="s">
        <v>128</v>
      </c>
      <c r="AU489" s="103" t="s">
        <v>128</v>
      </c>
      <c r="AV489" s="103" t="s">
        <v>128</v>
      </c>
      <c r="AW489" s="103" t="s">
        <v>128</v>
      </c>
      <c r="AX489" s="103" t="s">
        <v>128</v>
      </c>
      <c r="AY489" s="103" t="s">
        <v>128</v>
      </c>
      <c r="AZ489" s="103" t="s">
        <v>128</v>
      </c>
      <c r="BA489" s="103" t="s">
        <v>128</v>
      </c>
      <c r="BB489" s="17" t="s">
        <v>128</v>
      </c>
      <c r="BC489" s="42"/>
      <c r="BD489" s="109" t="s">
        <v>13</v>
      </c>
      <c r="BE489" s="46" t="s">
        <v>1</v>
      </c>
      <c r="BF489" s="103" t="s">
        <v>128</v>
      </c>
      <c r="BG489" s="103" t="s">
        <v>128</v>
      </c>
      <c r="BH489" s="103" t="s">
        <v>128</v>
      </c>
      <c r="BI489" s="103" t="s">
        <v>128</v>
      </c>
      <c r="BJ489" s="103" t="s">
        <v>128</v>
      </c>
      <c r="BK489" s="103" t="s">
        <v>128</v>
      </c>
      <c r="BL489" s="103" t="s">
        <v>128</v>
      </c>
      <c r="BM489" s="103" t="s">
        <v>128</v>
      </c>
      <c r="BN489" s="103" t="s">
        <v>128</v>
      </c>
      <c r="BO489" s="17" t="s">
        <v>128</v>
      </c>
      <c r="BQ489" s="109" t="s">
        <v>13</v>
      </c>
      <c r="BR489" s="46" t="s">
        <v>1</v>
      </c>
      <c r="BS489" s="103" t="s">
        <v>128</v>
      </c>
      <c r="BT489" s="103" t="s">
        <v>128</v>
      </c>
      <c r="BU489" s="103" t="s">
        <v>128</v>
      </c>
      <c r="BV489" s="103" t="s">
        <v>128</v>
      </c>
      <c r="BW489" s="103" t="s">
        <v>128</v>
      </c>
      <c r="BX489" s="103" t="s">
        <v>128</v>
      </c>
      <c r="BY489" s="103" t="s">
        <v>128</v>
      </c>
      <c r="BZ489" s="103" t="s">
        <v>128</v>
      </c>
      <c r="CA489" s="103" t="s">
        <v>128</v>
      </c>
      <c r="CB489" s="17" t="s">
        <v>128</v>
      </c>
      <c r="CC489" s="42"/>
      <c r="CD489" s="109" t="s">
        <v>13</v>
      </c>
      <c r="CE489" s="46" t="s">
        <v>1</v>
      </c>
      <c r="CF489" s="103" t="s">
        <v>128</v>
      </c>
      <c r="CG489" s="103" t="s">
        <v>128</v>
      </c>
      <c r="CH489" s="103" t="s">
        <v>128</v>
      </c>
      <c r="CI489" s="103" t="s">
        <v>128</v>
      </c>
      <c r="CJ489" s="103" t="s">
        <v>128</v>
      </c>
      <c r="CK489" s="103" t="s">
        <v>128</v>
      </c>
      <c r="CL489" s="103" t="s">
        <v>128</v>
      </c>
      <c r="CM489" s="103" t="s">
        <v>128</v>
      </c>
      <c r="CN489" s="103" t="s">
        <v>128</v>
      </c>
      <c r="CO489" s="17" t="s">
        <v>128</v>
      </c>
      <c r="CQ489" s="109" t="s">
        <v>13</v>
      </c>
      <c r="CR489" s="46" t="s">
        <v>1</v>
      </c>
      <c r="CS489" s="103" t="s">
        <v>128</v>
      </c>
      <c r="CT489" s="103" t="s">
        <v>128</v>
      </c>
      <c r="CU489" s="103" t="s">
        <v>128</v>
      </c>
      <c r="CV489" s="103" t="s">
        <v>128</v>
      </c>
      <c r="CW489" s="103" t="s">
        <v>128</v>
      </c>
      <c r="CX489" s="103" t="s">
        <v>128</v>
      </c>
      <c r="CY489" s="103" t="s">
        <v>128</v>
      </c>
      <c r="CZ489" s="103" t="s">
        <v>128</v>
      </c>
      <c r="DA489" s="103" t="s">
        <v>128</v>
      </c>
      <c r="DB489" s="17" t="s">
        <v>128</v>
      </c>
      <c r="DC489" s="42"/>
      <c r="DD489" s="109" t="s">
        <v>13</v>
      </c>
      <c r="DE489" s="46" t="s">
        <v>1</v>
      </c>
      <c r="DF489" s="103" t="s">
        <v>128</v>
      </c>
      <c r="DG489" s="103" t="s">
        <v>128</v>
      </c>
      <c r="DH489" s="103" t="s">
        <v>128</v>
      </c>
      <c r="DI489" s="103" t="s">
        <v>128</v>
      </c>
      <c r="DJ489" s="103" t="s">
        <v>128</v>
      </c>
      <c r="DK489" s="103" t="s">
        <v>128</v>
      </c>
      <c r="DL489" s="103" t="s">
        <v>128</v>
      </c>
      <c r="DM489" s="103" t="s">
        <v>128</v>
      </c>
      <c r="DN489" s="103" t="s">
        <v>128</v>
      </c>
      <c r="DO489" s="17" t="s">
        <v>128</v>
      </c>
    </row>
    <row r="490" spans="2:119" ht="16.25" customHeight="1" x14ac:dyDescent="0.45">
      <c r="B490" s="99"/>
      <c r="C490" s="42"/>
      <c r="D490" s="110"/>
      <c r="E490" s="47">
        <v>1</v>
      </c>
      <c r="F490" s="103" t="s">
        <v>128</v>
      </c>
      <c r="G490" s="103" t="s">
        <v>128</v>
      </c>
      <c r="H490" s="103" t="s">
        <v>128</v>
      </c>
      <c r="I490" s="103" t="s">
        <v>128</v>
      </c>
      <c r="J490" s="103" t="s">
        <v>128</v>
      </c>
      <c r="K490" s="103" t="s">
        <v>128</v>
      </c>
      <c r="L490" s="103" t="s">
        <v>128</v>
      </c>
      <c r="M490" s="103" t="s">
        <v>128</v>
      </c>
      <c r="N490" s="103" t="s">
        <v>128</v>
      </c>
      <c r="O490" s="103" t="s">
        <v>128</v>
      </c>
      <c r="P490" s="42"/>
      <c r="Q490" s="110"/>
      <c r="R490" s="46">
        <v>1</v>
      </c>
      <c r="S490" s="103" t="s">
        <v>128</v>
      </c>
      <c r="T490" s="103" t="s">
        <v>128</v>
      </c>
      <c r="U490" s="103" t="s">
        <v>128</v>
      </c>
      <c r="V490" s="103" t="s">
        <v>128</v>
      </c>
      <c r="W490" s="103" t="s">
        <v>128</v>
      </c>
      <c r="X490" s="103" t="s">
        <v>128</v>
      </c>
      <c r="Y490" s="103" t="s">
        <v>128</v>
      </c>
      <c r="Z490" s="103" t="s">
        <v>128</v>
      </c>
      <c r="AA490" s="103" t="s">
        <v>128</v>
      </c>
      <c r="AB490" s="103" t="s">
        <v>128</v>
      </c>
      <c r="AC490" s="42"/>
      <c r="AD490" s="110"/>
      <c r="AE490" s="46">
        <v>1</v>
      </c>
      <c r="AF490" s="103" t="s">
        <v>128</v>
      </c>
      <c r="AG490" s="103" t="s">
        <v>128</v>
      </c>
      <c r="AH490" s="103" t="s">
        <v>128</v>
      </c>
      <c r="AI490" s="103" t="s">
        <v>128</v>
      </c>
      <c r="AJ490" s="103" t="s">
        <v>128</v>
      </c>
      <c r="AK490" s="103" t="s">
        <v>128</v>
      </c>
      <c r="AL490" s="103" t="s">
        <v>128</v>
      </c>
      <c r="AM490" s="103" t="s">
        <v>128</v>
      </c>
      <c r="AN490" s="103" t="s">
        <v>128</v>
      </c>
      <c r="AO490" s="103" t="s">
        <v>128</v>
      </c>
      <c r="AP490" s="6"/>
      <c r="AQ490" s="110"/>
      <c r="AR490" s="46">
        <v>1</v>
      </c>
      <c r="AS490" s="103" t="s">
        <v>128</v>
      </c>
      <c r="AT490" s="103" t="s">
        <v>128</v>
      </c>
      <c r="AU490" s="103" t="s">
        <v>128</v>
      </c>
      <c r="AV490" s="103" t="s">
        <v>128</v>
      </c>
      <c r="AW490" s="103" t="s">
        <v>128</v>
      </c>
      <c r="AX490" s="103" t="s">
        <v>128</v>
      </c>
      <c r="AY490" s="103" t="s">
        <v>128</v>
      </c>
      <c r="AZ490" s="103" t="s">
        <v>128</v>
      </c>
      <c r="BA490" s="103" t="s">
        <v>128</v>
      </c>
      <c r="BB490" s="103" t="s">
        <v>128</v>
      </c>
      <c r="BC490" s="42"/>
      <c r="BD490" s="110"/>
      <c r="BE490" s="46">
        <v>1</v>
      </c>
      <c r="BF490" s="103" t="s">
        <v>128</v>
      </c>
      <c r="BG490" s="103" t="s">
        <v>128</v>
      </c>
      <c r="BH490" s="103" t="s">
        <v>128</v>
      </c>
      <c r="BI490" s="103" t="s">
        <v>128</v>
      </c>
      <c r="BJ490" s="103" t="s">
        <v>128</v>
      </c>
      <c r="BK490" s="103" t="s">
        <v>128</v>
      </c>
      <c r="BL490" s="103" t="s">
        <v>128</v>
      </c>
      <c r="BM490" s="103" t="s">
        <v>128</v>
      </c>
      <c r="BN490" s="103" t="s">
        <v>128</v>
      </c>
      <c r="BO490" s="103" t="s">
        <v>128</v>
      </c>
      <c r="BQ490" s="110"/>
      <c r="BR490" s="46">
        <v>1</v>
      </c>
      <c r="BS490" s="103" t="s">
        <v>128</v>
      </c>
      <c r="BT490" s="103" t="s">
        <v>128</v>
      </c>
      <c r="BU490" s="103" t="s">
        <v>128</v>
      </c>
      <c r="BV490" s="103" t="s">
        <v>128</v>
      </c>
      <c r="BW490" s="103" t="s">
        <v>128</v>
      </c>
      <c r="BX490" s="103" t="s">
        <v>128</v>
      </c>
      <c r="BY490" s="103" t="s">
        <v>128</v>
      </c>
      <c r="BZ490" s="103" t="s">
        <v>128</v>
      </c>
      <c r="CA490" s="103" t="s">
        <v>128</v>
      </c>
      <c r="CB490" s="103" t="s">
        <v>128</v>
      </c>
      <c r="CC490" s="42"/>
      <c r="CD490" s="110"/>
      <c r="CE490" s="46">
        <v>1</v>
      </c>
      <c r="CF490" s="103" t="s">
        <v>128</v>
      </c>
      <c r="CG490" s="103" t="s">
        <v>128</v>
      </c>
      <c r="CH490" s="103" t="s">
        <v>128</v>
      </c>
      <c r="CI490" s="103" t="s">
        <v>128</v>
      </c>
      <c r="CJ490" s="103" t="s">
        <v>128</v>
      </c>
      <c r="CK490" s="103" t="s">
        <v>128</v>
      </c>
      <c r="CL490" s="103" t="s">
        <v>128</v>
      </c>
      <c r="CM490" s="103" t="s">
        <v>128</v>
      </c>
      <c r="CN490" s="103" t="s">
        <v>128</v>
      </c>
      <c r="CO490" s="103" t="s">
        <v>128</v>
      </c>
      <c r="CQ490" s="110"/>
      <c r="CR490" s="46">
        <v>1</v>
      </c>
      <c r="CS490" s="103" t="s">
        <v>128</v>
      </c>
      <c r="CT490" s="103" t="s">
        <v>128</v>
      </c>
      <c r="CU490" s="103" t="s">
        <v>128</v>
      </c>
      <c r="CV490" s="103" t="s">
        <v>128</v>
      </c>
      <c r="CW490" s="103" t="s">
        <v>128</v>
      </c>
      <c r="CX490" s="103" t="s">
        <v>128</v>
      </c>
      <c r="CY490" s="103" t="s">
        <v>128</v>
      </c>
      <c r="CZ490" s="103" t="s">
        <v>128</v>
      </c>
      <c r="DA490" s="103" t="s">
        <v>128</v>
      </c>
      <c r="DB490" s="103" t="s">
        <v>128</v>
      </c>
      <c r="DC490" s="42"/>
      <c r="DD490" s="110"/>
      <c r="DE490" s="46">
        <v>1</v>
      </c>
      <c r="DF490" s="103" t="s">
        <v>128</v>
      </c>
      <c r="DG490" s="103" t="s">
        <v>128</v>
      </c>
      <c r="DH490" s="103" t="s">
        <v>128</v>
      </c>
      <c r="DI490" s="103" t="s">
        <v>128</v>
      </c>
      <c r="DJ490" s="103" t="s">
        <v>128</v>
      </c>
      <c r="DK490" s="103" t="s">
        <v>128</v>
      </c>
      <c r="DL490" s="103" t="s">
        <v>128</v>
      </c>
      <c r="DM490" s="103" t="s">
        <v>128</v>
      </c>
      <c r="DN490" s="103" t="s">
        <v>128</v>
      </c>
      <c r="DO490" s="103" t="s">
        <v>128</v>
      </c>
    </row>
    <row r="491" spans="2:119" ht="16.25" customHeight="1" x14ac:dyDescent="0.45">
      <c r="B491" s="99"/>
      <c r="C491" s="42"/>
      <c r="D491" s="110"/>
      <c r="E491" s="47" t="s">
        <v>2</v>
      </c>
      <c r="F491" s="103">
        <v>14.285714285714285</v>
      </c>
      <c r="G491" s="103">
        <v>0</v>
      </c>
      <c r="H491" s="103">
        <v>0</v>
      </c>
      <c r="I491" s="103">
        <v>28.571428571428569</v>
      </c>
      <c r="J491" s="103">
        <v>0</v>
      </c>
      <c r="K491" s="103">
        <v>57.142857142857139</v>
      </c>
      <c r="L491" s="103">
        <v>0</v>
      </c>
      <c r="M491" s="103">
        <v>0</v>
      </c>
      <c r="N491" s="103">
        <v>0</v>
      </c>
      <c r="O491" s="103">
        <v>0</v>
      </c>
      <c r="P491" s="42"/>
      <c r="Q491" s="110"/>
      <c r="R491" s="46" t="s">
        <v>2</v>
      </c>
      <c r="S491" s="103">
        <v>0</v>
      </c>
      <c r="T491" s="103">
        <v>0</v>
      </c>
      <c r="U491" s="103">
        <v>0</v>
      </c>
      <c r="V491" s="103">
        <v>50</v>
      </c>
      <c r="W491" s="103">
        <v>0</v>
      </c>
      <c r="X491" s="103">
        <v>50</v>
      </c>
      <c r="Y491" s="103">
        <v>0</v>
      </c>
      <c r="Z491" s="103">
        <v>0</v>
      </c>
      <c r="AA491" s="103">
        <v>0</v>
      </c>
      <c r="AB491" s="103">
        <v>0</v>
      </c>
      <c r="AC491" s="42"/>
      <c r="AD491" s="110"/>
      <c r="AE491" s="46" t="s">
        <v>2</v>
      </c>
      <c r="AF491" s="103">
        <v>20</v>
      </c>
      <c r="AG491" s="103">
        <v>0</v>
      </c>
      <c r="AH491" s="103">
        <v>0</v>
      </c>
      <c r="AI491" s="103">
        <v>20</v>
      </c>
      <c r="AJ491" s="103">
        <v>0</v>
      </c>
      <c r="AK491" s="103">
        <v>60</v>
      </c>
      <c r="AL491" s="103">
        <v>0</v>
      </c>
      <c r="AM491" s="103">
        <v>0</v>
      </c>
      <c r="AN491" s="103">
        <v>0</v>
      </c>
      <c r="AO491" s="103">
        <v>0</v>
      </c>
      <c r="AP491" s="6"/>
      <c r="AQ491" s="110"/>
      <c r="AR491" s="46" t="s">
        <v>2</v>
      </c>
      <c r="AS491" s="103">
        <v>0</v>
      </c>
      <c r="AT491" s="103">
        <v>0</v>
      </c>
      <c r="AU491" s="103">
        <v>0</v>
      </c>
      <c r="AV491" s="103">
        <v>100</v>
      </c>
      <c r="AW491" s="103">
        <v>0</v>
      </c>
      <c r="AX491" s="103">
        <v>0</v>
      </c>
      <c r="AY491" s="103">
        <v>0</v>
      </c>
      <c r="AZ491" s="103">
        <v>0</v>
      </c>
      <c r="BA491" s="103">
        <v>0</v>
      </c>
      <c r="BB491" s="103">
        <v>0</v>
      </c>
      <c r="BC491" s="42"/>
      <c r="BD491" s="110"/>
      <c r="BE491" s="46" t="s">
        <v>2</v>
      </c>
      <c r="BF491" s="103">
        <v>16.666666666666664</v>
      </c>
      <c r="BG491" s="103">
        <v>0</v>
      </c>
      <c r="BH491" s="103">
        <v>0</v>
      </c>
      <c r="BI491" s="103">
        <v>16.666666666666664</v>
      </c>
      <c r="BJ491" s="103">
        <v>0</v>
      </c>
      <c r="BK491" s="103">
        <v>66.666666666666657</v>
      </c>
      <c r="BL491" s="103">
        <v>0</v>
      </c>
      <c r="BM491" s="103">
        <v>0</v>
      </c>
      <c r="BN491" s="103">
        <v>0</v>
      </c>
      <c r="BO491" s="103">
        <v>0</v>
      </c>
      <c r="BQ491" s="110"/>
      <c r="BR491" s="46" t="s">
        <v>2</v>
      </c>
      <c r="BS491" s="103">
        <v>0</v>
      </c>
      <c r="BT491" s="103">
        <v>0</v>
      </c>
      <c r="BU491" s="103">
        <v>0</v>
      </c>
      <c r="BV491" s="103">
        <v>100</v>
      </c>
      <c r="BW491" s="103">
        <v>0</v>
      </c>
      <c r="BX491" s="103">
        <v>0</v>
      </c>
      <c r="BY491" s="103">
        <v>0</v>
      </c>
      <c r="BZ491" s="103">
        <v>0</v>
      </c>
      <c r="CA491" s="103">
        <v>0</v>
      </c>
      <c r="CB491" s="103">
        <v>0</v>
      </c>
      <c r="CC491" s="42"/>
      <c r="CD491" s="110"/>
      <c r="CE491" s="46" t="s">
        <v>2</v>
      </c>
      <c r="CF491" s="103">
        <v>16.666666666666664</v>
      </c>
      <c r="CG491" s="103">
        <v>0</v>
      </c>
      <c r="CH491" s="103">
        <v>0</v>
      </c>
      <c r="CI491" s="103">
        <v>16.666666666666664</v>
      </c>
      <c r="CJ491" s="103">
        <v>0</v>
      </c>
      <c r="CK491" s="103">
        <v>66.666666666666657</v>
      </c>
      <c r="CL491" s="103">
        <v>0</v>
      </c>
      <c r="CM491" s="103">
        <v>0</v>
      </c>
      <c r="CN491" s="103">
        <v>0</v>
      </c>
      <c r="CO491" s="103">
        <v>0</v>
      </c>
      <c r="CQ491" s="110"/>
      <c r="CR491" s="46" t="s">
        <v>2</v>
      </c>
      <c r="CS491" s="103">
        <v>0</v>
      </c>
      <c r="CT491" s="103">
        <v>0</v>
      </c>
      <c r="CU491" s="103">
        <v>0</v>
      </c>
      <c r="CV491" s="103">
        <v>40</v>
      </c>
      <c r="CW491" s="103">
        <v>0</v>
      </c>
      <c r="CX491" s="103">
        <v>60</v>
      </c>
      <c r="CY491" s="103">
        <v>0</v>
      </c>
      <c r="CZ491" s="103">
        <v>0</v>
      </c>
      <c r="DA491" s="103">
        <v>0</v>
      </c>
      <c r="DB491" s="103">
        <v>0</v>
      </c>
      <c r="DC491" s="42"/>
      <c r="DD491" s="110"/>
      <c r="DE491" s="46" t="s">
        <v>2</v>
      </c>
      <c r="DF491" s="103">
        <v>50</v>
      </c>
      <c r="DG491" s="103">
        <v>0</v>
      </c>
      <c r="DH491" s="103">
        <v>0</v>
      </c>
      <c r="DI491" s="103">
        <v>0</v>
      </c>
      <c r="DJ491" s="103">
        <v>0</v>
      </c>
      <c r="DK491" s="103">
        <v>50</v>
      </c>
      <c r="DL491" s="103">
        <v>0</v>
      </c>
      <c r="DM491" s="103">
        <v>0</v>
      </c>
      <c r="DN491" s="103">
        <v>0</v>
      </c>
      <c r="DO491" s="103">
        <v>0</v>
      </c>
    </row>
    <row r="492" spans="2:119" ht="16.25" customHeight="1" x14ac:dyDescent="0.45">
      <c r="B492" s="99"/>
      <c r="C492" s="42"/>
      <c r="D492" s="110"/>
      <c r="E492" s="47" t="s">
        <v>3</v>
      </c>
      <c r="F492" s="103">
        <v>40</v>
      </c>
      <c r="G492" s="103">
        <v>20</v>
      </c>
      <c r="H492" s="103">
        <v>0</v>
      </c>
      <c r="I492" s="103">
        <v>20</v>
      </c>
      <c r="J492" s="103">
        <v>0</v>
      </c>
      <c r="K492" s="103">
        <v>0</v>
      </c>
      <c r="L492" s="103">
        <v>20</v>
      </c>
      <c r="M492" s="103">
        <v>0</v>
      </c>
      <c r="N492" s="103">
        <v>0</v>
      </c>
      <c r="O492" s="103">
        <v>0</v>
      </c>
      <c r="P492" s="42"/>
      <c r="Q492" s="110"/>
      <c r="R492" s="46" t="s">
        <v>3</v>
      </c>
      <c r="S492" s="103">
        <v>50</v>
      </c>
      <c r="T492" s="103">
        <v>50</v>
      </c>
      <c r="U492" s="103">
        <v>0</v>
      </c>
      <c r="V492" s="103">
        <v>0</v>
      </c>
      <c r="W492" s="103">
        <v>0</v>
      </c>
      <c r="X492" s="103">
        <v>0</v>
      </c>
      <c r="Y492" s="103">
        <v>0</v>
      </c>
      <c r="Z492" s="103">
        <v>0</v>
      </c>
      <c r="AA492" s="103">
        <v>0</v>
      </c>
      <c r="AB492" s="103">
        <v>0</v>
      </c>
      <c r="AC492" s="42"/>
      <c r="AD492" s="110"/>
      <c r="AE492" s="46" t="s">
        <v>3</v>
      </c>
      <c r="AF492" s="103">
        <v>33.333333333333329</v>
      </c>
      <c r="AG492" s="103">
        <v>0</v>
      </c>
      <c r="AH492" s="103">
        <v>0</v>
      </c>
      <c r="AI492" s="103">
        <v>33.333333333333329</v>
      </c>
      <c r="AJ492" s="103">
        <v>0</v>
      </c>
      <c r="AK492" s="103">
        <v>0</v>
      </c>
      <c r="AL492" s="103">
        <v>33.333333333333329</v>
      </c>
      <c r="AM492" s="103">
        <v>0</v>
      </c>
      <c r="AN492" s="103">
        <v>0</v>
      </c>
      <c r="AO492" s="103">
        <v>0</v>
      </c>
      <c r="AP492" s="6"/>
      <c r="AQ492" s="110"/>
      <c r="AR492" s="46" t="s">
        <v>3</v>
      </c>
      <c r="AS492" s="103">
        <v>100</v>
      </c>
      <c r="AT492" s="103">
        <v>0</v>
      </c>
      <c r="AU492" s="103">
        <v>0</v>
      </c>
      <c r="AV492" s="103">
        <v>0</v>
      </c>
      <c r="AW492" s="103">
        <v>0</v>
      </c>
      <c r="AX492" s="103">
        <v>0</v>
      </c>
      <c r="AY492" s="103">
        <v>0</v>
      </c>
      <c r="AZ492" s="103">
        <v>0</v>
      </c>
      <c r="BA492" s="103">
        <v>0</v>
      </c>
      <c r="BB492" s="103">
        <v>0</v>
      </c>
      <c r="BC492" s="42"/>
      <c r="BD492" s="110"/>
      <c r="BE492" s="46" t="s">
        <v>3</v>
      </c>
      <c r="BF492" s="103">
        <v>25</v>
      </c>
      <c r="BG492" s="103">
        <v>25</v>
      </c>
      <c r="BH492" s="103">
        <v>0</v>
      </c>
      <c r="BI492" s="103">
        <v>25</v>
      </c>
      <c r="BJ492" s="103">
        <v>0</v>
      </c>
      <c r="BK492" s="103">
        <v>0</v>
      </c>
      <c r="BL492" s="103">
        <v>25</v>
      </c>
      <c r="BM492" s="103">
        <v>0</v>
      </c>
      <c r="BN492" s="103">
        <v>0</v>
      </c>
      <c r="BO492" s="103">
        <v>0</v>
      </c>
      <c r="BQ492" s="110"/>
      <c r="BR492" s="46" t="s">
        <v>3</v>
      </c>
      <c r="BS492" s="103">
        <v>100</v>
      </c>
      <c r="BT492" s="103">
        <v>0</v>
      </c>
      <c r="BU492" s="103">
        <v>0</v>
      </c>
      <c r="BV492" s="103">
        <v>0</v>
      </c>
      <c r="BW492" s="103">
        <v>0</v>
      </c>
      <c r="BX492" s="103">
        <v>0</v>
      </c>
      <c r="BY492" s="103">
        <v>0</v>
      </c>
      <c r="BZ492" s="103">
        <v>0</v>
      </c>
      <c r="CA492" s="103">
        <v>0</v>
      </c>
      <c r="CB492" s="103">
        <v>0</v>
      </c>
      <c r="CC492" s="42"/>
      <c r="CD492" s="110"/>
      <c r="CE492" s="46" t="s">
        <v>3</v>
      </c>
      <c r="CF492" s="103">
        <v>0</v>
      </c>
      <c r="CG492" s="103">
        <v>33.333333333333329</v>
      </c>
      <c r="CH492" s="103">
        <v>0</v>
      </c>
      <c r="CI492" s="103">
        <v>33.333333333333329</v>
      </c>
      <c r="CJ492" s="103">
        <v>0</v>
      </c>
      <c r="CK492" s="103">
        <v>0</v>
      </c>
      <c r="CL492" s="103">
        <v>33.333333333333329</v>
      </c>
      <c r="CM492" s="103">
        <v>0</v>
      </c>
      <c r="CN492" s="103">
        <v>0</v>
      </c>
      <c r="CO492" s="103">
        <v>0</v>
      </c>
      <c r="CQ492" s="110"/>
      <c r="CR492" s="46" t="s">
        <v>3</v>
      </c>
      <c r="CS492" s="103">
        <v>33.333333333333329</v>
      </c>
      <c r="CT492" s="103">
        <v>33.333333333333329</v>
      </c>
      <c r="CU492" s="103">
        <v>0</v>
      </c>
      <c r="CV492" s="103">
        <v>0</v>
      </c>
      <c r="CW492" s="103">
        <v>0</v>
      </c>
      <c r="CX492" s="103">
        <v>0</v>
      </c>
      <c r="CY492" s="103">
        <v>33.333333333333329</v>
      </c>
      <c r="CZ492" s="103">
        <v>0</v>
      </c>
      <c r="DA492" s="103">
        <v>0</v>
      </c>
      <c r="DB492" s="103">
        <v>0</v>
      </c>
      <c r="DC492" s="42"/>
      <c r="DD492" s="110"/>
      <c r="DE492" s="46" t="s">
        <v>3</v>
      </c>
      <c r="DF492" s="103">
        <v>50</v>
      </c>
      <c r="DG492" s="103">
        <v>0</v>
      </c>
      <c r="DH492" s="103">
        <v>0</v>
      </c>
      <c r="DI492" s="103">
        <v>50</v>
      </c>
      <c r="DJ492" s="103">
        <v>0</v>
      </c>
      <c r="DK492" s="103">
        <v>0</v>
      </c>
      <c r="DL492" s="103">
        <v>0</v>
      </c>
      <c r="DM492" s="103">
        <v>0</v>
      </c>
      <c r="DN492" s="103">
        <v>0</v>
      </c>
      <c r="DO492" s="103">
        <v>0</v>
      </c>
    </row>
    <row r="493" spans="2:119" ht="16.25" customHeight="1" x14ac:dyDescent="0.45">
      <c r="B493" s="99"/>
      <c r="C493" s="42"/>
      <c r="D493" s="110"/>
      <c r="E493" s="47" t="s">
        <v>4</v>
      </c>
      <c r="F493" s="103">
        <v>25</v>
      </c>
      <c r="G493" s="103">
        <v>25</v>
      </c>
      <c r="H493" s="103">
        <v>25</v>
      </c>
      <c r="I493" s="103">
        <v>16.666666666666664</v>
      </c>
      <c r="J493" s="103">
        <v>8.3333333333333321</v>
      </c>
      <c r="K493" s="103">
        <v>0</v>
      </c>
      <c r="L493" s="103">
        <v>0</v>
      </c>
      <c r="M493" s="103">
        <v>0</v>
      </c>
      <c r="N493" s="103">
        <v>0</v>
      </c>
      <c r="O493" s="103">
        <v>0</v>
      </c>
      <c r="P493" s="42"/>
      <c r="Q493" s="110"/>
      <c r="R493" s="46" t="s">
        <v>4</v>
      </c>
      <c r="S493" s="103">
        <v>0</v>
      </c>
      <c r="T493" s="103">
        <v>50</v>
      </c>
      <c r="U493" s="103">
        <v>0</v>
      </c>
      <c r="V493" s="103">
        <v>50</v>
      </c>
      <c r="W493" s="103">
        <v>0</v>
      </c>
      <c r="X493" s="103">
        <v>0</v>
      </c>
      <c r="Y493" s="103">
        <v>0</v>
      </c>
      <c r="Z493" s="103">
        <v>0</v>
      </c>
      <c r="AA493" s="103">
        <v>0</v>
      </c>
      <c r="AB493" s="103">
        <v>0</v>
      </c>
      <c r="AC493" s="42"/>
      <c r="AD493" s="110"/>
      <c r="AE493" s="46" t="s">
        <v>4</v>
      </c>
      <c r="AF493" s="103">
        <v>37.5</v>
      </c>
      <c r="AG493" s="103">
        <v>12.5</v>
      </c>
      <c r="AH493" s="103">
        <v>37.5</v>
      </c>
      <c r="AI493" s="103">
        <v>0</v>
      </c>
      <c r="AJ493" s="103">
        <v>12.5</v>
      </c>
      <c r="AK493" s="103">
        <v>0</v>
      </c>
      <c r="AL493" s="103">
        <v>0</v>
      </c>
      <c r="AM493" s="103">
        <v>0</v>
      </c>
      <c r="AN493" s="103">
        <v>0</v>
      </c>
      <c r="AO493" s="103">
        <v>0</v>
      </c>
      <c r="AP493" s="6"/>
      <c r="AQ493" s="110"/>
      <c r="AR493" s="46" t="s">
        <v>4</v>
      </c>
      <c r="AS493" s="103">
        <v>25</v>
      </c>
      <c r="AT493" s="103">
        <v>0</v>
      </c>
      <c r="AU493" s="103">
        <v>50</v>
      </c>
      <c r="AV493" s="103">
        <v>25</v>
      </c>
      <c r="AW493" s="103">
        <v>0</v>
      </c>
      <c r="AX493" s="103">
        <v>0</v>
      </c>
      <c r="AY493" s="103">
        <v>0</v>
      </c>
      <c r="AZ493" s="103">
        <v>0</v>
      </c>
      <c r="BA493" s="103">
        <v>0</v>
      </c>
      <c r="BB493" s="103">
        <v>0</v>
      </c>
      <c r="BC493" s="42"/>
      <c r="BD493" s="110"/>
      <c r="BE493" s="46" t="s">
        <v>4</v>
      </c>
      <c r="BF493" s="103">
        <v>25</v>
      </c>
      <c r="BG493" s="103">
        <v>37.5</v>
      </c>
      <c r="BH493" s="103">
        <v>12.5</v>
      </c>
      <c r="BI493" s="103">
        <v>12.5</v>
      </c>
      <c r="BJ493" s="103">
        <v>12.5</v>
      </c>
      <c r="BK493" s="103">
        <v>0</v>
      </c>
      <c r="BL493" s="103">
        <v>0</v>
      </c>
      <c r="BM493" s="103">
        <v>0</v>
      </c>
      <c r="BN493" s="103">
        <v>0</v>
      </c>
      <c r="BO493" s="103">
        <v>0</v>
      </c>
      <c r="BQ493" s="110"/>
      <c r="BR493" s="46" t="s">
        <v>4</v>
      </c>
      <c r="BS493" s="103">
        <v>50</v>
      </c>
      <c r="BT493" s="103">
        <v>0</v>
      </c>
      <c r="BU493" s="103">
        <v>50</v>
      </c>
      <c r="BV493" s="103">
        <v>0</v>
      </c>
      <c r="BW493" s="103">
        <v>0</v>
      </c>
      <c r="BX493" s="103">
        <v>0</v>
      </c>
      <c r="BY493" s="103">
        <v>0</v>
      </c>
      <c r="BZ493" s="103">
        <v>0</v>
      </c>
      <c r="CA493" s="103">
        <v>0</v>
      </c>
      <c r="CB493" s="103">
        <v>0</v>
      </c>
      <c r="CC493" s="42"/>
      <c r="CD493" s="110"/>
      <c r="CE493" s="46" t="s">
        <v>4</v>
      </c>
      <c r="CF493" s="103">
        <v>20</v>
      </c>
      <c r="CG493" s="103">
        <v>30</v>
      </c>
      <c r="CH493" s="103">
        <v>20</v>
      </c>
      <c r="CI493" s="103">
        <v>20</v>
      </c>
      <c r="CJ493" s="103">
        <v>10</v>
      </c>
      <c r="CK493" s="103">
        <v>0</v>
      </c>
      <c r="CL493" s="103">
        <v>0</v>
      </c>
      <c r="CM493" s="103">
        <v>0</v>
      </c>
      <c r="CN493" s="103">
        <v>0</v>
      </c>
      <c r="CO493" s="103">
        <v>0</v>
      </c>
      <c r="CQ493" s="110"/>
      <c r="CR493" s="46" t="s">
        <v>4</v>
      </c>
      <c r="CS493" s="103">
        <v>33.333333333333329</v>
      </c>
      <c r="CT493" s="103">
        <v>16.666666666666664</v>
      </c>
      <c r="CU493" s="103">
        <v>16.666666666666664</v>
      </c>
      <c r="CV493" s="103">
        <v>16.666666666666664</v>
      </c>
      <c r="CW493" s="103">
        <v>16.666666666666664</v>
      </c>
      <c r="CX493" s="103">
        <v>0</v>
      </c>
      <c r="CY493" s="103">
        <v>0</v>
      </c>
      <c r="CZ493" s="103">
        <v>0</v>
      </c>
      <c r="DA493" s="103">
        <v>0</v>
      </c>
      <c r="DB493" s="103">
        <v>0</v>
      </c>
      <c r="DC493" s="42"/>
      <c r="DD493" s="110"/>
      <c r="DE493" s="46" t="s">
        <v>4</v>
      </c>
      <c r="DF493" s="103">
        <v>16.666666666666664</v>
      </c>
      <c r="DG493" s="103">
        <v>33.333333333333329</v>
      </c>
      <c r="DH493" s="103">
        <v>33.333333333333329</v>
      </c>
      <c r="DI493" s="103">
        <v>16.666666666666664</v>
      </c>
      <c r="DJ493" s="103">
        <v>0</v>
      </c>
      <c r="DK493" s="103">
        <v>0</v>
      </c>
      <c r="DL493" s="103">
        <v>0</v>
      </c>
      <c r="DM493" s="103">
        <v>0</v>
      </c>
      <c r="DN493" s="103">
        <v>0</v>
      </c>
      <c r="DO493" s="103">
        <v>0</v>
      </c>
    </row>
    <row r="494" spans="2:119" ht="16.25" customHeight="1" x14ac:dyDescent="0.45">
      <c r="B494" s="99"/>
      <c r="C494" s="42"/>
      <c r="D494" s="110"/>
      <c r="E494" s="47" t="s">
        <v>5</v>
      </c>
      <c r="F494" s="103">
        <v>3.4482758620689653</v>
      </c>
      <c r="G494" s="103">
        <v>34.482758620689658</v>
      </c>
      <c r="H494" s="103">
        <v>20.689655172413794</v>
      </c>
      <c r="I494" s="103">
        <v>27.586206896551722</v>
      </c>
      <c r="J494" s="103">
        <v>6.8965517241379306</v>
      </c>
      <c r="K494" s="103">
        <v>3.4482758620689653</v>
      </c>
      <c r="L494" s="103">
        <v>3.4482758620689653</v>
      </c>
      <c r="M494" s="103">
        <v>0</v>
      </c>
      <c r="N494" s="103">
        <v>0</v>
      </c>
      <c r="O494" s="103">
        <v>0</v>
      </c>
      <c r="P494" s="42"/>
      <c r="Q494" s="110"/>
      <c r="R494" s="46" t="s">
        <v>5</v>
      </c>
      <c r="S494" s="103">
        <v>7.6923076923076925</v>
      </c>
      <c r="T494" s="103">
        <v>38.461538461538467</v>
      </c>
      <c r="U494" s="103">
        <v>7.6923076923076925</v>
      </c>
      <c r="V494" s="103">
        <v>30.76923076923077</v>
      </c>
      <c r="W494" s="103">
        <v>15.384615384615385</v>
      </c>
      <c r="X494" s="103">
        <v>0</v>
      </c>
      <c r="Y494" s="103">
        <v>0</v>
      </c>
      <c r="Z494" s="103">
        <v>0</v>
      </c>
      <c r="AA494" s="103">
        <v>0</v>
      </c>
      <c r="AB494" s="103">
        <v>0</v>
      </c>
      <c r="AC494" s="42"/>
      <c r="AD494" s="110"/>
      <c r="AE494" s="46" t="s">
        <v>5</v>
      </c>
      <c r="AF494" s="103">
        <v>0</v>
      </c>
      <c r="AG494" s="103">
        <v>31.25</v>
      </c>
      <c r="AH494" s="103">
        <v>31.25</v>
      </c>
      <c r="AI494" s="103">
        <v>25</v>
      </c>
      <c r="AJ494" s="103">
        <v>0</v>
      </c>
      <c r="AK494" s="103">
        <v>6.25</v>
      </c>
      <c r="AL494" s="103">
        <v>6.25</v>
      </c>
      <c r="AM494" s="103">
        <v>0</v>
      </c>
      <c r="AN494" s="103">
        <v>0</v>
      </c>
      <c r="AO494" s="103">
        <v>0</v>
      </c>
      <c r="AP494" s="6"/>
      <c r="AQ494" s="110"/>
      <c r="AR494" s="46" t="s">
        <v>5</v>
      </c>
      <c r="AS494" s="103">
        <v>14.285714285714285</v>
      </c>
      <c r="AT494" s="103">
        <v>28.571428571428569</v>
      </c>
      <c r="AU494" s="103">
        <v>14.285714285714285</v>
      </c>
      <c r="AV494" s="103">
        <v>28.571428571428569</v>
      </c>
      <c r="AW494" s="103">
        <v>0</v>
      </c>
      <c r="AX494" s="103">
        <v>14.285714285714285</v>
      </c>
      <c r="AY494" s="103">
        <v>0</v>
      </c>
      <c r="AZ494" s="103">
        <v>0</v>
      </c>
      <c r="BA494" s="103">
        <v>0</v>
      </c>
      <c r="BB494" s="103">
        <v>0</v>
      </c>
      <c r="BC494" s="42"/>
      <c r="BD494" s="110"/>
      <c r="BE494" s="46" t="s">
        <v>5</v>
      </c>
      <c r="BF494" s="103">
        <v>0</v>
      </c>
      <c r="BG494" s="103">
        <v>36.363636363636367</v>
      </c>
      <c r="BH494" s="103">
        <v>22.727272727272727</v>
      </c>
      <c r="BI494" s="103">
        <v>27.27272727272727</v>
      </c>
      <c r="BJ494" s="103">
        <v>9.0909090909090917</v>
      </c>
      <c r="BK494" s="103">
        <v>0</v>
      </c>
      <c r="BL494" s="103">
        <v>4.5454545454545459</v>
      </c>
      <c r="BM494" s="103">
        <v>0</v>
      </c>
      <c r="BN494" s="103">
        <v>0</v>
      </c>
      <c r="BO494" s="103">
        <v>0</v>
      </c>
      <c r="BQ494" s="110"/>
      <c r="BR494" s="46" t="s">
        <v>5</v>
      </c>
      <c r="BS494" s="103">
        <v>0</v>
      </c>
      <c r="BT494" s="103">
        <v>0</v>
      </c>
      <c r="BU494" s="103">
        <v>20</v>
      </c>
      <c r="BV494" s="103">
        <v>60</v>
      </c>
      <c r="BW494" s="103">
        <v>20</v>
      </c>
      <c r="BX494" s="103">
        <v>0</v>
      </c>
      <c r="BY494" s="103">
        <v>0</v>
      </c>
      <c r="BZ494" s="103">
        <v>0</v>
      </c>
      <c r="CA494" s="103">
        <v>0</v>
      </c>
      <c r="CB494" s="103">
        <v>0</v>
      </c>
      <c r="CC494" s="42"/>
      <c r="CD494" s="110"/>
      <c r="CE494" s="46" t="s">
        <v>5</v>
      </c>
      <c r="CF494" s="103">
        <v>4.1666666666666661</v>
      </c>
      <c r="CG494" s="103">
        <v>41.666666666666671</v>
      </c>
      <c r="CH494" s="103">
        <v>20.833333333333336</v>
      </c>
      <c r="CI494" s="103">
        <v>20.833333333333336</v>
      </c>
      <c r="CJ494" s="103">
        <v>4.1666666666666661</v>
      </c>
      <c r="CK494" s="103">
        <v>4.1666666666666661</v>
      </c>
      <c r="CL494" s="103">
        <v>4.1666666666666661</v>
      </c>
      <c r="CM494" s="103">
        <v>0</v>
      </c>
      <c r="CN494" s="103">
        <v>0</v>
      </c>
      <c r="CO494" s="103">
        <v>0</v>
      </c>
      <c r="CQ494" s="110"/>
      <c r="CR494" s="46" t="s">
        <v>5</v>
      </c>
      <c r="CS494" s="103">
        <v>0</v>
      </c>
      <c r="CT494" s="103">
        <v>28.571428571428569</v>
      </c>
      <c r="CU494" s="103">
        <v>14.285714285714285</v>
      </c>
      <c r="CV494" s="103">
        <v>35.714285714285715</v>
      </c>
      <c r="CW494" s="103">
        <v>14.285714285714285</v>
      </c>
      <c r="CX494" s="103">
        <v>0</v>
      </c>
      <c r="CY494" s="103">
        <v>7.1428571428571423</v>
      </c>
      <c r="CZ494" s="103">
        <v>0</v>
      </c>
      <c r="DA494" s="103">
        <v>0</v>
      </c>
      <c r="DB494" s="103">
        <v>0</v>
      </c>
      <c r="DC494" s="42"/>
      <c r="DD494" s="110"/>
      <c r="DE494" s="46" t="s">
        <v>5</v>
      </c>
      <c r="DF494" s="103">
        <v>6.666666666666667</v>
      </c>
      <c r="DG494" s="103">
        <v>40</v>
      </c>
      <c r="DH494" s="103">
        <v>26.666666666666668</v>
      </c>
      <c r="DI494" s="103">
        <v>20</v>
      </c>
      <c r="DJ494" s="103">
        <v>0</v>
      </c>
      <c r="DK494" s="103">
        <v>6.666666666666667</v>
      </c>
      <c r="DL494" s="103">
        <v>0</v>
      </c>
      <c r="DM494" s="103">
        <v>0</v>
      </c>
      <c r="DN494" s="103">
        <v>0</v>
      </c>
      <c r="DO494" s="103">
        <v>0</v>
      </c>
    </row>
    <row r="495" spans="2:119" ht="16.25" customHeight="1" x14ac:dyDescent="0.45">
      <c r="B495" s="99"/>
      <c r="C495" s="42"/>
      <c r="D495" s="110"/>
      <c r="E495" s="47" t="s">
        <v>6</v>
      </c>
      <c r="F495" s="103">
        <v>9.7826086956521738</v>
      </c>
      <c r="G495" s="103">
        <v>19.565217391304348</v>
      </c>
      <c r="H495" s="103">
        <v>13.043478260869565</v>
      </c>
      <c r="I495" s="103">
        <v>25</v>
      </c>
      <c r="J495" s="103">
        <v>21.739130434782609</v>
      </c>
      <c r="K495" s="103">
        <v>5.4347826086956523</v>
      </c>
      <c r="L495" s="103">
        <v>5.4347826086956523</v>
      </c>
      <c r="M495" s="103">
        <v>0</v>
      </c>
      <c r="N495" s="103">
        <v>0</v>
      </c>
      <c r="O495" s="103">
        <v>0</v>
      </c>
      <c r="P495" s="42"/>
      <c r="Q495" s="110"/>
      <c r="R495" s="46" t="s">
        <v>6</v>
      </c>
      <c r="S495" s="103">
        <v>7.3170731707317067</v>
      </c>
      <c r="T495" s="103">
        <v>17.073170731707318</v>
      </c>
      <c r="U495" s="103">
        <v>14.634146341463413</v>
      </c>
      <c r="V495" s="103">
        <v>29.268292682926827</v>
      </c>
      <c r="W495" s="103">
        <v>19.512195121951219</v>
      </c>
      <c r="X495" s="103">
        <v>7.3170731707317067</v>
      </c>
      <c r="Y495" s="103">
        <v>4.8780487804878048</v>
      </c>
      <c r="Z495" s="103">
        <v>0</v>
      </c>
      <c r="AA495" s="103">
        <v>0</v>
      </c>
      <c r="AB495" s="103">
        <v>0</v>
      </c>
      <c r="AC495" s="42"/>
      <c r="AD495" s="110"/>
      <c r="AE495" s="46" t="s">
        <v>6</v>
      </c>
      <c r="AF495" s="103">
        <v>11.76470588235294</v>
      </c>
      <c r="AG495" s="103">
        <v>21.568627450980394</v>
      </c>
      <c r="AH495" s="103">
        <v>11.76470588235294</v>
      </c>
      <c r="AI495" s="103">
        <v>21.568627450980394</v>
      </c>
      <c r="AJ495" s="103">
        <v>23.52941176470588</v>
      </c>
      <c r="AK495" s="103">
        <v>3.9215686274509802</v>
      </c>
      <c r="AL495" s="103">
        <v>5.8823529411764701</v>
      </c>
      <c r="AM495" s="103">
        <v>0</v>
      </c>
      <c r="AN495" s="103">
        <v>0</v>
      </c>
      <c r="AO495" s="103">
        <v>0</v>
      </c>
      <c r="AP495" s="6"/>
      <c r="AQ495" s="110"/>
      <c r="AR495" s="46" t="s">
        <v>6</v>
      </c>
      <c r="AS495" s="103">
        <v>12.5</v>
      </c>
      <c r="AT495" s="103">
        <v>25</v>
      </c>
      <c r="AU495" s="103">
        <v>15.625</v>
      </c>
      <c r="AV495" s="103">
        <v>28.125</v>
      </c>
      <c r="AW495" s="103">
        <v>12.5</v>
      </c>
      <c r="AX495" s="103">
        <v>0</v>
      </c>
      <c r="AY495" s="103">
        <v>6.25</v>
      </c>
      <c r="AZ495" s="103">
        <v>0</v>
      </c>
      <c r="BA495" s="103">
        <v>0</v>
      </c>
      <c r="BB495" s="103">
        <v>0</v>
      </c>
      <c r="BC495" s="42"/>
      <c r="BD495" s="110"/>
      <c r="BE495" s="46" t="s">
        <v>6</v>
      </c>
      <c r="BF495" s="103">
        <v>8.3333333333333321</v>
      </c>
      <c r="BG495" s="103">
        <v>16.666666666666664</v>
      </c>
      <c r="BH495" s="103">
        <v>11.666666666666666</v>
      </c>
      <c r="BI495" s="103">
        <v>23.333333333333332</v>
      </c>
      <c r="BJ495" s="103">
        <v>26.666666666666668</v>
      </c>
      <c r="BK495" s="103">
        <v>8.3333333333333321</v>
      </c>
      <c r="BL495" s="103">
        <v>5</v>
      </c>
      <c r="BM495" s="103">
        <v>0</v>
      </c>
      <c r="BN495" s="103">
        <v>0</v>
      </c>
      <c r="BO495" s="103">
        <v>0</v>
      </c>
      <c r="BQ495" s="110"/>
      <c r="BR495" s="46" t="s">
        <v>6</v>
      </c>
      <c r="BS495" s="103">
        <v>15.384615384615385</v>
      </c>
      <c r="BT495" s="103">
        <v>23.076923076923077</v>
      </c>
      <c r="BU495" s="103">
        <v>15.384615384615385</v>
      </c>
      <c r="BV495" s="103">
        <v>23.076923076923077</v>
      </c>
      <c r="BW495" s="103">
        <v>15.384615384615385</v>
      </c>
      <c r="BX495" s="103">
        <v>0</v>
      </c>
      <c r="BY495" s="103">
        <v>7.6923076923076925</v>
      </c>
      <c r="BZ495" s="103">
        <v>0</v>
      </c>
      <c r="CA495" s="103">
        <v>0</v>
      </c>
      <c r="CB495" s="103">
        <v>0</v>
      </c>
      <c r="CC495" s="42"/>
      <c r="CD495" s="110"/>
      <c r="CE495" s="46" t="s">
        <v>6</v>
      </c>
      <c r="CF495" s="103">
        <v>8.8607594936708853</v>
      </c>
      <c r="CG495" s="103">
        <v>18.9873417721519</v>
      </c>
      <c r="CH495" s="103">
        <v>12.658227848101266</v>
      </c>
      <c r="CI495" s="103">
        <v>25.316455696202532</v>
      </c>
      <c r="CJ495" s="103">
        <v>22.784810126582279</v>
      </c>
      <c r="CK495" s="103">
        <v>6.3291139240506329</v>
      </c>
      <c r="CL495" s="103">
        <v>5.0632911392405067</v>
      </c>
      <c r="CM495" s="103">
        <v>0</v>
      </c>
      <c r="CN495" s="103">
        <v>0</v>
      </c>
      <c r="CO495" s="103">
        <v>0</v>
      </c>
      <c r="CQ495" s="110"/>
      <c r="CR495" s="46" t="s">
        <v>6</v>
      </c>
      <c r="CS495" s="103">
        <v>2.5</v>
      </c>
      <c r="CT495" s="103">
        <v>17.5</v>
      </c>
      <c r="CU495" s="103">
        <v>22.5</v>
      </c>
      <c r="CV495" s="103">
        <v>17.5</v>
      </c>
      <c r="CW495" s="103">
        <v>25</v>
      </c>
      <c r="CX495" s="103">
        <v>5</v>
      </c>
      <c r="CY495" s="103">
        <v>10</v>
      </c>
      <c r="CZ495" s="103">
        <v>0</v>
      </c>
      <c r="DA495" s="103">
        <v>0</v>
      </c>
      <c r="DB495" s="103">
        <v>0</v>
      </c>
      <c r="DC495" s="42"/>
      <c r="DD495" s="110"/>
      <c r="DE495" s="46" t="s">
        <v>6</v>
      </c>
      <c r="DF495" s="103">
        <v>15.384615384615385</v>
      </c>
      <c r="DG495" s="103">
        <v>21.153846153846153</v>
      </c>
      <c r="DH495" s="103">
        <v>5.7692307692307692</v>
      </c>
      <c r="DI495" s="103">
        <v>30.76923076923077</v>
      </c>
      <c r="DJ495" s="103">
        <v>19.230769230769234</v>
      </c>
      <c r="DK495" s="103">
        <v>5.7692307692307692</v>
      </c>
      <c r="DL495" s="103">
        <v>1.9230769230769231</v>
      </c>
      <c r="DM495" s="103">
        <v>0</v>
      </c>
      <c r="DN495" s="103">
        <v>0</v>
      </c>
      <c r="DO495" s="103">
        <v>0</v>
      </c>
    </row>
    <row r="496" spans="2:119" ht="16.25" customHeight="1" x14ac:dyDescent="0.45">
      <c r="B496" s="99"/>
      <c r="C496" s="42"/>
      <c r="D496" s="110"/>
      <c r="E496" s="47" t="s">
        <v>7</v>
      </c>
      <c r="F496" s="103">
        <v>1.6194331983805668</v>
      </c>
      <c r="G496" s="103">
        <v>8.9068825910931171</v>
      </c>
      <c r="H496" s="103">
        <v>14.5748987854251</v>
      </c>
      <c r="I496" s="103">
        <v>33.603238866396765</v>
      </c>
      <c r="J496" s="103">
        <v>21.052631578947366</v>
      </c>
      <c r="K496" s="103">
        <v>12.955465587044534</v>
      </c>
      <c r="L496" s="103">
        <v>5.2631578947368416</v>
      </c>
      <c r="M496" s="103">
        <v>1.6194331983805668</v>
      </c>
      <c r="N496" s="103">
        <v>0.40485829959514169</v>
      </c>
      <c r="O496" s="103">
        <v>0</v>
      </c>
      <c r="P496" s="42"/>
      <c r="Q496" s="110"/>
      <c r="R496" s="46" t="s">
        <v>7</v>
      </c>
      <c r="S496" s="103">
        <v>1.0309278350515463</v>
      </c>
      <c r="T496" s="103">
        <v>9.2783505154639183</v>
      </c>
      <c r="U496" s="103">
        <v>17.525773195876287</v>
      </c>
      <c r="V496" s="103">
        <v>28.865979381443296</v>
      </c>
      <c r="W496" s="103">
        <v>22.680412371134022</v>
      </c>
      <c r="X496" s="103">
        <v>15.463917525773196</v>
      </c>
      <c r="Y496" s="103">
        <v>3.0927835051546393</v>
      </c>
      <c r="Z496" s="103">
        <v>2.0618556701030926</v>
      </c>
      <c r="AA496" s="103">
        <v>0</v>
      </c>
      <c r="AB496" s="103">
        <v>0</v>
      </c>
      <c r="AC496" s="42"/>
      <c r="AD496" s="110"/>
      <c r="AE496" s="46" t="s">
        <v>7</v>
      </c>
      <c r="AF496" s="103">
        <v>2</v>
      </c>
      <c r="AG496" s="103">
        <v>8.6666666666666679</v>
      </c>
      <c r="AH496" s="103">
        <v>12.666666666666668</v>
      </c>
      <c r="AI496" s="103">
        <v>36.666666666666664</v>
      </c>
      <c r="AJ496" s="103">
        <v>20</v>
      </c>
      <c r="AK496" s="103">
        <v>11.333333333333332</v>
      </c>
      <c r="AL496" s="103">
        <v>6.666666666666667</v>
      </c>
      <c r="AM496" s="103">
        <v>1.3333333333333335</v>
      </c>
      <c r="AN496" s="103">
        <v>0.66666666666666674</v>
      </c>
      <c r="AO496" s="103">
        <v>0</v>
      </c>
      <c r="AP496" s="6"/>
      <c r="AQ496" s="110"/>
      <c r="AR496" s="46" t="s">
        <v>7</v>
      </c>
      <c r="AS496" s="103">
        <v>1.2195121951219512</v>
      </c>
      <c r="AT496" s="103">
        <v>13.414634146341465</v>
      </c>
      <c r="AU496" s="103">
        <v>19.512195121951219</v>
      </c>
      <c r="AV496" s="103">
        <v>32.926829268292686</v>
      </c>
      <c r="AW496" s="103">
        <v>15.853658536585366</v>
      </c>
      <c r="AX496" s="103">
        <v>13.414634146341465</v>
      </c>
      <c r="AY496" s="103">
        <v>3.6585365853658534</v>
      </c>
      <c r="AZ496" s="103">
        <v>0</v>
      </c>
      <c r="BA496" s="103">
        <v>0</v>
      </c>
      <c r="BB496" s="103">
        <v>0</v>
      </c>
      <c r="BC496" s="42"/>
      <c r="BD496" s="110"/>
      <c r="BE496" s="46" t="s">
        <v>7</v>
      </c>
      <c r="BF496" s="103">
        <v>1.8181818181818181</v>
      </c>
      <c r="BG496" s="103">
        <v>6.666666666666667</v>
      </c>
      <c r="BH496" s="103">
        <v>12.121212121212121</v>
      </c>
      <c r="BI496" s="103">
        <v>33.939393939393945</v>
      </c>
      <c r="BJ496" s="103">
        <v>23.636363636363637</v>
      </c>
      <c r="BK496" s="103">
        <v>12.727272727272727</v>
      </c>
      <c r="BL496" s="103">
        <v>6.0606060606060606</v>
      </c>
      <c r="BM496" s="103">
        <v>2.4242424242424243</v>
      </c>
      <c r="BN496" s="103">
        <v>0.60606060606060608</v>
      </c>
      <c r="BO496" s="103">
        <v>0</v>
      </c>
      <c r="BQ496" s="110"/>
      <c r="BR496" s="46" t="s">
        <v>7</v>
      </c>
      <c r="BS496" s="103">
        <v>4.7619047619047619</v>
      </c>
      <c r="BT496" s="103">
        <v>19.047619047619047</v>
      </c>
      <c r="BU496" s="103">
        <v>19.047619047619047</v>
      </c>
      <c r="BV496" s="103">
        <v>28.571428571428569</v>
      </c>
      <c r="BW496" s="103">
        <v>14.285714285714285</v>
      </c>
      <c r="BX496" s="103">
        <v>0</v>
      </c>
      <c r="BY496" s="103">
        <v>9.5238095238095237</v>
      </c>
      <c r="BZ496" s="103">
        <v>0</v>
      </c>
      <c r="CA496" s="103">
        <v>4.7619047619047619</v>
      </c>
      <c r="CB496" s="103">
        <v>0</v>
      </c>
      <c r="CC496" s="42"/>
      <c r="CD496" s="110"/>
      <c r="CE496" s="46" t="s">
        <v>7</v>
      </c>
      <c r="CF496" s="103">
        <v>1.3274336283185841</v>
      </c>
      <c r="CG496" s="103">
        <v>7.9646017699115044</v>
      </c>
      <c r="CH496" s="103">
        <v>14.159292035398231</v>
      </c>
      <c r="CI496" s="103">
        <v>34.070796460176986</v>
      </c>
      <c r="CJ496" s="103">
        <v>21.681415929203538</v>
      </c>
      <c r="CK496" s="103">
        <v>14.159292035398231</v>
      </c>
      <c r="CL496" s="103">
        <v>4.8672566371681416</v>
      </c>
      <c r="CM496" s="103">
        <v>1.7699115044247788</v>
      </c>
      <c r="CN496" s="103">
        <v>0</v>
      </c>
      <c r="CO496" s="103">
        <v>0</v>
      </c>
      <c r="CQ496" s="110"/>
      <c r="CR496" s="46" t="s">
        <v>7</v>
      </c>
      <c r="CS496" s="103">
        <v>1.0101010101010102</v>
      </c>
      <c r="CT496" s="103">
        <v>10.1010101010101</v>
      </c>
      <c r="CU496" s="103">
        <v>17.171717171717169</v>
      </c>
      <c r="CV496" s="103">
        <v>33.333333333333329</v>
      </c>
      <c r="CW496" s="103">
        <v>23.232323232323232</v>
      </c>
      <c r="CX496" s="103">
        <v>12.121212121212121</v>
      </c>
      <c r="CY496" s="103">
        <v>3.0303030303030303</v>
      </c>
      <c r="CZ496" s="103">
        <v>0</v>
      </c>
      <c r="DA496" s="103">
        <v>0</v>
      </c>
      <c r="DB496" s="103">
        <v>0</v>
      </c>
      <c r="DC496" s="42"/>
      <c r="DD496" s="110"/>
      <c r="DE496" s="46" t="s">
        <v>7</v>
      </c>
      <c r="DF496" s="103">
        <v>2.0270270270270272</v>
      </c>
      <c r="DG496" s="103">
        <v>8.1081081081081088</v>
      </c>
      <c r="DH496" s="103">
        <v>12.837837837837837</v>
      </c>
      <c r="DI496" s="103">
        <v>33.783783783783782</v>
      </c>
      <c r="DJ496" s="103">
        <v>19.594594594594593</v>
      </c>
      <c r="DK496" s="103">
        <v>13.513513513513514</v>
      </c>
      <c r="DL496" s="103">
        <v>6.756756756756757</v>
      </c>
      <c r="DM496" s="103">
        <v>2.7027027027027026</v>
      </c>
      <c r="DN496" s="103">
        <v>0.67567567567567566</v>
      </c>
      <c r="DO496" s="103">
        <v>0</v>
      </c>
    </row>
    <row r="497" spans="2:119" ht="16.25" customHeight="1" x14ac:dyDescent="0.45">
      <c r="B497" s="99"/>
      <c r="C497" s="42"/>
      <c r="D497" s="110"/>
      <c r="E497" s="47" t="s">
        <v>8</v>
      </c>
      <c r="F497" s="103">
        <v>0.92307692307692313</v>
      </c>
      <c r="G497" s="103">
        <v>3.6923076923076925</v>
      </c>
      <c r="H497" s="103">
        <v>13.076923076923078</v>
      </c>
      <c r="I497" s="103">
        <v>23.846153846153847</v>
      </c>
      <c r="J497" s="103">
        <v>16.923076923076923</v>
      </c>
      <c r="K497" s="103">
        <v>21.53846153846154</v>
      </c>
      <c r="L497" s="103">
        <v>13.384615384615383</v>
      </c>
      <c r="M497" s="103">
        <v>4.4615384615384617</v>
      </c>
      <c r="N497" s="103">
        <v>2</v>
      </c>
      <c r="O497" s="103">
        <v>0.15384615384615385</v>
      </c>
      <c r="P497" s="42"/>
      <c r="Q497" s="110"/>
      <c r="R497" s="46" t="s">
        <v>8</v>
      </c>
      <c r="S497" s="103">
        <v>0</v>
      </c>
      <c r="T497" s="103">
        <v>3.4482758620689653</v>
      </c>
      <c r="U497" s="103">
        <v>13.793103448275861</v>
      </c>
      <c r="V497" s="103">
        <v>25.431034482758619</v>
      </c>
      <c r="W497" s="103">
        <v>15.517241379310345</v>
      </c>
      <c r="X497" s="103">
        <v>20.258620689655171</v>
      </c>
      <c r="Y497" s="103">
        <v>13.36206896551724</v>
      </c>
      <c r="Z497" s="103">
        <v>4.7413793103448274</v>
      </c>
      <c r="AA497" s="103">
        <v>3.0172413793103448</v>
      </c>
      <c r="AB497" s="103">
        <v>0.43103448275862066</v>
      </c>
      <c r="AC497" s="42"/>
      <c r="AD497" s="110"/>
      <c r="AE497" s="46" t="s">
        <v>8</v>
      </c>
      <c r="AF497" s="103">
        <v>1.4354066985645932</v>
      </c>
      <c r="AG497" s="103">
        <v>3.8277511961722488</v>
      </c>
      <c r="AH497" s="103">
        <v>12.679425837320574</v>
      </c>
      <c r="AI497" s="103">
        <v>22.966507177033492</v>
      </c>
      <c r="AJ497" s="103">
        <v>17.703349282296653</v>
      </c>
      <c r="AK497" s="103">
        <v>22.248803827751196</v>
      </c>
      <c r="AL497" s="103">
        <v>13.397129186602871</v>
      </c>
      <c r="AM497" s="103">
        <v>4.3062200956937797</v>
      </c>
      <c r="AN497" s="103">
        <v>1.4354066985645932</v>
      </c>
      <c r="AO497" s="103">
        <v>0</v>
      </c>
      <c r="AP497" s="6"/>
      <c r="AQ497" s="110"/>
      <c r="AR497" s="46" t="s">
        <v>8</v>
      </c>
      <c r="AS497" s="103">
        <v>2.8089887640449436</v>
      </c>
      <c r="AT497" s="103">
        <v>4.4943820224719104</v>
      </c>
      <c r="AU497" s="103">
        <v>13.48314606741573</v>
      </c>
      <c r="AV497" s="103">
        <v>27.528089887640451</v>
      </c>
      <c r="AW497" s="103">
        <v>14.04494382022472</v>
      </c>
      <c r="AX497" s="103">
        <v>20.224719101123593</v>
      </c>
      <c r="AY497" s="103">
        <v>8.9887640449438209</v>
      </c>
      <c r="AZ497" s="103">
        <v>6.7415730337078648</v>
      </c>
      <c r="BA497" s="103">
        <v>1.6853932584269662</v>
      </c>
      <c r="BB497" s="103">
        <v>0</v>
      </c>
      <c r="BC497" s="42"/>
      <c r="BD497" s="110"/>
      <c r="BE497" s="46" t="s">
        <v>8</v>
      </c>
      <c r="BF497" s="103">
        <v>0.21186440677966101</v>
      </c>
      <c r="BG497" s="103">
        <v>3.3898305084745761</v>
      </c>
      <c r="BH497" s="103">
        <v>12.923728813559322</v>
      </c>
      <c r="BI497" s="103">
        <v>22.457627118644069</v>
      </c>
      <c r="BJ497" s="103">
        <v>18.008474576271187</v>
      </c>
      <c r="BK497" s="103">
        <v>22.033898305084744</v>
      </c>
      <c r="BL497" s="103">
        <v>15.042372881355931</v>
      </c>
      <c r="BM497" s="103">
        <v>3.6016949152542375</v>
      </c>
      <c r="BN497" s="103">
        <v>2.1186440677966099</v>
      </c>
      <c r="BO497" s="103">
        <v>0.21186440677966101</v>
      </c>
      <c r="BQ497" s="110"/>
      <c r="BR497" s="46" t="s">
        <v>8</v>
      </c>
      <c r="BS497" s="103">
        <v>4.8780487804878048</v>
      </c>
      <c r="BT497" s="103">
        <v>4.8780487804878048</v>
      </c>
      <c r="BU497" s="103">
        <v>21.951219512195124</v>
      </c>
      <c r="BV497" s="103">
        <v>14.634146341463413</v>
      </c>
      <c r="BW497" s="103">
        <v>17.073170731707318</v>
      </c>
      <c r="BX497" s="103">
        <v>17.073170731707318</v>
      </c>
      <c r="BY497" s="103">
        <v>17.073170731707318</v>
      </c>
      <c r="BZ497" s="103">
        <v>2.4390243902439024</v>
      </c>
      <c r="CA497" s="103">
        <v>0</v>
      </c>
      <c r="CB497" s="103">
        <v>0</v>
      </c>
      <c r="CC497" s="42"/>
      <c r="CD497" s="110"/>
      <c r="CE497" s="46" t="s">
        <v>8</v>
      </c>
      <c r="CF497" s="103">
        <v>0.65681444991789817</v>
      </c>
      <c r="CG497" s="103">
        <v>3.6124794745484397</v>
      </c>
      <c r="CH497" s="103">
        <v>12.479474548440066</v>
      </c>
      <c r="CI497" s="103">
        <v>24.466338259441709</v>
      </c>
      <c r="CJ497" s="103">
        <v>16.912972085385878</v>
      </c>
      <c r="CK497" s="103">
        <v>21.839080459770116</v>
      </c>
      <c r="CL497" s="103">
        <v>13.136288998357964</v>
      </c>
      <c r="CM497" s="103">
        <v>4.5977011494252871</v>
      </c>
      <c r="CN497" s="103">
        <v>2.1346469622331692</v>
      </c>
      <c r="CO497" s="103">
        <v>0.16420361247947454</v>
      </c>
      <c r="CQ497" s="110"/>
      <c r="CR497" s="46" t="s">
        <v>8</v>
      </c>
      <c r="CS497" s="103">
        <v>1.3392857142857142</v>
      </c>
      <c r="CT497" s="103">
        <v>3.5714285714285712</v>
      </c>
      <c r="CU497" s="103">
        <v>13.839285714285715</v>
      </c>
      <c r="CV497" s="103">
        <v>20.089285714285715</v>
      </c>
      <c r="CW497" s="103">
        <v>15.178571428571427</v>
      </c>
      <c r="CX497" s="103">
        <v>23.660714285714285</v>
      </c>
      <c r="CY497" s="103">
        <v>14.285714285714285</v>
      </c>
      <c r="CZ497" s="103">
        <v>5.3571428571428568</v>
      </c>
      <c r="DA497" s="103">
        <v>2.6785714285714284</v>
      </c>
      <c r="DB497" s="103">
        <v>0</v>
      </c>
      <c r="DC497" s="42"/>
      <c r="DD497" s="110"/>
      <c r="DE497" s="46" t="s">
        <v>8</v>
      </c>
      <c r="DF497" s="103">
        <v>0.70422535211267612</v>
      </c>
      <c r="DG497" s="103">
        <v>3.755868544600939</v>
      </c>
      <c r="DH497" s="103">
        <v>12.676056338028168</v>
      </c>
      <c r="DI497" s="103">
        <v>25.821596244131456</v>
      </c>
      <c r="DJ497" s="103">
        <v>17.84037558685446</v>
      </c>
      <c r="DK497" s="103">
        <v>20.422535211267608</v>
      </c>
      <c r="DL497" s="103">
        <v>12.910798122065728</v>
      </c>
      <c r="DM497" s="103">
        <v>3.9906103286384975</v>
      </c>
      <c r="DN497" s="103">
        <v>1.643192488262911</v>
      </c>
      <c r="DO497" s="103">
        <v>0.23474178403755869</v>
      </c>
    </row>
    <row r="498" spans="2:119" ht="16.25" customHeight="1" x14ac:dyDescent="0.45">
      <c r="B498" s="99"/>
      <c r="C498" s="42"/>
      <c r="D498" s="110"/>
      <c r="E498" s="47" t="s">
        <v>9</v>
      </c>
      <c r="F498" s="103">
        <v>0.46765393608729544</v>
      </c>
      <c r="G498" s="103">
        <v>1.5588464536243181</v>
      </c>
      <c r="H498" s="103">
        <v>5.7677318784099771</v>
      </c>
      <c r="I498" s="103">
        <v>14.497272018706159</v>
      </c>
      <c r="J498" s="103">
        <v>18.082618862042089</v>
      </c>
      <c r="K498" s="103">
        <v>20.810600155884647</v>
      </c>
      <c r="L498" s="103">
        <v>22.837100545596257</v>
      </c>
      <c r="M498" s="103">
        <v>9.586905689789555</v>
      </c>
      <c r="N498" s="103">
        <v>5.0662509742790336</v>
      </c>
      <c r="O498" s="103">
        <v>1.3250194855806703</v>
      </c>
      <c r="P498" s="42"/>
      <c r="Q498" s="110"/>
      <c r="R498" s="46" t="s">
        <v>9</v>
      </c>
      <c r="S498" s="103">
        <v>0.20876826722338201</v>
      </c>
      <c r="T498" s="103">
        <v>0.83507306889352806</v>
      </c>
      <c r="U498" s="103">
        <v>5.2192066805845512</v>
      </c>
      <c r="V498" s="103">
        <v>12.526096033402922</v>
      </c>
      <c r="W498" s="103">
        <v>18.997912317327767</v>
      </c>
      <c r="X498" s="103">
        <v>20.041753653444676</v>
      </c>
      <c r="Y498" s="103">
        <v>23.382045929018787</v>
      </c>
      <c r="Z498" s="103">
        <v>11.273486430062631</v>
      </c>
      <c r="AA498" s="103">
        <v>5.8455114822546967</v>
      </c>
      <c r="AB498" s="103">
        <v>1.6701461377870561</v>
      </c>
      <c r="AC498" s="42"/>
      <c r="AD498" s="110"/>
      <c r="AE498" s="46" t="s">
        <v>9</v>
      </c>
      <c r="AF498" s="103">
        <v>0.62189054726368165</v>
      </c>
      <c r="AG498" s="103">
        <v>1.9900497512437811</v>
      </c>
      <c r="AH498" s="103">
        <v>6.0945273631840795</v>
      </c>
      <c r="AI498" s="103">
        <v>15.671641791044777</v>
      </c>
      <c r="AJ498" s="103">
        <v>17.537313432835823</v>
      </c>
      <c r="AK498" s="103">
        <v>21.268656716417912</v>
      </c>
      <c r="AL498" s="103">
        <v>22.512437810945272</v>
      </c>
      <c r="AM498" s="103">
        <v>8.5820895522388057</v>
      </c>
      <c r="AN498" s="103">
        <v>4.6019900497512438</v>
      </c>
      <c r="AO498" s="103">
        <v>1.1194029850746268</v>
      </c>
      <c r="AP498" s="6"/>
      <c r="AQ498" s="110"/>
      <c r="AR498" s="46" t="s">
        <v>9</v>
      </c>
      <c r="AS498" s="103">
        <v>0.79051383399209485</v>
      </c>
      <c r="AT498" s="103">
        <v>2.3715415019762842</v>
      </c>
      <c r="AU498" s="103">
        <v>7.9051383399209492</v>
      </c>
      <c r="AV498" s="103">
        <v>19.762845849802371</v>
      </c>
      <c r="AW498" s="103">
        <v>19.367588932806324</v>
      </c>
      <c r="AX498" s="103">
        <v>18.972332015810274</v>
      </c>
      <c r="AY498" s="103">
        <v>18.972332015810274</v>
      </c>
      <c r="AZ498" s="103">
        <v>5.928853754940711</v>
      </c>
      <c r="BA498" s="103">
        <v>5.1383399209486171</v>
      </c>
      <c r="BB498" s="103">
        <v>0.79051383399209485</v>
      </c>
      <c r="BC498" s="42"/>
      <c r="BD498" s="110"/>
      <c r="BE498" s="46" t="s">
        <v>9</v>
      </c>
      <c r="BF498" s="103">
        <v>0.38834951456310679</v>
      </c>
      <c r="BG498" s="103">
        <v>1.3592233009708738</v>
      </c>
      <c r="BH498" s="103">
        <v>5.2427184466019421</v>
      </c>
      <c r="BI498" s="103">
        <v>13.203883495145632</v>
      </c>
      <c r="BJ498" s="103">
        <v>17.766990291262136</v>
      </c>
      <c r="BK498" s="103">
        <v>21.262135922330096</v>
      </c>
      <c r="BL498" s="103">
        <v>23.78640776699029</v>
      </c>
      <c r="BM498" s="103">
        <v>10.485436893203884</v>
      </c>
      <c r="BN498" s="103">
        <v>5.0485436893203879</v>
      </c>
      <c r="BO498" s="103">
        <v>1.4563106796116505</v>
      </c>
      <c r="BQ498" s="110"/>
      <c r="BR498" s="46" t="s">
        <v>9</v>
      </c>
      <c r="BS498" s="103">
        <v>1.8518518518518516</v>
      </c>
      <c r="BT498" s="103">
        <v>1.8518518518518516</v>
      </c>
      <c r="BU498" s="103">
        <v>1.8518518518518516</v>
      </c>
      <c r="BV498" s="103">
        <v>12.962962962962962</v>
      </c>
      <c r="BW498" s="103">
        <v>22.222222222222221</v>
      </c>
      <c r="BX498" s="103">
        <v>25.925925925925924</v>
      </c>
      <c r="BY498" s="103">
        <v>20.37037037037037</v>
      </c>
      <c r="BZ498" s="103">
        <v>1.8518518518518516</v>
      </c>
      <c r="CA498" s="103">
        <v>9.2592592592592595</v>
      </c>
      <c r="CB498" s="103">
        <v>1.8518518518518516</v>
      </c>
      <c r="CC498" s="42"/>
      <c r="CD498" s="110"/>
      <c r="CE498" s="46" t="s">
        <v>9</v>
      </c>
      <c r="CF498" s="103">
        <v>0.40683482506102525</v>
      </c>
      <c r="CG498" s="103">
        <v>1.5459723352318959</v>
      </c>
      <c r="CH498" s="103">
        <v>5.9397884458909687</v>
      </c>
      <c r="CI498" s="103">
        <v>14.564686737184704</v>
      </c>
      <c r="CJ498" s="103">
        <v>17.90073230268511</v>
      </c>
      <c r="CK498" s="103">
        <v>20.585842148087877</v>
      </c>
      <c r="CL498" s="103">
        <v>22.945484133441823</v>
      </c>
      <c r="CM498" s="103">
        <v>9.9267697314890153</v>
      </c>
      <c r="CN498" s="103">
        <v>4.8820179007323032</v>
      </c>
      <c r="CO498" s="103">
        <v>1.3018714401952807</v>
      </c>
      <c r="CQ498" s="110"/>
      <c r="CR498" s="46" t="s">
        <v>9</v>
      </c>
      <c r="CS498" s="103">
        <v>0.72815533980582525</v>
      </c>
      <c r="CT498" s="103">
        <v>1.6990291262135921</v>
      </c>
      <c r="CU498" s="103">
        <v>5.0970873786407767</v>
      </c>
      <c r="CV498" s="103">
        <v>13.592233009708737</v>
      </c>
      <c r="CW498" s="103">
        <v>19.174757281553397</v>
      </c>
      <c r="CX498" s="103">
        <v>20.631067961165048</v>
      </c>
      <c r="CY498" s="103">
        <v>22.087378640776699</v>
      </c>
      <c r="CZ498" s="103">
        <v>8.7378640776699026</v>
      </c>
      <c r="DA498" s="103">
        <v>6.7961165048543686</v>
      </c>
      <c r="DB498" s="103">
        <v>1.4563106796116505</v>
      </c>
      <c r="DC498" s="42"/>
      <c r="DD498" s="110"/>
      <c r="DE498" s="46" t="s">
        <v>9</v>
      </c>
      <c r="DF498" s="103">
        <v>0.34443168771526977</v>
      </c>
      <c r="DG498" s="103">
        <v>1.4925373134328357</v>
      </c>
      <c r="DH498" s="103">
        <v>6.0849598163030993</v>
      </c>
      <c r="DI498" s="103">
        <v>14.925373134328357</v>
      </c>
      <c r="DJ498" s="103">
        <v>17.56601607347876</v>
      </c>
      <c r="DK498" s="103">
        <v>20.8955223880597</v>
      </c>
      <c r="DL498" s="103">
        <v>23.191733639494831</v>
      </c>
      <c r="DM498" s="103">
        <v>9.9885189437428252</v>
      </c>
      <c r="DN498" s="103">
        <v>4.2479908151549939</v>
      </c>
      <c r="DO498" s="103">
        <v>1.2629161882893225</v>
      </c>
    </row>
    <row r="499" spans="2:119" ht="16.25" customHeight="1" x14ac:dyDescent="0.45">
      <c r="B499" s="99"/>
      <c r="C499" s="42"/>
      <c r="D499" s="110"/>
      <c r="E499" s="47" t="s">
        <v>10</v>
      </c>
      <c r="F499" s="103">
        <v>0.19157088122605362</v>
      </c>
      <c r="G499" s="103">
        <v>0.19157088122605362</v>
      </c>
      <c r="H499" s="103">
        <v>1.5325670498084289</v>
      </c>
      <c r="I499" s="103">
        <v>4.8371647509578546</v>
      </c>
      <c r="J499" s="103">
        <v>8.1417624521072796</v>
      </c>
      <c r="K499" s="103">
        <v>17.52873563218391</v>
      </c>
      <c r="L499" s="103">
        <v>27.250957854406131</v>
      </c>
      <c r="M499" s="103">
        <v>19.348659003831418</v>
      </c>
      <c r="N499" s="103">
        <v>12.978927203065135</v>
      </c>
      <c r="O499" s="103">
        <v>7.9980842911877392</v>
      </c>
      <c r="P499" s="42"/>
      <c r="Q499" s="110"/>
      <c r="R499" s="46" t="s">
        <v>10</v>
      </c>
      <c r="S499" s="103">
        <v>0</v>
      </c>
      <c r="T499" s="103">
        <v>0.31796502384737679</v>
      </c>
      <c r="U499" s="103">
        <v>1.5898251192368837</v>
      </c>
      <c r="V499" s="103">
        <v>4.2925278219395864</v>
      </c>
      <c r="W499" s="103">
        <v>8.1081081081081088</v>
      </c>
      <c r="X499" s="103">
        <v>15.898251192368839</v>
      </c>
      <c r="Y499" s="103">
        <v>27.344992050874406</v>
      </c>
      <c r="Z499" s="103">
        <v>18.600953895071541</v>
      </c>
      <c r="AA499" s="103">
        <v>14.944356120826709</v>
      </c>
      <c r="AB499" s="103">
        <v>8.9030206677265493</v>
      </c>
      <c r="AC499" s="42"/>
      <c r="AD499" s="110"/>
      <c r="AE499" s="46" t="s">
        <v>10</v>
      </c>
      <c r="AF499" s="103">
        <v>0.27416038382453739</v>
      </c>
      <c r="AG499" s="103">
        <v>0.1370801919122687</v>
      </c>
      <c r="AH499" s="103">
        <v>1.5078821110349554</v>
      </c>
      <c r="AI499" s="103">
        <v>5.0719671007539411</v>
      </c>
      <c r="AJ499" s="103">
        <v>8.156271418779987</v>
      </c>
      <c r="AK499" s="103">
        <v>18.231665524331735</v>
      </c>
      <c r="AL499" s="103">
        <v>27.210418094585332</v>
      </c>
      <c r="AM499" s="103">
        <v>19.671007539410553</v>
      </c>
      <c r="AN499" s="103">
        <v>12.131596984235777</v>
      </c>
      <c r="AO499" s="103">
        <v>7.6079506511309107</v>
      </c>
      <c r="AP499" s="6"/>
      <c r="AQ499" s="110"/>
      <c r="AR499" s="46" t="s">
        <v>10</v>
      </c>
      <c r="AS499" s="103">
        <v>0.34722222222222221</v>
      </c>
      <c r="AT499" s="103">
        <v>0.69444444444444442</v>
      </c>
      <c r="AU499" s="103">
        <v>4.1666666666666661</v>
      </c>
      <c r="AV499" s="103">
        <v>6.9444444444444446</v>
      </c>
      <c r="AW499" s="103">
        <v>13.888888888888889</v>
      </c>
      <c r="AX499" s="103">
        <v>15.972222222222221</v>
      </c>
      <c r="AY499" s="103">
        <v>27.430555555555557</v>
      </c>
      <c r="AZ499" s="103">
        <v>18.055555555555554</v>
      </c>
      <c r="BA499" s="103">
        <v>9.375</v>
      </c>
      <c r="BB499" s="103">
        <v>3.125</v>
      </c>
      <c r="BC499" s="42"/>
      <c r="BD499" s="110"/>
      <c r="BE499" s="46" t="s">
        <v>10</v>
      </c>
      <c r="BF499" s="103">
        <v>0.16666666666666669</v>
      </c>
      <c r="BG499" s="103">
        <v>0.1111111111111111</v>
      </c>
      <c r="BH499" s="103">
        <v>1.1111111111111112</v>
      </c>
      <c r="BI499" s="103">
        <v>4.5</v>
      </c>
      <c r="BJ499" s="103">
        <v>7.2222222222222214</v>
      </c>
      <c r="BK499" s="103">
        <v>17.777777777777779</v>
      </c>
      <c r="BL499" s="103">
        <v>27.222222222222221</v>
      </c>
      <c r="BM499" s="103">
        <v>19.555555555555557</v>
      </c>
      <c r="BN499" s="103">
        <v>13.555555555555557</v>
      </c>
      <c r="BO499" s="103">
        <v>8.7777777777777768</v>
      </c>
      <c r="BQ499" s="110"/>
      <c r="BR499" s="46" t="s">
        <v>10</v>
      </c>
      <c r="BS499" s="103">
        <v>0</v>
      </c>
      <c r="BT499" s="103">
        <v>0</v>
      </c>
      <c r="BU499" s="103">
        <v>4</v>
      </c>
      <c r="BV499" s="103">
        <v>5.3333333333333339</v>
      </c>
      <c r="BW499" s="103">
        <v>13.333333333333334</v>
      </c>
      <c r="BX499" s="103">
        <v>24</v>
      </c>
      <c r="BY499" s="103">
        <v>22.666666666666664</v>
      </c>
      <c r="BZ499" s="103">
        <v>16</v>
      </c>
      <c r="CA499" s="103">
        <v>13.333333333333334</v>
      </c>
      <c r="CB499" s="103">
        <v>1.3333333333333335</v>
      </c>
      <c r="CC499" s="42"/>
      <c r="CD499" s="110"/>
      <c r="CE499" s="46" t="s">
        <v>10</v>
      </c>
      <c r="CF499" s="103">
        <v>0.19870839542970692</v>
      </c>
      <c r="CG499" s="103">
        <v>0.19870839542970692</v>
      </c>
      <c r="CH499" s="103">
        <v>1.4406358668653751</v>
      </c>
      <c r="CI499" s="103">
        <v>4.8186785891703918</v>
      </c>
      <c r="CJ499" s="103">
        <v>7.9483358171882763</v>
      </c>
      <c r="CK499" s="103">
        <v>17.287630402384501</v>
      </c>
      <c r="CL499" s="103">
        <v>27.421758569299552</v>
      </c>
      <c r="CM499" s="103">
        <v>19.473422752111276</v>
      </c>
      <c r="CN499" s="103">
        <v>12.965722801788376</v>
      </c>
      <c r="CO499" s="103">
        <v>8.2463984103328372</v>
      </c>
      <c r="CQ499" s="110"/>
      <c r="CR499" s="46" t="s">
        <v>10</v>
      </c>
      <c r="CS499" s="103">
        <v>0.36363636363636365</v>
      </c>
      <c r="CT499" s="103">
        <v>0.36363636363636365</v>
      </c>
      <c r="CU499" s="103">
        <v>1.6363636363636365</v>
      </c>
      <c r="CV499" s="103">
        <v>4.5454545454545459</v>
      </c>
      <c r="CW499" s="103">
        <v>8.3636363636363633</v>
      </c>
      <c r="CX499" s="103">
        <v>16.545454545454547</v>
      </c>
      <c r="CY499" s="103">
        <v>30.545454545454547</v>
      </c>
      <c r="CZ499" s="103">
        <v>18.72727272727273</v>
      </c>
      <c r="DA499" s="103">
        <v>10.909090909090908</v>
      </c>
      <c r="DB499" s="103">
        <v>8</v>
      </c>
      <c r="DC499" s="42"/>
      <c r="DD499" s="110"/>
      <c r="DE499" s="46" t="s">
        <v>10</v>
      </c>
      <c r="DF499" s="103">
        <v>0.13003901170351106</v>
      </c>
      <c r="DG499" s="103">
        <v>0.13003901170351106</v>
      </c>
      <c r="DH499" s="103">
        <v>1.495448634590377</v>
      </c>
      <c r="DI499" s="103">
        <v>4.9414824447334205</v>
      </c>
      <c r="DJ499" s="103">
        <v>8.062418725617686</v>
      </c>
      <c r="DK499" s="103">
        <v>17.880364109232769</v>
      </c>
      <c r="DL499" s="103">
        <v>26.072821846553968</v>
      </c>
      <c r="DM499" s="103">
        <v>19.570871261378414</v>
      </c>
      <c r="DN499" s="103">
        <v>13.719115734720416</v>
      </c>
      <c r="DO499" s="103">
        <v>7.9973992197659296</v>
      </c>
    </row>
    <row r="500" spans="2:119" ht="16.25" customHeight="1" x14ac:dyDescent="0.45">
      <c r="B500" s="99"/>
      <c r="C500" s="42"/>
      <c r="D500" s="111"/>
      <c r="E500" s="47" t="s">
        <v>11</v>
      </c>
      <c r="F500" s="103">
        <v>0</v>
      </c>
      <c r="G500" s="103">
        <v>0</v>
      </c>
      <c r="H500" s="103">
        <v>0.12360939431396785</v>
      </c>
      <c r="I500" s="103">
        <v>0.4944375772558714</v>
      </c>
      <c r="J500" s="103">
        <v>3.4610630407911001</v>
      </c>
      <c r="K500" s="103">
        <v>6.5512978986402972</v>
      </c>
      <c r="L500" s="103">
        <v>17.552533992583434</v>
      </c>
      <c r="M500" s="103">
        <v>20.148331273176762</v>
      </c>
      <c r="N500" s="103">
        <v>25.092707045735473</v>
      </c>
      <c r="O500" s="103">
        <v>26.576019777503092</v>
      </c>
      <c r="P500" s="42"/>
      <c r="Q500" s="111"/>
      <c r="R500" s="46" t="s">
        <v>11</v>
      </c>
      <c r="S500" s="103">
        <v>0</v>
      </c>
      <c r="T500" s="103">
        <v>0</v>
      </c>
      <c r="U500" s="103">
        <v>0</v>
      </c>
      <c r="V500" s="103">
        <v>0.51546391752577314</v>
      </c>
      <c r="W500" s="103">
        <v>5.1546391752577314</v>
      </c>
      <c r="X500" s="103">
        <v>6.1855670103092786</v>
      </c>
      <c r="Y500" s="103">
        <v>17.010309278350515</v>
      </c>
      <c r="Z500" s="103">
        <v>21.649484536082475</v>
      </c>
      <c r="AA500" s="103">
        <v>27.835051546391753</v>
      </c>
      <c r="AB500" s="103">
        <v>21.649484536082475</v>
      </c>
      <c r="AC500" s="42"/>
      <c r="AD500" s="111"/>
      <c r="AE500" s="46" t="s">
        <v>11</v>
      </c>
      <c r="AF500" s="103">
        <v>0</v>
      </c>
      <c r="AG500" s="103">
        <v>0</v>
      </c>
      <c r="AH500" s="103">
        <v>0.16260162601626016</v>
      </c>
      <c r="AI500" s="103">
        <v>0.48780487804878048</v>
      </c>
      <c r="AJ500" s="103">
        <v>2.9268292682926833</v>
      </c>
      <c r="AK500" s="103">
        <v>6.666666666666667</v>
      </c>
      <c r="AL500" s="103">
        <v>17.72357723577236</v>
      </c>
      <c r="AM500" s="103">
        <v>19.674796747967481</v>
      </c>
      <c r="AN500" s="103">
        <v>24.227642276422763</v>
      </c>
      <c r="AO500" s="103">
        <v>28.130081300813011</v>
      </c>
      <c r="AP500" s="6"/>
      <c r="AQ500" s="111"/>
      <c r="AR500" s="46" t="s">
        <v>11</v>
      </c>
      <c r="AS500" s="103">
        <v>0</v>
      </c>
      <c r="AT500" s="103">
        <v>0</v>
      </c>
      <c r="AU500" s="103">
        <v>0</v>
      </c>
      <c r="AV500" s="103">
        <v>0</v>
      </c>
      <c r="AW500" s="103">
        <v>7.9365079365079358</v>
      </c>
      <c r="AX500" s="103">
        <v>6.3492063492063489</v>
      </c>
      <c r="AY500" s="103">
        <v>20.634920634920633</v>
      </c>
      <c r="AZ500" s="103">
        <v>25.396825396825395</v>
      </c>
      <c r="BA500" s="103">
        <v>20.634920634920633</v>
      </c>
      <c r="BB500" s="103">
        <v>19.047619047619047</v>
      </c>
      <c r="BC500" s="42"/>
      <c r="BD500" s="111"/>
      <c r="BE500" s="46" t="s">
        <v>11</v>
      </c>
      <c r="BF500" s="103">
        <v>0</v>
      </c>
      <c r="BG500" s="103">
        <v>0</v>
      </c>
      <c r="BH500" s="103">
        <v>0.13404825737265416</v>
      </c>
      <c r="BI500" s="103">
        <v>0.53619302949061665</v>
      </c>
      <c r="BJ500" s="103">
        <v>3.0831099195710454</v>
      </c>
      <c r="BK500" s="103">
        <v>6.568364611260054</v>
      </c>
      <c r="BL500" s="103">
        <v>17.292225201072387</v>
      </c>
      <c r="BM500" s="103">
        <v>19.705093833780161</v>
      </c>
      <c r="BN500" s="103">
        <v>25.469168900804291</v>
      </c>
      <c r="BO500" s="103">
        <v>27.211796246648795</v>
      </c>
      <c r="BQ500" s="111"/>
      <c r="BR500" s="46" t="s">
        <v>11</v>
      </c>
      <c r="BS500" s="103">
        <v>0</v>
      </c>
      <c r="BT500" s="103">
        <v>0</v>
      </c>
      <c r="BU500" s="103">
        <v>0</v>
      </c>
      <c r="BV500" s="103">
        <v>0</v>
      </c>
      <c r="BW500" s="103">
        <v>19.047619047619047</v>
      </c>
      <c r="BX500" s="103">
        <v>9.5238095238095237</v>
      </c>
      <c r="BY500" s="103">
        <v>19.047619047619047</v>
      </c>
      <c r="BZ500" s="103">
        <v>23.809523809523807</v>
      </c>
      <c r="CA500" s="103">
        <v>9.5238095238095237</v>
      </c>
      <c r="CB500" s="103">
        <v>19.047619047619047</v>
      </c>
      <c r="CC500" s="42"/>
      <c r="CD500" s="111"/>
      <c r="CE500" s="46" t="s">
        <v>11</v>
      </c>
      <c r="CF500" s="103">
        <v>0</v>
      </c>
      <c r="CG500" s="103">
        <v>0</v>
      </c>
      <c r="CH500" s="103">
        <v>0.12690355329949238</v>
      </c>
      <c r="CI500" s="103">
        <v>0.50761421319796951</v>
      </c>
      <c r="CJ500" s="103">
        <v>3.0456852791878175</v>
      </c>
      <c r="CK500" s="103">
        <v>6.4720812182741119</v>
      </c>
      <c r="CL500" s="103">
        <v>17.512690355329948</v>
      </c>
      <c r="CM500" s="103">
        <v>20.050761421319795</v>
      </c>
      <c r="CN500" s="103">
        <v>25.507614213197972</v>
      </c>
      <c r="CO500" s="103">
        <v>26.776649746192895</v>
      </c>
      <c r="CQ500" s="111"/>
      <c r="CR500" s="46" t="s">
        <v>11</v>
      </c>
      <c r="CS500" s="103">
        <v>0</v>
      </c>
      <c r="CT500" s="103">
        <v>0</v>
      </c>
      <c r="CU500" s="103">
        <v>0</v>
      </c>
      <c r="CV500" s="103">
        <v>0</v>
      </c>
      <c r="CW500" s="103">
        <v>3.1446540880503147</v>
      </c>
      <c r="CX500" s="103">
        <v>3.1446540880503147</v>
      </c>
      <c r="CY500" s="103">
        <v>20.125786163522015</v>
      </c>
      <c r="CZ500" s="103">
        <v>20.754716981132077</v>
      </c>
      <c r="DA500" s="103">
        <v>22.641509433962266</v>
      </c>
      <c r="DB500" s="103">
        <v>30.188679245283019</v>
      </c>
      <c r="DC500" s="42"/>
      <c r="DD500" s="111"/>
      <c r="DE500" s="46" t="s">
        <v>11</v>
      </c>
      <c r="DF500" s="103">
        <v>0</v>
      </c>
      <c r="DG500" s="103">
        <v>0</v>
      </c>
      <c r="DH500" s="103">
        <v>0.15384615384615385</v>
      </c>
      <c r="DI500" s="103">
        <v>0.61538461538461542</v>
      </c>
      <c r="DJ500" s="103">
        <v>3.5384615384615383</v>
      </c>
      <c r="DK500" s="103">
        <v>7.384615384615385</v>
      </c>
      <c r="DL500" s="103">
        <v>16.923076923076923</v>
      </c>
      <c r="DM500" s="103">
        <v>20</v>
      </c>
      <c r="DN500" s="103">
        <v>25.692307692307693</v>
      </c>
      <c r="DO500" s="103">
        <v>25.692307692307693</v>
      </c>
    </row>
    <row r="501" spans="2:119" x14ac:dyDescent="0.45">
      <c r="B501" s="99"/>
      <c r="C501" s="42"/>
      <c r="D501" s="42"/>
      <c r="E501" s="42"/>
      <c r="F501" s="42"/>
      <c r="G501" s="42"/>
      <c r="H501" s="42"/>
      <c r="I501" s="42"/>
      <c r="J501" s="42"/>
      <c r="K501" s="42"/>
      <c r="L501" s="42"/>
      <c r="M501" s="42"/>
      <c r="N501" s="42"/>
      <c r="O501" s="42"/>
      <c r="P501" s="42"/>
      <c r="Q501" s="42"/>
      <c r="R501" s="42"/>
      <c r="S501" s="42"/>
      <c r="T501" s="42"/>
      <c r="U501" s="42"/>
      <c r="V501" s="42"/>
      <c r="W501" s="42"/>
      <c r="X501" s="42"/>
      <c r="Y501" s="42"/>
      <c r="Z501" s="42"/>
      <c r="AA501" s="42"/>
      <c r="AB501" s="42"/>
      <c r="AC501" s="42"/>
      <c r="AD501" s="42"/>
      <c r="AE501" s="42"/>
      <c r="AF501" s="42"/>
      <c r="AG501" s="42"/>
      <c r="AH501" s="42"/>
      <c r="AI501" s="42"/>
      <c r="AJ501" s="42"/>
      <c r="AK501" s="42"/>
      <c r="AL501" s="42"/>
      <c r="AM501" s="42"/>
      <c r="AN501" s="42"/>
      <c r="AO501" s="42"/>
      <c r="AQ501" s="42"/>
      <c r="AR501" s="42"/>
      <c r="AS501" s="42"/>
      <c r="AT501" s="42"/>
      <c r="AU501" s="42"/>
      <c r="AV501" s="42"/>
      <c r="AW501" s="42"/>
      <c r="AX501" s="42"/>
      <c r="AY501" s="42"/>
      <c r="AZ501" s="42"/>
      <c r="BA501" s="42"/>
      <c r="BB501" s="42"/>
      <c r="BC501" s="42"/>
      <c r="BD501" s="42"/>
      <c r="BE501" s="42"/>
      <c r="BF501" s="42"/>
      <c r="BG501" s="42"/>
      <c r="BH501" s="42"/>
      <c r="BI501" s="42"/>
      <c r="BJ501" s="42"/>
      <c r="BK501" s="42"/>
      <c r="BL501" s="42"/>
      <c r="BM501" s="42"/>
      <c r="BN501" s="42"/>
      <c r="BO501" s="42"/>
      <c r="BQ501" s="42"/>
      <c r="BR501" s="42"/>
      <c r="BS501" s="42"/>
      <c r="BT501" s="42"/>
      <c r="BU501" s="42"/>
      <c r="BV501" s="42"/>
      <c r="BW501" s="42"/>
      <c r="BX501" s="42"/>
      <c r="BY501" s="42"/>
      <c r="BZ501" s="42"/>
      <c r="CA501" s="42"/>
      <c r="CB501" s="42"/>
      <c r="CC501" s="42"/>
      <c r="CD501" s="42"/>
      <c r="CE501" s="42"/>
      <c r="CF501" s="42"/>
      <c r="CG501" s="42"/>
      <c r="CH501" s="42"/>
      <c r="CI501" s="42"/>
      <c r="CJ501" s="42"/>
      <c r="CK501" s="42"/>
      <c r="CL501" s="42"/>
      <c r="CM501" s="42"/>
      <c r="CN501" s="42"/>
      <c r="CO501" s="42"/>
      <c r="CQ501" s="42"/>
      <c r="CR501" s="42"/>
      <c r="CS501" s="42"/>
      <c r="CT501" s="42"/>
      <c r="CU501" s="42"/>
      <c r="CV501" s="42"/>
      <c r="CW501" s="42"/>
      <c r="CX501" s="42"/>
      <c r="CY501" s="42"/>
      <c r="CZ501" s="42"/>
      <c r="DA501" s="42"/>
      <c r="DB501" s="42"/>
      <c r="DC501" s="42"/>
      <c r="DD501" s="42"/>
      <c r="DE501" s="42"/>
      <c r="DF501" s="42"/>
      <c r="DG501" s="42"/>
      <c r="DH501" s="42"/>
      <c r="DI501" s="42"/>
      <c r="DJ501" s="42"/>
      <c r="DK501" s="42"/>
      <c r="DL501" s="42"/>
      <c r="DM501" s="42"/>
      <c r="DN501" s="42"/>
      <c r="DO501" s="42"/>
    </row>
    <row r="502" spans="2:119" x14ac:dyDescent="0.45">
      <c r="B502" s="99"/>
      <c r="C502" s="42"/>
      <c r="D502" s="42"/>
      <c r="E502" s="42"/>
      <c r="F502" s="42"/>
      <c r="G502" s="42"/>
      <c r="H502" s="42"/>
      <c r="I502" s="42"/>
      <c r="J502" s="42"/>
      <c r="K502" s="42"/>
      <c r="L502" s="42"/>
      <c r="M502" s="42"/>
      <c r="N502" s="42"/>
      <c r="O502" s="42"/>
      <c r="P502" s="42"/>
      <c r="Q502" s="42"/>
      <c r="R502" s="42"/>
      <c r="S502" s="42"/>
      <c r="T502" s="42"/>
      <c r="U502" s="42"/>
      <c r="V502" s="42"/>
      <c r="W502" s="42"/>
      <c r="X502" s="42"/>
      <c r="Y502" s="42"/>
      <c r="Z502" s="42"/>
      <c r="AA502" s="42"/>
      <c r="AB502" s="42"/>
      <c r="AC502" s="42"/>
      <c r="AD502" s="42"/>
      <c r="AE502" s="42"/>
      <c r="AF502" s="42"/>
      <c r="AG502" s="42"/>
      <c r="AH502" s="42"/>
      <c r="AI502" s="42"/>
      <c r="AJ502" s="42"/>
      <c r="AK502" s="42"/>
      <c r="AL502" s="42"/>
      <c r="AM502" s="42"/>
      <c r="AN502" s="42"/>
      <c r="AO502" s="42"/>
      <c r="AQ502" s="42"/>
      <c r="AR502" s="42"/>
      <c r="AS502" s="42"/>
      <c r="AT502" s="42"/>
      <c r="AU502" s="42"/>
      <c r="AV502" s="42"/>
      <c r="AW502" s="42"/>
      <c r="AX502" s="42"/>
      <c r="AY502" s="42"/>
      <c r="AZ502" s="42"/>
      <c r="BA502" s="42"/>
      <c r="BB502" s="42"/>
      <c r="BC502" s="42"/>
      <c r="BD502" s="42"/>
      <c r="BE502" s="42"/>
      <c r="BF502" s="42"/>
      <c r="BG502" s="42"/>
      <c r="BH502" s="42"/>
      <c r="BI502" s="42"/>
      <c r="BJ502" s="42"/>
      <c r="BK502" s="42"/>
      <c r="BL502" s="42"/>
      <c r="BM502" s="42"/>
      <c r="BN502" s="42"/>
      <c r="BO502" s="42"/>
      <c r="BQ502" s="42"/>
      <c r="BR502" s="42"/>
      <c r="BS502" s="42"/>
      <c r="BT502" s="42"/>
      <c r="BU502" s="42"/>
      <c r="BV502" s="42"/>
      <c r="BW502" s="42"/>
      <c r="BX502" s="42"/>
      <c r="BY502" s="42"/>
      <c r="BZ502" s="42"/>
      <c r="CA502" s="42"/>
      <c r="CB502" s="42"/>
      <c r="CC502" s="42"/>
      <c r="CD502" s="42"/>
      <c r="CE502" s="42"/>
      <c r="CF502" s="42"/>
      <c r="CG502" s="42"/>
      <c r="CH502" s="42"/>
      <c r="CI502" s="42"/>
      <c r="CJ502" s="42"/>
      <c r="CK502" s="42"/>
      <c r="CL502" s="42"/>
      <c r="CM502" s="42"/>
      <c r="CN502" s="42"/>
      <c r="CO502" s="42"/>
      <c r="CQ502" s="42"/>
      <c r="CR502" s="42"/>
      <c r="CS502" s="42"/>
      <c r="CT502" s="42"/>
      <c r="CU502" s="42"/>
      <c r="CV502" s="42"/>
      <c r="CW502" s="42"/>
      <c r="CX502" s="42"/>
      <c r="CY502" s="42"/>
      <c r="CZ502" s="42"/>
      <c r="DA502" s="42"/>
      <c r="DB502" s="42"/>
      <c r="DC502" s="42"/>
      <c r="DD502" s="42"/>
      <c r="DE502" s="42"/>
      <c r="DF502" s="42"/>
      <c r="DG502" s="42"/>
      <c r="DH502" s="42"/>
      <c r="DI502" s="42"/>
      <c r="DJ502" s="42"/>
      <c r="DK502" s="42"/>
      <c r="DL502" s="42"/>
      <c r="DM502" s="42"/>
      <c r="DN502" s="42"/>
      <c r="DO502" s="42"/>
    </row>
    <row r="503" spans="2:119" ht="18.75" customHeight="1" x14ac:dyDescent="0.55000000000000004">
      <c r="B503" s="99"/>
      <c r="C503" s="42"/>
      <c r="D503" s="112" t="s">
        <v>24</v>
      </c>
      <c r="E503" s="112"/>
      <c r="F503" s="45"/>
      <c r="G503" s="45"/>
      <c r="H503" s="45"/>
      <c r="I503" s="45"/>
      <c r="J503" s="45"/>
      <c r="K503" s="45"/>
      <c r="L503" s="45"/>
      <c r="M503" s="45"/>
      <c r="N503" s="45"/>
      <c r="O503" s="45"/>
      <c r="P503" s="42"/>
      <c r="Q503" s="112" t="s">
        <v>24</v>
      </c>
      <c r="R503" s="112"/>
      <c r="S503" s="45"/>
      <c r="T503" s="45"/>
      <c r="U503" s="45"/>
      <c r="V503" s="45"/>
      <c r="W503" s="45"/>
      <c r="X503" s="45"/>
      <c r="Y503" s="45"/>
      <c r="Z503" s="45"/>
      <c r="AA503" s="45"/>
      <c r="AB503" s="45"/>
      <c r="AC503" s="42"/>
      <c r="AD503" s="112" t="s">
        <v>24</v>
      </c>
      <c r="AE503" s="112"/>
      <c r="AF503" s="45"/>
      <c r="AG503" s="45"/>
      <c r="AH503" s="45"/>
      <c r="AI503" s="45"/>
      <c r="AJ503" s="45"/>
      <c r="AK503" s="45"/>
      <c r="AL503" s="45"/>
      <c r="AM503" s="45"/>
      <c r="AN503" s="45"/>
      <c r="AO503" s="45"/>
      <c r="AP503" s="6"/>
      <c r="AQ503" s="112" t="s">
        <v>24</v>
      </c>
      <c r="AR503" s="112"/>
      <c r="AS503" s="45"/>
      <c r="AT503" s="45"/>
      <c r="AU503" s="45"/>
      <c r="AV503" s="45"/>
      <c r="AW503" s="45"/>
      <c r="AX503" s="45"/>
      <c r="AY503" s="45"/>
      <c r="AZ503" s="45"/>
      <c r="BA503" s="45"/>
      <c r="BB503" s="45"/>
      <c r="BC503" s="42"/>
      <c r="BD503" s="112" t="s">
        <v>24</v>
      </c>
      <c r="BE503" s="112"/>
      <c r="BF503" s="45"/>
      <c r="BG503" s="45"/>
      <c r="BH503" s="45"/>
      <c r="BI503" s="45"/>
      <c r="BJ503" s="45"/>
      <c r="BK503" s="45"/>
      <c r="BL503" s="45"/>
      <c r="BM503" s="45"/>
      <c r="BN503" s="45"/>
      <c r="BO503" s="45"/>
      <c r="BQ503" s="112" t="s">
        <v>24</v>
      </c>
      <c r="BR503" s="112"/>
      <c r="BS503" s="45"/>
      <c r="BT503" s="45"/>
      <c r="BU503" s="45"/>
      <c r="BV503" s="45"/>
      <c r="BW503" s="45"/>
      <c r="BX503" s="45"/>
      <c r="BY503" s="45"/>
      <c r="BZ503" s="45"/>
      <c r="CA503" s="45"/>
      <c r="CB503" s="45"/>
      <c r="CC503" s="42"/>
      <c r="CD503" s="112" t="s">
        <v>24</v>
      </c>
      <c r="CE503" s="112"/>
      <c r="CF503" s="45"/>
      <c r="CG503" s="45"/>
      <c r="CH503" s="45"/>
      <c r="CI503" s="45"/>
      <c r="CJ503" s="45"/>
      <c r="CK503" s="45"/>
      <c r="CL503" s="45"/>
      <c r="CM503" s="45"/>
      <c r="CN503" s="45"/>
      <c r="CO503" s="45"/>
      <c r="CQ503" s="112" t="s">
        <v>24</v>
      </c>
      <c r="CR503" s="112"/>
      <c r="CS503" s="45"/>
      <c r="CT503" s="45"/>
      <c r="CU503" s="45"/>
      <c r="CV503" s="45"/>
      <c r="CW503" s="45"/>
      <c r="CX503" s="45"/>
      <c r="CY503" s="45"/>
      <c r="CZ503" s="45"/>
      <c r="DA503" s="45"/>
      <c r="DB503" s="45"/>
      <c r="DC503" s="42"/>
      <c r="DD503" s="112" t="s">
        <v>24</v>
      </c>
      <c r="DE503" s="112"/>
      <c r="DF503" s="45"/>
      <c r="DG503" s="45"/>
      <c r="DH503" s="45"/>
      <c r="DI503" s="45"/>
      <c r="DJ503" s="45"/>
      <c r="DK503" s="45"/>
      <c r="DL503" s="45"/>
      <c r="DM503" s="45"/>
      <c r="DN503" s="45"/>
      <c r="DO503" s="45"/>
    </row>
    <row r="504" spans="2:119" ht="28.9" customHeight="1" x14ac:dyDescent="0.45">
      <c r="B504" s="99"/>
      <c r="C504" s="42"/>
      <c r="D504" s="112"/>
      <c r="E504" s="112"/>
      <c r="F504" s="108" t="s">
        <v>12</v>
      </c>
      <c r="G504" s="108"/>
      <c r="H504" s="108"/>
      <c r="I504" s="108"/>
      <c r="J504" s="108"/>
      <c r="K504" s="108"/>
      <c r="L504" s="108"/>
      <c r="M504" s="108"/>
      <c r="N504" s="108"/>
      <c r="O504" s="108"/>
      <c r="P504" s="42"/>
      <c r="Q504" s="112"/>
      <c r="R504" s="112"/>
      <c r="S504" s="108" t="s">
        <v>12</v>
      </c>
      <c r="T504" s="108"/>
      <c r="U504" s="108"/>
      <c r="V504" s="108"/>
      <c r="W504" s="108"/>
      <c r="X504" s="108"/>
      <c r="Y504" s="108"/>
      <c r="Z504" s="108"/>
      <c r="AA504" s="108"/>
      <c r="AB504" s="108"/>
      <c r="AC504" s="42"/>
      <c r="AD504" s="112"/>
      <c r="AE504" s="112"/>
      <c r="AF504" s="108" t="s">
        <v>12</v>
      </c>
      <c r="AG504" s="108"/>
      <c r="AH504" s="108"/>
      <c r="AI504" s="108"/>
      <c r="AJ504" s="108"/>
      <c r="AK504" s="108"/>
      <c r="AL504" s="108"/>
      <c r="AM504" s="108"/>
      <c r="AN504" s="108"/>
      <c r="AO504" s="108"/>
      <c r="AP504" s="6"/>
      <c r="AQ504" s="112"/>
      <c r="AR504" s="112"/>
      <c r="AS504" s="108" t="s">
        <v>12</v>
      </c>
      <c r="AT504" s="108"/>
      <c r="AU504" s="108"/>
      <c r="AV504" s="108"/>
      <c r="AW504" s="108"/>
      <c r="AX504" s="108"/>
      <c r="AY504" s="108"/>
      <c r="AZ504" s="108"/>
      <c r="BA504" s="108"/>
      <c r="BB504" s="108"/>
      <c r="BC504" s="42"/>
      <c r="BD504" s="112"/>
      <c r="BE504" s="112"/>
      <c r="BF504" s="108" t="s">
        <v>12</v>
      </c>
      <c r="BG504" s="108"/>
      <c r="BH504" s="108"/>
      <c r="BI504" s="108"/>
      <c r="BJ504" s="108"/>
      <c r="BK504" s="108"/>
      <c r="BL504" s="108"/>
      <c r="BM504" s="108"/>
      <c r="BN504" s="108"/>
      <c r="BO504" s="108"/>
      <c r="BQ504" s="112"/>
      <c r="BR504" s="112"/>
      <c r="BS504" s="108" t="s">
        <v>12</v>
      </c>
      <c r="BT504" s="108"/>
      <c r="BU504" s="108"/>
      <c r="BV504" s="108"/>
      <c r="BW504" s="108"/>
      <c r="BX504" s="108"/>
      <c r="BY504" s="108"/>
      <c r="BZ504" s="108"/>
      <c r="CA504" s="108"/>
      <c r="CB504" s="108"/>
      <c r="CC504" s="42"/>
      <c r="CD504" s="112"/>
      <c r="CE504" s="112"/>
      <c r="CF504" s="108" t="s">
        <v>12</v>
      </c>
      <c r="CG504" s="108"/>
      <c r="CH504" s="108"/>
      <c r="CI504" s="108"/>
      <c r="CJ504" s="108"/>
      <c r="CK504" s="108"/>
      <c r="CL504" s="108"/>
      <c r="CM504" s="108"/>
      <c r="CN504" s="108"/>
      <c r="CO504" s="108"/>
      <c r="CQ504" s="112"/>
      <c r="CR504" s="112"/>
      <c r="CS504" s="108" t="s">
        <v>12</v>
      </c>
      <c r="CT504" s="108"/>
      <c r="CU504" s="108"/>
      <c r="CV504" s="108"/>
      <c r="CW504" s="108"/>
      <c r="CX504" s="108"/>
      <c r="CY504" s="108"/>
      <c r="CZ504" s="108"/>
      <c r="DA504" s="108"/>
      <c r="DB504" s="108"/>
      <c r="DC504" s="42"/>
      <c r="DD504" s="112"/>
      <c r="DE504" s="112"/>
      <c r="DF504" s="108" t="s">
        <v>12</v>
      </c>
      <c r="DG504" s="108"/>
      <c r="DH504" s="108"/>
      <c r="DI504" s="108"/>
      <c r="DJ504" s="108"/>
      <c r="DK504" s="108"/>
      <c r="DL504" s="108"/>
      <c r="DM504" s="108"/>
      <c r="DN504" s="108"/>
      <c r="DO504" s="108"/>
    </row>
    <row r="505" spans="2:119" ht="15" customHeight="1" x14ac:dyDescent="0.45">
      <c r="B505" s="99"/>
      <c r="C505" s="42"/>
      <c r="D505" s="113"/>
      <c r="E505" s="113"/>
      <c r="F505" s="9" t="s">
        <v>0</v>
      </c>
      <c r="G505" s="9">
        <v>1</v>
      </c>
      <c r="H505" s="9">
        <v>2</v>
      </c>
      <c r="I505" s="9">
        <v>3</v>
      </c>
      <c r="J505" s="9">
        <v>4</v>
      </c>
      <c r="K505" s="9">
        <v>5</v>
      </c>
      <c r="L505" s="9">
        <v>6</v>
      </c>
      <c r="M505" s="9">
        <v>7</v>
      </c>
      <c r="N505" s="9">
        <v>8</v>
      </c>
      <c r="O505" s="9">
        <v>9</v>
      </c>
      <c r="P505" s="42"/>
      <c r="Q505" s="113"/>
      <c r="R505" s="113"/>
      <c r="S505" s="9" t="s">
        <v>0</v>
      </c>
      <c r="T505" s="9">
        <v>1</v>
      </c>
      <c r="U505" s="9">
        <v>2</v>
      </c>
      <c r="V505" s="9">
        <v>3</v>
      </c>
      <c r="W505" s="9">
        <v>4</v>
      </c>
      <c r="X505" s="9">
        <v>5</v>
      </c>
      <c r="Y505" s="9">
        <v>6</v>
      </c>
      <c r="Z505" s="9">
        <v>7</v>
      </c>
      <c r="AA505" s="9">
        <v>8</v>
      </c>
      <c r="AB505" s="9">
        <v>9</v>
      </c>
      <c r="AC505" s="42"/>
      <c r="AD505" s="113"/>
      <c r="AE505" s="113"/>
      <c r="AF505" s="9" t="s">
        <v>0</v>
      </c>
      <c r="AG505" s="9">
        <v>1</v>
      </c>
      <c r="AH505" s="9">
        <v>2</v>
      </c>
      <c r="AI505" s="9">
        <v>3</v>
      </c>
      <c r="AJ505" s="9">
        <v>4</v>
      </c>
      <c r="AK505" s="9">
        <v>5</v>
      </c>
      <c r="AL505" s="9">
        <v>6</v>
      </c>
      <c r="AM505" s="9">
        <v>7</v>
      </c>
      <c r="AN505" s="9">
        <v>8</v>
      </c>
      <c r="AO505" s="9">
        <v>9</v>
      </c>
      <c r="AP505" s="6"/>
      <c r="AQ505" s="113"/>
      <c r="AR505" s="113"/>
      <c r="AS505" s="9" t="s">
        <v>0</v>
      </c>
      <c r="AT505" s="9">
        <v>1</v>
      </c>
      <c r="AU505" s="9">
        <v>2</v>
      </c>
      <c r="AV505" s="9">
        <v>3</v>
      </c>
      <c r="AW505" s="9">
        <v>4</v>
      </c>
      <c r="AX505" s="9">
        <v>5</v>
      </c>
      <c r="AY505" s="9">
        <v>6</v>
      </c>
      <c r="AZ505" s="9">
        <v>7</v>
      </c>
      <c r="BA505" s="9">
        <v>8</v>
      </c>
      <c r="BB505" s="9">
        <v>9</v>
      </c>
      <c r="BC505" s="42"/>
      <c r="BD505" s="113"/>
      <c r="BE505" s="113"/>
      <c r="BF505" s="9" t="s">
        <v>0</v>
      </c>
      <c r="BG505" s="9">
        <v>1</v>
      </c>
      <c r="BH505" s="9">
        <v>2</v>
      </c>
      <c r="BI505" s="9">
        <v>3</v>
      </c>
      <c r="BJ505" s="9">
        <v>4</v>
      </c>
      <c r="BK505" s="9">
        <v>5</v>
      </c>
      <c r="BL505" s="9">
        <v>6</v>
      </c>
      <c r="BM505" s="9">
        <v>7</v>
      </c>
      <c r="BN505" s="9">
        <v>8</v>
      </c>
      <c r="BO505" s="9">
        <v>9</v>
      </c>
      <c r="BQ505" s="113"/>
      <c r="BR505" s="113"/>
      <c r="BS505" s="9" t="s">
        <v>0</v>
      </c>
      <c r="BT505" s="9">
        <v>1</v>
      </c>
      <c r="BU505" s="9">
        <v>2</v>
      </c>
      <c r="BV505" s="9">
        <v>3</v>
      </c>
      <c r="BW505" s="9">
        <v>4</v>
      </c>
      <c r="BX505" s="9">
        <v>5</v>
      </c>
      <c r="BY505" s="9">
        <v>6</v>
      </c>
      <c r="BZ505" s="9">
        <v>7</v>
      </c>
      <c r="CA505" s="9">
        <v>8</v>
      </c>
      <c r="CB505" s="9">
        <v>9</v>
      </c>
      <c r="CC505" s="42"/>
      <c r="CD505" s="113"/>
      <c r="CE505" s="113"/>
      <c r="CF505" s="9" t="s">
        <v>0</v>
      </c>
      <c r="CG505" s="9">
        <v>1</v>
      </c>
      <c r="CH505" s="9">
        <v>2</v>
      </c>
      <c r="CI505" s="9">
        <v>3</v>
      </c>
      <c r="CJ505" s="9">
        <v>4</v>
      </c>
      <c r="CK505" s="9">
        <v>5</v>
      </c>
      <c r="CL505" s="9">
        <v>6</v>
      </c>
      <c r="CM505" s="9">
        <v>7</v>
      </c>
      <c r="CN505" s="9">
        <v>8</v>
      </c>
      <c r="CO505" s="9">
        <v>9</v>
      </c>
      <c r="CQ505" s="113"/>
      <c r="CR505" s="113"/>
      <c r="CS505" s="9" t="s">
        <v>0</v>
      </c>
      <c r="CT505" s="9">
        <v>1</v>
      </c>
      <c r="CU505" s="9">
        <v>2</v>
      </c>
      <c r="CV505" s="9">
        <v>3</v>
      </c>
      <c r="CW505" s="9">
        <v>4</v>
      </c>
      <c r="CX505" s="9">
        <v>5</v>
      </c>
      <c r="CY505" s="9">
        <v>6</v>
      </c>
      <c r="CZ505" s="9">
        <v>7</v>
      </c>
      <c r="DA505" s="9">
        <v>8</v>
      </c>
      <c r="DB505" s="9">
        <v>9</v>
      </c>
      <c r="DC505" s="42"/>
      <c r="DD505" s="113"/>
      <c r="DE505" s="113"/>
      <c r="DF505" s="9" t="s">
        <v>0</v>
      </c>
      <c r="DG505" s="9">
        <v>1</v>
      </c>
      <c r="DH505" s="9">
        <v>2</v>
      </c>
      <c r="DI505" s="9">
        <v>3</v>
      </c>
      <c r="DJ505" s="9">
        <v>4</v>
      </c>
      <c r="DK505" s="9">
        <v>5</v>
      </c>
      <c r="DL505" s="9">
        <v>6</v>
      </c>
      <c r="DM505" s="9">
        <v>7</v>
      </c>
      <c r="DN505" s="9">
        <v>8</v>
      </c>
      <c r="DO505" s="9">
        <v>9</v>
      </c>
    </row>
    <row r="506" spans="2:119" ht="16.25" customHeight="1" x14ac:dyDescent="0.45">
      <c r="B506" s="134" t="s">
        <v>39</v>
      </c>
      <c r="C506" s="42"/>
      <c r="D506" s="109" t="s">
        <v>13</v>
      </c>
      <c r="E506" s="46" t="s">
        <v>1</v>
      </c>
      <c r="F506" s="103">
        <v>0</v>
      </c>
      <c r="G506" s="103">
        <v>0</v>
      </c>
      <c r="H506" s="103">
        <v>1</v>
      </c>
      <c r="I506" s="103">
        <v>0</v>
      </c>
      <c r="J506" s="103">
        <v>0</v>
      </c>
      <c r="K506" s="103">
        <v>0</v>
      </c>
      <c r="L506" s="103">
        <v>0</v>
      </c>
      <c r="M506" s="103">
        <v>0</v>
      </c>
      <c r="N506" s="103">
        <v>0</v>
      </c>
      <c r="O506" s="17">
        <v>0</v>
      </c>
      <c r="P506" s="42"/>
      <c r="Q506" s="109" t="s">
        <v>13</v>
      </c>
      <c r="R506" s="46" t="s">
        <v>1</v>
      </c>
      <c r="S506" s="103">
        <v>0</v>
      </c>
      <c r="T506" s="103">
        <v>0</v>
      </c>
      <c r="U506" s="103">
        <v>1</v>
      </c>
      <c r="V506" s="103">
        <v>0</v>
      </c>
      <c r="W506" s="103">
        <v>0</v>
      </c>
      <c r="X506" s="103">
        <v>0</v>
      </c>
      <c r="Y506" s="103">
        <v>0</v>
      </c>
      <c r="Z506" s="103">
        <v>0</v>
      </c>
      <c r="AA506" s="103">
        <v>0</v>
      </c>
      <c r="AB506" s="17">
        <v>0</v>
      </c>
      <c r="AC506" s="42"/>
      <c r="AD506" s="109" t="s">
        <v>13</v>
      </c>
      <c r="AE506" s="46" t="s">
        <v>1</v>
      </c>
      <c r="AF506" s="103">
        <v>0</v>
      </c>
      <c r="AG506" s="103">
        <v>0</v>
      </c>
      <c r="AH506" s="103">
        <v>0</v>
      </c>
      <c r="AI506" s="103">
        <v>0</v>
      </c>
      <c r="AJ506" s="103">
        <v>0</v>
      </c>
      <c r="AK506" s="103">
        <v>0</v>
      </c>
      <c r="AL506" s="103">
        <v>0</v>
      </c>
      <c r="AM506" s="103">
        <v>0</v>
      </c>
      <c r="AN506" s="103">
        <v>0</v>
      </c>
      <c r="AO506" s="17">
        <v>0</v>
      </c>
      <c r="AP506" s="6"/>
      <c r="AQ506" s="109" t="s">
        <v>13</v>
      </c>
      <c r="AR506" s="46" t="s">
        <v>1</v>
      </c>
      <c r="AS506" s="103">
        <v>0</v>
      </c>
      <c r="AT506" s="103">
        <v>0</v>
      </c>
      <c r="AU506" s="103">
        <v>0</v>
      </c>
      <c r="AV506" s="103">
        <v>0</v>
      </c>
      <c r="AW506" s="103">
        <v>0</v>
      </c>
      <c r="AX506" s="103">
        <v>0</v>
      </c>
      <c r="AY506" s="103">
        <v>0</v>
      </c>
      <c r="AZ506" s="103">
        <v>0</v>
      </c>
      <c r="BA506" s="103">
        <v>0</v>
      </c>
      <c r="BB506" s="17">
        <v>0</v>
      </c>
      <c r="BC506" s="42"/>
      <c r="BD506" s="109" t="s">
        <v>13</v>
      </c>
      <c r="BE506" s="46" t="s">
        <v>1</v>
      </c>
      <c r="BF506" s="103">
        <v>0</v>
      </c>
      <c r="BG506" s="103">
        <v>0</v>
      </c>
      <c r="BH506" s="103">
        <v>1</v>
      </c>
      <c r="BI506" s="103">
        <v>0</v>
      </c>
      <c r="BJ506" s="103">
        <v>0</v>
      </c>
      <c r="BK506" s="103">
        <v>0</v>
      </c>
      <c r="BL506" s="103">
        <v>0</v>
      </c>
      <c r="BM506" s="103">
        <v>0</v>
      </c>
      <c r="BN506" s="103">
        <v>0</v>
      </c>
      <c r="BO506" s="17">
        <v>0</v>
      </c>
      <c r="BQ506" s="109" t="s">
        <v>13</v>
      </c>
      <c r="BR506" s="46" t="s">
        <v>1</v>
      </c>
      <c r="BS506" s="103">
        <v>0</v>
      </c>
      <c r="BT506" s="103">
        <v>0</v>
      </c>
      <c r="BU506" s="103">
        <v>0</v>
      </c>
      <c r="BV506" s="103">
        <v>0</v>
      </c>
      <c r="BW506" s="103">
        <v>0</v>
      </c>
      <c r="BX506" s="103">
        <v>0</v>
      </c>
      <c r="BY506" s="103">
        <v>0</v>
      </c>
      <c r="BZ506" s="103">
        <v>0</v>
      </c>
      <c r="CA506" s="103">
        <v>0</v>
      </c>
      <c r="CB506" s="17">
        <v>0</v>
      </c>
      <c r="CC506" s="42"/>
      <c r="CD506" s="109" t="s">
        <v>13</v>
      </c>
      <c r="CE506" s="46" t="s">
        <v>1</v>
      </c>
      <c r="CF506" s="103">
        <v>0</v>
      </c>
      <c r="CG506" s="103">
        <v>0</v>
      </c>
      <c r="CH506" s="103">
        <v>1</v>
      </c>
      <c r="CI506" s="103">
        <v>0</v>
      </c>
      <c r="CJ506" s="103">
        <v>0</v>
      </c>
      <c r="CK506" s="103">
        <v>0</v>
      </c>
      <c r="CL506" s="103">
        <v>0</v>
      </c>
      <c r="CM506" s="103">
        <v>0</v>
      </c>
      <c r="CN506" s="103">
        <v>0</v>
      </c>
      <c r="CO506" s="17">
        <v>0</v>
      </c>
      <c r="CQ506" s="109" t="s">
        <v>13</v>
      </c>
      <c r="CR506" s="46" t="s">
        <v>1</v>
      </c>
      <c r="CS506" s="103">
        <v>0</v>
      </c>
      <c r="CT506" s="103">
        <v>0</v>
      </c>
      <c r="CU506" s="103">
        <v>1</v>
      </c>
      <c r="CV506" s="103">
        <v>0</v>
      </c>
      <c r="CW506" s="103">
        <v>0</v>
      </c>
      <c r="CX506" s="103">
        <v>0</v>
      </c>
      <c r="CY506" s="103">
        <v>0</v>
      </c>
      <c r="CZ506" s="103">
        <v>0</v>
      </c>
      <c r="DA506" s="103">
        <v>0</v>
      </c>
      <c r="DB506" s="17">
        <v>0</v>
      </c>
      <c r="DC506" s="42"/>
      <c r="DD506" s="109" t="s">
        <v>13</v>
      </c>
      <c r="DE506" s="46" t="s">
        <v>1</v>
      </c>
      <c r="DF506" s="103">
        <v>0</v>
      </c>
      <c r="DG506" s="103">
        <v>0</v>
      </c>
      <c r="DH506" s="103">
        <v>0</v>
      </c>
      <c r="DI506" s="103">
        <v>0</v>
      </c>
      <c r="DJ506" s="103">
        <v>0</v>
      </c>
      <c r="DK506" s="103">
        <v>0</v>
      </c>
      <c r="DL506" s="103">
        <v>0</v>
      </c>
      <c r="DM506" s="103">
        <v>0</v>
      </c>
      <c r="DN506" s="103">
        <v>0</v>
      </c>
      <c r="DO506" s="17">
        <v>0</v>
      </c>
    </row>
    <row r="507" spans="2:119" ht="16.25" customHeight="1" x14ac:dyDescent="0.45">
      <c r="B507" s="134"/>
      <c r="C507" s="42"/>
      <c r="D507" s="110"/>
      <c r="E507" s="46">
        <v>1</v>
      </c>
      <c r="F507" s="103" t="s">
        <v>129</v>
      </c>
      <c r="G507" s="103" t="s">
        <v>129</v>
      </c>
      <c r="H507" s="103" t="s">
        <v>129</v>
      </c>
      <c r="I507" s="103" t="s">
        <v>129</v>
      </c>
      <c r="J507" s="103" t="s">
        <v>129</v>
      </c>
      <c r="K507" s="103" t="s">
        <v>129</v>
      </c>
      <c r="L507" s="103" t="s">
        <v>129</v>
      </c>
      <c r="M507" s="103" t="s">
        <v>129</v>
      </c>
      <c r="N507" s="103" t="s">
        <v>129</v>
      </c>
      <c r="O507" s="103" t="s">
        <v>129</v>
      </c>
      <c r="P507" s="42"/>
      <c r="Q507" s="110"/>
      <c r="R507" s="46">
        <v>1</v>
      </c>
      <c r="S507" s="103" t="s">
        <v>129</v>
      </c>
      <c r="T507" s="103" t="s">
        <v>129</v>
      </c>
      <c r="U507" s="103" t="s">
        <v>129</v>
      </c>
      <c r="V507" s="103" t="s">
        <v>129</v>
      </c>
      <c r="W507" s="103" t="s">
        <v>129</v>
      </c>
      <c r="X507" s="103" t="s">
        <v>129</v>
      </c>
      <c r="Y507" s="103" t="s">
        <v>129</v>
      </c>
      <c r="Z507" s="103" t="s">
        <v>129</v>
      </c>
      <c r="AA507" s="103" t="s">
        <v>129</v>
      </c>
      <c r="AB507" s="103" t="s">
        <v>129</v>
      </c>
      <c r="AC507" s="42"/>
      <c r="AD507" s="110"/>
      <c r="AE507" s="46">
        <v>1</v>
      </c>
      <c r="AF507" s="103" t="s">
        <v>129</v>
      </c>
      <c r="AG507" s="103" t="s">
        <v>129</v>
      </c>
      <c r="AH507" s="103" t="s">
        <v>129</v>
      </c>
      <c r="AI507" s="103" t="s">
        <v>129</v>
      </c>
      <c r="AJ507" s="103" t="s">
        <v>129</v>
      </c>
      <c r="AK507" s="103" t="s">
        <v>129</v>
      </c>
      <c r="AL507" s="103" t="s">
        <v>129</v>
      </c>
      <c r="AM507" s="103" t="s">
        <v>129</v>
      </c>
      <c r="AN507" s="103" t="s">
        <v>129</v>
      </c>
      <c r="AO507" s="103" t="s">
        <v>129</v>
      </c>
      <c r="AP507" s="6"/>
      <c r="AQ507" s="110"/>
      <c r="AR507" s="46">
        <v>1</v>
      </c>
      <c r="AS507" s="103" t="s">
        <v>129</v>
      </c>
      <c r="AT507" s="103" t="s">
        <v>129</v>
      </c>
      <c r="AU507" s="103" t="s">
        <v>129</v>
      </c>
      <c r="AV507" s="103" t="s">
        <v>129</v>
      </c>
      <c r="AW507" s="103" t="s">
        <v>129</v>
      </c>
      <c r="AX507" s="103" t="s">
        <v>129</v>
      </c>
      <c r="AY507" s="103" t="s">
        <v>129</v>
      </c>
      <c r="AZ507" s="103" t="s">
        <v>129</v>
      </c>
      <c r="BA507" s="103" t="s">
        <v>129</v>
      </c>
      <c r="BB507" s="103" t="s">
        <v>129</v>
      </c>
      <c r="BC507" s="42"/>
      <c r="BD507" s="110"/>
      <c r="BE507" s="46">
        <v>1</v>
      </c>
      <c r="BF507" s="103" t="s">
        <v>129</v>
      </c>
      <c r="BG507" s="103" t="s">
        <v>129</v>
      </c>
      <c r="BH507" s="103" t="s">
        <v>129</v>
      </c>
      <c r="BI507" s="103" t="s">
        <v>129</v>
      </c>
      <c r="BJ507" s="103" t="s">
        <v>129</v>
      </c>
      <c r="BK507" s="103" t="s">
        <v>129</v>
      </c>
      <c r="BL507" s="103" t="s">
        <v>129</v>
      </c>
      <c r="BM507" s="103" t="s">
        <v>129</v>
      </c>
      <c r="BN507" s="103" t="s">
        <v>129</v>
      </c>
      <c r="BO507" s="103" t="s">
        <v>129</v>
      </c>
      <c r="BQ507" s="110"/>
      <c r="BR507" s="46">
        <v>1</v>
      </c>
      <c r="BS507" s="103" t="s">
        <v>129</v>
      </c>
      <c r="BT507" s="103" t="s">
        <v>129</v>
      </c>
      <c r="BU507" s="103" t="s">
        <v>129</v>
      </c>
      <c r="BV507" s="103" t="s">
        <v>129</v>
      </c>
      <c r="BW507" s="103" t="s">
        <v>129</v>
      </c>
      <c r="BX507" s="103" t="s">
        <v>129</v>
      </c>
      <c r="BY507" s="103" t="s">
        <v>129</v>
      </c>
      <c r="BZ507" s="103" t="s">
        <v>129</v>
      </c>
      <c r="CA507" s="103" t="s">
        <v>129</v>
      </c>
      <c r="CB507" s="103" t="s">
        <v>129</v>
      </c>
      <c r="CC507" s="42"/>
      <c r="CD507" s="110"/>
      <c r="CE507" s="46">
        <v>1</v>
      </c>
      <c r="CF507" s="103" t="s">
        <v>129</v>
      </c>
      <c r="CG507" s="103" t="s">
        <v>129</v>
      </c>
      <c r="CH507" s="103" t="s">
        <v>129</v>
      </c>
      <c r="CI507" s="103" t="s">
        <v>129</v>
      </c>
      <c r="CJ507" s="103" t="s">
        <v>129</v>
      </c>
      <c r="CK507" s="103" t="s">
        <v>129</v>
      </c>
      <c r="CL507" s="103" t="s">
        <v>129</v>
      </c>
      <c r="CM507" s="103" t="s">
        <v>129</v>
      </c>
      <c r="CN507" s="103" t="s">
        <v>129</v>
      </c>
      <c r="CO507" s="103" t="s">
        <v>129</v>
      </c>
      <c r="CQ507" s="110"/>
      <c r="CR507" s="46">
        <v>1</v>
      </c>
      <c r="CS507" s="103" t="s">
        <v>129</v>
      </c>
      <c r="CT507" s="103" t="s">
        <v>129</v>
      </c>
      <c r="CU507" s="103" t="s">
        <v>129</v>
      </c>
      <c r="CV507" s="103" t="s">
        <v>129</v>
      </c>
      <c r="CW507" s="103" t="s">
        <v>129</v>
      </c>
      <c r="CX507" s="103" t="s">
        <v>129</v>
      </c>
      <c r="CY507" s="103" t="s">
        <v>129</v>
      </c>
      <c r="CZ507" s="103" t="s">
        <v>129</v>
      </c>
      <c r="DA507" s="103" t="s">
        <v>129</v>
      </c>
      <c r="DB507" s="103" t="s">
        <v>129</v>
      </c>
      <c r="DC507" s="42"/>
      <c r="DD507" s="110"/>
      <c r="DE507" s="46">
        <v>1</v>
      </c>
      <c r="DF507" s="103" t="s">
        <v>129</v>
      </c>
      <c r="DG507" s="103" t="s">
        <v>129</v>
      </c>
      <c r="DH507" s="103" t="s">
        <v>129</v>
      </c>
      <c r="DI507" s="103" t="s">
        <v>129</v>
      </c>
      <c r="DJ507" s="103" t="s">
        <v>129</v>
      </c>
      <c r="DK507" s="103" t="s">
        <v>129</v>
      </c>
      <c r="DL507" s="103" t="s">
        <v>129</v>
      </c>
      <c r="DM507" s="103" t="s">
        <v>129</v>
      </c>
      <c r="DN507" s="103" t="s">
        <v>129</v>
      </c>
      <c r="DO507" s="103" t="s">
        <v>129</v>
      </c>
    </row>
    <row r="508" spans="2:119" ht="16.25" customHeight="1" x14ac:dyDescent="0.45">
      <c r="B508" s="134"/>
      <c r="C508" s="42"/>
      <c r="D508" s="110"/>
      <c r="E508" s="46" t="s">
        <v>2</v>
      </c>
      <c r="F508" s="103">
        <v>15</v>
      </c>
      <c r="G508" s="103">
        <v>15</v>
      </c>
      <c r="H508" s="103">
        <v>9</v>
      </c>
      <c r="I508" s="103">
        <v>4</v>
      </c>
      <c r="J508" s="103">
        <v>2</v>
      </c>
      <c r="K508" s="103">
        <v>3</v>
      </c>
      <c r="L508" s="103">
        <v>0</v>
      </c>
      <c r="M508" s="103">
        <v>0</v>
      </c>
      <c r="N508" s="103">
        <v>0</v>
      </c>
      <c r="O508" s="103">
        <v>0</v>
      </c>
      <c r="P508" s="42"/>
      <c r="Q508" s="110"/>
      <c r="R508" s="46" t="s">
        <v>2</v>
      </c>
      <c r="S508" s="103">
        <v>9</v>
      </c>
      <c r="T508" s="103">
        <v>8</v>
      </c>
      <c r="U508" s="103">
        <v>6</v>
      </c>
      <c r="V508" s="103">
        <v>3</v>
      </c>
      <c r="W508" s="103">
        <v>2</v>
      </c>
      <c r="X508" s="103">
        <v>2</v>
      </c>
      <c r="Y508" s="103">
        <v>0</v>
      </c>
      <c r="Z508" s="103">
        <v>0</v>
      </c>
      <c r="AA508" s="103">
        <v>0</v>
      </c>
      <c r="AB508" s="103">
        <v>0</v>
      </c>
      <c r="AC508" s="42"/>
      <c r="AD508" s="110"/>
      <c r="AE508" s="46" t="s">
        <v>2</v>
      </c>
      <c r="AF508" s="103">
        <v>6</v>
      </c>
      <c r="AG508" s="103">
        <v>7</v>
      </c>
      <c r="AH508" s="103">
        <v>3</v>
      </c>
      <c r="AI508" s="103">
        <v>1</v>
      </c>
      <c r="AJ508" s="103">
        <v>0</v>
      </c>
      <c r="AK508" s="103">
        <v>1</v>
      </c>
      <c r="AL508" s="103">
        <v>0</v>
      </c>
      <c r="AM508" s="103">
        <v>0</v>
      </c>
      <c r="AN508" s="103">
        <v>0</v>
      </c>
      <c r="AO508" s="103">
        <v>0</v>
      </c>
      <c r="AP508" s="6"/>
      <c r="AQ508" s="110"/>
      <c r="AR508" s="46" t="s">
        <v>2</v>
      </c>
      <c r="AS508" s="103">
        <v>9</v>
      </c>
      <c r="AT508" s="103">
        <v>8</v>
      </c>
      <c r="AU508" s="103">
        <v>4</v>
      </c>
      <c r="AV508" s="103">
        <v>1</v>
      </c>
      <c r="AW508" s="103">
        <v>1</v>
      </c>
      <c r="AX508" s="103">
        <v>2</v>
      </c>
      <c r="AY508" s="103">
        <v>0</v>
      </c>
      <c r="AZ508" s="103">
        <v>0</v>
      </c>
      <c r="BA508" s="103">
        <v>0</v>
      </c>
      <c r="BB508" s="103">
        <v>0</v>
      </c>
      <c r="BC508" s="42"/>
      <c r="BD508" s="110"/>
      <c r="BE508" s="46" t="s">
        <v>2</v>
      </c>
      <c r="BF508" s="103">
        <v>6</v>
      </c>
      <c r="BG508" s="103">
        <v>7</v>
      </c>
      <c r="BH508" s="103">
        <v>5</v>
      </c>
      <c r="BI508" s="103">
        <v>3</v>
      </c>
      <c r="BJ508" s="103">
        <v>1</v>
      </c>
      <c r="BK508" s="103">
        <v>1</v>
      </c>
      <c r="BL508" s="103">
        <v>0</v>
      </c>
      <c r="BM508" s="103">
        <v>0</v>
      </c>
      <c r="BN508" s="103">
        <v>0</v>
      </c>
      <c r="BO508" s="103">
        <v>0</v>
      </c>
      <c r="BQ508" s="110"/>
      <c r="BR508" s="46" t="s">
        <v>2</v>
      </c>
      <c r="BS508" s="103">
        <v>6</v>
      </c>
      <c r="BT508" s="103">
        <v>8</v>
      </c>
      <c r="BU508" s="103">
        <v>2</v>
      </c>
      <c r="BV508" s="103">
        <v>2</v>
      </c>
      <c r="BW508" s="103">
        <v>0</v>
      </c>
      <c r="BX508" s="103">
        <v>1</v>
      </c>
      <c r="BY508" s="103">
        <v>0</v>
      </c>
      <c r="BZ508" s="103">
        <v>0</v>
      </c>
      <c r="CA508" s="103">
        <v>0</v>
      </c>
      <c r="CB508" s="103">
        <v>0</v>
      </c>
      <c r="CC508" s="42"/>
      <c r="CD508" s="110"/>
      <c r="CE508" s="46" t="s">
        <v>2</v>
      </c>
      <c r="CF508" s="103">
        <v>9</v>
      </c>
      <c r="CG508" s="103">
        <v>7</v>
      </c>
      <c r="CH508" s="103">
        <v>7</v>
      </c>
      <c r="CI508" s="103">
        <v>2</v>
      </c>
      <c r="CJ508" s="103">
        <v>2</v>
      </c>
      <c r="CK508" s="103">
        <v>2</v>
      </c>
      <c r="CL508" s="103">
        <v>0</v>
      </c>
      <c r="CM508" s="103">
        <v>0</v>
      </c>
      <c r="CN508" s="103">
        <v>0</v>
      </c>
      <c r="CO508" s="103">
        <v>0</v>
      </c>
      <c r="CQ508" s="110"/>
      <c r="CR508" s="46" t="s">
        <v>2</v>
      </c>
      <c r="CS508" s="103">
        <v>6</v>
      </c>
      <c r="CT508" s="103">
        <v>6</v>
      </c>
      <c r="CU508" s="103">
        <v>7</v>
      </c>
      <c r="CV508" s="103">
        <v>3</v>
      </c>
      <c r="CW508" s="103">
        <v>1</v>
      </c>
      <c r="CX508" s="103">
        <v>3</v>
      </c>
      <c r="CY508" s="103">
        <v>0</v>
      </c>
      <c r="CZ508" s="103">
        <v>0</v>
      </c>
      <c r="DA508" s="103">
        <v>0</v>
      </c>
      <c r="DB508" s="103">
        <v>0</v>
      </c>
      <c r="DC508" s="42"/>
      <c r="DD508" s="110"/>
      <c r="DE508" s="46" t="s">
        <v>2</v>
      </c>
      <c r="DF508" s="103">
        <v>9</v>
      </c>
      <c r="DG508" s="103">
        <v>9</v>
      </c>
      <c r="DH508" s="103">
        <v>2</v>
      </c>
      <c r="DI508" s="103">
        <v>1</v>
      </c>
      <c r="DJ508" s="103">
        <v>1</v>
      </c>
      <c r="DK508" s="103">
        <v>0</v>
      </c>
      <c r="DL508" s="103">
        <v>0</v>
      </c>
      <c r="DM508" s="103">
        <v>0</v>
      </c>
      <c r="DN508" s="103">
        <v>0</v>
      </c>
      <c r="DO508" s="103">
        <v>0</v>
      </c>
    </row>
    <row r="509" spans="2:119" ht="16.25" customHeight="1" x14ac:dyDescent="0.45">
      <c r="B509" s="134"/>
      <c r="C509" s="42"/>
      <c r="D509" s="110"/>
      <c r="E509" s="46" t="s">
        <v>3</v>
      </c>
      <c r="F509" s="103">
        <v>13</v>
      </c>
      <c r="G509" s="103">
        <v>14</v>
      </c>
      <c r="H509" s="103">
        <v>16</v>
      </c>
      <c r="I509" s="103">
        <v>9</v>
      </c>
      <c r="J509" s="103">
        <v>3</v>
      </c>
      <c r="K509" s="103">
        <v>0</v>
      </c>
      <c r="L509" s="103">
        <v>0</v>
      </c>
      <c r="M509" s="103">
        <v>0</v>
      </c>
      <c r="N509" s="103">
        <v>0</v>
      </c>
      <c r="O509" s="103">
        <v>0</v>
      </c>
      <c r="P509" s="42"/>
      <c r="Q509" s="110"/>
      <c r="R509" s="46" t="s">
        <v>3</v>
      </c>
      <c r="S509" s="103">
        <v>7</v>
      </c>
      <c r="T509" s="103">
        <v>10</v>
      </c>
      <c r="U509" s="103">
        <v>9</v>
      </c>
      <c r="V509" s="103">
        <v>7</v>
      </c>
      <c r="W509" s="103">
        <v>1</v>
      </c>
      <c r="X509" s="103">
        <v>0</v>
      </c>
      <c r="Y509" s="103">
        <v>0</v>
      </c>
      <c r="Z509" s="103">
        <v>0</v>
      </c>
      <c r="AA509" s="103">
        <v>0</v>
      </c>
      <c r="AB509" s="103">
        <v>0</v>
      </c>
      <c r="AC509" s="42"/>
      <c r="AD509" s="110"/>
      <c r="AE509" s="46" t="s">
        <v>3</v>
      </c>
      <c r="AF509" s="103">
        <v>6</v>
      </c>
      <c r="AG509" s="103">
        <v>4</v>
      </c>
      <c r="AH509" s="103">
        <v>7</v>
      </c>
      <c r="AI509" s="103">
        <v>2</v>
      </c>
      <c r="AJ509" s="103">
        <v>2</v>
      </c>
      <c r="AK509" s="103">
        <v>0</v>
      </c>
      <c r="AL509" s="103">
        <v>0</v>
      </c>
      <c r="AM509" s="103">
        <v>0</v>
      </c>
      <c r="AN509" s="103">
        <v>0</v>
      </c>
      <c r="AO509" s="103">
        <v>0</v>
      </c>
      <c r="AP509" s="6"/>
      <c r="AQ509" s="110"/>
      <c r="AR509" s="46" t="s">
        <v>3</v>
      </c>
      <c r="AS509" s="103">
        <v>2</v>
      </c>
      <c r="AT509" s="103">
        <v>7</v>
      </c>
      <c r="AU509" s="103">
        <v>8</v>
      </c>
      <c r="AV509" s="103">
        <v>1</v>
      </c>
      <c r="AW509" s="103">
        <v>0</v>
      </c>
      <c r="AX509" s="103">
        <v>0</v>
      </c>
      <c r="AY509" s="103">
        <v>0</v>
      </c>
      <c r="AZ509" s="103">
        <v>0</v>
      </c>
      <c r="BA509" s="103">
        <v>0</v>
      </c>
      <c r="BB509" s="103">
        <v>0</v>
      </c>
      <c r="BC509" s="42"/>
      <c r="BD509" s="110"/>
      <c r="BE509" s="46" t="s">
        <v>3</v>
      </c>
      <c r="BF509" s="103">
        <v>11</v>
      </c>
      <c r="BG509" s="103">
        <v>7</v>
      </c>
      <c r="BH509" s="103">
        <v>8</v>
      </c>
      <c r="BI509" s="103">
        <v>8</v>
      </c>
      <c r="BJ509" s="103">
        <v>3</v>
      </c>
      <c r="BK509" s="103">
        <v>0</v>
      </c>
      <c r="BL509" s="103">
        <v>0</v>
      </c>
      <c r="BM509" s="103">
        <v>0</v>
      </c>
      <c r="BN509" s="103">
        <v>0</v>
      </c>
      <c r="BO509" s="103">
        <v>0</v>
      </c>
      <c r="BQ509" s="110"/>
      <c r="BR509" s="46" t="s">
        <v>3</v>
      </c>
      <c r="BS509" s="103">
        <v>2</v>
      </c>
      <c r="BT509" s="103">
        <v>6</v>
      </c>
      <c r="BU509" s="103">
        <v>9</v>
      </c>
      <c r="BV509" s="103">
        <v>5</v>
      </c>
      <c r="BW509" s="103">
        <v>1</v>
      </c>
      <c r="BX509" s="103">
        <v>0</v>
      </c>
      <c r="BY509" s="103">
        <v>0</v>
      </c>
      <c r="BZ509" s="103">
        <v>0</v>
      </c>
      <c r="CA509" s="103">
        <v>0</v>
      </c>
      <c r="CB509" s="103">
        <v>0</v>
      </c>
      <c r="CC509" s="42"/>
      <c r="CD509" s="110"/>
      <c r="CE509" s="46" t="s">
        <v>3</v>
      </c>
      <c r="CF509" s="103">
        <v>11</v>
      </c>
      <c r="CG509" s="103">
        <v>8</v>
      </c>
      <c r="CH509" s="103">
        <v>7</v>
      </c>
      <c r="CI509" s="103">
        <v>4</v>
      </c>
      <c r="CJ509" s="103">
        <v>2</v>
      </c>
      <c r="CK509" s="103">
        <v>0</v>
      </c>
      <c r="CL509" s="103">
        <v>0</v>
      </c>
      <c r="CM509" s="103">
        <v>0</v>
      </c>
      <c r="CN509" s="103">
        <v>0</v>
      </c>
      <c r="CO509" s="103">
        <v>0</v>
      </c>
      <c r="CQ509" s="110"/>
      <c r="CR509" s="46" t="s">
        <v>3</v>
      </c>
      <c r="CS509" s="103">
        <v>4</v>
      </c>
      <c r="CT509" s="103">
        <v>2</v>
      </c>
      <c r="CU509" s="103">
        <v>6</v>
      </c>
      <c r="CV509" s="103">
        <v>3</v>
      </c>
      <c r="CW509" s="103">
        <v>2</v>
      </c>
      <c r="CX509" s="103">
        <v>0</v>
      </c>
      <c r="CY509" s="103">
        <v>0</v>
      </c>
      <c r="CZ509" s="103">
        <v>0</v>
      </c>
      <c r="DA509" s="103">
        <v>0</v>
      </c>
      <c r="DB509" s="103">
        <v>0</v>
      </c>
      <c r="DC509" s="42"/>
      <c r="DD509" s="110"/>
      <c r="DE509" s="46" t="s">
        <v>3</v>
      </c>
      <c r="DF509" s="103">
        <v>9</v>
      </c>
      <c r="DG509" s="103">
        <v>12</v>
      </c>
      <c r="DH509" s="103">
        <v>10</v>
      </c>
      <c r="DI509" s="103">
        <v>6</v>
      </c>
      <c r="DJ509" s="103">
        <v>1</v>
      </c>
      <c r="DK509" s="103">
        <v>0</v>
      </c>
      <c r="DL509" s="103">
        <v>0</v>
      </c>
      <c r="DM509" s="103">
        <v>0</v>
      </c>
      <c r="DN509" s="103">
        <v>0</v>
      </c>
      <c r="DO509" s="103">
        <v>0</v>
      </c>
    </row>
    <row r="510" spans="2:119" ht="16.25" customHeight="1" x14ac:dyDescent="0.45">
      <c r="B510" s="134"/>
      <c r="C510" s="42"/>
      <c r="D510" s="110"/>
      <c r="E510" s="46" t="s">
        <v>4</v>
      </c>
      <c r="F510" s="103">
        <v>20</v>
      </c>
      <c r="G510" s="103">
        <v>39</v>
      </c>
      <c r="H510" s="103">
        <v>37</v>
      </c>
      <c r="I510" s="103">
        <v>15</v>
      </c>
      <c r="J510" s="103">
        <v>4</v>
      </c>
      <c r="K510" s="103">
        <v>6</v>
      </c>
      <c r="L510" s="103">
        <v>1</v>
      </c>
      <c r="M510" s="103">
        <v>0</v>
      </c>
      <c r="N510" s="103">
        <v>0</v>
      </c>
      <c r="O510" s="103">
        <v>1</v>
      </c>
      <c r="P510" s="42"/>
      <c r="Q510" s="110"/>
      <c r="R510" s="46" t="s">
        <v>4</v>
      </c>
      <c r="S510" s="103">
        <v>14</v>
      </c>
      <c r="T510" s="103">
        <v>24</v>
      </c>
      <c r="U510" s="103">
        <v>25</v>
      </c>
      <c r="V510" s="103">
        <v>12</v>
      </c>
      <c r="W510" s="103">
        <v>4</v>
      </c>
      <c r="X510" s="103">
        <v>5</v>
      </c>
      <c r="Y510" s="103">
        <v>1</v>
      </c>
      <c r="Z510" s="103">
        <v>0</v>
      </c>
      <c r="AA510" s="103">
        <v>0</v>
      </c>
      <c r="AB510" s="103">
        <v>1</v>
      </c>
      <c r="AC510" s="42"/>
      <c r="AD510" s="110"/>
      <c r="AE510" s="46" t="s">
        <v>4</v>
      </c>
      <c r="AF510" s="103">
        <v>6</v>
      </c>
      <c r="AG510" s="103">
        <v>15</v>
      </c>
      <c r="AH510" s="103">
        <v>12</v>
      </c>
      <c r="AI510" s="103">
        <v>3</v>
      </c>
      <c r="AJ510" s="103">
        <v>0</v>
      </c>
      <c r="AK510" s="103">
        <v>1</v>
      </c>
      <c r="AL510" s="103">
        <v>0</v>
      </c>
      <c r="AM510" s="103">
        <v>0</v>
      </c>
      <c r="AN510" s="103">
        <v>0</v>
      </c>
      <c r="AO510" s="103">
        <v>0</v>
      </c>
      <c r="AP510" s="6"/>
      <c r="AQ510" s="110"/>
      <c r="AR510" s="46" t="s">
        <v>4</v>
      </c>
      <c r="AS510" s="103">
        <v>6</v>
      </c>
      <c r="AT510" s="103">
        <v>20</v>
      </c>
      <c r="AU510" s="103">
        <v>11</v>
      </c>
      <c r="AV510" s="103">
        <v>7</v>
      </c>
      <c r="AW510" s="103">
        <v>2</v>
      </c>
      <c r="AX510" s="103">
        <v>2</v>
      </c>
      <c r="AY510" s="103">
        <v>0</v>
      </c>
      <c r="AZ510" s="103">
        <v>0</v>
      </c>
      <c r="BA510" s="103">
        <v>0</v>
      </c>
      <c r="BB510" s="103">
        <v>1</v>
      </c>
      <c r="BC510" s="42"/>
      <c r="BD510" s="110"/>
      <c r="BE510" s="46" t="s">
        <v>4</v>
      </c>
      <c r="BF510" s="103">
        <v>14</v>
      </c>
      <c r="BG510" s="103">
        <v>19</v>
      </c>
      <c r="BH510" s="103">
        <v>26</v>
      </c>
      <c r="BI510" s="103">
        <v>8</v>
      </c>
      <c r="BJ510" s="103">
        <v>2</v>
      </c>
      <c r="BK510" s="103">
        <v>4</v>
      </c>
      <c r="BL510" s="103">
        <v>1</v>
      </c>
      <c r="BM510" s="103">
        <v>0</v>
      </c>
      <c r="BN510" s="103">
        <v>0</v>
      </c>
      <c r="BO510" s="103">
        <v>0</v>
      </c>
      <c r="BQ510" s="110"/>
      <c r="BR510" s="46" t="s">
        <v>4</v>
      </c>
      <c r="BS510" s="103">
        <v>5</v>
      </c>
      <c r="BT510" s="103">
        <v>17</v>
      </c>
      <c r="BU510" s="103">
        <v>10</v>
      </c>
      <c r="BV510" s="103">
        <v>5</v>
      </c>
      <c r="BW510" s="103">
        <v>2</v>
      </c>
      <c r="BX510" s="103">
        <v>2</v>
      </c>
      <c r="BY510" s="103">
        <v>0</v>
      </c>
      <c r="BZ510" s="103">
        <v>0</v>
      </c>
      <c r="CA510" s="103">
        <v>0</v>
      </c>
      <c r="CB510" s="103">
        <v>0</v>
      </c>
      <c r="CC510" s="42"/>
      <c r="CD510" s="110"/>
      <c r="CE510" s="46" t="s">
        <v>4</v>
      </c>
      <c r="CF510" s="103">
        <v>15</v>
      </c>
      <c r="CG510" s="103">
        <v>22</v>
      </c>
      <c r="CH510" s="103">
        <v>27</v>
      </c>
      <c r="CI510" s="103">
        <v>10</v>
      </c>
      <c r="CJ510" s="103">
        <v>2</v>
      </c>
      <c r="CK510" s="103">
        <v>4</v>
      </c>
      <c r="CL510" s="103">
        <v>1</v>
      </c>
      <c r="CM510" s="103">
        <v>0</v>
      </c>
      <c r="CN510" s="103">
        <v>0</v>
      </c>
      <c r="CO510" s="103">
        <v>1</v>
      </c>
      <c r="CQ510" s="110"/>
      <c r="CR510" s="46" t="s">
        <v>4</v>
      </c>
      <c r="CS510" s="103">
        <v>6</v>
      </c>
      <c r="CT510" s="103">
        <v>9</v>
      </c>
      <c r="CU510" s="103">
        <v>16</v>
      </c>
      <c r="CV510" s="103">
        <v>7</v>
      </c>
      <c r="CW510" s="103">
        <v>3</v>
      </c>
      <c r="CX510" s="103">
        <v>3</v>
      </c>
      <c r="CY510" s="103">
        <v>1</v>
      </c>
      <c r="CZ510" s="103">
        <v>0</v>
      </c>
      <c r="DA510" s="103">
        <v>0</v>
      </c>
      <c r="DB510" s="103">
        <v>1</v>
      </c>
      <c r="DC510" s="42"/>
      <c r="DD510" s="110"/>
      <c r="DE510" s="46" t="s">
        <v>4</v>
      </c>
      <c r="DF510" s="103">
        <v>14</v>
      </c>
      <c r="DG510" s="103">
        <v>30</v>
      </c>
      <c r="DH510" s="103">
        <v>21</v>
      </c>
      <c r="DI510" s="103">
        <v>8</v>
      </c>
      <c r="DJ510" s="103">
        <v>1</v>
      </c>
      <c r="DK510" s="103">
        <v>3</v>
      </c>
      <c r="DL510" s="103">
        <v>0</v>
      </c>
      <c r="DM510" s="103">
        <v>0</v>
      </c>
      <c r="DN510" s="103">
        <v>0</v>
      </c>
      <c r="DO510" s="103">
        <v>0</v>
      </c>
    </row>
    <row r="511" spans="2:119" ht="16.25" customHeight="1" x14ac:dyDescent="0.45">
      <c r="B511" s="134"/>
      <c r="C511" s="42"/>
      <c r="D511" s="110"/>
      <c r="E511" s="46" t="s">
        <v>5</v>
      </c>
      <c r="F511" s="103">
        <v>21</v>
      </c>
      <c r="G511" s="103">
        <v>67</v>
      </c>
      <c r="H511" s="103">
        <v>67</v>
      </c>
      <c r="I511" s="103">
        <v>32</v>
      </c>
      <c r="J511" s="103">
        <v>21</v>
      </c>
      <c r="K511" s="103">
        <v>7</v>
      </c>
      <c r="L511" s="103">
        <v>3</v>
      </c>
      <c r="M511" s="103">
        <v>3</v>
      </c>
      <c r="N511" s="103">
        <v>0</v>
      </c>
      <c r="O511" s="103">
        <v>0</v>
      </c>
      <c r="P511" s="42"/>
      <c r="Q511" s="110"/>
      <c r="R511" s="46" t="s">
        <v>5</v>
      </c>
      <c r="S511" s="103">
        <v>10</v>
      </c>
      <c r="T511" s="103">
        <v>39</v>
      </c>
      <c r="U511" s="103">
        <v>54</v>
      </c>
      <c r="V511" s="103">
        <v>29</v>
      </c>
      <c r="W511" s="103">
        <v>18</v>
      </c>
      <c r="X511" s="103">
        <v>3</v>
      </c>
      <c r="Y511" s="103">
        <v>3</v>
      </c>
      <c r="Z511" s="103">
        <v>2</v>
      </c>
      <c r="AA511" s="103">
        <v>0</v>
      </c>
      <c r="AB511" s="103">
        <v>0</v>
      </c>
      <c r="AC511" s="42"/>
      <c r="AD511" s="110"/>
      <c r="AE511" s="46" t="s">
        <v>5</v>
      </c>
      <c r="AF511" s="103">
        <v>11</v>
      </c>
      <c r="AG511" s="103">
        <v>28</v>
      </c>
      <c r="AH511" s="103">
        <v>13</v>
      </c>
      <c r="AI511" s="103">
        <v>3</v>
      </c>
      <c r="AJ511" s="103">
        <v>3</v>
      </c>
      <c r="AK511" s="103">
        <v>4</v>
      </c>
      <c r="AL511" s="103">
        <v>0</v>
      </c>
      <c r="AM511" s="103">
        <v>1</v>
      </c>
      <c r="AN511" s="103">
        <v>0</v>
      </c>
      <c r="AO511" s="103">
        <v>0</v>
      </c>
      <c r="AP511" s="6"/>
      <c r="AQ511" s="110"/>
      <c r="AR511" s="46" t="s">
        <v>5</v>
      </c>
      <c r="AS511" s="103">
        <v>11</v>
      </c>
      <c r="AT511" s="103">
        <v>26</v>
      </c>
      <c r="AU511" s="103">
        <v>29</v>
      </c>
      <c r="AV511" s="103">
        <v>8</v>
      </c>
      <c r="AW511" s="103">
        <v>8</v>
      </c>
      <c r="AX511" s="103">
        <v>3</v>
      </c>
      <c r="AY511" s="103">
        <v>2</v>
      </c>
      <c r="AZ511" s="103">
        <v>1</v>
      </c>
      <c r="BA511" s="103">
        <v>0</v>
      </c>
      <c r="BB511" s="103">
        <v>0</v>
      </c>
      <c r="BC511" s="42"/>
      <c r="BD511" s="110"/>
      <c r="BE511" s="46" t="s">
        <v>5</v>
      </c>
      <c r="BF511" s="103">
        <v>10</v>
      </c>
      <c r="BG511" s="103">
        <v>41</v>
      </c>
      <c r="BH511" s="103">
        <v>38</v>
      </c>
      <c r="BI511" s="103">
        <v>24</v>
      </c>
      <c r="BJ511" s="103">
        <v>13</v>
      </c>
      <c r="BK511" s="103">
        <v>4</v>
      </c>
      <c r="BL511" s="103">
        <v>1</v>
      </c>
      <c r="BM511" s="103">
        <v>2</v>
      </c>
      <c r="BN511" s="103">
        <v>0</v>
      </c>
      <c r="BO511" s="103">
        <v>0</v>
      </c>
      <c r="BQ511" s="110"/>
      <c r="BR511" s="46" t="s">
        <v>5</v>
      </c>
      <c r="BS511" s="103">
        <v>2</v>
      </c>
      <c r="BT511" s="103">
        <v>14</v>
      </c>
      <c r="BU511" s="103">
        <v>15</v>
      </c>
      <c r="BV511" s="103">
        <v>4</v>
      </c>
      <c r="BW511" s="103">
        <v>2</v>
      </c>
      <c r="BX511" s="103">
        <v>1</v>
      </c>
      <c r="BY511" s="103">
        <v>1</v>
      </c>
      <c r="BZ511" s="103">
        <v>1</v>
      </c>
      <c r="CA511" s="103">
        <v>0</v>
      </c>
      <c r="CB511" s="103">
        <v>0</v>
      </c>
      <c r="CC511" s="42"/>
      <c r="CD511" s="110"/>
      <c r="CE511" s="46" t="s">
        <v>5</v>
      </c>
      <c r="CF511" s="103">
        <v>19</v>
      </c>
      <c r="CG511" s="103">
        <v>53</v>
      </c>
      <c r="CH511" s="103">
        <v>52</v>
      </c>
      <c r="CI511" s="103">
        <v>28</v>
      </c>
      <c r="CJ511" s="103">
        <v>19</v>
      </c>
      <c r="CK511" s="103">
        <v>6</v>
      </c>
      <c r="CL511" s="103">
        <v>2</v>
      </c>
      <c r="CM511" s="103">
        <v>2</v>
      </c>
      <c r="CN511" s="103">
        <v>0</v>
      </c>
      <c r="CO511" s="103">
        <v>0</v>
      </c>
      <c r="CQ511" s="110"/>
      <c r="CR511" s="46" t="s">
        <v>5</v>
      </c>
      <c r="CS511" s="103">
        <v>5</v>
      </c>
      <c r="CT511" s="103">
        <v>15</v>
      </c>
      <c r="CU511" s="103">
        <v>17</v>
      </c>
      <c r="CV511" s="103">
        <v>10</v>
      </c>
      <c r="CW511" s="103">
        <v>10</v>
      </c>
      <c r="CX511" s="103">
        <v>3</v>
      </c>
      <c r="CY511" s="103">
        <v>3</v>
      </c>
      <c r="CZ511" s="103">
        <v>1</v>
      </c>
      <c r="DA511" s="103">
        <v>0</v>
      </c>
      <c r="DB511" s="103">
        <v>0</v>
      </c>
      <c r="DC511" s="42"/>
      <c r="DD511" s="110"/>
      <c r="DE511" s="46" t="s">
        <v>5</v>
      </c>
      <c r="DF511" s="103">
        <v>16</v>
      </c>
      <c r="DG511" s="103">
        <v>52</v>
      </c>
      <c r="DH511" s="103">
        <v>50</v>
      </c>
      <c r="DI511" s="103">
        <v>22</v>
      </c>
      <c r="DJ511" s="103">
        <v>11</v>
      </c>
      <c r="DK511" s="103">
        <v>4</v>
      </c>
      <c r="DL511" s="103">
        <v>0</v>
      </c>
      <c r="DM511" s="103">
        <v>2</v>
      </c>
      <c r="DN511" s="103">
        <v>0</v>
      </c>
      <c r="DO511" s="103">
        <v>0</v>
      </c>
    </row>
    <row r="512" spans="2:119" ht="16.25" customHeight="1" x14ac:dyDescent="0.45">
      <c r="B512" s="134"/>
      <c r="C512" s="42"/>
      <c r="D512" s="110"/>
      <c r="E512" s="46" t="s">
        <v>6</v>
      </c>
      <c r="F512" s="103">
        <v>46</v>
      </c>
      <c r="G512" s="103">
        <v>135</v>
      </c>
      <c r="H512" s="103">
        <v>212</v>
      </c>
      <c r="I512" s="103">
        <v>182</v>
      </c>
      <c r="J512" s="103">
        <v>86</v>
      </c>
      <c r="K512" s="103">
        <v>52</v>
      </c>
      <c r="L512" s="103">
        <v>35</v>
      </c>
      <c r="M512" s="103">
        <v>11</v>
      </c>
      <c r="N512" s="103">
        <v>2</v>
      </c>
      <c r="O512" s="103">
        <v>1</v>
      </c>
      <c r="P512" s="42"/>
      <c r="Q512" s="110"/>
      <c r="R512" s="46" t="s">
        <v>6</v>
      </c>
      <c r="S512" s="103">
        <v>21</v>
      </c>
      <c r="T512" s="103">
        <v>94</v>
      </c>
      <c r="U512" s="103">
        <v>154</v>
      </c>
      <c r="V512" s="103">
        <v>136</v>
      </c>
      <c r="W512" s="103">
        <v>70</v>
      </c>
      <c r="X512" s="103">
        <v>42</v>
      </c>
      <c r="Y512" s="103">
        <v>31</v>
      </c>
      <c r="Z512" s="103">
        <v>10</v>
      </c>
      <c r="AA512" s="103">
        <v>1</v>
      </c>
      <c r="AB512" s="103">
        <v>1</v>
      </c>
      <c r="AC512" s="42"/>
      <c r="AD512" s="110"/>
      <c r="AE512" s="46" t="s">
        <v>6</v>
      </c>
      <c r="AF512" s="103">
        <v>25</v>
      </c>
      <c r="AG512" s="103">
        <v>41</v>
      </c>
      <c r="AH512" s="103">
        <v>58</v>
      </c>
      <c r="AI512" s="103">
        <v>46</v>
      </c>
      <c r="AJ512" s="103">
        <v>16</v>
      </c>
      <c r="AK512" s="103">
        <v>10</v>
      </c>
      <c r="AL512" s="103">
        <v>4</v>
      </c>
      <c r="AM512" s="103">
        <v>1</v>
      </c>
      <c r="AN512" s="103">
        <v>1</v>
      </c>
      <c r="AO512" s="103">
        <v>0</v>
      </c>
      <c r="AP512" s="6"/>
      <c r="AQ512" s="110"/>
      <c r="AR512" s="46" t="s">
        <v>6</v>
      </c>
      <c r="AS512" s="103">
        <v>18</v>
      </c>
      <c r="AT512" s="103">
        <v>51</v>
      </c>
      <c r="AU512" s="103">
        <v>92</v>
      </c>
      <c r="AV512" s="103">
        <v>62</v>
      </c>
      <c r="AW512" s="103">
        <v>22</v>
      </c>
      <c r="AX512" s="103">
        <v>14</v>
      </c>
      <c r="AY512" s="103">
        <v>9</v>
      </c>
      <c r="AZ512" s="103">
        <v>7</v>
      </c>
      <c r="BA512" s="103">
        <v>1</v>
      </c>
      <c r="BB512" s="103">
        <v>1</v>
      </c>
      <c r="BC512" s="42"/>
      <c r="BD512" s="110"/>
      <c r="BE512" s="46" t="s">
        <v>6</v>
      </c>
      <c r="BF512" s="103">
        <v>28</v>
      </c>
      <c r="BG512" s="103">
        <v>84</v>
      </c>
      <c r="BH512" s="103">
        <v>120</v>
      </c>
      <c r="BI512" s="103">
        <v>120</v>
      </c>
      <c r="BJ512" s="103">
        <v>64</v>
      </c>
      <c r="BK512" s="103">
        <v>38</v>
      </c>
      <c r="BL512" s="103">
        <v>26</v>
      </c>
      <c r="BM512" s="103">
        <v>4</v>
      </c>
      <c r="BN512" s="103">
        <v>1</v>
      </c>
      <c r="BO512" s="103">
        <v>0</v>
      </c>
      <c r="BQ512" s="110"/>
      <c r="BR512" s="46" t="s">
        <v>6</v>
      </c>
      <c r="BS512" s="103">
        <v>9</v>
      </c>
      <c r="BT512" s="103">
        <v>23</v>
      </c>
      <c r="BU512" s="103">
        <v>37</v>
      </c>
      <c r="BV512" s="103">
        <v>30</v>
      </c>
      <c r="BW512" s="103">
        <v>14</v>
      </c>
      <c r="BX512" s="103">
        <v>8</v>
      </c>
      <c r="BY512" s="103">
        <v>1</v>
      </c>
      <c r="BZ512" s="103">
        <v>3</v>
      </c>
      <c r="CA512" s="103">
        <v>0</v>
      </c>
      <c r="CB512" s="103">
        <v>0</v>
      </c>
      <c r="CC512" s="42"/>
      <c r="CD512" s="110"/>
      <c r="CE512" s="46" t="s">
        <v>6</v>
      </c>
      <c r="CF512" s="103">
        <v>37</v>
      </c>
      <c r="CG512" s="103">
        <v>112</v>
      </c>
      <c r="CH512" s="103">
        <v>175</v>
      </c>
      <c r="CI512" s="103">
        <v>152</v>
      </c>
      <c r="CJ512" s="103">
        <v>72</v>
      </c>
      <c r="CK512" s="103">
        <v>44</v>
      </c>
      <c r="CL512" s="103">
        <v>34</v>
      </c>
      <c r="CM512" s="103">
        <v>8</v>
      </c>
      <c r="CN512" s="103">
        <v>2</v>
      </c>
      <c r="CO512" s="103">
        <v>1</v>
      </c>
      <c r="CQ512" s="110"/>
      <c r="CR512" s="46" t="s">
        <v>6</v>
      </c>
      <c r="CS512" s="103">
        <v>10</v>
      </c>
      <c r="CT512" s="103">
        <v>26</v>
      </c>
      <c r="CU512" s="103">
        <v>49</v>
      </c>
      <c r="CV512" s="103">
        <v>38</v>
      </c>
      <c r="CW512" s="103">
        <v>33</v>
      </c>
      <c r="CX512" s="103">
        <v>19</v>
      </c>
      <c r="CY512" s="103">
        <v>15</v>
      </c>
      <c r="CZ512" s="103">
        <v>7</v>
      </c>
      <c r="DA512" s="103">
        <v>0</v>
      </c>
      <c r="DB512" s="103">
        <v>1</v>
      </c>
      <c r="DC512" s="42"/>
      <c r="DD512" s="110"/>
      <c r="DE512" s="46" t="s">
        <v>6</v>
      </c>
      <c r="DF512" s="103">
        <v>36</v>
      </c>
      <c r="DG512" s="103">
        <v>109</v>
      </c>
      <c r="DH512" s="103">
        <v>163</v>
      </c>
      <c r="DI512" s="103">
        <v>144</v>
      </c>
      <c r="DJ512" s="103">
        <v>53</v>
      </c>
      <c r="DK512" s="103">
        <v>33</v>
      </c>
      <c r="DL512" s="103">
        <v>20</v>
      </c>
      <c r="DM512" s="103">
        <v>4</v>
      </c>
      <c r="DN512" s="103">
        <v>2</v>
      </c>
      <c r="DO512" s="103">
        <v>0</v>
      </c>
    </row>
    <row r="513" spans="2:119" ht="16.25" customHeight="1" x14ac:dyDescent="0.45">
      <c r="B513" s="134"/>
      <c r="C513" s="42"/>
      <c r="D513" s="110"/>
      <c r="E513" s="46" t="s">
        <v>7</v>
      </c>
      <c r="F513" s="103">
        <v>82</v>
      </c>
      <c r="G513" s="103">
        <v>240</v>
      </c>
      <c r="H513" s="103">
        <v>385</v>
      </c>
      <c r="I513" s="103">
        <v>463</v>
      </c>
      <c r="J513" s="103">
        <v>272</v>
      </c>
      <c r="K513" s="103">
        <v>177</v>
      </c>
      <c r="L513" s="103">
        <v>121</v>
      </c>
      <c r="M513" s="103">
        <v>41</v>
      </c>
      <c r="N513" s="103">
        <v>13</v>
      </c>
      <c r="O513" s="103">
        <v>5</v>
      </c>
      <c r="P513" s="42"/>
      <c r="Q513" s="110"/>
      <c r="R513" s="46" t="s">
        <v>7</v>
      </c>
      <c r="S513" s="103">
        <v>34</v>
      </c>
      <c r="T513" s="103">
        <v>154</v>
      </c>
      <c r="U513" s="103">
        <v>261</v>
      </c>
      <c r="V513" s="103">
        <v>345</v>
      </c>
      <c r="W513" s="103">
        <v>204</v>
      </c>
      <c r="X513" s="103">
        <v>152</v>
      </c>
      <c r="Y513" s="103">
        <v>109</v>
      </c>
      <c r="Z513" s="103">
        <v>35</v>
      </c>
      <c r="AA513" s="103">
        <v>12</v>
      </c>
      <c r="AB513" s="103">
        <v>5</v>
      </c>
      <c r="AC513" s="42"/>
      <c r="AD513" s="110"/>
      <c r="AE513" s="46" t="s">
        <v>7</v>
      </c>
      <c r="AF513" s="103">
        <v>48</v>
      </c>
      <c r="AG513" s="103">
        <v>86</v>
      </c>
      <c r="AH513" s="103">
        <v>124</v>
      </c>
      <c r="AI513" s="103">
        <v>118</v>
      </c>
      <c r="AJ513" s="103">
        <v>68</v>
      </c>
      <c r="AK513" s="103">
        <v>25</v>
      </c>
      <c r="AL513" s="103">
        <v>12</v>
      </c>
      <c r="AM513" s="103">
        <v>6</v>
      </c>
      <c r="AN513" s="103">
        <v>1</v>
      </c>
      <c r="AO513" s="103">
        <v>0</v>
      </c>
      <c r="AP513" s="6"/>
      <c r="AQ513" s="110"/>
      <c r="AR513" s="46" t="s">
        <v>7</v>
      </c>
      <c r="AS513" s="103">
        <v>36</v>
      </c>
      <c r="AT513" s="103">
        <v>101</v>
      </c>
      <c r="AU513" s="103">
        <v>134</v>
      </c>
      <c r="AV513" s="103">
        <v>129</v>
      </c>
      <c r="AW513" s="103">
        <v>69</v>
      </c>
      <c r="AX513" s="103">
        <v>46</v>
      </c>
      <c r="AY513" s="103">
        <v>31</v>
      </c>
      <c r="AZ513" s="103">
        <v>12</v>
      </c>
      <c r="BA513" s="103">
        <v>3</v>
      </c>
      <c r="BB513" s="103">
        <v>2</v>
      </c>
      <c r="BC513" s="42"/>
      <c r="BD513" s="110"/>
      <c r="BE513" s="46" t="s">
        <v>7</v>
      </c>
      <c r="BF513" s="103">
        <v>46</v>
      </c>
      <c r="BG513" s="103">
        <v>139</v>
      </c>
      <c r="BH513" s="103">
        <v>251</v>
      </c>
      <c r="BI513" s="103">
        <v>334</v>
      </c>
      <c r="BJ513" s="103">
        <v>203</v>
      </c>
      <c r="BK513" s="103">
        <v>131</v>
      </c>
      <c r="BL513" s="103">
        <v>90</v>
      </c>
      <c r="BM513" s="103">
        <v>29</v>
      </c>
      <c r="BN513" s="103">
        <v>10</v>
      </c>
      <c r="BO513" s="103">
        <v>3</v>
      </c>
      <c r="BQ513" s="110"/>
      <c r="BR513" s="46" t="s">
        <v>7</v>
      </c>
      <c r="BS513" s="103">
        <v>10</v>
      </c>
      <c r="BT513" s="103">
        <v>23</v>
      </c>
      <c r="BU513" s="103">
        <v>37</v>
      </c>
      <c r="BV513" s="103">
        <v>28</v>
      </c>
      <c r="BW513" s="103">
        <v>17</v>
      </c>
      <c r="BX513" s="103">
        <v>10</v>
      </c>
      <c r="BY513" s="103">
        <v>11</v>
      </c>
      <c r="BZ513" s="103">
        <v>6</v>
      </c>
      <c r="CA513" s="103">
        <v>0</v>
      </c>
      <c r="CB513" s="103">
        <v>0</v>
      </c>
      <c r="CC513" s="42"/>
      <c r="CD513" s="110"/>
      <c r="CE513" s="46" t="s">
        <v>7</v>
      </c>
      <c r="CF513" s="103">
        <v>72</v>
      </c>
      <c r="CG513" s="103">
        <v>217</v>
      </c>
      <c r="CH513" s="103">
        <v>348</v>
      </c>
      <c r="CI513" s="103">
        <v>435</v>
      </c>
      <c r="CJ513" s="103">
        <v>255</v>
      </c>
      <c r="CK513" s="103">
        <v>167</v>
      </c>
      <c r="CL513" s="103">
        <v>110</v>
      </c>
      <c r="CM513" s="103">
        <v>35</v>
      </c>
      <c r="CN513" s="103">
        <v>13</v>
      </c>
      <c r="CO513" s="103">
        <v>5</v>
      </c>
      <c r="CQ513" s="110"/>
      <c r="CR513" s="46" t="s">
        <v>7</v>
      </c>
      <c r="CS513" s="103">
        <v>10</v>
      </c>
      <c r="CT513" s="103">
        <v>38</v>
      </c>
      <c r="CU513" s="103">
        <v>65</v>
      </c>
      <c r="CV513" s="103">
        <v>102</v>
      </c>
      <c r="CW513" s="103">
        <v>67</v>
      </c>
      <c r="CX513" s="103">
        <v>46</v>
      </c>
      <c r="CY513" s="103">
        <v>43</v>
      </c>
      <c r="CZ513" s="103">
        <v>18</v>
      </c>
      <c r="DA513" s="103">
        <v>7</v>
      </c>
      <c r="DB513" s="103">
        <v>2</v>
      </c>
      <c r="DC513" s="42"/>
      <c r="DD513" s="110"/>
      <c r="DE513" s="46" t="s">
        <v>7</v>
      </c>
      <c r="DF513" s="103">
        <v>72</v>
      </c>
      <c r="DG513" s="103">
        <v>202</v>
      </c>
      <c r="DH513" s="103">
        <v>320</v>
      </c>
      <c r="DI513" s="103">
        <v>361</v>
      </c>
      <c r="DJ513" s="103">
        <v>205</v>
      </c>
      <c r="DK513" s="103">
        <v>131</v>
      </c>
      <c r="DL513" s="103">
        <v>78</v>
      </c>
      <c r="DM513" s="103">
        <v>23</v>
      </c>
      <c r="DN513" s="103">
        <v>6</v>
      </c>
      <c r="DO513" s="103">
        <v>3</v>
      </c>
    </row>
    <row r="514" spans="2:119" ht="16.25" customHeight="1" x14ac:dyDescent="0.45">
      <c r="B514" s="134"/>
      <c r="C514" s="42"/>
      <c r="D514" s="110"/>
      <c r="E514" s="46" t="s">
        <v>8</v>
      </c>
      <c r="F514" s="103">
        <v>64</v>
      </c>
      <c r="G514" s="103">
        <v>169</v>
      </c>
      <c r="H514" s="103">
        <v>391</v>
      </c>
      <c r="I514" s="103">
        <v>681</v>
      </c>
      <c r="J514" s="103">
        <v>557</v>
      </c>
      <c r="K514" s="103">
        <v>438</v>
      </c>
      <c r="L514" s="103">
        <v>345</v>
      </c>
      <c r="M514" s="103">
        <v>182</v>
      </c>
      <c r="N514" s="103">
        <v>56</v>
      </c>
      <c r="O514" s="103">
        <v>15</v>
      </c>
      <c r="P514" s="42"/>
      <c r="Q514" s="110"/>
      <c r="R514" s="46" t="s">
        <v>8</v>
      </c>
      <c r="S514" s="103">
        <v>23</v>
      </c>
      <c r="T514" s="103">
        <v>92</v>
      </c>
      <c r="U514" s="103">
        <v>258</v>
      </c>
      <c r="V514" s="103">
        <v>454</v>
      </c>
      <c r="W514" s="103">
        <v>416</v>
      </c>
      <c r="X514" s="103">
        <v>352</v>
      </c>
      <c r="Y514" s="103">
        <v>290</v>
      </c>
      <c r="Z514" s="103">
        <v>165</v>
      </c>
      <c r="AA514" s="103">
        <v>51</v>
      </c>
      <c r="AB514" s="103">
        <v>11</v>
      </c>
      <c r="AC514" s="42"/>
      <c r="AD514" s="110"/>
      <c r="AE514" s="46" t="s">
        <v>8</v>
      </c>
      <c r="AF514" s="103">
        <v>41</v>
      </c>
      <c r="AG514" s="103">
        <v>77</v>
      </c>
      <c r="AH514" s="103">
        <v>133</v>
      </c>
      <c r="AI514" s="103">
        <v>227</v>
      </c>
      <c r="AJ514" s="103">
        <v>141</v>
      </c>
      <c r="AK514" s="103">
        <v>86</v>
      </c>
      <c r="AL514" s="103">
        <v>55</v>
      </c>
      <c r="AM514" s="103">
        <v>17</v>
      </c>
      <c r="AN514" s="103">
        <v>5</v>
      </c>
      <c r="AO514" s="103">
        <v>4</v>
      </c>
      <c r="AP514" s="6"/>
      <c r="AQ514" s="110"/>
      <c r="AR514" s="46" t="s">
        <v>8</v>
      </c>
      <c r="AS514" s="103">
        <v>26</v>
      </c>
      <c r="AT514" s="103">
        <v>66</v>
      </c>
      <c r="AU514" s="103">
        <v>118</v>
      </c>
      <c r="AV514" s="103">
        <v>198</v>
      </c>
      <c r="AW514" s="103">
        <v>158</v>
      </c>
      <c r="AX514" s="103">
        <v>96</v>
      </c>
      <c r="AY514" s="103">
        <v>73</v>
      </c>
      <c r="AZ514" s="103">
        <v>51</v>
      </c>
      <c r="BA514" s="103">
        <v>18</v>
      </c>
      <c r="BB514" s="103">
        <v>5</v>
      </c>
      <c r="BC514" s="42"/>
      <c r="BD514" s="110"/>
      <c r="BE514" s="46" t="s">
        <v>8</v>
      </c>
      <c r="BF514" s="103">
        <v>38</v>
      </c>
      <c r="BG514" s="103">
        <v>103</v>
      </c>
      <c r="BH514" s="103">
        <v>273</v>
      </c>
      <c r="BI514" s="103">
        <v>483</v>
      </c>
      <c r="BJ514" s="103">
        <v>399</v>
      </c>
      <c r="BK514" s="103">
        <v>342</v>
      </c>
      <c r="BL514" s="103">
        <v>272</v>
      </c>
      <c r="BM514" s="103">
        <v>131</v>
      </c>
      <c r="BN514" s="103">
        <v>38</v>
      </c>
      <c r="BO514" s="103">
        <v>10</v>
      </c>
      <c r="BQ514" s="110"/>
      <c r="BR514" s="46" t="s">
        <v>8</v>
      </c>
      <c r="BS514" s="103">
        <v>10</v>
      </c>
      <c r="BT514" s="103">
        <v>16</v>
      </c>
      <c r="BU514" s="103">
        <v>30</v>
      </c>
      <c r="BV514" s="103">
        <v>49</v>
      </c>
      <c r="BW514" s="103">
        <v>32</v>
      </c>
      <c r="BX514" s="103">
        <v>16</v>
      </c>
      <c r="BY514" s="103">
        <v>15</v>
      </c>
      <c r="BZ514" s="103">
        <v>6</v>
      </c>
      <c r="CA514" s="103">
        <v>4</v>
      </c>
      <c r="CB514" s="103">
        <v>1</v>
      </c>
      <c r="CC514" s="42"/>
      <c r="CD514" s="110"/>
      <c r="CE514" s="46" t="s">
        <v>8</v>
      </c>
      <c r="CF514" s="103">
        <v>54</v>
      </c>
      <c r="CG514" s="103">
        <v>153</v>
      </c>
      <c r="CH514" s="103">
        <v>361</v>
      </c>
      <c r="CI514" s="103">
        <v>632</v>
      </c>
      <c r="CJ514" s="103">
        <v>525</v>
      </c>
      <c r="CK514" s="103">
        <v>422</v>
      </c>
      <c r="CL514" s="103">
        <v>330</v>
      </c>
      <c r="CM514" s="103">
        <v>176</v>
      </c>
      <c r="CN514" s="103">
        <v>52</v>
      </c>
      <c r="CO514" s="103">
        <v>14</v>
      </c>
      <c r="CQ514" s="110"/>
      <c r="CR514" s="46" t="s">
        <v>8</v>
      </c>
      <c r="CS514" s="103">
        <v>7</v>
      </c>
      <c r="CT514" s="103">
        <v>25</v>
      </c>
      <c r="CU514" s="103">
        <v>46</v>
      </c>
      <c r="CV514" s="103">
        <v>107</v>
      </c>
      <c r="CW514" s="103">
        <v>111</v>
      </c>
      <c r="CX514" s="103">
        <v>88</v>
      </c>
      <c r="CY514" s="103">
        <v>87</v>
      </c>
      <c r="CZ514" s="103">
        <v>60</v>
      </c>
      <c r="DA514" s="103">
        <v>18</v>
      </c>
      <c r="DB514" s="103">
        <v>6</v>
      </c>
      <c r="DC514" s="42"/>
      <c r="DD514" s="110"/>
      <c r="DE514" s="46" t="s">
        <v>8</v>
      </c>
      <c r="DF514" s="103">
        <v>57</v>
      </c>
      <c r="DG514" s="103">
        <v>144</v>
      </c>
      <c r="DH514" s="103">
        <v>345</v>
      </c>
      <c r="DI514" s="103">
        <v>574</v>
      </c>
      <c r="DJ514" s="103">
        <v>446</v>
      </c>
      <c r="DK514" s="103">
        <v>350</v>
      </c>
      <c r="DL514" s="103">
        <v>258</v>
      </c>
      <c r="DM514" s="103">
        <v>122</v>
      </c>
      <c r="DN514" s="103">
        <v>38</v>
      </c>
      <c r="DO514" s="103">
        <v>9</v>
      </c>
    </row>
    <row r="515" spans="2:119" ht="16.25" customHeight="1" x14ac:dyDescent="0.45">
      <c r="B515" s="134"/>
      <c r="C515" s="42"/>
      <c r="D515" s="110"/>
      <c r="E515" s="46" t="s">
        <v>9</v>
      </c>
      <c r="F515" s="103">
        <v>33</v>
      </c>
      <c r="G515" s="103">
        <v>83</v>
      </c>
      <c r="H515" s="103">
        <v>298</v>
      </c>
      <c r="I515" s="103">
        <v>532</v>
      </c>
      <c r="J515" s="103">
        <v>635</v>
      </c>
      <c r="K515" s="103">
        <v>727</v>
      </c>
      <c r="L515" s="103">
        <v>584</v>
      </c>
      <c r="M515" s="103">
        <v>379</v>
      </c>
      <c r="N515" s="103">
        <v>236</v>
      </c>
      <c r="O515" s="103">
        <v>68</v>
      </c>
      <c r="P515" s="42"/>
      <c r="Q515" s="110"/>
      <c r="R515" s="46" t="s">
        <v>9</v>
      </c>
      <c r="S515" s="103">
        <v>14</v>
      </c>
      <c r="T515" s="103">
        <v>39</v>
      </c>
      <c r="U515" s="103">
        <v>149</v>
      </c>
      <c r="V515" s="103">
        <v>327</v>
      </c>
      <c r="W515" s="103">
        <v>407</v>
      </c>
      <c r="X515" s="103">
        <v>509</v>
      </c>
      <c r="Y515" s="103">
        <v>440</v>
      </c>
      <c r="Z515" s="103">
        <v>314</v>
      </c>
      <c r="AA515" s="103">
        <v>197</v>
      </c>
      <c r="AB515" s="103">
        <v>63</v>
      </c>
      <c r="AC515" s="42"/>
      <c r="AD515" s="110"/>
      <c r="AE515" s="46" t="s">
        <v>9</v>
      </c>
      <c r="AF515" s="103">
        <v>19</v>
      </c>
      <c r="AG515" s="103">
        <v>44</v>
      </c>
      <c r="AH515" s="103">
        <v>149</v>
      </c>
      <c r="AI515" s="103">
        <v>205</v>
      </c>
      <c r="AJ515" s="103">
        <v>228</v>
      </c>
      <c r="AK515" s="103">
        <v>218</v>
      </c>
      <c r="AL515" s="103">
        <v>144</v>
      </c>
      <c r="AM515" s="103">
        <v>65</v>
      </c>
      <c r="AN515" s="103">
        <v>39</v>
      </c>
      <c r="AO515" s="103">
        <v>5</v>
      </c>
      <c r="AP515" s="6"/>
      <c r="AQ515" s="110"/>
      <c r="AR515" s="46" t="s">
        <v>9</v>
      </c>
      <c r="AS515" s="103">
        <v>11</v>
      </c>
      <c r="AT515" s="103">
        <v>24</v>
      </c>
      <c r="AU515" s="103">
        <v>80</v>
      </c>
      <c r="AV515" s="103">
        <v>116</v>
      </c>
      <c r="AW515" s="103">
        <v>136</v>
      </c>
      <c r="AX515" s="103">
        <v>149</v>
      </c>
      <c r="AY515" s="103">
        <v>124</v>
      </c>
      <c r="AZ515" s="103">
        <v>60</v>
      </c>
      <c r="BA515" s="103">
        <v>45</v>
      </c>
      <c r="BB515" s="103">
        <v>13</v>
      </c>
      <c r="BC515" s="42"/>
      <c r="BD515" s="110"/>
      <c r="BE515" s="46" t="s">
        <v>9</v>
      </c>
      <c r="BF515" s="103">
        <v>22</v>
      </c>
      <c r="BG515" s="103">
        <v>59</v>
      </c>
      <c r="BH515" s="103">
        <v>218</v>
      </c>
      <c r="BI515" s="103">
        <v>416</v>
      </c>
      <c r="BJ515" s="103">
        <v>499</v>
      </c>
      <c r="BK515" s="103">
        <v>578</v>
      </c>
      <c r="BL515" s="103">
        <v>460</v>
      </c>
      <c r="BM515" s="103">
        <v>319</v>
      </c>
      <c r="BN515" s="103">
        <v>191</v>
      </c>
      <c r="BO515" s="103">
        <v>55</v>
      </c>
      <c r="BQ515" s="110"/>
      <c r="BR515" s="46" t="s">
        <v>9</v>
      </c>
      <c r="BS515" s="103">
        <v>2</v>
      </c>
      <c r="BT515" s="103">
        <v>6</v>
      </c>
      <c r="BU515" s="103">
        <v>29</v>
      </c>
      <c r="BV515" s="103">
        <v>41</v>
      </c>
      <c r="BW515" s="103">
        <v>26</v>
      </c>
      <c r="BX515" s="103">
        <v>37</v>
      </c>
      <c r="BY515" s="103">
        <v>19</v>
      </c>
      <c r="BZ515" s="103">
        <v>5</v>
      </c>
      <c r="CA515" s="103">
        <v>6</v>
      </c>
      <c r="CB515" s="103">
        <v>1</v>
      </c>
      <c r="CC515" s="42"/>
      <c r="CD515" s="110"/>
      <c r="CE515" s="46" t="s">
        <v>9</v>
      </c>
      <c r="CF515" s="103">
        <v>31</v>
      </c>
      <c r="CG515" s="103">
        <v>77</v>
      </c>
      <c r="CH515" s="103">
        <v>269</v>
      </c>
      <c r="CI515" s="103">
        <v>491</v>
      </c>
      <c r="CJ515" s="103">
        <v>609</v>
      </c>
      <c r="CK515" s="103">
        <v>690</v>
      </c>
      <c r="CL515" s="103">
        <v>565</v>
      </c>
      <c r="CM515" s="103">
        <v>374</v>
      </c>
      <c r="CN515" s="103">
        <v>230</v>
      </c>
      <c r="CO515" s="103">
        <v>67</v>
      </c>
      <c r="CQ515" s="110"/>
      <c r="CR515" s="46" t="s">
        <v>9</v>
      </c>
      <c r="CS515" s="103">
        <v>5</v>
      </c>
      <c r="CT515" s="103">
        <v>5</v>
      </c>
      <c r="CU515" s="103">
        <v>38</v>
      </c>
      <c r="CV515" s="103">
        <v>66</v>
      </c>
      <c r="CW515" s="103">
        <v>101</v>
      </c>
      <c r="CX515" s="103">
        <v>135</v>
      </c>
      <c r="CY515" s="103">
        <v>100</v>
      </c>
      <c r="CZ515" s="103">
        <v>76</v>
      </c>
      <c r="DA515" s="103">
        <v>58</v>
      </c>
      <c r="DB515" s="103">
        <v>24</v>
      </c>
      <c r="DC515" s="42"/>
      <c r="DD515" s="110"/>
      <c r="DE515" s="46" t="s">
        <v>9</v>
      </c>
      <c r="DF515" s="103">
        <v>28</v>
      </c>
      <c r="DG515" s="103">
        <v>78</v>
      </c>
      <c r="DH515" s="103">
        <v>260</v>
      </c>
      <c r="DI515" s="103">
        <v>466</v>
      </c>
      <c r="DJ515" s="103">
        <v>534</v>
      </c>
      <c r="DK515" s="103">
        <v>592</v>
      </c>
      <c r="DL515" s="103">
        <v>484</v>
      </c>
      <c r="DM515" s="103">
        <v>303</v>
      </c>
      <c r="DN515" s="103">
        <v>178</v>
      </c>
      <c r="DO515" s="103">
        <v>44</v>
      </c>
    </row>
    <row r="516" spans="2:119" ht="16.25" customHeight="1" x14ac:dyDescent="0.45">
      <c r="B516" s="134"/>
      <c r="C516" s="42"/>
      <c r="D516" s="110"/>
      <c r="E516" s="46" t="s">
        <v>10</v>
      </c>
      <c r="F516" s="103">
        <v>8</v>
      </c>
      <c r="G516" s="103">
        <v>34</v>
      </c>
      <c r="H516" s="103">
        <v>113</v>
      </c>
      <c r="I516" s="103">
        <v>254</v>
      </c>
      <c r="J516" s="103">
        <v>325</v>
      </c>
      <c r="K516" s="103">
        <v>492</v>
      </c>
      <c r="L516" s="103">
        <v>628</v>
      </c>
      <c r="M516" s="103">
        <v>511</v>
      </c>
      <c r="N516" s="103">
        <v>400</v>
      </c>
      <c r="O516" s="103">
        <v>201</v>
      </c>
      <c r="P516" s="42"/>
      <c r="Q516" s="110"/>
      <c r="R516" s="46" t="s">
        <v>10</v>
      </c>
      <c r="S516" s="103">
        <v>2</v>
      </c>
      <c r="T516" s="103">
        <v>15</v>
      </c>
      <c r="U516" s="103">
        <v>62</v>
      </c>
      <c r="V516" s="103">
        <v>121</v>
      </c>
      <c r="W516" s="103">
        <v>169</v>
      </c>
      <c r="X516" s="103">
        <v>298</v>
      </c>
      <c r="Y516" s="103">
        <v>440</v>
      </c>
      <c r="Z516" s="103">
        <v>380</v>
      </c>
      <c r="AA516" s="103">
        <v>326</v>
      </c>
      <c r="AB516" s="103">
        <v>172</v>
      </c>
      <c r="AC516" s="42"/>
      <c r="AD516" s="110"/>
      <c r="AE516" s="46" t="s">
        <v>10</v>
      </c>
      <c r="AF516" s="103">
        <v>6</v>
      </c>
      <c r="AG516" s="103">
        <v>19</v>
      </c>
      <c r="AH516" s="103">
        <v>51</v>
      </c>
      <c r="AI516" s="103">
        <v>133</v>
      </c>
      <c r="AJ516" s="103">
        <v>156</v>
      </c>
      <c r="AK516" s="103">
        <v>194</v>
      </c>
      <c r="AL516" s="103">
        <v>188</v>
      </c>
      <c r="AM516" s="103">
        <v>131</v>
      </c>
      <c r="AN516" s="103">
        <v>74</v>
      </c>
      <c r="AO516" s="103">
        <v>29</v>
      </c>
      <c r="AP516" s="6"/>
      <c r="AQ516" s="110"/>
      <c r="AR516" s="46" t="s">
        <v>10</v>
      </c>
      <c r="AS516" s="103">
        <v>8</v>
      </c>
      <c r="AT516" s="103">
        <v>9</v>
      </c>
      <c r="AU516" s="103">
        <v>35</v>
      </c>
      <c r="AV516" s="103">
        <v>66</v>
      </c>
      <c r="AW516" s="103">
        <v>69</v>
      </c>
      <c r="AX516" s="103">
        <v>103</v>
      </c>
      <c r="AY516" s="103">
        <v>90</v>
      </c>
      <c r="AZ516" s="103">
        <v>61</v>
      </c>
      <c r="BA516" s="103">
        <v>60</v>
      </c>
      <c r="BB516" s="103">
        <v>23</v>
      </c>
      <c r="BC516" s="42"/>
      <c r="BD516" s="110"/>
      <c r="BE516" s="46" t="s">
        <v>10</v>
      </c>
      <c r="BF516" s="103">
        <v>0</v>
      </c>
      <c r="BG516" s="103">
        <v>25</v>
      </c>
      <c r="BH516" s="103">
        <v>78</v>
      </c>
      <c r="BI516" s="103">
        <v>188</v>
      </c>
      <c r="BJ516" s="103">
        <v>256</v>
      </c>
      <c r="BK516" s="103">
        <v>389</v>
      </c>
      <c r="BL516" s="103">
        <v>538</v>
      </c>
      <c r="BM516" s="103">
        <v>450</v>
      </c>
      <c r="BN516" s="103">
        <v>340</v>
      </c>
      <c r="BO516" s="103">
        <v>178</v>
      </c>
      <c r="BQ516" s="110"/>
      <c r="BR516" s="46" t="s">
        <v>10</v>
      </c>
      <c r="BS516" s="103">
        <v>0</v>
      </c>
      <c r="BT516" s="103">
        <v>3</v>
      </c>
      <c r="BU516" s="103">
        <v>10</v>
      </c>
      <c r="BV516" s="103">
        <v>11</v>
      </c>
      <c r="BW516" s="103">
        <v>20</v>
      </c>
      <c r="BX516" s="103">
        <v>22</v>
      </c>
      <c r="BY516" s="103">
        <v>16</v>
      </c>
      <c r="BZ516" s="103">
        <v>26</v>
      </c>
      <c r="CA516" s="103">
        <v>14</v>
      </c>
      <c r="CB516" s="103">
        <v>6</v>
      </c>
      <c r="CC516" s="42"/>
      <c r="CD516" s="110"/>
      <c r="CE516" s="46" t="s">
        <v>10</v>
      </c>
      <c r="CF516" s="103">
        <v>8</v>
      </c>
      <c r="CG516" s="103">
        <v>31</v>
      </c>
      <c r="CH516" s="103">
        <v>103</v>
      </c>
      <c r="CI516" s="103">
        <v>243</v>
      </c>
      <c r="CJ516" s="103">
        <v>305</v>
      </c>
      <c r="CK516" s="103">
        <v>470</v>
      </c>
      <c r="CL516" s="103">
        <v>612</v>
      </c>
      <c r="CM516" s="103">
        <v>485</v>
      </c>
      <c r="CN516" s="103">
        <v>386</v>
      </c>
      <c r="CO516" s="103">
        <v>195</v>
      </c>
      <c r="CQ516" s="110"/>
      <c r="CR516" s="46" t="s">
        <v>10</v>
      </c>
      <c r="CS516" s="103">
        <v>0</v>
      </c>
      <c r="CT516" s="103">
        <v>4</v>
      </c>
      <c r="CU516" s="103">
        <v>14</v>
      </c>
      <c r="CV516" s="103">
        <v>25</v>
      </c>
      <c r="CW516" s="103">
        <v>45</v>
      </c>
      <c r="CX516" s="103">
        <v>69</v>
      </c>
      <c r="CY516" s="103">
        <v>111</v>
      </c>
      <c r="CZ516" s="103">
        <v>91</v>
      </c>
      <c r="DA516" s="103">
        <v>88</v>
      </c>
      <c r="DB516" s="103">
        <v>54</v>
      </c>
      <c r="DC516" s="42"/>
      <c r="DD516" s="110"/>
      <c r="DE516" s="46" t="s">
        <v>10</v>
      </c>
      <c r="DF516" s="103">
        <v>8</v>
      </c>
      <c r="DG516" s="103">
        <v>30</v>
      </c>
      <c r="DH516" s="103">
        <v>99</v>
      </c>
      <c r="DI516" s="103">
        <v>229</v>
      </c>
      <c r="DJ516" s="103">
        <v>280</v>
      </c>
      <c r="DK516" s="103">
        <v>423</v>
      </c>
      <c r="DL516" s="103">
        <v>517</v>
      </c>
      <c r="DM516" s="103">
        <v>420</v>
      </c>
      <c r="DN516" s="103">
        <v>312</v>
      </c>
      <c r="DO516" s="103">
        <v>147</v>
      </c>
    </row>
    <row r="517" spans="2:119" ht="16.25" customHeight="1" x14ac:dyDescent="0.45">
      <c r="B517" s="134"/>
      <c r="C517" s="42"/>
      <c r="D517" s="111"/>
      <c r="E517" s="46" t="s">
        <v>11</v>
      </c>
      <c r="F517" s="103">
        <v>0</v>
      </c>
      <c r="G517" s="103">
        <v>1</v>
      </c>
      <c r="H517" s="103">
        <v>4</v>
      </c>
      <c r="I517" s="103">
        <v>17</v>
      </c>
      <c r="J517" s="103">
        <v>26</v>
      </c>
      <c r="K517" s="103">
        <v>47</v>
      </c>
      <c r="L517" s="103">
        <v>122</v>
      </c>
      <c r="M517" s="103">
        <v>136</v>
      </c>
      <c r="N517" s="103">
        <v>159</v>
      </c>
      <c r="O517" s="103">
        <v>139</v>
      </c>
      <c r="P517" s="42"/>
      <c r="Q517" s="111"/>
      <c r="R517" s="46" t="s">
        <v>11</v>
      </c>
      <c r="S517" s="103">
        <v>0</v>
      </c>
      <c r="T517" s="103">
        <v>1</v>
      </c>
      <c r="U517" s="103">
        <v>3</v>
      </c>
      <c r="V517" s="103">
        <v>7</v>
      </c>
      <c r="W517" s="103">
        <v>9</v>
      </c>
      <c r="X517" s="103">
        <v>27</v>
      </c>
      <c r="Y517" s="103">
        <v>79</v>
      </c>
      <c r="Z517" s="103">
        <v>93</v>
      </c>
      <c r="AA517" s="103">
        <v>116</v>
      </c>
      <c r="AB517" s="103">
        <v>115</v>
      </c>
      <c r="AC517" s="42"/>
      <c r="AD517" s="111"/>
      <c r="AE517" s="46" t="s">
        <v>11</v>
      </c>
      <c r="AF517" s="103">
        <v>0</v>
      </c>
      <c r="AG517" s="103">
        <v>0</v>
      </c>
      <c r="AH517" s="103">
        <v>1</v>
      </c>
      <c r="AI517" s="103">
        <v>10</v>
      </c>
      <c r="AJ517" s="103">
        <v>17</v>
      </c>
      <c r="AK517" s="103">
        <v>20</v>
      </c>
      <c r="AL517" s="103">
        <v>43</v>
      </c>
      <c r="AM517" s="103">
        <v>43</v>
      </c>
      <c r="AN517" s="103">
        <v>43</v>
      </c>
      <c r="AO517" s="103">
        <v>24</v>
      </c>
      <c r="AP517" s="6"/>
      <c r="AQ517" s="111"/>
      <c r="AR517" s="46" t="s">
        <v>11</v>
      </c>
      <c r="AS517" s="103">
        <v>0</v>
      </c>
      <c r="AT517" s="103">
        <v>1</v>
      </c>
      <c r="AU517" s="103">
        <v>1</v>
      </c>
      <c r="AV517" s="103">
        <v>5</v>
      </c>
      <c r="AW517" s="103">
        <v>5</v>
      </c>
      <c r="AX517" s="103">
        <v>8</v>
      </c>
      <c r="AY517" s="103">
        <v>12</v>
      </c>
      <c r="AZ517" s="103">
        <v>15</v>
      </c>
      <c r="BA517" s="103">
        <v>22</v>
      </c>
      <c r="BB517" s="103">
        <v>16</v>
      </c>
      <c r="BC517" s="42"/>
      <c r="BD517" s="111"/>
      <c r="BE517" s="46" t="s">
        <v>11</v>
      </c>
      <c r="BF517" s="103">
        <v>0</v>
      </c>
      <c r="BG517" s="103">
        <v>0</v>
      </c>
      <c r="BH517" s="103">
        <v>3</v>
      </c>
      <c r="BI517" s="103">
        <v>12</v>
      </c>
      <c r="BJ517" s="103">
        <v>21</v>
      </c>
      <c r="BK517" s="103">
        <v>39</v>
      </c>
      <c r="BL517" s="103">
        <v>110</v>
      </c>
      <c r="BM517" s="103">
        <v>121</v>
      </c>
      <c r="BN517" s="103">
        <v>137</v>
      </c>
      <c r="BO517" s="103">
        <v>123</v>
      </c>
      <c r="BQ517" s="111"/>
      <c r="BR517" s="46" t="s">
        <v>11</v>
      </c>
      <c r="BS517" s="103">
        <v>0</v>
      </c>
      <c r="BT517" s="103">
        <v>0</v>
      </c>
      <c r="BU517" s="103">
        <v>0</v>
      </c>
      <c r="BV517" s="103">
        <v>0</v>
      </c>
      <c r="BW517" s="103">
        <v>1</v>
      </c>
      <c r="BX517" s="103">
        <v>1</v>
      </c>
      <c r="BY517" s="103">
        <v>2</v>
      </c>
      <c r="BZ517" s="103">
        <v>2</v>
      </c>
      <c r="CA517" s="103">
        <v>2</v>
      </c>
      <c r="CB517" s="103">
        <v>2</v>
      </c>
      <c r="CC517" s="42"/>
      <c r="CD517" s="111"/>
      <c r="CE517" s="46" t="s">
        <v>11</v>
      </c>
      <c r="CF517" s="103">
        <v>0</v>
      </c>
      <c r="CG517" s="103">
        <v>1</v>
      </c>
      <c r="CH517" s="103">
        <v>4</v>
      </c>
      <c r="CI517" s="103">
        <v>17</v>
      </c>
      <c r="CJ517" s="103">
        <v>25</v>
      </c>
      <c r="CK517" s="103">
        <v>46</v>
      </c>
      <c r="CL517" s="103">
        <v>120</v>
      </c>
      <c r="CM517" s="103">
        <v>134</v>
      </c>
      <c r="CN517" s="103">
        <v>157</v>
      </c>
      <c r="CO517" s="103">
        <v>137</v>
      </c>
      <c r="CQ517" s="111"/>
      <c r="CR517" s="46" t="s">
        <v>11</v>
      </c>
      <c r="CS517" s="103">
        <v>0</v>
      </c>
      <c r="CT517" s="103">
        <v>0</v>
      </c>
      <c r="CU517" s="103">
        <v>0</v>
      </c>
      <c r="CV517" s="103">
        <v>1</v>
      </c>
      <c r="CW517" s="103">
        <v>2</v>
      </c>
      <c r="CX517" s="103">
        <v>7</v>
      </c>
      <c r="CY517" s="103">
        <v>17</v>
      </c>
      <c r="CZ517" s="103">
        <v>20</v>
      </c>
      <c r="DA517" s="103">
        <v>23</v>
      </c>
      <c r="DB517" s="103">
        <v>30</v>
      </c>
      <c r="DC517" s="42"/>
      <c r="DD517" s="111"/>
      <c r="DE517" s="46" t="s">
        <v>11</v>
      </c>
      <c r="DF517" s="103">
        <v>0</v>
      </c>
      <c r="DG517" s="103">
        <v>1</v>
      </c>
      <c r="DH517" s="103">
        <v>4</v>
      </c>
      <c r="DI517" s="103">
        <v>16</v>
      </c>
      <c r="DJ517" s="103">
        <v>24</v>
      </c>
      <c r="DK517" s="103">
        <v>40</v>
      </c>
      <c r="DL517" s="103">
        <v>105</v>
      </c>
      <c r="DM517" s="103">
        <v>116</v>
      </c>
      <c r="DN517" s="103">
        <v>136</v>
      </c>
      <c r="DO517" s="103">
        <v>109</v>
      </c>
    </row>
    <row r="518" spans="2:119" ht="22.5" x14ac:dyDescent="0.45">
      <c r="B518" s="99"/>
      <c r="C518" s="42"/>
      <c r="D518" s="42"/>
      <c r="E518" s="42"/>
      <c r="F518" s="42"/>
      <c r="G518" s="42"/>
      <c r="H518" s="42"/>
      <c r="I518" s="42"/>
      <c r="J518" s="42"/>
      <c r="K518" s="42"/>
      <c r="L518" s="42"/>
      <c r="M518" s="42"/>
      <c r="N518" s="42"/>
      <c r="O518" s="42"/>
      <c r="P518" s="42"/>
      <c r="Q518" s="42"/>
      <c r="R518" s="42"/>
      <c r="S518" s="42"/>
      <c r="T518" s="42"/>
      <c r="U518" s="42"/>
      <c r="V518" s="42"/>
      <c r="W518" s="42"/>
      <c r="X518" s="42"/>
      <c r="Y518" s="42"/>
      <c r="Z518" s="42"/>
      <c r="AA518" s="42"/>
      <c r="AB518" s="42"/>
      <c r="AC518" s="42"/>
      <c r="AD518" s="42"/>
      <c r="AE518" s="42"/>
      <c r="AF518" s="42"/>
      <c r="AG518" s="42"/>
      <c r="AH518" s="42"/>
      <c r="AI518" s="42"/>
      <c r="AJ518" s="42"/>
      <c r="AK518" s="42"/>
      <c r="AL518" s="42"/>
      <c r="AM518" s="42"/>
      <c r="AN518" s="42"/>
      <c r="AO518" s="42"/>
      <c r="AP518" s="6"/>
      <c r="AQ518" s="42"/>
      <c r="AR518" s="42"/>
      <c r="AS518" s="42"/>
      <c r="AT518" s="42"/>
      <c r="AU518" s="42"/>
      <c r="AV518" s="42"/>
      <c r="AW518" s="42"/>
      <c r="AX518" s="42"/>
      <c r="AY518" s="42"/>
      <c r="AZ518" s="42"/>
      <c r="BA518" s="42"/>
      <c r="BB518" s="42"/>
      <c r="BC518" s="42"/>
      <c r="BD518" s="42"/>
      <c r="BE518" s="42"/>
      <c r="BF518" s="42"/>
      <c r="BG518" s="42"/>
      <c r="BH518" s="42"/>
      <c r="BI518" s="42"/>
      <c r="BJ518" s="42"/>
      <c r="BK518" s="42"/>
      <c r="BL518" s="42"/>
      <c r="BM518" s="42"/>
      <c r="BN518" s="42"/>
      <c r="BO518" s="42"/>
      <c r="BQ518" s="42"/>
      <c r="BR518" s="42"/>
      <c r="BS518" s="42"/>
      <c r="BT518" s="42"/>
      <c r="BU518" s="42"/>
      <c r="BV518" s="42"/>
      <c r="BW518" s="42"/>
      <c r="BX518" s="42"/>
      <c r="BY518" s="42"/>
      <c r="BZ518" s="42"/>
      <c r="CA518" s="42"/>
      <c r="CB518" s="42"/>
      <c r="CC518" s="42"/>
      <c r="CD518" s="42"/>
      <c r="CE518" s="42"/>
      <c r="CF518" s="42"/>
      <c r="CG518" s="42"/>
      <c r="CH518" s="42"/>
      <c r="CI518" s="42"/>
      <c r="CJ518" s="42"/>
      <c r="CK518" s="42"/>
      <c r="CL518" s="42"/>
      <c r="CM518" s="42"/>
      <c r="CN518" s="42"/>
      <c r="CO518" s="42"/>
      <c r="CQ518" s="42"/>
      <c r="CR518" s="42"/>
      <c r="CS518" s="42"/>
      <c r="CT518" s="42"/>
      <c r="CU518" s="42"/>
      <c r="CV518" s="42"/>
      <c r="CW518" s="42"/>
      <c r="CX518" s="42"/>
      <c r="CY518" s="42"/>
      <c r="CZ518" s="42"/>
      <c r="DA518" s="42"/>
      <c r="DB518" s="42"/>
      <c r="DC518" s="42"/>
      <c r="DD518" s="42"/>
      <c r="DE518" s="42"/>
      <c r="DF518" s="42"/>
      <c r="DG518" s="42"/>
      <c r="DH518" s="42"/>
      <c r="DI518" s="42"/>
      <c r="DJ518" s="42"/>
      <c r="DK518" s="42"/>
      <c r="DL518" s="42"/>
      <c r="DM518" s="42"/>
      <c r="DN518" s="42"/>
      <c r="DO518" s="42"/>
    </row>
    <row r="519" spans="2:119" ht="18.75" customHeight="1" x14ac:dyDescent="0.55000000000000004">
      <c r="B519" s="99"/>
      <c r="C519" s="42"/>
      <c r="D519" s="112" t="s">
        <v>16</v>
      </c>
      <c r="E519" s="112"/>
      <c r="F519" s="45"/>
      <c r="G519" s="45"/>
      <c r="H519" s="45"/>
      <c r="I519" s="45"/>
      <c r="J519" s="45"/>
      <c r="K519" s="45"/>
      <c r="L519" s="45"/>
      <c r="M519" s="45"/>
      <c r="N519" s="45"/>
      <c r="O519" s="45"/>
      <c r="P519" s="42"/>
      <c r="Q519" s="112" t="s">
        <v>16</v>
      </c>
      <c r="R519" s="112"/>
      <c r="S519" s="45"/>
      <c r="T519" s="45"/>
      <c r="U519" s="45"/>
      <c r="V519" s="45"/>
      <c r="W519" s="45"/>
      <c r="X519" s="45"/>
      <c r="Y519" s="45"/>
      <c r="Z519" s="45"/>
      <c r="AA519" s="45"/>
      <c r="AB519" s="45"/>
      <c r="AC519" s="42"/>
      <c r="AD519" s="112" t="s">
        <v>16</v>
      </c>
      <c r="AE519" s="112"/>
      <c r="AF519" s="45"/>
      <c r="AG519" s="45"/>
      <c r="AH519" s="45"/>
      <c r="AI519" s="45"/>
      <c r="AJ519" s="45"/>
      <c r="AK519" s="45"/>
      <c r="AL519" s="45"/>
      <c r="AM519" s="45"/>
      <c r="AN519" s="45"/>
      <c r="AO519" s="45"/>
      <c r="AP519" s="6"/>
      <c r="AQ519" s="112" t="s">
        <v>16</v>
      </c>
      <c r="AR519" s="112"/>
      <c r="AS519" s="45"/>
      <c r="AT519" s="45"/>
      <c r="AU519" s="45"/>
      <c r="AV519" s="45"/>
      <c r="AW519" s="45"/>
      <c r="AX519" s="45"/>
      <c r="AY519" s="45"/>
      <c r="AZ519" s="45"/>
      <c r="BA519" s="45"/>
      <c r="BB519" s="45"/>
      <c r="BC519" s="42"/>
      <c r="BD519" s="112" t="s">
        <v>16</v>
      </c>
      <c r="BE519" s="112"/>
      <c r="BF519" s="45"/>
      <c r="BG519" s="45"/>
      <c r="BH519" s="45"/>
      <c r="BI519" s="45"/>
      <c r="BJ519" s="45"/>
      <c r="BK519" s="45"/>
      <c r="BL519" s="45"/>
      <c r="BM519" s="45"/>
      <c r="BN519" s="45"/>
      <c r="BO519" s="45"/>
      <c r="BQ519" s="112" t="s">
        <v>16</v>
      </c>
      <c r="BR519" s="112"/>
      <c r="BS519" s="45"/>
      <c r="BT519" s="45"/>
      <c r="BU519" s="45"/>
      <c r="BV519" s="45"/>
      <c r="BW519" s="45"/>
      <c r="BX519" s="45"/>
      <c r="BY519" s="45"/>
      <c r="BZ519" s="45"/>
      <c r="CA519" s="45"/>
      <c r="CB519" s="45"/>
      <c r="CC519" s="42"/>
      <c r="CD519" s="112" t="s">
        <v>16</v>
      </c>
      <c r="CE519" s="112"/>
      <c r="CF519" s="45"/>
      <c r="CG519" s="45"/>
      <c r="CH519" s="45"/>
      <c r="CI519" s="45"/>
      <c r="CJ519" s="45"/>
      <c r="CK519" s="45"/>
      <c r="CL519" s="45"/>
      <c r="CM519" s="45"/>
      <c r="CN519" s="45"/>
      <c r="CO519" s="45"/>
      <c r="CQ519" s="112" t="s">
        <v>16</v>
      </c>
      <c r="CR519" s="112"/>
      <c r="CS519" s="45"/>
      <c r="CT519" s="45"/>
      <c r="CU519" s="45"/>
      <c r="CV519" s="45"/>
      <c r="CW519" s="45"/>
      <c r="CX519" s="45"/>
      <c r="CY519" s="45"/>
      <c r="CZ519" s="45"/>
      <c r="DA519" s="45"/>
      <c r="DB519" s="45"/>
      <c r="DC519" s="42"/>
      <c r="DD519" s="112" t="s">
        <v>16</v>
      </c>
      <c r="DE519" s="112"/>
      <c r="DF519" s="45"/>
      <c r="DG519" s="45"/>
      <c r="DH519" s="45"/>
      <c r="DI519" s="45"/>
      <c r="DJ519" s="45"/>
      <c r="DK519" s="45"/>
      <c r="DL519" s="45"/>
      <c r="DM519" s="45"/>
      <c r="DN519" s="45"/>
      <c r="DO519" s="45"/>
    </row>
    <row r="520" spans="2:119" ht="28.9" customHeight="1" x14ac:dyDescent="0.45">
      <c r="B520" s="99"/>
      <c r="C520" s="42"/>
      <c r="D520" s="112"/>
      <c r="E520" s="112"/>
      <c r="F520" s="108" t="s">
        <v>12</v>
      </c>
      <c r="G520" s="108"/>
      <c r="H520" s="108"/>
      <c r="I520" s="108"/>
      <c r="J520" s="108"/>
      <c r="K520" s="108"/>
      <c r="L520" s="108"/>
      <c r="M520" s="108"/>
      <c r="N520" s="108"/>
      <c r="O520" s="108"/>
      <c r="P520" s="42"/>
      <c r="Q520" s="112"/>
      <c r="R520" s="112"/>
      <c r="S520" s="108" t="s">
        <v>12</v>
      </c>
      <c r="T520" s="108"/>
      <c r="U520" s="108"/>
      <c r="V520" s="108"/>
      <c r="W520" s="108"/>
      <c r="X520" s="108"/>
      <c r="Y520" s="108"/>
      <c r="Z520" s="108"/>
      <c r="AA520" s="108"/>
      <c r="AB520" s="108"/>
      <c r="AC520" s="42"/>
      <c r="AD520" s="112"/>
      <c r="AE520" s="112"/>
      <c r="AF520" s="131" t="s">
        <v>12</v>
      </c>
      <c r="AG520" s="132"/>
      <c r="AH520" s="132"/>
      <c r="AI520" s="132"/>
      <c r="AJ520" s="132"/>
      <c r="AK520" s="132"/>
      <c r="AL520" s="132"/>
      <c r="AM520" s="132"/>
      <c r="AN520" s="132"/>
      <c r="AO520" s="133"/>
      <c r="AP520" s="6"/>
      <c r="AQ520" s="112"/>
      <c r="AR520" s="112"/>
      <c r="AS520" s="108" t="s">
        <v>12</v>
      </c>
      <c r="AT520" s="108"/>
      <c r="AU520" s="108"/>
      <c r="AV520" s="108"/>
      <c r="AW520" s="108"/>
      <c r="AX520" s="108"/>
      <c r="AY520" s="108"/>
      <c r="AZ520" s="108"/>
      <c r="BA520" s="108"/>
      <c r="BB520" s="108"/>
      <c r="BC520" s="42"/>
      <c r="BD520" s="112"/>
      <c r="BE520" s="112"/>
      <c r="BF520" s="108" t="s">
        <v>12</v>
      </c>
      <c r="BG520" s="108"/>
      <c r="BH520" s="108"/>
      <c r="BI520" s="108"/>
      <c r="BJ520" s="108"/>
      <c r="BK520" s="108"/>
      <c r="BL520" s="108"/>
      <c r="BM520" s="108"/>
      <c r="BN520" s="108"/>
      <c r="BO520" s="108"/>
      <c r="BQ520" s="112"/>
      <c r="BR520" s="112"/>
      <c r="BS520" s="108" t="s">
        <v>12</v>
      </c>
      <c r="BT520" s="108"/>
      <c r="BU520" s="108"/>
      <c r="BV520" s="108"/>
      <c r="BW520" s="108"/>
      <c r="BX520" s="108"/>
      <c r="BY520" s="108"/>
      <c r="BZ520" s="108"/>
      <c r="CA520" s="108"/>
      <c r="CB520" s="108"/>
      <c r="CC520" s="42"/>
      <c r="CD520" s="112"/>
      <c r="CE520" s="112"/>
      <c r="CF520" s="108" t="s">
        <v>12</v>
      </c>
      <c r="CG520" s="108"/>
      <c r="CH520" s="108"/>
      <c r="CI520" s="108"/>
      <c r="CJ520" s="108"/>
      <c r="CK520" s="108"/>
      <c r="CL520" s="108"/>
      <c r="CM520" s="108"/>
      <c r="CN520" s="108"/>
      <c r="CO520" s="108"/>
      <c r="CQ520" s="112"/>
      <c r="CR520" s="112"/>
      <c r="CS520" s="108" t="s">
        <v>12</v>
      </c>
      <c r="CT520" s="108"/>
      <c r="CU520" s="108"/>
      <c r="CV520" s="108"/>
      <c r="CW520" s="108"/>
      <c r="CX520" s="108"/>
      <c r="CY520" s="108"/>
      <c r="CZ520" s="108"/>
      <c r="DA520" s="108"/>
      <c r="DB520" s="108"/>
      <c r="DC520" s="42"/>
      <c r="DD520" s="112"/>
      <c r="DE520" s="112"/>
      <c r="DF520" s="108" t="s">
        <v>12</v>
      </c>
      <c r="DG520" s="108"/>
      <c r="DH520" s="108"/>
      <c r="DI520" s="108"/>
      <c r="DJ520" s="108"/>
      <c r="DK520" s="108"/>
      <c r="DL520" s="108"/>
      <c r="DM520" s="108"/>
      <c r="DN520" s="108"/>
      <c r="DO520" s="108"/>
    </row>
    <row r="521" spans="2:119" ht="15" customHeight="1" x14ac:dyDescent="0.45">
      <c r="B521" s="99"/>
      <c r="C521" s="42"/>
      <c r="D521" s="113"/>
      <c r="E521" s="113"/>
      <c r="F521" s="9" t="s">
        <v>0</v>
      </c>
      <c r="G521" s="9">
        <v>1</v>
      </c>
      <c r="H521" s="9">
        <v>2</v>
      </c>
      <c r="I521" s="9">
        <v>3</v>
      </c>
      <c r="J521" s="9">
        <v>4</v>
      </c>
      <c r="K521" s="9">
        <v>5</v>
      </c>
      <c r="L521" s="9">
        <v>6</v>
      </c>
      <c r="M521" s="9">
        <v>7</v>
      </c>
      <c r="N521" s="9">
        <v>8</v>
      </c>
      <c r="O521" s="9">
        <v>9</v>
      </c>
      <c r="P521" s="42"/>
      <c r="Q521" s="113"/>
      <c r="R521" s="113"/>
      <c r="S521" s="9" t="s">
        <v>0</v>
      </c>
      <c r="T521" s="9">
        <v>1</v>
      </c>
      <c r="U521" s="9">
        <v>2</v>
      </c>
      <c r="V521" s="9">
        <v>3</v>
      </c>
      <c r="W521" s="9">
        <v>4</v>
      </c>
      <c r="X521" s="9">
        <v>5</v>
      </c>
      <c r="Y521" s="9">
        <v>6</v>
      </c>
      <c r="Z521" s="9">
        <v>7</v>
      </c>
      <c r="AA521" s="9">
        <v>8</v>
      </c>
      <c r="AB521" s="9">
        <v>9</v>
      </c>
      <c r="AC521" s="42"/>
      <c r="AD521" s="113"/>
      <c r="AE521" s="113"/>
      <c r="AF521" s="9" t="s">
        <v>0</v>
      </c>
      <c r="AG521" s="9">
        <v>1</v>
      </c>
      <c r="AH521" s="9">
        <v>2</v>
      </c>
      <c r="AI521" s="9">
        <v>3</v>
      </c>
      <c r="AJ521" s="9">
        <v>4</v>
      </c>
      <c r="AK521" s="9">
        <v>5</v>
      </c>
      <c r="AL521" s="9">
        <v>6</v>
      </c>
      <c r="AM521" s="9">
        <v>7</v>
      </c>
      <c r="AN521" s="9">
        <v>8</v>
      </c>
      <c r="AO521" s="9">
        <v>9</v>
      </c>
      <c r="AP521" s="6"/>
      <c r="AQ521" s="113"/>
      <c r="AR521" s="113"/>
      <c r="AS521" s="9" t="s">
        <v>0</v>
      </c>
      <c r="AT521" s="9">
        <v>1</v>
      </c>
      <c r="AU521" s="9">
        <v>2</v>
      </c>
      <c r="AV521" s="9">
        <v>3</v>
      </c>
      <c r="AW521" s="9">
        <v>4</v>
      </c>
      <c r="AX521" s="9">
        <v>5</v>
      </c>
      <c r="AY521" s="9">
        <v>6</v>
      </c>
      <c r="AZ521" s="9">
        <v>7</v>
      </c>
      <c r="BA521" s="9">
        <v>8</v>
      </c>
      <c r="BB521" s="9">
        <v>9</v>
      </c>
      <c r="BC521" s="42"/>
      <c r="BD521" s="113"/>
      <c r="BE521" s="113"/>
      <c r="BF521" s="9" t="s">
        <v>0</v>
      </c>
      <c r="BG521" s="9">
        <v>1</v>
      </c>
      <c r="BH521" s="9">
        <v>2</v>
      </c>
      <c r="BI521" s="9">
        <v>3</v>
      </c>
      <c r="BJ521" s="9">
        <v>4</v>
      </c>
      <c r="BK521" s="9">
        <v>5</v>
      </c>
      <c r="BL521" s="9">
        <v>6</v>
      </c>
      <c r="BM521" s="9">
        <v>7</v>
      </c>
      <c r="BN521" s="9">
        <v>8</v>
      </c>
      <c r="BO521" s="9">
        <v>9</v>
      </c>
      <c r="BQ521" s="113"/>
      <c r="BR521" s="113"/>
      <c r="BS521" s="9" t="s">
        <v>0</v>
      </c>
      <c r="BT521" s="9">
        <v>1</v>
      </c>
      <c r="BU521" s="9">
        <v>2</v>
      </c>
      <c r="BV521" s="9">
        <v>3</v>
      </c>
      <c r="BW521" s="9">
        <v>4</v>
      </c>
      <c r="BX521" s="9">
        <v>5</v>
      </c>
      <c r="BY521" s="9">
        <v>6</v>
      </c>
      <c r="BZ521" s="9">
        <v>7</v>
      </c>
      <c r="CA521" s="9">
        <v>8</v>
      </c>
      <c r="CB521" s="9">
        <v>9</v>
      </c>
      <c r="CC521" s="42"/>
      <c r="CD521" s="113"/>
      <c r="CE521" s="113"/>
      <c r="CF521" s="9" t="s">
        <v>0</v>
      </c>
      <c r="CG521" s="9">
        <v>1</v>
      </c>
      <c r="CH521" s="9">
        <v>2</v>
      </c>
      <c r="CI521" s="9">
        <v>3</v>
      </c>
      <c r="CJ521" s="9">
        <v>4</v>
      </c>
      <c r="CK521" s="9">
        <v>5</v>
      </c>
      <c r="CL521" s="9">
        <v>6</v>
      </c>
      <c r="CM521" s="9">
        <v>7</v>
      </c>
      <c r="CN521" s="9">
        <v>8</v>
      </c>
      <c r="CO521" s="9">
        <v>9</v>
      </c>
      <c r="CQ521" s="113"/>
      <c r="CR521" s="113"/>
      <c r="CS521" s="9" t="s">
        <v>0</v>
      </c>
      <c r="CT521" s="9">
        <v>1</v>
      </c>
      <c r="CU521" s="9">
        <v>2</v>
      </c>
      <c r="CV521" s="9">
        <v>3</v>
      </c>
      <c r="CW521" s="9">
        <v>4</v>
      </c>
      <c r="CX521" s="9">
        <v>5</v>
      </c>
      <c r="CY521" s="9">
        <v>6</v>
      </c>
      <c r="CZ521" s="9">
        <v>7</v>
      </c>
      <c r="DA521" s="9">
        <v>8</v>
      </c>
      <c r="DB521" s="9">
        <v>9</v>
      </c>
      <c r="DC521" s="42"/>
      <c r="DD521" s="113"/>
      <c r="DE521" s="113"/>
      <c r="DF521" s="9" t="s">
        <v>0</v>
      </c>
      <c r="DG521" s="9">
        <v>1</v>
      </c>
      <c r="DH521" s="9">
        <v>2</v>
      </c>
      <c r="DI521" s="9">
        <v>3</v>
      </c>
      <c r="DJ521" s="9">
        <v>4</v>
      </c>
      <c r="DK521" s="9">
        <v>5</v>
      </c>
      <c r="DL521" s="9">
        <v>6</v>
      </c>
      <c r="DM521" s="9">
        <v>7</v>
      </c>
      <c r="DN521" s="9">
        <v>8</v>
      </c>
      <c r="DO521" s="9">
        <v>9</v>
      </c>
    </row>
    <row r="522" spans="2:119" ht="16.25" customHeight="1" x14ac:dyDescent="0.45">
      <c r="B522" s="99"/>
      <c r="C522" s="42"/>
      <c r="D522" s="109" t="s">
        <v>13</v>
      </c>
      <c r="E522" s="47" t="s">
        <v>1</v>
      </c>
      <c r="F522" s="103">
        <v>0</v>
      </c>
      <c r="G522" s="103">
        <v>0</v>
      </c>
      <c r="H522" s="103">
        <v>100</v>
      </c>
      <c r="I522" s="103">
        <v>0</v>
      </c>
      <c r="J522" s="103">
        <v>0</v>
      </c>
      <c r="K522" s="103">
        <v>0</v>
      </c>
      <c r="L522" s="103">
        <v>0</v>
      </c>
      <c r="M522" s="103">
        <v>0</v>
      </c>
      <c r="N522" s="103">
        <v>0</v>
      </c>
      <c r="O522" s="17">
        <v>0</v>
      </c>
      <c r="P522" s="42"/>
      <c r="Q522" s="109" t="s">
        <v>13</v>
      </c>
      <c r="R522" s="46" t="s">
        <v>1</v>
      </c>
      <c r="S522" s="103">
        <v>0</v>
      </c>
      <c r="T522" s="103">
        <v>0</v>
      </c>
      <c r="U522" s="103">
        <v>100</v>
      </c>
      <c r="V522" s="103">
        <v>0</v>
      </c>
      <c r="W522" s="103">
        <v>0</v>
      </c>
      <c r="X522" s="103">
        <v>0</v>
      </c>
      <c r="Y522" s="103">
        <v>0</v>
      </c>
      <c r="Z522" s="103">
        <v>0</v>
      </c>
      <c r="AA522" s="103">
        <v>0</v>
      </c>
      <c r="AB522" s="17">
        <v>0</v>
      </c>
      <c r="AC522" s="42"/>
      <c r="AD522" s="109" t="s">
        <v>13</v>
      </c>
      <c r="AE522" s="46" t="s">
        <v>1</v>
      </c>
      <c r="AF522" s="103" t="s">
        <v>128</v>
      </c>
      <c r="AG522" s="103" t="s">
        <v>128</v>
      </c>
      <c r="AH522" s="103" t="s">
        <v>128</v>
      </c>
      <c r="AI522" s="103" t="s">
        <v>128</v>
      </c>
      <c r="AJ522" s="103" t="s">
        <v>128</v>
      </c>
      <c r="AK522" s="103" t="s">
        <v>128</v>
      </c>
      <c r="AL522" s="103" t="s">
        <v>128</v>
      </c>
      <c r="AM522" s="103" t="s">
        <v>128</v>
      </c>
      <c r="AN522" s="103" t="s">
        <v>128</v>
      </c>
      <c r="AO522" s="17" t="s">
        <v>128</v>
      </c>
      <c r="AP522" s="6"/>
      <c r="AQ522" s="109" t="s">
        <v>13</v>
      </c>
      <c r="AR522" s="46" t="s">
        <v>1</v>
      </c>
      <c r="AS522" s="103" t="s">
        <v>128</v>
      </c>
      <c r="AT522" s="103" t="s">
        <v>128</v>
      </c>
      <c r="AU522" s="103" t="s">
        <v>128</v>
      </c>
      <c r="AV522" s="103" t="s">
        <v>128</v>
      </c>
      <c r="AW522" s="103" t="s">
        <v>128</v>
      </c>
      <c r="AX522" s="103" t="s">
        <v>128</v>
      </c>
      <c r="AY522" s="103" t="s">
        <v>128</v>
      </c>
      <c r="AZ522" s="103" t="s">
        <v>128</v>
      </c>
      <c r="BA522" s="103" t="s">
        <v>128</v>
      </c>
      <c r="BB522" s="17" t="s">
        <v>128</v>
      </c>
      <c r="BC522" s="42"/>
      <c r="BD522" s="109" t="s">
        <v>13</v>
      </c>
      <c r="BE522" s="46" t="s">
        <v>1</v>
      </c>
      <c r="BF522" s="103">
        <v>0</v>
      </c>
      <c r="BG522" s="103">
        <v>0</v>
      </c>
      <c r="BH522" s="103">
        <v>100</v>
      </c>
      <c r="BI522" s="103">
        <v>0</v>
      </c>
      <c r="BJ522" s="103">
        <v>0</v>
      </c>
      <c r="BK522" s="103">
        <v>0</v>
      </c>
      <c r="BL522" s="103">
        <v>0</v>
      </c>
      <c r="BM522" s="103">
        <v>0</v>
      </c>
      <c r="BN522" s="103">
        <v>0</v>
      </c>
      <c r="BO522" s="17">
        <v>0</v>
      </c>
      <c r="BQ522" s="109" t="s">
        <v>13</v>
      </c>
      <c r="BR522" s="46" t="s">
        <v>1</v>
      </c>
      <c r="BS522" s="103" t="s">
        <v>128</v>
      </c>
      <c r="BT522" s="103" t="s">
        <v>128</v>
      </c>
      <c r="BU522" s="103" t="s">
        <v>128</v>
      </c>
      <c r="BV522" s="103" t="s">
        <v>128</v>
      </c>
      <c r="BW522" s="103" t="s">
        <v>128</v>
      </c>
      <c r="BX522" s="103" t="s">
        <v>128</v>
      </c>
      <c r="BY522" s="103" t="s">
        <v>128</v>
      </c>
      <c r="BZ522" s="103" t="s">
        <v>128</v>
      </c>
      <c r="CA522" s="103" t="s">
        <v>128</v>
      </c>
      <c r="CB522" s="17" t="s">
        <v>128</v>
      </c>
      <c r="CC522" s="42"/>
      <c r="CD522" s="109" t="s">
        <v>13</v>
      </c>
      <c r="CE522" s="46" t="s">
        <v>1</v>
      </c>
      <c r="CF522" s="103">
        <v>0</v>
      </c>
      <c r="CG522" s="103">
        <v>0</v>
      </c>
      <c r="CH522" s="103">
        <v>100</v>
      </c>
      <c r="CI522" s="103">
        <v>0</v>
      </c>
      <c r="CJ522" s="103">
        <v>0</v>
      </c>
      <c r="CK522" s="103">
        <v>0</v>
      </c>
      <c r="CL522" s="103">
        <v>0</v>
      </c>
      <c r="CM522" s="103">
        <v>0</v>
      </c>
      <c r="CN522" s="103">
        <v>0</v>
      </c>
      <c r="CO522" s="17">
        <v>0</v>
      </c>
      <c r="CQ522" s="109" t="s">
        <v>13</v>
      </c>
      <c r="CR522" s="46" t="s">
        <v>1</v>
      </c>
      <c r="CS522" s="103">
        <v>0</v>
      </c>
      <c r="CT522" s="103">
        <v>0</v>
      </c>
      <c r="CU522" s="103">
        <v>100</v>
      </c>
      <c r="CV522" s="103">
        <v>0</v>
      </c>
      <c r="CW522" s="103">
        <v>0</v>
      </c>
      <c r="CX522" s="103">
        <v>0</v>
      </c>
      <c r="CY522" s="103">
        <v>0</v>
      </c>
      <c r="CZ522" s="103">
        <v>0</v>
      </c>
      <c r="DA522" s="103">
        <v>0</v>
      </c>
      <c r="DB522" s="17">
        <v>0</v>
      </c>
      <c r="DC522" s="42"/>
      <c r="DD522" s="109" t="s">
        <v>13</v>
      </c>
      <c r="DE522" s="46" t="s">
        <v>1</v>
      </c>
      <c r="DF522" s="103" t="s">
        <v>128</v>
      </c>
      <c r="DG522" s="103" t="s">
        <v>128</v>
      </c>
      <c r="DH522" s="103" t="s">
        <v>128</v>
      </c>
      <c r="DI522" s="103" t="s">
        <v>128</v>
      </c>
      <c r="DJ522" s="103" t="s">
        <v>128</v>
      </c>
      <c r="DK522" s="103" t="s">
        <v>128</v>
      </c>
      <c r="DL522" s="103" t="s">
        <v>128</v>
      </c>
      <c r="DM522" s="103" t="s">
        <v>128</v>
      </c>
      <c r="DN522" s="103" t="s">
        <v>128</v>
      </c>
      <c r="DO522" s="17" t="s">
        <v>128</v>
      </c>
    </row>
    <row r="523" spans="2:119" ht="16.25" customHeight="1" x14ac:dyDescent="0.45">
      <c r="B523" s="99"/>
      <c r="C523" s="42"/>
      <c r="D523" s="110"/>
      <c r="E523" s="47">
        <v>1</v>
      </c>
      <c r="F523" s="103" t="s">
        <v>128</v>
      </c>
      <c r="G523" s="103" t="s">
        <v>128</v>
      </c>
      <c r="H523" s="103" t="s">
        <v>128</v>
      </c>
      <c r="I523" s="103" t="s">
        <v>128</v>
      </c>
      <c r="J523" s="103" t="s">
        <v>128</v>
      </c>
      <c r="K523" s="103" t="s">
        <v>128</v>
      </c>
      <c r="L523" s="103" t="s">
        <v>128</v>
      </c>
      <c r="M523" s="103" t="s">
        <v>128</v>
      </c>
      <c r="N523" s="103" t="s">
        <v>128</v>
      </c>
      <c r="O523" s="103" t="s">
        <v>128</v>
      </c>
      <c r="P523" s="42"/>
      <c r="Q523" s="110"/>
      <c r="R523" s="46">
        <v>1</v>
      </c>
      <c r="S523" s="103" t="s">
        <v>128</v>
      </c>
      <c r="T523" s="103" t="s">
        <v>128</v>
      </c>
      <c r="U523" s="103" t="s">
        <v>128</v>
      </c>
      <c r="V523" s="103" t="s">
        <v>128</v>
      </c>
      <c r="W523" s="103" t="s">
        <v>128</v>
      </c>
      <c r="X523" s="103" t="s">
        <v>128</v>
      </c>
      <c r="Y523" s="103" t="s">
        <v>128</v>
      </c>
      <c r="Z523" s="103" t="s">
        <v>128</v>
      </c>
      <c r="AA523" s="103" t="s">
        <v>128</v>
      </c>
      <c r="AB523" s="103" t="s">
        <v>128</v>
      </c>
      <c r="AC523" s="42"/>
      <c r="AD523" s="110"/>
      <c r="AE523" s="46">
        <v>1</v>
      </c>
      <c r="AF523" s="103" t="s">
        <v>128</v>
      </c>
      <c r="AG523" s="103" t="s">
        <v>128</v>
      </c>
      <c r="AH523" s="103" t="s">
        <v>128</v>
      </c>
      <c r="AI523" s="103" t="s">
        <v>128</v>
      </c>
      <c r="AJ523" s="103" t="s">
        <v>128</v>
      </c>
      <c r="AK523" s="103" t="s">
        <v>128</v>
      </c>
      <c r="AL523" s="103" t="s">
        <v>128</v>
      </c>
      <c r="AM523" s="103" t="s">
        <v>128</v>
      </c>
      <c r="AN523" s="103" t="s">
        <v>128</v>
      </c>
      <c r="AO523" s="103" t="s">
        <v>128</v>
      </c>
      <c r="AP523" s="6"/>
      <c r="AQ523" s="110"/>
      <c r="AR523" s="46">
        <v>1</v>
      </c>
      <c r="AS523" s="103" t="s">
        <v>128</v>
      </c>
      <c r="AT523" s="103" t="s">
        <v>128</v>
      </c>
      <c r="AU523" s="103" t="s">
        <v>128</v>
      </c>
      <c r="AV523" s="103" t="s">
        <v>128</v>
      </c>
      <c r="AW523" s="103" t="s">
        <v>128</v>
      </c>
      <c r="AX523" s="103" t="s">
        <v>128</v>
      </c>
      <c r="AY523" s="103" t="s">
        <v>128</v>
      </c>
      <c r="AZ523" s="103" t="s">
        <v>128</v>
      </c>
      <c r="BA523" s="103" t="s">
        <v>128</v>
      </c>
      <c r="BB523" s="103" t="s">
        <v>128</v>
      </c>
      <c r="BC523" s="42"/>
      <c r="BD523" s="110"/>
      <c r="BE523" s="46">
        <v>1</v>
      </c>
      <c r="BF523" s="103" t="s">
        <v>128</v>
      </c>
      <c r="BG523" s="103" t="s">
        <v>128</v>
      </c>
      <c r="BH523" s="103" t="s">
        <v>128</v>
      </c>
      <c r="BI523" s="103" t="s">
        <v>128</v>
      </c>
      <c r="BJ523" s="103" t="s">
        <v>128</v>
      </c>
      <c r="BK523" s="103" t="s">
        <v>128</v>
      </c>
      <c r="BL523" s="103" t="s">
        <v>128</v>
      </c>
      <c r="BM523" s="103" t="s">
        <v>128</v>
      </c>
      <c r="BN523" s="103" t="s">
        <v>128</v>
      </c>
      <c r="BO523" s="103" t="s">
        <v>128</v>
      </c>
      <c r="BQ523" s="110"/>
      <c r="BR523" s="46">
        <v>1</v>
      </c>
      <c r="BS523" s="103" t="s">
        <v>128</v>
      </c>
      <c r="BT523" s="103" t="s">
        <v>128</v>
      </c>
      <c r="BU523" s="103" t="s">
        <v>128</v>
      </c>
      <c r="BV523" s="103" t="s">
        <v>128</v>
      </c>
      <c r="BW523" s="103" t="s">
        <v>128</v>
      </c>
      <c r="BX523" s="103" t="s">
        <v>128</v>
      </c>
      <c r="BY523" s="103" t="s">
        <v>128</v>
      </c>
      <c r="BZ523" s="103" t="s">
        <v>128</v>
      </c>
      <c r="CA523" s="103" t="s">
        <v>128</v>
      </c>
      <c r="CB523" s="103" t="s">
        <v>128</v>
      </c>
      <c r="CC523" s="42"/>
      <c r="CD523" s="110"/>
      <c r="CE523" s="46">
        <v>1</v>
      </c>
      <c r="CF523" s="103" t="s">
        <v>128</v>
      </c>
      <c r="CG523" s="103" t="s">
        <v>128</v>
      </c>
      <c r="CH523" s="103" t="s">
        <v>128</v>
      </c>
      <c r="CI523" s="103" t="s">
        <v>128</v>
      </c>
      <c r="CJ523" s="103" t="s">
        <v>128</v>
      </c>
      <c r="CK523" s="103" t="s">
        <v>128</v>
      </c>
      <c r="CL523" s="103" t="s">
        <v>128</v>
      </c>
      <c r="CM523" s="103" t="s">
        <v>128</v>
      </c>
      <c r="CN523" s="103" t="s">
        <v>128</v>
      </c>
      <c r="CO523" s="103" t="s">
        <v>128</v>
      </c>
      <c r="CQ523" s="110"/>
      <c r="CR523" s="46">
        <v>1</v>
      </c>
      <c r="CS523" s="103" t="s">
        <v>128</v>
      </c>
      <c r="CT523" s="103" t="s">
        <v>128</v>
      </c>
      <c r="CU523" s="103" t="s">
        <v>128</v>
      </c>
      <c r="CV523" s="103" t="s">
        <v>128</v>
      </c>
      <c r="CW523" s="103" t="s">
        <v>128</v>
      </c>
      <c r="CX523" s="103" t="s">
        <v>128</v>
      </c>
      <c r="CY523" s="103" t="s">
        <v>128</v>
      </c>
      <c r="CZ523" s="103" t="s">
        <v>128</v>
      </c>
      <c r="DA523" s="103" t="s">
        <v>128</v>
      </c>
      <c r="DB523" s="103" t="s">
        <v>128</v>
      </c>
      <c r="DC523" s="42"/>
      <c r="DD523" s="110"/>
      <c r="DE523" s="46">
        <v>1</v>
      </c>
      <c r="DF523" s="103" t="s">
        <v>128</v>
      </c>
      <c r="DG523" s="103" t="s">
        <v>128</v>
      </c>
      <c r="DH523" s="103" t="s">
        <v>128</v>
      </c>
      <c r="DI523" s="103" t="s">
        <v>128</v>
      </c>
      <c r="DJ523" s="103" t="s">
        <v>128</v>
      </c>
      <c r="DK523" s="103" t="s">
        <v>128</v>
      </c>
      <c r="DL523" s="103" t="s">
        <v>128</v>
      </c>
      <c r="DM523" s="103" t="s">
        <v>128</v>
      </c>
      <c r="DN523" s="103" t="s">
        <v>128</v>
      </c>
      <c r="DO523" s="103" t="s">
        <v>128</v>
      </c>
    </row>
    <row r="524" spans="2:119" ht="16.25" customHeight="1" x14ac:dyDescent="0.45">
      <c r="B524" s="99"/>
      <c r="C524" s="42"/>
      <c r="D524" s="110"/>
      <c r="E524" s="47" t="s">
        <v>2</v>
      </c>
      <c r="F524" s="103">
        <v>31.25</v>
      </c>
      <c r="G524" s="103">
        <v>31.25</v>
      </c>
      <c r="H524" s="103">
        <v>18.75</v>
      </c>
      <c r="I524" s="103">
        <v>8.3333333333333321</v>
      </c>
      <c r="J524" s="103">
        <v>4.1666666666666661</v>
      </c>
      <c r="K524" s="103">
        <v>6.25</v>
      </c>
      <c r="L524" s="103">
        <v>0</v>
      </c>
      <c r="M524" s="103">
        <v>0</v>
      </c>
      <c r="N524" s="103">
        <v>0</v>
      </c>
      <c r="O524" s="103">
        <v>0</v>
      </c>
      <c r="P524" s="42"/>
      <c r="Q524" s="110"/>
      <c r="R524" s="46" t="s">
        <v>2</v>
      </c>
      <c r="S524" s="103">
        <v>30</v>
      </c>
      <c r="T524" s="103">
        <v>26.666666666666668</v>
      </c>
      <c r="U524" s="103">
        <v>20</v>
      </c>
      <c r="V524" s="103">
        <v>10</v>
      </c>
      <c r="W524" s="103">
        <v>6.666666666666667</v>
      </c>
      <c r="X524" s="103">
        <v>6.666666666666667</v>
      </c>
      <c r="Y524" s="103">
        <v>0</v>
      </c>
      <c r="Z524" s="103">
        <v>0</v>
      </c>
      <c r="AA524" s="103">
        <v>0</v>
      </c>
      <c r="AB524" s="103">
        <v>0</v>
      </c>
      <c r="AC524" s="42"/>
      <c r="AD524" s="110"/>
      <c r="AE524" s="46" t="s">
        <v>2</v>
      </c>
      <c r="AF524" s="103">
        <v>33.333333333333329</v>
      </c>
      <c r="AG524" s="103">
        <v>38.888888888888893</v>
      </c>
      <c r="AH524" s="103">
        <v>16.666666666666664</v>
      </c>
      <c r="AI524" s="103">
        <v>5.5555555555555554</v>
      </c>
      <c r="AJ524" s="103">
        <v>0</v>
      </c>
      <c r="AK524" s="103">
        <v>5.5555555555555554</v>
      </c>
      <c r="AL524" s="103">
        <v>0</v>
      </c>
      <c r="AM524" s="103">
        <v>0</v>
      </c>
      <c r="AN524" s="103">
        <v>0</v>
      </c>
      <c r="AO524" s="103">
        <v>0</v>
      </c>
      <c r="AP524" s="6"/>
      <c r="AQ524" s="110"/>
      <c r="AR524" s="46" t="s">
        <v>2</v>
      </c>
      <c r="AS524" s="103">
        <v>36</v>
      </c>
      <c r="AT524" s="103">
        <v>32</v>
      </c>
      <c r="AU524" s="103">
        <v>16</v>
      </c>
      <c r="AV524" s="103">
        <v>4</v>
      </c>
      <c r="AW524" s="103">
        <v>4</v>
      </c>
      <c r="AX524" s="103">
        <v>8</v>
      </c>
      <c r="AY524" s="103">
        <v>0</v>
      </c>
      <c r="AZ524" s="103">
        <v>0</v>
      </c>
      <c r="BA524" s="103">
        <v>0</v>
      </c>
      <c r="BB524" s="103">
        <v>0</v>
      </c>
      <c r="BC524" s="42"/>
      <c r="BD524" s="110"/>
      <c r="BE524" s="46" t="s">
        <v>2</v>
      </c>
      <c r="BF524" s="103">
        <v>26.086956521739129</v>
      </c>
      <c r="BG524" s="103">
        <v>30.434782608695656</v>
      </c>
      <c r="BH524" s="103">
        <v>21.739130434782609</v>
      </c>
      <c r="BI524" s="103">
        <v>13.043478260869565</v>
      </c>
      <c r="BJ524" s="103">
        <v>4.3478260869565215</v>
      </c>
      <c r="BK524" s="103">
        <v>4.3478260869565215</v>
      </c>
      <c r="BL524" s="103">
        <v>0</v>
      </c>
      <c r="BM524" s="103">
        <v>0</v>
      </c>
      <c r="BN524" s="103">
        <v>0</v>
      </c>
      <c r="BO524" s="103">
        <v>0</v>
      </c>
      <c r="BQ524" s="110"/>
      <c r="BR524" s="46" t="s">
        <v>2</v>
      </c>
      <c r="BS524" s="103">
        <v>31.578947368421051</v>
      </c>
      <c r="BT524" s="103">
        <v>42.105263157894733</v>
      </c>
      <c r="BU524" s="103">
        <v>10.526315789473683</v>
      </c>
      <c r="BV524" s="103">
        <v>10.526315789473683</v>
      </c>
      <c r="BW524" s="103">
        <v>0</v>
      </c>
      <c r="BX524" s="103">
        <v>5.2631578947368416</v>
      </c>
      <c r="BY524" s="103">
        <v>0</v>
      </c>
      <c r="BZ524" s="103">
        <v>0</v>
      </c>
      <c r="CA524" s="103">
        <v>0</v>
      </c>
      <c r="CB524" s="103">
        <v>0</v>
      </c>
      <c r="CC524" s="42"/>
      <c r="CD524" s="110"/>
      <c r="CE524" s="46" t="s">
        <v>2</v>
      </c>
      <c r="CF524" s="103">
        <v>31.03448275862069</v>
      </c>
      <c r="CG524" s="103">
        <v>24.137931034482758</v>
      </c>
      <c r="CH524" s="103">
        <v>24.137931034482758</v>
      </c>
      <c r="CI524" s="103">
        <v>6.8965517241379306</v>
      </c>
      <c r="CJ524" s="103">
        <v>6.8965517241379306</v>
      </c>
      <c r="CK524" s="103">
        <v>6.8965517241379306</v>
      </c>
      <c r="CL524" s="103">
        <v>0</v>
      </c>
      <c r="CM524" s="103">
        <v>0</v>
      </c>
      <c r="CN524" s="103">
        <v>0</v>
      </c>
      <c r="CO524" s="103">
        <v>0</v>
      </c>
      <c r="CQ524" s="110"/>
      <c r="CR524" s="46" t="s">
        <v>2</v>
      </c>
      <c r="CS524" s="103">
        <v>23.076923076923077</v>
      </c>
      <c r="CT524" s="103">
        <v>23.076923076923077</v>
      </c>
      <c r="CU524" s="103">
        <v>26.923076923076923</v>
      </c>
      <c r="CV524" s="103">
        <v>11.538461538461538</v>
      </c>
      <c r="CW524" s="103">
        <v>3.8461538461538463</v>
      </c>
      <c r="CX524" s="103">
        <v>11.538461538461538</v>
      </c>
      <c r="CY524" s="103">
        <v>0</v>
      </c>
      <c r="CZ524" s="103">
        <v>0</v>
      </c>
      <c r="DA524" s="103">
        <v>0</v>
      </c>
      <c r="DB524" s="103">
        <v>0</v>
      </c>
      <c r="DC524" s="42"/>
      <c r="DD524" s="110"/>
      <c r="DE524" s="46" t="s">
        <v>2</v>
      </c>
      <c r="DF524" s="103">
        <v>40.909090909090914</v>
      </c>
      <c r="DG524" s="103">
        <v>40.909090909090914</v>
      </c>
      <c r="DH524" s="103">
        <v>9.0909090909090917</v>
      </c>
      <c r="DI524" s="103">
        <v>4.5454545454545459</v>
      </c>
      <c r="DJ524" s="103">
        <v>4.5454545454545459</v>
      </c>
      <c r="DK524" s="103">
        <v>0</v>
      </c>
      <c r="DL524" s="103">
        <v>0</v>
      </c>
      <c r="DM524" s="103">
        <v>0</v>
      </c>
      <c r="DN524" s="103">
        <v>0</v>
      </c>
      <c r="DO524" s="103">
        <v>0</v>
      </c>
    </row>
    <row r="525" spans="2:119" ht="16.25" customHeight="1" x14ac:dyDescent="0.45">
      <c r="B525" s="99"/>
      <c r="C525" s="42"/>
      <c r="D525" s="110"/>
      <c r="E525" s="47" t="s">
        <v>3</v>
      </c>
      <c r="F525" s="103">
        <v>23.636363636363637</v>
      </c>
      <c r="G525" s="103">
        <v>25.454545454545453</v>
      </c>
      <c r="H525" s="103">
        <v>29.09090909090909</v>
      </c>
      <c r="I525" s="103">
        <v>16.363636363636363</v>
      </c>
      <c r="J525" s="103">
        <v>5.4545454545454541</v>
      </c>
      <c r="K525" s="103">
        <v>0</v>
      </c>
      <c r="L525" s="103">
        <v>0</v>
      </c>
      <c r="M525" s="103">
        <v>0</v>
      </c>
      <c r="N525" s="103">
        <v>0</v>
      </c>
      <c r="O525" s="103">
        <v>0</v>
      </c>
      <c r="P525" s="42"/>
      <c r="Q525" s="110"/>
      <c r="R525" s="46" t="s">
        <v>3</v>
      </c>
      <c r="S525" s="103">
        <v>20.588235294117645</v>
      </c>
      <c r="T525" s="103">
        <v>29.411764705882355</v>
      </c>
      <c r="U525" s="103">
        <v>26.47058823529412</v>
      </c>
      <c r="V525" s="103">
        <v>20.588235294117645</v>
      </c>
      <c r="W525" s="103">
        <v>2.9411764705882351</v>
      </c>
      <c r="X525" s="103">
        <v>0</v>
      </c>
      <c r="Y525" s="103">
        <v>0</v>
      </c>
      <c r="Z525" s="103">
        <v>0</v>
      </c>
      <c r="AA525" s="103">
        <v>0</v>
      </c>
      <c r="AB525" s="103">
        <v>0</v>
      </c>
      <c r="AC525" s="42"/>
      <c r="AD525" s="110"/>
      <c r="AE525" s="46" t="s">
        <v>3</v>
      </c>
      <c r="AF525" s="103">
        <v>28.571428571428569</v>
      </c>
      <c r="AG525" s="103">
        <v>19.047619047619047</v>
      </c>
      <c r="AH525" s="103">
        <v>33.333333333333329</v>
      </c>
      <c r="AI525" s="103">
        <v>9.5238095238095237</v>
      </c>
      <c r="AJ525" s="103">
        <v>9.5238095238095237</v>
      </c>
      <c r="AK525" s="103">
        <v>0</v>
      </c>
      <c r="AL525" s="103">
        <v>0</v>
      </c>
      <c r="AM525" s="103">
        <v>0</v>
      </c>
      <c r="AN525" s="103">
        <v>0</v>
      </c>
      <c r="AO525" s="103">
        <v>0</v>
      </c>
      <c r="AP525" s="6"/>
      <c r="AQ525" s="110"/>
      <c r="AR525" s="46" t="s">
        <v>3</v>
      </c>
      <c r="AS525" s="103">
        <v>11.111111111111111</v>
      </c>
      <c r="AT525" s="103">
        <v>38.888888888888893</v>
      </c>
      <c r="AU525" s="103">
        <v>44.444444444444443</v>
      </c>
      <c r="AV525" s="103">
        <v>5.5555555555555554</v>
      </c>
      <c r="AW525" s="103">
        <v>0</v>
      </c>
      <c r="AX525" s="103">
        <v>0</v>
      </c>
      <c r="AY525" s="103">
        <v>0</v>
      </c>
      <c r="AZ525" s="103">
        <v>0</v>
      </c>
      <c r="BA525" s="103">
        <v>0</v>
      </c>
      <c r="BB525" s="103">
        <v>0</v>
      </c>
      <c r="BC525" s="42"/>
      <c r="BD525" s="110"/>
      <c r="BE525" s="46" t="s">
        <v>3</v>
      </c>
      <c r="BF525" s="103">
        <v>29.72972972972973</v>
      </c>
      <c r="BG525" s="103">
        <v>18.918918918918919</v>
      </c>
      <c r="BH525" s="103">
        <v>21.621621621621621</v>
      </c>
      <c r="BI525" s="103">
        <v>21.621621621621621</v>
      </c>
      <c r="BJ525" s="103">
        <v>8.1081081081081088</v>
      </c>
      <c r="BK525" s="103">
        <v>0</v>
      </c>
      <c r="BL525" s="103">
        <v>0</v>
      </c>
      <c r="BM525" s="103">
        <v>0</v>
      </c>
      <c r="BN525" s="103">
        <v>0</v>
      </c>
      <c r="BO525" s="103">
        <v>0</v>
      </c>
      <c r="BQ525" s="110"/>
      <c r="BR525" s="46" t="s">
        <v>3</v>
      </c>
      <c r="BS525" s="103">
        <v>8.695652173913043</v>
      </c>
      <c r="BT525" s="103">
        <v>26.086956521739129</v>
      </c>
      <c r="BU525" s="103">
        <v>39.130434782608695</v>
      </c>
      <c r="BV525" s="103">
        <v>21.739130434782609</v>
      </c>
      <c r="BW525" s="103">
        <v>4.3478260869565215</v>
      </c>
      <c r="BX525" s="103">
        <v>0</v>
      </c>
      <c r="BY525" s="103">
        <v>0</v>
      </c>
      <c r="BZ525" s="103">
        <v>0</v>
      </c>
      <c r="CA525" s="103">
        <v>0</v>
      </c>
      <c r="CB525" s="103">
        <v>0</v>
      </c>
      <c r="CC525" s="42"/>
      <c r="CD525" s="110"/>
      <c r="CE525" s="46" t="s">
        <v>3</v>
      </c>
      <c r="CF525" s="103">
        <v>34.375</v>
      </c>
      <c r="CG525" s="103">
        <v>25</v>
      </c>
      <c r="CH525" s="103">
        <v>21.875</v>
      </c>
      <c r="CI525" s="103">
        <v>12.5</v>
      </c>
      <c r="CJ525" s="103">
        <v>6.25</v>
      </c>
      <c r="CK525" s="103">
        <v>0</v>
      </c>
      <c r="CL525" s="103">
        <v>0</v>
      </c>
      <c r="CM525" s="103">
        <v>0</v>
      </c>
      <c r="CN525" s="103">
        <v>0</v>
      </c>
      <c r="CO525" s="103">
        <v>0</v>
      </c>
      <c r="CQ525" s="110"/>
      <c r="CR525" s="46" t="s">
        <v>3</v>
      </c>
      <c r="CS525" s="103">
        <v>23.52941176470588</v>
      </c>
      <c r="CT525" s="103">
        <v>11.76470588235294</v>
      </c>
      <c r="CU525" s="103">
        <v>35.294117647058826</v>
      </c>
      <c r="CV525" s="103">
        <v>17.647058823529413</v>
      </c>
      <c r="CW525" s="103">
        <v>11.76470588235294</v>
      </c>
      <c r="CX525" s="103">
        <v>0</v>
      </c>
      <c r="CY525" s="103">
        <v>0</v>
      </c>
      <c r="CZ525" s="103">
        <v>0</v>
      </c>
      <c r="DA525" s="103">
        <v>0</v>
      </c>
      <c r="DB525" s="103">
        <v>0</v>
      </c>
      <c r="DC525" s="42"/>
      <c r="DD525" s="110"/>
      <c r="DE525" s="46" t="s">
        <v>3</v>
      </c>
      <c r="DF525" s="103">
        <v>23.684210526315788</v>
      </c>
      <c r="DG525" s="103">
        <v>31.578947368421051</v>
      </c>
      <c r="DH525" s="103">
        <v>26.315789473684209</v>
      </c>
      <c r="DI525" s="103">
        <v>15.789473684210526</v>
      </c>
      <c r="DJ525" s="103">
        <v>2.6315789473684208</v>
      </c>
      <c r="DK525" s="103">
        <v>0</v>
      </c>
      <c r="DL525" s="103">
        <v>0</v>
      </c>
      <c r="DM525" s="103">
        <v>0</v>
      </c>
      <c r="DN525" s="103">
        <v>0</v>
      </c>
      <c r="DO525" s="103">
        <v>0</v>
      </c>
    </row>
    <row r="526" spans="2:119" ht="16.25" customHeight="1" x14ac:dyDescent="0.45">
      <c r="B526" s="99"/>
      <c r="C526" s="42"/>
      <c r="D526" s="110"/>
      <c r="E526" s="47" t="s">
        <v>4</v>
      </c>
      <c r="F526" s="103">
        <v>16.260162601626014</v>
      </c>
      <c r="G526" s="103">
        <v>31.707317073170731</v>
      </c>
      <c r="H526" s="103">
        <v>30.081300813008134</v>
      </c>
      <c r="I526" s="103">
        <v>12.195121951219512</v>
      </c>
      <c r="J526" s="103">
        <v>3.2520325203252036</v>
      </c>
      <c r="K526" s="103">
        <v>4.8780487804878048</v>
      </c>
      <c r="L526" s="103">
        <v>0.81300813008130091</v>
      </c>
      <c r="M526" s="103">
        <v>0</v>
      </c>
      <c r="N526" s="103">
        <v>0</v>
      </c>
      <c r="O526" s="103">
        <v>0.81300813008130091</v>
      </c>
      <c r="P526" s="42"/>
      <c r="Q526" s="110"/>
      <c r="R526" s="46" t="s">
        <v>4</v>
      </c>
      <c r="S526" s="103">
        <v>16.279069767441861</v>
      </c>
      <c r="T526" s="103">
        <v>27.906976744186046</v>
      </c>
      <c r="U526" s="103">
        <v>29.069767441860467</v>
      </c>
      <c r="V526" s="103">
        <v>13.953488372093023</v>
      </c>
      <c r="W526" s="103">
        <v>4.6511627906976747</v>
      </c>
      <c r="X526" s="103">
        <v>5.8139534883720927</v>
      </c>
      <c r="Y526" s="103">
        <v>1.1627906976744187</v>
      </c>
      <c r="Z526" s="103">
        <v>0</v>
      </c>
      <c r="AA526" s="103">
        <v>0</v>
      </c>
      <c r="AB526" s="103">
        <v>1.1627906976744187</v>
      </c>
      <c r="AC526" s="42"/>
      <c r="AD526" s="110"/>
      <c r="AE526" s="46" t="s">
        <v>4</v>
      </c>
      <c r="AF526" s="103">
        <v>16.216216216216218</v>
      </c>
      <c r="AG526" s="103">
        <v>40.54054054054054</v>
      </c>
      <c r="AH526" s="103">
        <v>32.432432432432435</v>
      </c>
      <c r="AI526" s="103">
        <v>8.1081081081081088</v>
      </c>
      <c r="AJ526" s="103">
        <v>0</v>
      </c>
      <c r="AK526" s="103">
        <v>2.7027027027027026</v>
      </c>
      <c r="AL526" s="103">
        <v>0</v>
      </c>
      <c r="AM526" s="103">
        <v>0</v>
      </c>
      <c r="AN526" s="103">
        <v>0</v>
      </c>
      <c r="AO526" s="103">
        <v>0</v>
      </c>
      <c r="AP526" s="6"/>
      <c r="AQ526" s="110"/>
      <c r="AR526" s="46" t="s">
        <v>4</v>
      </c>
      <c r="AS526" s="103">
        <v>12.244897959183673</v>
      </c>
      <c r="AT526" s="103">
        <v>40.816326530612244</v>
      </c>
      <c r="AU526" s="103">
        <v>22.448979591836736</v>
      </c>
      <c r="AV526" s="103">
        <v>14.285714285714285</v>
      </c>
      <c r="AW526" s="103">
        <v>4.0816326530612246</v>
      </c>
      <c r="AX526" s="103">
        <v>4.0816326530612246</v>
      </c>
      <c r="AY526" s="103">
        <v>0</v>
      </c>
      <c r="AZ526" s="103">
        <v>0</v>
      </c>
      <c r="BA526" s="103">
        <v>0</v>
      </c>
      <c r="BB526" s="103">
        <v>2.0408163265306123</v>
      </c>
      <c r="BC526" s="42"/>
      <c r="BD526" s="110"/>
      <c r="BE526" s="46" t="s">
        <v>4</v>
      </c>
      <c r="BF526" s="103">
        <v>18.918918918918919</v>
      </c>
      <c r="BG526" s="103">
        <v>25.675675675675674</v>
      </c>
      <c r="BH526" s="103">
        <v>35.135135135135137</v>
      </c>
      <c r="BI526" s="103">
        <v>10.810810810810811</v>
      </c>
      <c r="BJ526" s="103">
        <v>2.7027027027027026</v>
      </c>
      <c r="BK526" s="103">
        <v>5.4054054054054053</v>
      </c>
      <c r="BL526" s="103">
        <v>1.3513513513513513</v>
      </c>
      <c r="BM526" s="103">
        <v>0</v>
      </c>
      <c r="BN526" s="103">
        <v>0</v>
      </c>
      <c r="BO526" s="103">
        <v>0</v>
      </c>
      <c r="BQ526" s="110"/>
      <c r="BR526" s="46" t="s">
        <v>4</v>
      </c>
      <c r="BS526" s="103">
        <v>12.195121951219512</v>
      </c>
      <c r="BT526" s="103">
        <v>41.463414634146339</v>
      </c>
      <c r="BU526" s="103">
        <v>24.390243902439025</v>
      </c>
      <c r="BV526" s="103">
        <v>12.195121951219512</v>
      </c>
      <c r="BW526" s="103">
        <v>4.8780487804878048</v>
      </c>
      <c r="BX526" s="103">
        <v>4.8780487804878048</v>
      </c>
      <c r="BY526" s="103">
        <v>0</v>
      </c>
      <c r="BZ526" s="103">
        <v>0</v>
      </c>
      <c r="CA526" s="103">
        <v>0</v>
      </c>
      <c r="CB526" s="103">
        <v>0</v>
      </c>
      <c r="CC526" s="42"/>
      <c r="CD526" s="110"/>
      <c r="CE526" s="46" t="s">
        <v>4</v>
      </c>
      <c r="CF526" s="103">
        <v>18.292682926829269</v>
      </c>
      <c r="CG526" s="103">
        <v>26.829268292682929</v>
      </c>
      <c r="CH526" s="103">
        <v>32.926829268292686</v>
      </c>
      <c r="CI526" s="103">
        <v>12.195121951219512</v>
      </c>
      <c r="CJ526" s="103">
        <v>2.4390243902439024</v>
      </c>
      <c r="CK526" s="103">
        <v>4.8780487804878048</v>
      </c>
      <c r="CL526" s="103">
        <v>1.2195121951219512</v>
      </c>
      <c r="CM526" s="103">
        <v>0</v>
      </c>
      <c r="CN526" s="103">
        <v>0</v>
      </c>
      <c r="CO526" s="103">
        <v>1.2195121951219512</v>
      </c>
      <c r="CQ526" s="110"/>
      <c r="CR526" s="46" t="s">
        <v>4</v>
      </c>
      <c r="CS526" s="103">
        <v>13.043478260869565</v>
      </c>
      <c r="CT526" s="103">
        <v>19.565217391304348</v>
      </c>
      <c r="CU526" s="103">
        <v>34.782608695652172</v>
      </c>
      <c r="CV526" s="103">
        <v>15.217391304347828</v>
      </c>
      <c r="CW526" s="103">
        <v>6.5217391304347823</v>
      </c>
      <c r="CX526" s="103">
        <v>6.5217391304347823</v>
      </c>
      <c r="CY526" s="103">
        <v>2.1739130434782608</v>
      </c>
      <c r="CZ526" s="103">
        <v>0</v>
      </c>
      <c r="DA526" s="103">
        <v>0</v>
      </c>
      <c r="DB526" s="103">
        <v>2.1739130434782608</v>
      </c>
      <c r="DC526" s="42"/>
      <c r="DD526" s="110"/>
      <c r="DE526" s="46" t="s">
        <v>4</v>
      </c>
      <c r="DF526" s="103">
        <v>18.181818181818183</v>
      </c>
      <c r="DG526" s="103">
        <v>38.961038961038966</v>
      </c>
      <c r="DH526" s="103">
        <v>27.27272727272727</v>
      </c>
      <c r="DI526" s="103">
        <v>10.38961038961039</v>
      </c>
      <c r="DJ526" s="103">
        <v>1.2987012987012987</v>
      </c>
      <c r="DK526" s="103">
        <v>3.8961038961038961</v>
      </c>
      <c r="DL526" s="103">
        <v>0</v>
      </c>
      <c r="DM526" s="103">
        <v>0</v>
      </c>
      <c r="DN526" s="103">
        <v>0</v>
      </c>
      <c r="DO526" s="103">
        <v>0</v>
      </c>
    </row>
    <row r="527" spans="2:119" ht="16.25" customHeight="1" x14ac:dyDescent="0.45">
      <c r="B527" s="99"/>
      <c r="C527" s="42"/>
      <c r="D527" s="110"/>
      <c r="E527" s="47" t="s">
        <v>5</v>
      </c>
      <c r="F527" s="103">
        <v>9.502262443438914</v>
      </c>
      <c r="G527" s="103">
        <v>30.316742081447963</v>
      </c>
      <c r="H527" s="103">
        <v>30.316742081447963</v>
      </c>
      <c r="I527" s="103">
        <v>14.479638009049776</v>
      </c>
      <c r="J527" s="103">
        <v>9.502262443438914</v>
      </c>
      <c r="K527" s="103">
        <v>3.1674208144796379</v>
      </c>
      <c r="L527" s="103">
        <v>1.3574660633484164</v>
      </c>
      <c r="M527" s="103">
        <v>1.3574660633484164</v>
      </c>
      <c r="N527" s="103">
        <v>0</v>
      </c>
      <c r="O527" s="103">
        <v>0</v>
      </c>
      <c r="P527" s="42"/>
      <c r="Q527" s="110"/>
      <c r="R527" s="46" t="s">
        <v>5</v>
      </c>
      <c r="S527" s="103">
        <v>6.3291139240506329</v>
      </c>
      <c r="T527" s="103">
        <v>24.683544303797468</v>
      </c>
      <c r="U527" s="103">
        <v>34.177215189873415</v>
      </c>
      <c r="V527" s="103">
        <v>18.354430379746837</v>
      </c>
      <c r="W527" s="103">
        <v>11.39240506329114</v>
      </c>
      <c r="X527" s="103">
        <v>1.89873417721519</v>
      </c>
      <c r="Y527" s="103">
        <v>1.89873417721519</v>
      </c>
      <c r="Z527" s="103">
        <v>1.2658227848101267</v>
      </c>
      <c r="AA527" s="103">
        <v>0</v>
      </c>
      <c r="AB527" s="103">
        <v>0</v>
      </c>
      <c r="AC527" s="42"/>
      <c r="AD527" s="110"/>
      <c r="AE527" s="46" t="s">
        <v>5</v>
      </c>
      <c r="AF527" s="103">
        <v>17.460317460317459</v>
      </c>
      <c r="AG527" s="103">
        <v>44.444444444444443</v>
      </c>
      <c r="AH527" s="103">
        <v>20.634920634920633</v>
      </c>
      <c r="AI527" s="103">
        <v>4.7619047619047619</v>
      </c>
      <c r="AJ527" s="103">
        <v>4.7619047619047619</v>
      </c>
      <c r="AK527" s="103">
        <v>6.3492063492063489</v>
      </c>
      <c r="AL527" s="103">
        <v>0</v>
      </c>
      <c r="AM527" s="103">
        <v>1.5873015873015872</v>
      </c>
      <c r="AN527" s="103">
        <v>0</v>
      </c>
      <c r="AO527" s="103">
        <v>0</v>
      </c>
      <c r="AP527" s="6"/>
      <c r="AQ527" s="110"/>
      <c r="AR527" s="46" t="s">
        <v>5</v>
      </c>
      <c r="AS527" s="103">
        <v>12.5</v>
      </c>
      <c r="AT527" s="103">
        <v>29.545454545454547</v>
      </c>
      <c r="AU527" s="103">
        <v>32.954545454545453</v>
      </c>
      <c r="AV527" s="103">
        <v>9.0909090909090917</v>
      </c>
      <c r="AW527" s="103">
        <v>9.0909090909090917</v>
      </c>
      <c r="AX527" s="103">
        <v>3.4090909090909087</v>
      </c>
      <c r="AY527" s="103">
        <v>2.2727272727272729</v>
      </c>
      <c r="AZ527" s="103">
        <v>1.1363636363636365</v>
      </c>
      <c r="BA527" s="103">
        <v>0</v>
      </c>
      <c r="BB527" s="103">
        <v>0</v>
      </c>
      <c r="BC527" s="42"/>
      <c r="BD527" s="110"/>
      <c r="BE527" s="46" t="s">
        <v>5</v>
      </c>
      <c r="BF527" s="103">
        <v>7.518796992481203</v>
      </c>
      <c r="BG527" s="103">
        <v>30.82706766917293</v>
      </c>
      <c r="BH527" s="103">
        <v>28.571428571428569</v>
      </c>
      <c r="BI527" s="103">
        <v>18.045112781954884</v>
      </c>
      <c r="BJ527" s="103">
        <v>9.7744360902255636</v>
      </c>
      <c r="BK527" s="103">
        <v>3.007518796992481</v>
      </c>
      <c r="BL527" s="103">
        <v>0.75187969924812026</v>
      </c>
      <c r="BM527" s="103">
        <v>1.5037593984962405</v>
      </c>
      <c r="BN527" s="103">
        <v>0</v>
      </c>
      <c r="BO527" s="103">
        <v>0</v>
      </c>
      <c r="BQ527" s="110"/>
      <c r="BR527" s="46" t="s">
        <v>5</v>
      </c>
      <c r="BS527" s="103">
        <v>5</v>
      </c>
      <c r="BT527" s="103">
        <v>35</v>
      </c>
      <c r="BU527" s="103">
        <v>37.5</v>
      </c>
      <c r="BV527" s="103">
        <v>10</v>
      </c>
      <c r="BW527" s="103">
        <v>5</v>
      </c>
      <c r="BX527" s="103">
        <v>2.5</v>
      </c>
      <c r="BY527" s="103">
        <v>2.5</v>
      </c>
      <c r="BZ527" s="103">
        <v>2.5</v>
      </c>
      <c r="CA527" s="103">
        <v>0</v>
      </c>
      <c r="CB527" s="103">
        <v>0</v>
      </c>
      <c r="CC527" s="42"/>
      <c r="CD527" s="110"/>
      <c r="CE527" s="46" t="s">
        <v>5</v>
      </c>
      <c r="CF527" s="103">
        <v>10.497237569060774</v>
      </c>
      <c r="CG527" s="103">
        <v>29.281767955801101</v>
      </c>
      <c r="CH527" s="103">
        <v>28.729281767955801</v>
      </c>
      <c r="CI527" s="103">
        <v>15.469613259668508</v>
      </c>
      <c r="CJ527" s="103">
        <v>10.497237569060774</v>
      </c>
      <c r="CK527" s="103">
        <v>3.3149171270718232</v>
      </c>
      <c r="CL527" s="103">
        <v>1.1049723756906076</v>
      </c>
      <c r="CM527" s="103">
        <v>1.1049723756906076</v>
      </c>
      <c r="CN527" s="103">
        <v>0</v>
      </c>
      <c r="CO527" s="103">
        <v>0</v>
      </c>
      <c r="CQ527" s="110"/>
      <c r="CR527" s="46" t="s">
        <v>5</v>
      </c>
      <c r="CS527" s="103">
        <v>7.8125</v>
      </c>
      <c r="CT527" s="103">
        <v>23.4375</v>
      </c>
      <c r="CU527" s="103">
        <v>26.5625</v>
      </c>
      <c r="CV527" s="103">
        <v>15.625</v>
      </c>
      <c r="CW527" s="103">
        <v>15.625</v>
      </c>
      <c r="CX527" s="103">
        <v>4.6875</v>
      </c>
      <c r="CY527" s="103">
        <v>4.6875</v>
      </c>
      <c r="CZ527" s="103">
        <v>1.5625</v>
      </c>
      <c r="DA527" s="103">
        <v>0</v>
      </c>
      <c r="DB527" s="103">
        <v>0</v>
      </c>
      <c r="DC527" s="42"/>
      <c r="DD527" s="110"/>
      <c r="DE527" s="46" t="s">
        <v>5</v>
      </c>
      <c r="DF527" s="103">
        <v>10.191082802547772</v>
      </c>
      <c r="DG527" s="103">
        <v>33.121019108280251</v>
      </c>
      <c r="DH527" s="103">
        <v>31.847133757961782</v>
      </c>
      <c r="DI527" s="103">
        <v>14.012738853503185</v>
      </c>
      <c r="DJ527" s="103">
        <v>7.0063694267515926</v>
      </c>
      <c r="DK527" s="103">
        <v>2.547770700636943</v>
      </c>
      <c r="DL527" s="103">
        <v>0</v>
      </c>
      <c r="DM527" s="103">
        <v>1.2738853503184715</v>
      </c>
      <c r="DN527" s="103">
        <v>0</v>
      </c>
      <c r="DO527" s="103">
        <v>0</v>
      </c>
    </row>
    <row r="528" spans="2:119" ht="16.25" customHeight="1" x14ac:dyDescent="0.45">
      <c r="B528" s="99"/>
      <c r="C528" s="42"/>
      <c r="D528" s="110"/>
      <c r="E528" s="47" t="s">
        <v>6</v>
      </c>
      <c r="F528" s="103">
        <v>6.0367454068241466</v>
      </c>
      <c r="G528" s="103">
        <v>17.716535433070867</v>
      </c>
      <c r="H528" s="103">
        <v>27.821522309711288</v>
      </c>
      <c r="I528" s="103">
        <v>23.884514435695539</v>
      </c>
      <c r="J528" s="103">
        <v>11.286089238845145</v>
      </c>
      <c r="K528" s="103">
        <v>6.8241469816272966</v>
      </c>
      <c r="L528" s="103">
        <v>4.5931758530183728</v>
      </c>
      <c r="M528" s="103">
        <v>1.4435695538057742</v>
      </c>
      <c r="N528" s="103">
        <v>0.26246719160104987</v>
      </c>
      <c r="O528" s="103">
        <v>0.13123359580052493</v>
      </c>
      <c r="P528" s="42"/>
      <c r="Q528" s="110"/>
      <c r="R528" s="46" t="s">
        <v>6</v>
      </c>
      <c r="S528" s="103">
        <v>3.75</v>
      </c>
      <c r="T528" s="103">
        <v>16.785714285714285</v>
      </c>
      <c r="U528" s="103">
        <v>27.500000000000004</v>
      </c>
      <c r="V528" s="103">
        <v>24.285714285714285</v>
      </c>
      <c r="W528" s="103">
        <v>12.5</v>
      </c>
      <c r="X528" s="103">
        <v>7.5</v>
      </c>
      <c r="Y528" s="103">
        <v>5.5357142857142856</v>
      </c>
      <c r="Z528" s="103">
        <v>1.7857142857142856</v>
      </c>
      <c r="AA528" s="103">
        <v>0.17857142857142858</v>
      </c>
      <c r="AB528" s="103">
        <v>0.17857142857142858</v>
      </c>
      <c r="AC528" s="42"/>
      <c r="AD528" s="110"/>
      <c r="AE528" s="46" t="s">
        <v>6</v>
      </c>
      <c r="AF528" s="103">
        <v>12.376237623762377</v>
      </c>
      <c r="AG528" s="103">
        <v>20.297029702970299</v>
      </c>
      <c r="AH528" s="103">
        <v>28.71287128712871</v>
      </c>
      <c r="AI528" s="103">
        <v>22.772277227722775</v>
      </c>
      <c r="AJ528" s="103">
        <v>7.9207920792079207</v>
      </c>
      <c r="AK528" s="103">
        <v>4.9504950495049505</v>
      </c>
      <c r="AL528" s="103">
        <v>1.9801980198019802</v>
      </c>
      <c r="AM528" s="103">
        <v>0.49504950495049505</v>
      </c>
      <c r="AN528" s="103">
        <v>0.49504950495049505</v>
      </c>
      <c r="AO528" s="103">
        <v>0</v>
      </c>
      <c r="AP528" s="6"/>
      <c r="AQ528" s="110"/>
      <c r="AR528" s="46" t="s">
        <v>6</v>
      </c>
      <c r="AS528" s="103">
        <v>6.4981949458483745</v>
      </c>
      <c r="AT528" s="103">
        <v>18.411552346570399</v>
      </c>
      <c r="AU528" s="103">
        <v>33.2129963898917</v>
      </c>
      <c r="AV528" s="103">
        <v>22.382671480144403</v>
      </c>
      <c r="AW528" s="103">
        <v>7.9422382671480145</v>
      </c>
      <c r="AX528" s="103">
        <v>5.0541516245487363</v>
      </c>
      <c r="AY528" s="103">
        <v>3.2490974729241873</v>
      </c>
      <c r="AZ528" s="103">
        <v>2.5270758122743682</v>
      </c>
      <c r="BA528" s="103">
        <v>0.36101083032490977</v>
      </c>
      <c r="BB528" s="103">
        <v>0.36101083032490977</v>
      </c>
      <c r="BC528" s="42"/>
      <c r="BD528" s="110"/>
      <c r="BE528" s="46" t="s">
        <v>6</v>
      </c>
      <c r="BF528" s="103">
        <v>5.7731958762886597</v>
      </c>
      <c r="BG528" s="103">
        <v>17.319587628865978</v>
      </c>
      <c r="BH528" s="103">
        <v>24.742268041237114</v>
      </c>
      <c r="BI528" s="103">
        <v>24.742268041237114</v>
      </c>
      <c r="BJ528" s="103">
        <v>13.195876288659795</v>
      </c>
      <c r="BK528" s="103">
        <v>7.8350515463917523</v>
      </c>
      <c r="BL528" s="103">
        <v>5.3608247422680408</v>
      </c>
      <c r="BM528" s="103">
        <v>0.82474226804123718</v>
      </c>
      <c r="BN528" s="103">
        <v>0.2061855670103093</v>
      </c>
      <c r="BO528" s="103">
        <v>0</v>
      </c>
      <c r="BQ528" s="110"/>
      <c r="BR528" s="46" t="s">
        <v>6</v>
      </c>
      <c r="BS528" s="103">
        <v>7.1999999999999993</v>
      </c>
      <c r="BT528" s="103">
        <v>18.399999999999999</v>
      </c>
      <c r="BU528" s="103">
        <v>29.599999999999998</v>
      </c>
      <c r="BV528" s="103">
        <v>24</v>
      </c>
      <c r="BW528" s="103">
        <v>11.200000000000001</v>
      </c>
      <c r="BX528" s="103">
        <v>6.4</v>
      </c>
      <c r="BY528" s="103">
        <v>0.8</v>
      </c>
      <c r="BZ528" s="103">
        <v>2.4</v>
      </c>
      <c r="CA528" s="103">
        <v>0</v>
      </c>
      <c r="CB528" s="103">
        <v>0</v>
      </c>
      <c r="CC528" s="42"/>
      <c r="CD528" s="110"/>
      <c r="CE528" s="46" t="s">
        <v>6</v>
      </c>
      <c r="CF528" s="103">
        <v>5.8084772370486659</v>
      </c>
      <c r="CG528" s="103">
        <v>17.582417582417584</v>
      </c>
      <c r="CH528" s="103">
        <v>27.472527472527474</v>
      </c>
      <c r="CI528" s="103">
        <v>23.861852433281005</v>
      </c>
      <c r="CJ528" s="103">
        <v>11.302982731554161</v>
      </c>
      <c r="CK528" s="103">
        <v>6.9073783359497636</v>
      </c>
      <c r="CL528" s="103">
        <v>5.3375196232339093</v>
      </c>
      <c r="CM528" s="103">
        <v>1.2558869701726845</v>
      </c>
      <c r="CN528" s="103">
        <v>0.31397174254317112</v>
      </c>
      <c r="CO528" s="103">
        <v>0.15698587127158556</v>
      </c>
      <c r="CQ528" s="110"/>
      <c r="CR528" s="46" t="s">
        <v>6</v>
      </c>
      <c r="CS528" s="103">
        <v>5.0505050505050502</v>
      </c>
      <c r="CT528" s="103">
        <v>13.131313131313133</v>
      </c>
      <c r="CU528" s="103">
        <v>24.747474747474747</v>
      </c>
      <c r="CV528" s="103">
        <v>19.19191919191919</v>
      </c>
      <c r="CW528" s="103">
        <v>16.666666666666664</v>
      </c>
      <c r="CX528" s="103">
        <v>9.5959595959595951</v>
      </c>
      <c r="CY528" s="103">
        <v>7.5757575757575761</v>
      </c>
      <c r="CZ528" s="103">
        <v>3.535353535353535</v>
      </c>
      <c r="DA528" s="103">
        <v>0</v>
      </c>
      <c r="DB528" s="103">
        <v>0.50505050505050508</v>
      </c>
      <c r="DC528" s="42"/>
      <c r="DD528" s="110"/>
      <c r="DE528" s="46" t="s">
        <v>6</v>
      </c>
      <c r="DF528" s="103">
        <v>6.3829787234042552</v>
      </c>
      <c r="DG528" s="103">
        <v>19.326241134751772</v>
      </c>
      <c r="DH528" s="103">
        <v>28.900709219858157</v>
      </c>
      <c r="DI528" s="103">
        <v>25.531914893617021</v>
      </c>
      <c r="DJ528" s="103">
        <v>9.3971631205673756</v>
      </c>
      <c r="DK528" s="103">
        <v>5.8510638297872344</v>
      </c>
      <c r="DL528" s="103">
        <v>3.5460992907801421</v>
      </c>
      <c r="DM528" s="103">
        <v>0.70921985815602839</v>
      </c>
      <c r="DN528" s="103">
        <v>0.3546099290780142</v>
      </c>
      <c r="DO528" s="103">
        <v>0</v>
      </c>
    </row>
    <row r="529" spans="2:119" ht="16.25" customHeight="1" x14ac:dyDescent="0.45">
      <c r="B529" s="99"/>
      <c r="C529" s="42"/>
      <c r="D529" s="110"/>
      <c r="E529" s="47" t="s">
        <v>7</v>
      </c>
      <c r="F529" s="103">
        <v>4.5580878265703166</v>
      </c>
      <c r="G529" s="103">
        <v>13.340744858254586</v>
      </c>
      <c r="H529" s="103">
        <v>21.40077821011673</v>
      </c>
      <c r="I529" s="103">
        <v>25.736520289049469</v>
      </c>
      <c r="J529" s="103">
        <v>15.119510839355197</v>
      </c>
      <c r="K529" s="103">
        <v>9.8387993329627577</v>
      </c>
      <c r="L529" s="103">
        <v>6.7259588660366871</v>
      </c>
      <c r="M529" s="103">
        <v>2.2790439132851583</v>
      </c>
      <c r="N529" s="103">
        <v>0.72262367982212339</v>
      </c>
      <c r="O529" s="103">
        <v>0.27793218454697055</v>
      </c>
      <c r="P529" s="42"/>
      <c r="Q529" s="110"/>
      <c r="R529" s="46" t="s">
        <v>7</v>
      </c>
      <c r="S529" s="103">
        <v>2.5934401220442411</v>
      </c>
      <c r="T529" s="103">
        <v>11.746758199847445</v>
      </c>
      <c r="U529" s="103">
        <v>19.908466819221967</v>
      </c>
      <c r="V529" s="103">
        <v>26.315789473684209</v>
      </c>
      <c r="W529" s="103">
        <v>15.560640732265446</v>
      </c>
      <c r="X529" s="103">
        <v>11.594202898550725</v>
      </c>
      <c r="Y529" s="103">
        <v>8.3142639206712428</v>
      </c>
      <c r="Z529" s="103">
        <v>2.6697177726926014</v>
      </c>
      <c r="AA529" s="103">
        <v>0.91533180778032042</v>
      </c>
      <c r="AB529" s="103">
        <v>0.38138825324180015</v>
      </c>
      <c r="AC529" s="42"/>
      <c r="AD529" s="110"/>
      <c r="AE529" s="46" t="s">
        <v>7</v>
      </c>
      <c r="AF529" s="103">
        <v>9.8360655737704921</v>
      </c>
      <c r="AG529" s="103">
        <v>17.622950819672131</v>
      </c>
      <c r="AH529" s="103">
        <v>25.409836065573771</v>
      </c>
      <c r="AI529" s="103">
        <v>24.180327868852459</v>
      </c>
      <c r="AJ529" s="103">
        <v>13.934426229508196</v>
      </c>
      <c r="AK529" s="103">
        <v>5.1229508196721314</v>
      </c>
      <c r="AL529" s="103">
        <v>2.459016393442623</v>
      </c>
      <c r="AM529" s="103">
        <v>1.2295081967213115</v>
      </c>
      <c r="AN529" s="103">
        <v>0.20491803278688525</v>
      </c>
      <c r="AO529" s="103">
        <v>0</v>
      </c>
      <c r="AP529" s="6"/>
      <c r="AQ529" s="110"/>
      <c r="AR529" s="46" t="s">
        <v>7</v>
      </c>
      <c r="AS529" s="103">
        <v>6.3943161634103021</v>
      </c>
      <c r="AT529" s="103">
        <v>17.939609236234457</v>
      </c>
      <c r="AU529" s="103">
        <v>23.801065719360569</v>
      </c>
      <c r="AV529" s="103">
        <v>22.912966252220247</v>
      </c>
      <c r="AW529" s="103">
        <v>12.255772646536411</v>
      </c>
      <c r="AX529" s="103">
        <v>8.1705150976909415</v>
      </c>
      <c r="AY529" s="103">
        <v>5.5062166962699823</v>
      </c>
      <c r="AZ529" s="103">
        <v>2.1314387211367674</v>
      </c>
      <c r="BA529" s="103">
        <v>0.53285968028419184</v>
      </c>
      <c r="BB529" s="103">
        <v>0.35523978685612789</v>
      </c>
      <c r="BC529" s="42"/>
      <c r="BD529" s="110"/>
      <c r="BE529" s="46" t="s">
        <v>7</v>
      </c>
      <c r="BF529" s="103">
        <v>3.7216828478964405</v>
      </c>
      <c r="BG529" s="103">
        <v>11.245954692556634</v>
      </c>
      <c r="BH529" s="103">
        <v>20.307443365695793</v>
      </c>
      <c r="BI529" s="103">
        <v>27.02265372168285</v>
      </c>
      <c r="BJ529" s="103">
        <v>16.423948220064723</v>
      </c>
      <c r="BK529" s="103">
        <v>10.598705501618124</v>
      </c>
      <c r="BL529" s="103">
        <v>7.2815533980582519</v>
      </c>
      <c r="BM529" s="103">
        <v>2.3462783171521036</v>
      </c>
      <c r="BN529" s="103">
        <v>0.8090614886731391</v>
      </c>
      <c r="BO529" s="103">
        <v>0.24271844660194172</v>
      </c>
      <c r="BQ529" s="110"/>
      <c r="BR529" s="46" t="s">
        <v>7</v>
      </c>
      <c r="BS529" s="103">
        <v>7.042253521126761</v>
      </c>
      <c r="BT529" s="103">
        <v>16.197183098591552</v>
      </c>
      <c r="BU529" s="103">
        <v>26.056338028169012</v>
      </c>
      <c r="BV529" s="103">
        <v>19.718309859154928</v>
      </c>
      <c r="BW529" s="103">
        <v>11.971830985915492</v>
      </c>
      <c r="BX529" s="103">
        <v>7.042253521126761</v>
      </c>
      <c r="BY529" s="103">
        <v>7.7464788732394361</v>
      </c>
      <c r="BZ529" s="103">
        <v>4.225352112676056</v>
      </c>
      <c r="CA529" s="103">
        <v>0</v>
      </c>
      <c r="CB529" s="103">
        <v>0</v>
      </c>
      <c r="CC529" s="42"/>
      <c r="CD529" s="110"/>
      <c r="CE529" s="46" t="s">
        <v>7</v>
      </c>
      <c r="CF529" s="103">
        <v>4.3452021726010859</v>
      </c>
      <c r="CG529" s="103">
        <v>13.095956547978274</v>
      </c>
      <c r="CH529" s="103">
        <v>21.00181050090525</v>
      </c>
      <c r="CI529" s="103">
        <v>26.252263126131563</v>
      </c>
      <c r="CJ529" s="103">
        <v>15.389257694628848</v>
      </c>
      <c r="CK529" s="103">
        <v>10.078455039227521</v>
      </c>
      <c r="CL529" s="103">
        <v>6.6385033192516598</v>
      </c>
      <c r="CM529" s="103">
        <v>2.1122510561255279</v>
      </c>
      <c r="CN529" s="103">
        <v>0.78455039227519618</v>
      </c>
      <c r="CO529" s="103">
        <v>0.30175015087507545</v>
      </c>
      <c r="CQ529" s="110"/>
      <c r="CR529" s="46" t="s">
        <v>7</v>
      </c>
      <c r="CS529" s="103">
        <v>2.512562814070352</v>
      </c>
      <c r="CT529" s="103">
        <v>9.5477386934673358</v>
      </c>
      <c r="CU529" s="103">
        <v>16.331658291457288</v>
      </c>
      <c r="CV529" s="103">
        <v>25.628140703517587</v>
      </c>
      <c r="CW529" s="103">
        <v>16.834170854271356</v>
      </c>
      <c r="CX529" s="103">
        <v>11.557788944723619</v>
      </c>
      <c r="CY529" s="103">
        <v>10.804020100502512</v>
      </c>
      <c r="CZ529" s="103">
        <v>4.5226130653266337</v>
      </c>
      <c r="DA529" s="103">
        <v>1.7587939698492463</v>
      </c>
      <c r="DB529" s="103">
        <v>0.50251256281407031</v>
      </c>
      <c r="DC529" s="42"/>
      <c r="DD529" s="110"/>
      <c r="DE529" s="46" t="s">
        <v>7</v>
      </c>
      <c r="DF529" s="103">
        <v>5.1391862955032117</v>
      </c>
      <c r="DG529" s="103">
        <v>14.418272662384011</v>
      </c>
      <c r="DH529" s="103">
        <v>22.840827980014275</v>
      </c>
      <c r="DI529" s="103">
        <v>25.767309064953604</v>
      </c>
      <c r="DJ529" s="103">
        <v>14.632405424696646</v>
      </c>
      <c r="DK529" s="103">
        <v>9.3504639543183448</v>
      </c>
      <c r="DL529" s="103">
        <v>5.5674518201284791</v>
      </c>
      <c r="DM529" s="103">
        <v>1.6416845110635261</v>
      </c>
      <c r="DN529" s="103">
        <v>0.42826552462526768</v>
      </c>
      <c r="DO529" s="103">
        <v>0.21413276231263384</v>
      </c>
    </row>
    <row r="530" spans="2:119" ht="16.25" customHeight="1" x14ac:dyDescent="0.45">
      <c r="B530" s="99"/>
      <c r="C530" s="42"/>
      <c r="D530" s="110"/>
      <c r="E530" s="47" t="s">
        <v>8</v>
      </c>
      <c r="F530" s="103">
        <v>2.2084195997239475</v>
      </c>
      <c r="G530" s="103">
        <v>5.8316080055210486</v>
      </c>
      <c r="H530" s="103">
        <v>13.492063492063492</v>
      </c>
      <c r="I530" s="103">
        <v>23.498964803312631</v>
      </c>
      <c r="J530" s="103">
        <v>19.220151828847481</v>
      </c>
      <c r="K530" s="103">
        <v>15.113871635610765</v>
      </c>
      <c r="L530" s="103">
        <v>11.904761904761903</v>
      </c>
      <c r="M530" s="103">
        <v>6.2801932367149762</v>
      </c>
      <c r="N530" s="103">
        <v>1.932367149758454</v>
      </c>
      <c r="O530" s="103">
        <v>0.51759834368530022</v>
      </c>
      <c r="P530" s="42"/>
      <c r="Q530" s="110"/>
      <c r="R530" s="46" t="s">
        <v>8</v>
      </c>
      <c r="S530" s="103">
        <v>1.0890151515151516</v>
      </c>
      <c r="T530" s="103">
        <v>4.3560606060606064</v>
      </c>
      <c r="U530" s="103">
        <v>12.215909090909092</v>
      </c>
      <c r="V530" s="103">
        <v>21.496212121212121</v>
      </c>
      <c r="W530" s="103">
        <v>19.696969696969695</v>
      </c>
      <c r="X530" s="103">
        <v>16.666666666666664</v>
      </c>
      <c r="Y530" s="103">
        <v>13.731060606060606</v>
      </c>
      <c r="Z530" s="103">
        <v>7.8125</v>
      </c>
      <c r="AA530" s="103">
        <v>2.4147727272727271</v>
      </c>
      <c r="AB530" s="103">
        <v>0.52083333333333326</v>
      </c>
      <c r="AC530" s="42"/>
      <c r="AD530" s="110"/>
      <c r="AE530" s="46" t="s">
        <v>8</v>
      </c>
      <c r="AF530" s="103">
        <v>5.216284987277354</v>
      </c>
      <c r="AG530" s="103">
        <v>9.7964376590330797</v>
      </c>
      <c r="AH530" s="103">
        <v>16.921119592875318</v>
      </c>
      <c r="AI530" s="103">
        <v>28.880407124681934</v>
      </c>
      <c r="AJ530" s="103">
        <v>17.938931297709924</v>
      </c>
      <c r="AK530" s="103">
        <v>10.941475826972011</v>
      </c>
      <c r="AL530" s="103">
        <v>6.997455470737914</v>
      </c>
      <c r="AM530" s="103">
        <v>2.1628498727735366</v>
      </c>
      <c r="AN530" s="103">
        <v>0.63613231552162841</v>
      </c>
      <c r="AO530" s="103">
        <v>0.5089058524173028</v>
      </c>
      <c r="AP530" s="6"/>
      <c r="AQ530" s="110"/>
      <c r="AR530" s="46" t="s">
        <v>8</v>
      </c>
      <c r="AS530" s="103">
        <v>3.2138442521631645</v>
      </c>
      <c r="AT530" s="103">
        <v>8.1582200247218797</v>
      </c>
      <c r="AU530" s="103">
        <v>14.585908529048208</v>
      </c>
      <c r="AV530" s="103">
        <v>24.474660074165637</v>
      </c>
      <c r="AW530" s="103">
        <v>19.530284301606923</v>
      </c>
      <c r="AX530" s="103">
        <v>11.866501854140916</v>
      </c>
      <c r="AY530" s="103">
        <v>9.0234857849196537</v>
      </c>
      <c r="AZ530" s="103">
        <v>6.3040791100123599</v>
      </c>
      <c r="BA530" s="103">
        <v>2.2249690976514214</v>
      </c>
      <c r="BB530" s="103">
        <v>0.61804697156983934</v>
      </c>
      <c r="BC530" s="42"/>
      <c r="BD530" s="110"/>
      <c r="BE530" s="46" t="s">
        <v>8</v>
      </c>
      <c r="BF530" s="103">
        <v>1.8190521780756344</v>
      </c>
      <c r="BG530" s="103">
        <v>4.9305887984681673</v>
      </c>
      <c r="BH530" s="103">
        <v>13.068453805648636</v>
      </c>
      <c r="BI530" s="103">
        <v>23.12111057922451</v>
      </c>
      <c r="BJ530" s="103">
        <v>19.10004786979416</v>
      </c>
      <c r="BK530" s="103">
        <v>16.371469602680708</v>
      </c>
      <c r="BL530" s="103">
        <v>13.020584011488751</v>
      </c>
      <c r="BM530" s="103">
        <v>6.2709430349449491</v>
      </c>
      <c r="BN530" s="103">
        <v>1.8190521780756344</v>
      </c>
      <c r="BO530" s="103">
        <v>0.47869794159885115</v>
      </c>
      <c r="BQ530" s="110"/>
      <c r="BR530" s="46" t="s">
        <v>8</v>
      </c>
      <c r="BS530" s="103">
        <v>5.5865921787709496</v>
      </c>
      <c r="BT530" s="103">
        <v>8.938547486033519</v>
      </c>
      <c r="BU530" s="103">
        <v>16.759776536312849</v>
      </c>
      <c r="BV530" s="103">
        <v>27.374301675977652</v>
      </c>
      <c r="BW530" s="103">
        <v>17.877094972067038</v>
      </c>
      <c r="BX530" s="103">
        <v>8.938547486033519</v>
      </c>
      <c r="BY530" s="103">
        <v>8.3798882681564244</v>
      </c>
      <c r="BZ530" s="103">
        <v>3.3519553072625698</v>
      </c>
      <c r="CA530" s="103">
        <v>2.2346368715083798</v>
      </c>
      <c r="CB530" s="103">
        <v>0.55865921787709494</v>
      </c>
      <c r="CC530" s="42"/>
      <c r="CD530" s="110"/>
      <c r="CE530" s="46" t="s">
        <v>8</v>
      </c>
      <c r="CF530" s="103">
        <v>1.9860242736300111</v>
      </c>
      <c r="CG530" s="103">
        <v>5.6270687752850312</v>
      </c>
      <c r="CH530" s="103">
        <v>13.27694005148952</v>
      </c>
      <c r="CI530" s="103">
        <v>23.243839646929018</v>
      </c>
      <c r="CJ530" s="103">
        <v>19.308569326958441</v>
      </c>
      <c r="CK530" s="103">
        <v>15.52041191614564</v>
      </c>
      <c r="CL530" s="103">
        <v>12.136815005516734</v>
      </c>
      <c r="CM530" s="103">
        <v>6.4729680029422587</v>
      </c>
      <c r="CN530" s="103">
        <v>1.9124678190511217</v>
      </c>
      <c r="CO530" s="103">
        <v>0.51489518205222506</v>
      </c>
      <c r="CQ530" s="110"/>
      <c r="CR530" s="46" t="s">
        <v>8</v>
      </c>
      <c r="CS530" s="103">
        <v>1.2612612612612613</v>
      </c>
      <c r="CT530" s="103">
        <v>4.5045045045045047</v>
      </c>
      <c r="CU530" s="103">
        <v>8.2882882882882889</v>
      </c>
      <c r="CV530" s="103">
        <v>19.27927927927928</v>
      </c>
      <c r="CW530" s="103">
        <v>20</v>
      </c>
      <c r="CX530" s="103">
        <v>15.855855855855856</v>
      </c>
      <c r="CY530" s="103">
        <v>15.675675675675677</v>
      </c>
      <c r="CZ530" s="103">
        <v>10.810810810810811</v>
      </c>
      <c r="DA530" s="103">
        <v>3.2432432432432434</v>
      </c>
      <c r="DB530" s="103">
        <v>1.0810810810810811</v>
      </c>
      <c r="DC530" s="42"/>
      <c r="DD530" s="110"/>
      <c r="DE530" s="46" t="s">
        <v>8</v>
      </c>
      <c r="DF530" s="103">
        <v>2.4327784891165174</v>
      </c>
      <c r="DG530" s="103">
        <v>6.1459667093469905</v>
      </c>
      <c r="DH530" s="103">
        <v>14.7247119078105</v>
      </c>
      <c r="DI530" s="103">
        <v>24.498506188647035</v>
      </c>
      <c r="DJ530" s="103">
        <v>19.035424669227485</v>
      </c>
      <c r="DK530" s="103">
        <v>14.938113529662825</v>
      </c>
      <c r="DL530" s="103">
        <v>11.011523687580025</v>
      </c>
      <c r="DM530" s="103">
        <v>5.2069995731967564</v>
      </c>
      <c r="DN530" s="103">
        <v>1.621852326077678</v>
      </c>
      <c r="DO530" s="103">
        <v>0.38412291933418691</v>
      </c>
    </row>
    <row r="531" spans="2:119" ht="16.25" customHeight="1" x14ac:dyDescent="0.45">
      <c r="B531" s="99"/>
      <c r="C531" s="42"/>
      <c r="D531" s="110"/>
      <c r="E531" s="47" t="s">
        <v>9</v>
      </c>
      <c r="F531" s="103">
        <v>0.92307692307692313</v>
      </c>
      <c r="G531" s="103">
        <v>2.3216783216783217</v>
      </c>
      <c r="H531" s="103">
        <v>8.3356643356643367</v>
      </c>
      <c r="I531" s="103">
        <v>14.881118881118882</v>
      </c>
      <c r="J531" s="103">
        <v>17.762237762237763</v>
      </c>
      <c r="K531" s="103">
        <v>20.335664335664337</v>
      </c>
      <c r="L531" s="103">
        <v>16.335664335664333</v>
      </c>
      <c r="M531" s="103">
        <v>10.601398601398602</v>
      </c>
      <c r="N531" s="103">
        <v>6.6013986013986017</v>
      </c>
      <c r="O531" s="103">
        <v>1.9020979020979021</v>
      </c>
      <c r="P531" s="42"/>
      <c r="Q531" s="110"/>
      <c r="R531" s="46" t="s">
        <v>9</v>
      </c>
      <c r="S531" s="103">
        <v>0.56933712891419275</v>
      </c>
      <c r="T531" s="103">
        <v>1.5860105734038226</v>
      </c>
      <c r="U531" s="103">
        <v>6.0593737291581942</v>
      </c>
      <c r="V531" s="103">
        <v>13.298088653924358</v>
      </c>
      <c r="W531" s="103">
        <v>16.551443676291175</v>
      </c>
      <c r="X531" s="103">
        <v>20.699471329808866</v>
      </c>
      <c r="Y531" s="103">
        <v>17.893452623017485</v>
      </c>
      <c r="Z531" s="103">
        <v>12.769418462789753</v>
      </c>
      <c r="AA531" s="103">
        <v>8.011386742578285</v>
      </c>
      <c r="AB531" s="103">
        <v>2.5620170801138675</v>
      </c>
      <c r="AC531" s="42"/>
      <c r="AD531" s="110"/>
      <c r="AE531" s="46" t="s">
        <v>9</v>
      </c>
      <c r="AF531" s="103">
        <v>1.7025089605734769</v>
      </c>
      <c r="AG531" s="103">
        <v>3.9426523297491038</v>
      </c>
      <c r="AH531" s="103">
        <v>13.351254480286739</v>
      </c>
      <c r="AI531" s="103">
        <v>18.369175627240146</v>
      </c>
      <c r="AJ531" s="103">
        <v>20.43010752688172</v>
      </c>
      <c r="AK531" s="103">
        <v>19.534050179211469</v>
      </c>
      <c r="AL531" s="103">
        <v>12.903225806451612</v>
      </c>
      <c r="AM531" s="103">
        <v>5.8243727598566313</v>
      </c>
      <c r="AN531" s="103">
        <v>3.4946236559139781</v>
      </c>
      <c r="AO531" s="103">
        <v>0.4480286738351254</v>
      </c>
      <c r="AP531" s="6"/>
      <c r="AQ531" s="110"/>
      <c r="AR531" s="46" t="s">
        <v>9</v>
      </c>
      <c r="AS531" s="103">
        <v>1.4511873350923483</v>
      </c>
      <c r="AT531" s="103">
        <v>3.1662269129287601</v>
      </c>
      <c r="AU531" s="103">
        <v>10.554089709762533</v>
      </c>
      <c r="AV531" s="103">
        <v>15.303430079155673</v>
      </c>
      <c r="AW531" s="103">
        <v>17.941952506596305</v>
      </c>
      <c r="AX531" s="103">
        <v>19.656992084432716</v>
      </c>
      <c r="AY531" s="103">
        <v>16.358839050131927</v>
      </c>
      <c r="AZ531" s="103">
        <v>7.9155672823219003</v>
      </c>
      <c r="BA531" s="103">
        <v>5.9366754617414248</v>
      </c>
      <c r="BB531" s="103">
        <v>1.7150395778364116</v>
      </c>
      <c r="BC531" s="42"/>
      <c r="BD531" s="110"/>
      <c r="BE531" s="46" t="s">
        <v>9</v>
      </c>
      <c r="BF531" s="103">
        <v>0.78097266595669157</v>
      </c>
      <c r="BG531" s="103">
        <v>2.0944266950656725</v>
      </c>
      <c r="BH531" s="103">
        <v>7.7387291444799429</v>
      </c>
      <c r="BI531" s="103">
        <v>14.767483138090167</v>
      </c>
      <c r="BJ531" s="103">
        <v>17.713880014199503</v>
      </c>
      <c r="BK531" s="103">
        <v>20.518281860134895</v>
      </c>
      <c r="BL531" s="103">
        <v>16.329428470003549</v>
      </c>
      <c r="BM531" s="103">
        <v>11.324103656372026</v>
      </c>
      <c r="BN531" s="103">
        <v>6.7802626908058219</v>
      </c>
      <c r="BO531" s="103">
        <v>1.9524316648917288</v>
      </c>
      <c r="BQ531" s="110"/>
      <c r="BR531" s="46" t="s">
        <v>9</v>
      </c>
      <c r="BS531" s="103">
        <v>1.1627906976744187</v>
      </c>
      <c r="BT531" s="103">
        <v>3.4883720930232558</v>
      </c>
      <c r="BU531" s="103">
        <v>16.86046511627907</v>
      </c>
      <c r="BV531" s="103">
        <v>23.837209302325583</v>
      </c>
      <c r="BW531" s="103">
        <v>15.11627906976744</v>
      </c>
      <c r="BX531" s="103">
        <v>21.511627906976745</v>
      </c>
      <c r="BY531" s="103">
        <v>11.046511627906977</v>
      </c>
      <c r="BZ531" s="103">
        <v>2.9069767441860463</v>
      </c>
      <c r="CA531" s="103">
        <v>3.4883720930232558</v>
      </c>
      <c r="CB531" s="103">
        <v>0.58139534883720934</v>
      </c>
      <c r="CC531" s="42"/>
      <c r="CD531" s="110"/>
      <c r="CE531" s="46" t="s">
        <v>9</v>
      </c>
      <c r="CF531" s="103">
        <v>0.910960916838084</v>
      </c>
      <c r="CG531" s="103">
        <v>2.2627093740816928</v>
      </c>
      <c r="CH531" s="103">
        <v>7.9047898912724071</v>
      </c>
      <c r="CI531" s="103">
        <v>14.42844548927417</v>
      </c>
      <c r="CJ531" s="103">
        <v>17.895974140464297</v>
      </c>
      <c r="CK531" s="103">
        <v>20.276226858654127</v>
      </c>
      <c r="CL531" s="103">
        <v>16.602997355274756</v>
      </c>
      <c r="CM531" s="103">
        <v>10.990302674111078</v>
      </c>
      <c r="CN531" s="103">
        <v>6.7587422862180428</v>
      </c>
      <c r="CO531" s="103">
        <v>1.9688510138113431</v>
      </c>
      <c r="CQ531" s="110"/>
      <c r="CR531" s="46" t="s">
        <v>9</v>
      </c>
      <c r="CS531" s="103">
        <v>0.82236842105263153</v>
      </c>
      <c r="CT531" s="103">
        <v>0.82236842105263153</v>
      </c>
      <c r="CU531" s="103">
        <v>6.25</v>
      </c>
      <c r="CV531" s="103">
        <v>10.855263157894738</v>
      </c>
      <c r="CW531" s="103">
        <v>16.611842105263158</v>
      </c>
      <c r="CX531" s="103">
        <v>22.203947368421055</v>
      </c>
      <c r="CY531" s="103">
        <v>16.447368421052634</v>
      </c>
      <c r="CZ531" s="103">
        <v>12.5</v>
      </c>
      <c r="DA531" s="103">
        <v>9.5394736842105274</v>
      </c>
      <c r="DB531" s="103">
        <v>3.9473684210526314</v>
      </c>
      <c r="DC531" s="42"/>
      <c r="DD531" s="110"/>
      <c r="DE531" s="46" t="s">
        <v>9</v>
      </c>
      <c r="DF531" s="103">
        <v>0.94371418941691954</v>
      </c>
      <c r="DG531" s="103">
        <v>2.6289180990899901</v>
      </c>
      <c r="DH531" s="103">
        <v>8.7630603302999663</v>
      </c>
      <c r="DI531" s="103">
        <v>15.706100438153017</v>
      </c>
      <c r="DJ531" s="103">
        <v>17.997977755308391</v>
      </c>
      <c r="DK531" s="103">
        <v>19.952814290529155</v>
      </c>
      <c r="DL531" s="103">
        <v>16.312773845635324</v>
      </c>
      <c r="DM531" s="103">
        <v>10.212335692618806</v>
      </c>
      <c r="DN531" s="103">
        <v>5.9993259184361314</v>
      </c>
      <c r="DO531" s="103">
        <v>1.482979440512302</v>
      </c>
    </row>
    <row r="532" spans="2:119" ht="16.25" customHeight="1" x14ac:dyDescent="0.45">
      <c r="B532" s="99"/>
      <c r="C532" s="42"/>
      <c r="D532" s="110"/>
      <c r="E532" s="47" t="s">
        <v>10</v>
      </c>
      <c r="F532" s="103">
        <v>0.26972353337828725</v>
      </c>
      <c r="G532" s="103">
        <v>1.1463250168577208</v>
      </c>
      <c r="H532" s="103">
        <v>3.8098449089683073</v>
      </c>
      <c r="I532" s="103">
        <v>8.5637221847606213</v>
      </c>
      <c r="J532" s="103">
        <v>10.95751854349292</v>
      </c>
      <c r="K532" s="103">
        <v>16.587997302764666</v>
      </c>
      <c r="L532" s="103">
        <v>21.173297370195549</v>
      </c>
      <c r="M532" s="103">
        <v>17.228590694538099</v>
      </c>
      <c r="N532" s="103">
        <v>13.486176668914363</v>
      </c>
      <c r="O532" s="103">
        <v>6.7768037761294666</v>
      </c>
      <c r="P532" s="42"/>
      <c r="Q532" s="110"/>
      <c r="R532" s="46" t="s">
        <v>10</v>
      </c>
      <c r="S532" s="103">
        <v>0.10075566750629722</v>
      </c>
      <c r="T532" s="103">
        <v>0.75566750629722923</v>
      </c>
      <c r="U532" s="103">
        <v>3.1234256926952142</v>
      </c>
      <c r="V532" s="103">
        <v>6.0957178841309823</v>
      </c>
      <c r="W532" s="103">
        <v>8.5138539042821169</v>
      </c>
      <c r="X532" s="103">
        <v>15.012594458438286</v>
      </c>
      <c r="Y532" s="103">
        <v>22.166246851385392</v>
      </c>
      <c r="Z532" s="103">
        <v>19.143576826196472</v>
      </c>
      <c r="AA532" s="103">
        <v>16.423173803526446</v>
      </c>
      <c r="AB532" s="103">
        <v>8.6649874055415612</v>
      </c>
      <c r="AC532" s="42"/>
      <c r="AD532" s="110"/>
      <c r="AE532" s="46" t="s">
        <v>10</v>
      </c>
      <c r="AF532" s="103">
        <v>0.6116207951070336</v>
      </c>
      <c r="AG532" s="103">
        <v>1.9367991845056065</v>
      </c>
      <c r="AH532" s="103">
        <v>5.1987767584097861</v>
      </c>
      <c r="AI532" s="103">
        <v>13.557594291539246</v>
      </c>
      <c r="AJ532" s="103">
        <v>15.902140672782874</v>
      </c>
      <c r="AK532" s="103">
        <v>19.77573904179409</v>
      </c>
      <c r="AL532" s="103">
        <v>19.164118246687053</v>
      </c>
      <c r="AM532" s="103">
        <v>13.353720693170235</v>
      </c>
      <c r="AN532" s="103">
        <v>7.5433231396534142</v>
      </c>
      <c r="AO532" s="103">
        <v>2.9561671763506627</v>
      </c>
      <c r="AP532" s="6"/>
      <c r="AQ532" s="110"/>
      <c r="AR532" s="46" t="s">
        <v>10</v>
      </c>
      <c r="AS532" s="103">
        <v>1.5267175572519083</v>
      </c>
      <c r="AT532" s="103">
        <v>1.717557251908397</v>
      </c>
      <c r="AU532" s="103">
        <v>6.6793893129770989</v>
      </c>
      <c r="AV532" s="103">
        <v>12.595419847328243</v>
      </c>
      <c r="AW532" s="103">
        <v>13.16793893129771</v>
      </c>
      <c r="AX532" s="103">
        <v>19.65648854961832</v>
      </c>
      <c r="AY532" s="103">
        <v>17.175572519083971</v>
      </c>
      <c r="AZ532" s="103">
        <v>11.641221374045802</v>
      </c>
      <c r="BA532" s="103">
        <v>11.450381679389313</v>
      </c>
      <c r="BB532" s="103">
        <v>4.3893129770992365</v>
      </c>
      <c r="BC532" s="42"/>
      <c r="BD532" s="110"/>
      <c r="BE532" s="46" t="s">
        <v>10</v>
      </c>
      <c r="BF532" s="103">
        <v>0</v>
      </c>
      <c r="BG532" s="103">
        <v>1.0237510237510237</v>
      </c>
      <c r="BH532" s="103">
        <v>3.1941031941031941</v>
      </c>
      <c r="BI532" s="103">
        <v>7.6986076986076988</v>
      </c>
      <c r="BJ532" s="103">
        <v>10.483210483210485</v>
      </c>
      <c r="BK532" s="103">
        <v>15.92956592956593</v>
      </c>
      <c r="BL532" s="103">
        <v>22.031122031122031</v>
      </c>
      <c r="BM532" s="103">
        <v>18.427518427518429</v>
      </c>
      <c r="BN532" s="103">
        <v>13.923013923013924</v>
      </c>
      <c r="BO532" s="103">
        <v>7.2891072891072897</v>
      </c>
      <c r="BQ532" s="110"/>
      <c r="BR532" s="46" t="s">
        <v>10</v>
      </c>
      <c r="BS532" s="103">
        <v>0</v>
      </c>
      <c r="BT532" s="103">
        <v>2.34375</v>
      </c>
      <c r="BU532" s="103">
        <v>7.8125</v>
      </c>
      <c r="BV532" s="103">
        <v>8.59375</v>
      </c>
      <c r="BW532" s="103">
        <v>15.625</v>
      </c>
      <c r="BX532" s="103">
        <v>17.1875</v>
      </c>
      <c r="BY532" s="103">
        <v>12.5</v>
      </c>
      <c r="BZ532" s="103">
        <v>20.3125</v>
      </c>
      <c r="CA532" s="103">
        <v>10.9375</v>
      </c>
      <c r="CB532" s="103">
        <v>4.6875</v>
      </c>
      <c r="CC532" s="42"/>
      <c r="CD532" s="110"/>
      <c r="CE532" s="46" t="s">
        <v>10</v>
      </c>
      <c r="CF532" s="103">
        <v>0.28188865398167723</v>
      </c>
      <c r="CG532" s="103">
        <v>1.0923185341789992</v>
      </c>
      <c r="CH532" s="103">
        <v>3.6293164200140939</v>
      </c>
      <c r="CI532" s="103">
        <v>8.5623678646934458</v>
      </c>
      <c r="CJ532" s="103">
        <v>10.747004933051445</v>
      </c>
      <c r="CK532" s="103">
        <v>16.560958421423539</v>
      </c>
      <c r="CL532" s="103">
        <v>21.56448202959831</v>
      </c>
      <c r="CM532" s="103">
        <v>17.089499647639183</v>
      </c>
      <c r="CN532" s="103">
        <v>13.601127554615926</v>
      </c>
      <c r="CO532" s="103">
        <v>6.8710359408033828</v>
      </c>
      <c r="CQ532" s="110"/>
      <c r="CR532" s="46" t="s">
        <v>10</v>
      </c>
      <c r="CS532" s="103">
        <v>0</v>
      </c>
      <c r="CT532" s="103">
        <v>0.79840319361277434</v>
      </c>
      <c r="CU532" s="103">
        <v>2.7944111776447107</v>
      </c>
      <c r="CV532" s="103">
        <v>4.9900199600798407</v>
      </c>
      <c r="CW532" s="103">
        <v>8.9820359281437128</v>
      </c>
      <c r="CX532" s="103">
        <v>13.77245508982036</v>
      </c>
      <c r="CY532" s="103">
        <v>22.155688622754489</v>
      </c>
      <c r="CZ532" s="103">
        <v>18.163672654690618</v>
      </c>
      <c r="DA532" s="103">
        <v>17.56487025948104</v>
      </c>
      <c r="DB532" s="103">
        <v>10.778443113772456</v>
      </c>
      <c r="DC532" s="42"/>
      <c r="DD532" s="110"/>
      <c r="DE532" s="46" t="s">
        <v>10</v>
      </c>
      <c r="DF532" s="103">
        <v>0.32454361054766734</v>
      </c>
      <c r="DG532" s="103">
        <v>1.2170385395537524</v>
      </c>
      <c r="DH532" s="103">
        <v>4.016227180527383</v>
      </c>
      <c r="DI532" s="103">
        <v>9.2900608519269774</v>
      </c>
      <c r="DJ532" s="103">
        <v>11.359026369168356</v>
      </c>
      <c r="DK532" s="103">
        <v>17.160243407707913</v>
      </c>
      <c r="DL532" s="103">
        <v>20.973630831643003</v>
      </c>
      <c r="DM532" s="103">
        <v>17.038539553752535</v>
      </c>
      <c r="DN532" s="103">
        <v>12.657200811359026</v>
      </c>
      <c r="DO532" s="103">
        <v>5.9634888438133871</v>
      </c>
    </row>
    <row r="533" spans="2:119" ht="16.25" customHeight="1" x14ac:dyDescent="0.45">
      <c r="B533" s="99"/>
      <c r="C533" s="42"/>
      <c r="D533" s="111"/>
      <c r="E533" s="47" t="s">
        <v>11</v>
      </c>
      <c r="F533" s="103">
        <v>0</v>
      </c>
      <c r="G533" s="103">
        <v>0.15360983102918588</v>
      </c>
      <c r="H533" s="103">
        <v>0.61443932411674351</v>
      </c>
      <c r="I533" s="103">
        <v>2.6113671274961598</v>
      </c>
      <c r="J533" s="103">
        <v>3.9938556067588324</v>
      </c>
      <c r="K533" s="103">
        <v>7.2196620583717355</v>
      </c>
      <c r="L533" s="103">
        <v>18.740399385560679</v>
      </c>
      <c r="M533" s="103">
        <v>20.890937019969279</v>
      </c>
      <c r="N533" s="103">
        <v>24.423963133640552</v>
      </c>
      <c r="O533" s="103">
        <v>21.351766513056837</v>
      </c>
      <c r="P533" s="42"/>
      <c r="Q533" s="111"/>
      <c r="R533" s="46" t="s">
        <v>11</v>
      </c>
      <c r="S533" s="103">
        <v>0</v>
      </c>
      <c r="T533" s="103">
        <v>0.22222222222222221</v>
      </c>
      <c r="U533" s="103">
        <v>0.66666666666666674</v>
      </c>
      <c r="V533" s="103">
        <v>1.5555555555555556</v>
      </c>
      <c r="W533" s="103">
        <v>2</v>
      </c>
      <c r="X533" s="103">
        <v>6</v>
      </c>
      <c r="Y533" s="103">
        <v>17.555555555555554</v>
      </c>
      <c r="Z533" s="103">
        <v>20.666666666666668</v>
      </c>
      <c r="AA533" s="103">
        <v>25.777777777777779</v>
      </c>
      <c r="AB533" s="103">
        <v>25.555555555555554</v>
      </c>
      <c r="AC533" s="42"/>
      <c r="AD533" s="111"/>
      <c r="AE533" s="46" t="s">
        <v>11</v>
      </c>
      <c r="AF533" s="103">
        <v>0</v>
      </c>
      <c r="AG533" s="103">
        <v>0</v>
      </c>
      <c r="AH533" s="103">
        <v>0.49751243781094528</v>
      </c>
      <c r="AI533" s="103">
        <v>4.9751243781094532</v>
      </c>
      <c r="AJ533" s="103">
        <v>8.4577114427860707</v>
      </c>
      <c r="AK533" s="103">
        <v>9.9502487562189064</v>
      </c>
      <c r="AL533" s="103">
        <v>21.393034825870647</v>
      </c>
      <c r="AM533" s="103">
        <v>21.393034825870647</v>
      </c>
      <c r="AN533" s="103">
        <v>21.393034825870647</v>
      </c>
      <c r="AO533" s="103">
        <v>11.940298507462686</v>
      </c>
      <c r="AP533" s="6"/>
      <c r="AQ533" s="111"/>
      <c r="AR533" s="46" t="s">
        <v>11</v>
      </c>
      <c r="AS533" s="103">
        <v>0</v>
      </c>
      <c r="AT533" s="103">
        <v>1.1764705882352942</v>
      </c>
      <c r="AU533" s="103">
        <v>1.1764705882352942</v>
      </c>
      <c r="AV533" s="103">
        <v>5.8823529411764701</v>
      </c>
      <c r="AW533" s="103">
        <v>5.8823529411764701</v>
      </c>
      <c r="AX533" s="103">
        <v>9.4117647058823533</v>
      </c>
      <c r="AY533" s="103">
        <v>14.117647058823529</v>
      </c>
      <c r="AZ533" s="103">
        <v>17.647058823529413</v>
      </c>
      <c r="BA533" s="103">
        <v>25.882352941176475</v>
      </c>
      <c r="BB533" s="103">
        <v>18.823529411764707</v>
      </c>
      <c r="BC533" s="42"/>
      <c r="BD533" s="111"/>
      <c r="BE533" s="46" t="s">
        <v>11</v>
      </c>
      <c r="BF533" s="103">
        <v>0</v>
      </c>
      <c r="BG533" s="103">
        <v>0</v>
      </c>
      <c r="BH533" s="103">
        <v>0.53003533568904593</v>
      </c>
      <c r="BI533" s="103">
        <v>2.1201413427561837</v>
      </c>
      <c r="BJ533" s="103">
        <v>3.7102473498233217</v>
      </c>
      <c r="BK533" s="103">
        <v>6.8904593639575973</v>
      </c>
      <c r="BL533" s="103">
        <v>19.434628975265017</v>
      </c>
      <c r="BM533" s="103">
        <v>21.378091872791519</v>
      </c>
      <c r="BN533" s="103">
        <v>24.204946996466433</v>
      </c>
      <c r="BO533" s="103">
        <v>21.731448763250881</v>
      </c>
      <c r="BQ533" s="111"/>
      <c r="BR533" s="46" t="s">
        <v>11</v>
      </c>
      <c r="BS533" s="103">
        <v>0</v>
      </c>
      <c r="BT533" s="103">
        <v>0</v>
      </c>
      <c r="BU533" s="103">
        <v>0</v>
      </c>
      <c r="BV533" s="103">
        <v>0</v>
      </c>
      <c r="BW533" s="103">
        <v>10</v>
      </c>
      <c r="BX533" s="103">
        <v>10</v>
      </c>
      <c r="BY533" s="103">
        <v>20</v>
      </c>
      <c r="BZ533" s="103">
        <v>20</v>
      </c>
      <c r="CA533" s="103">
        <v>20</v>
      </c>
      <c r="CB533" s="103">
        <v>20</v>
      </c>
      <c r="CC533" s="42"/>
      <c r="CD533" s="111"/>
      <c r="CE533" s="46" t="s">
        <v>11</v>
      </c>
      <c r="CF533" s="103">
        <v>0</v>
      </c>
      <c r="CG533" s="103">
        <v>0.15600624024960999</v>
      </c>
      <c r="CH533" s="103">
        <v>0.62402496099843996</v>
      </c>
      <c r="CI533" s="103">
        <v>2.6521060842433699</v>
      </c>
      <c r="CJ533" s="103">
        <v>3.9001560062402496</v>
      </c>
      <c r="CK533" s="103">
        <v>7.1762870514820598</v>
      </c>
      <c r="CL533" s="103">
        <v>18.720748829953198</v>
      </c>
      <c r="CM533" s="103">
        <v>20.904836193447736</v>
      </c>
      <c r="CN533" s="103">
        <v>24.492979719188767</v>
      </c>
      <c r="CO533" s="103">
        <v>21.372854914196569</v>
      </c>
      <c r="CQ533" s="111"/>
      <c r="CR533" s="46" t="s">
        <v>11</v>
      </c>
      <c r="CS533" s="103">
        <v>0</v>
      </c>
      <c r="CT533" s="103">
        <v>0</v>
      </c>
      <c r="CU533" s="103">
        <v>0</v>
      </c>
      <c r="CV533" s="103">
        <v>1</v>
      </c>
      <c r="CW533" s="103">
        <v>2</v>
      </c>
      <c r="CX533" s="103">
        <v>7.0000000000000009</v>
      </c>
      <c r="CY533" s="103">
        <v>17</v>
      </c>
      <c r="CZ533" s="103">
        <v>20</v>
      </c>
      <c r="DA533" s="103">
        <v>23</v>
      </c>
      <c r="DB533" s="103">
        <v>30</v>
      </c>
      <c r="DC533" s="42"/>
      <c r="DD533" s="111"/>
      <c r="DE533" s="46" t="s">
        <v>11</v>
      </c>
      <c r="DF533" s="103">
        <v>0</v>
      </c>
      <c r="DG533" s="103">
        <v>0.18148820326678766</v>
      </c>
      <c r="DH533" s="103">
        <v>0.72595281306715065</v>
      </c>
      <c r="DI533" s="103">
        <v>2.9038112522686026</v>
      </c>
      <c r="DJ533" s="103">
        <v>4.3557168784029034</v>
      </c>
      <c r="DK533" s="103">
        <v>7.2595281306715069</v>
      </c>
      <c r="DL533" s="103">
        <v>19.056261343012704</v>
      </c>
      <c r="DM533" s="103">
        <v>21.052631578947366</v>
      </c>
      <c r="DN533" s="103">
        <v>24.682395644283122</v>
      </c>
      <c r="DO533" s="103">
        <v>19.782214156079856</v>
      </c>
    </row>
    <row r="534" spans="2:119" x14ac:dyDescent="0.45">
      <c r="B534" s="99"/>
      <c r="C534" s="42"/>
      <c r="D534" s="42"/>
      <c r="E534" s="42"/>
      <c r="F534" s="42"/>
      <c r="G534" s="42"/>
      <c r="H534" s="42"/>
      <c r="I534" s="42"/>
      <c r="J534" s="42"/>
      <c r="K534" s="42"/>
      <c r="L534" s="42"/>
      <c r="M534" s="42"/>
      <c r="N534" s="42"/>
      <c r="O534" s="42"/>
      <c r="P534" s="42"/>
      <c r="Q534" s="42"/>
      <c r="R534" s="42"/>
      <c r="S534" s="42"/>
      <c r="T534" s="42"/>
      <c r="U534" s="42"/>
      <c r="V534" s="42"/>
      <c r="W534" s="42"/>
      <c r="X534" s="42"/>
      <c r="Y534" s="42"/>
      <c r="Z534" s="42"/>
      <c r="AA534" s="42"/>
      <c r="AB534" s="42"/>
      <c r="AC534" s="42"/>
      <c r="AD534" s="42"/>
      <c r="AE534" s="42"/>
      <c r="AF534" s="42"/>
      <c r="AG534" s="42"/>
      <c r="AH534" s="42"/>
      <c r="AI534" s="42"/>
      <c r="AJ534" s="42"/>
      <c r="AK534" s="42"/>
      <c r="AL534" s="42"/>
      <c r="AM534" s="42"/>
      <c r="AN534" s="42"/>
      <c r="AO534" s="42"/>
      <c r="AQ534" s="42"/>
      <c r="AR534" s="42"/>
      <c r="AS534" s="42"/>
      <c r="AT534" s="42"/>
      <c r="AU534" s="42"/>
      <c r="AV534" s="42"/>
      <c r="AW534" s="42"/>
      <c r="AX534" s="42"/>
      <c r="AY534" s="42"/>
      <c r="AZ534" s="42"/>
      <c r="BA534" s="42"/>
      <c r="BB534" s="42"/>
      <c r="BC534" s="42"/>
      <c r="BD534" s="42"/>
      <c r="BE534" s="42"/>
      <c r="BF534" s="42"/>
      <c r="BG534" s="42"/>
      <c r="BH534" s="42"/>
      <c r="BI534" s="42"/>
      <c r="BJ534" s="42"/>
      <c r="BK534" s="42"/>
      <c r="BL534" s="42"/>
      <c r="BM534" s="42"/>
      <c r="BN534" s="42"/>
      <c r="BO534" s="42"/>
      <c r="BQ534" s="42"/>
      <c r="BR534" s="42"/>
      <c r="BS534" s="42"/>
      <c r="BT534" s="42"/>
      <c r="BU534" s="42"/>
      <c r="BV534" s="42"/>
      <c r="BW534" s="42"/>
      <c r="BX534" s="42"/>
      <c r="BY534" s="42"/>
      <c r="BZ534" s="42"/>
      <c r="CA534" s="42"/>
      <c r="CB534" s="42"/>
      <c r="CC534" s="42"/>
      <c r="CD534" s="42"/>
      <c r="CE534" s="42"/>
      <c r="CF534" s="42"/>
      <c r="CG534" s="42"/>
      <c r="CH534" s="42"/>
      <c r="CI534" s="42"/>
      <c r="CJ534" s="42"/>
      <c r="CK534" s="42"/>
      <c r="CL534" s="42"/>
      <c r="CM534" s="42"/>
      <c r="CN534" s="42"/>
      <c r="CO534" s="42"/>
      <c r="CQ534" s="42"/>
      <c r="CR534" s="42"/>
      <c r="CS534" s="42"/>
      <c r="CT534" s="42"/>
      <c r="CU534" s="42"/>
      <c r="CV534" s="42"/>
      <c r="CW534" s="42"/>
      <c r="CX534" s="42"/>
      <c r="CY534" s="42"/>
      <c r="CZ534" s="42"/>
      <c r="DA534" s="42"/>
      <c r="DB534" s="42"/>
      <c r="DC534" s="42"/>
      <c r="DD534" s="42"/>
      <c r="DE534" s="42"/>
      <c r="DF534" s="42"/>
      <c r="DG534" s="42"/>
      <c r="DH534" s="42"/>
      <c r="DI534" s="42"/>
      <c r="DJ534" s="42"/>
      <c r="DK534" s="42"/>
      <c r="DL534" s="42"/>
      <c r="DM534" s="42"/>
      <c r="DN534" s="42"/>
      <c r="DO534" s="42"/>
    </row>
    <row r="535" spans="2:119" x14ac:dyDescent="0.45">
      <c r="B535" s="99"/>
      <c r="C535" s="42"/>
      <c r="D535" s="42"/>
      <c r="E535" s="42"/>
      <c r="F535" s="42"/>
      <c r="G535" s="42"/>
      <c r="H535" s="42"/>
      <c r="I535" s="42"/>
      <c r="J535" s="42"/>
      <c r="K535" s="42"/>
      <c r="L535" s="42"/>
      <c r="M535" s="42"/>
      <c r="N535" s="42"/>
      <c r="O535" s="42"/>
      <c r="P535" s="42"/>
      <c r="Q535" s="42"/>
      <c r="R535" s="42"/>
      <c r="S535" s="42"/>
      <c r="T535" s="42"/>
      <c r="U535" s="42"/>
      <c r="V535" s="42"/>
      <c r="W535" s="42"/>
      <c r="X535" s="42"/>
      <c r="Y535" s="42"/>
      <c r="Z535" s="42"/>
      <c r="AA535" s="42"/>
      <c r="AB535" s="42"/>
      <c r="AC535" s="42"/>
      <c r="AD535" s="42"/>
      <c r="AE535" s="42"/>
      <c r="AF535" s="42"/>
      <c r="AG535" s="42"/>
      <c r="AH535" s="42"/>
      <c r="AI535" s="42"/>
      <c r="AJ535" s="42"/>
      <c r="AK535" s="42"/>
      <c r="AL535" s="42"/>
      <c r="AM535" s="42"/>
      <c r="AN535" s="42"/>
      <c r="AO535" s="42"/>
      <c r="AQ535" s="42"/>
      <c r="AR535" s="42"/>
      <c r="AS535" s="42"/>
      <c r="AT535" s="42"/>
      <c r="AU535" s="42"/>
      <c r="AV535" s="42"/>
      <c r="AW535" s="42"/>
      <c r="AX535" s="42"/>
      <c r="AY535" s="42"/>
      <c r="AZ535" s="42"/>
      <c r="BA535" s="42"/>
      <c r="BB535" s="42"/>
      <c r="BC535" s="42"/>
      <c r="BD535" s="42"/>
      <c r="BE535" s="42"/>
      <c r="BF535" s="42"/>
      <c r="BG535" s="42"/>
      <c r="BH535" s="42"/>
      <c r="BI535" s="42"/>
      <c r="BJ535" s="42"/>
      <c r="BK535" s="42"/>
      <c r="BL535" s="42"/>
      <c r="BM535" s="42"/>
      <c r="BN535" s="42"/>
      <c r="BO535" s="42"/>
      <c r="BQ535" s="42"/>
      <c r="BR535" s="42"/>
      <c r="BS535" s="42"/>
      <c r="BT535" s="42"/>
      <c r="BU535" s="42"/>
      <c r="BV535" s="42"/>
      <c r="BW535" s="42"/>
      <c r="BX535" s="42"/>
      <c r="BY535" s="42"/>
      <c r="BZ535" s="42"/>
      <c r="CA535" s="42"/>
      <c r="CB535" s="42"/>
      <c r="CC535" s="42"/>
      <c r="CD535" s="42"/>
      <c r="CE535" s="42"/>
      <c r="CF535" s="42"/>
      <c r="CG535" s="42"/>
      <c r="CH535" s="42"/>
      <c r="CI535" s="42"/>
      <c r="CJ535" s="42"/>
      <c r="CK535" s="42"/>
      <c r="CL535" s="42"/>
      <c r="CM535" s="42"/>
      <c r="CN535" s="42"/>
      <c r="CO535" s="42"/>
      <c r="CQ535" s="42"/>
      <c r="CR535" s="42"/>
      <c r="CS535" s="42"/>
      <c r="CT535" s="42"/>
      <c r="CU535" s="42"/>
      <c r="CV535" s="42"/>
      <c r="CW535" s="42"/>
      <c r="CX535" s="42"/>
      <c r="CY535" s="42"/>
      <c r="CZ535" s="42"/>
      <c r="DA535" s="42"/>
      <c r="DB535" s="42"/>
      <c r="DC535" s="42"/>
      <c r="DD535" s="42"/>
      <c r="DE535" s="42"/>
      <c r="DF535" s="42"/>
      <c r="DG535" s="42"/>
      <c r="DH535" s="42"/>
      <c r="DI535" s="42"/>
      <c r="DJ535" s="42"/>
      <c r="DK535" s="42"/>
      <c r="DL535" s="42"/>
      <c r="DM535" s="42"/>
      <c r="DN535" s="42"/>
      <c r="DO535" s="42"/>
    </row>
    <row r="536" spans="2:119" ht="18.75" customHeight="1" x14ac:dyDescent="0.55000000000000004">
      <c r="B536" s="99"/>
      <c r="C536" s="42"/>
      <c r="D536" s="112" t="s">
        <v>24</v>
      </c>
      <c r="E536" s="112"/>
      <c r="F536" s="45"/>
      <c r="G536" s="45"/>
      <c r="H536" s="45"/>
      <c r="I536" s="45"/>
      <c r="J536" s="45"/>
      <c r="K536" s="45"/>
      <c r="L536" s="45"/>
      <c r="M536" s="45"/>
      <c r="N536" s="45"/>
      <c r="O536" s="45"/>
      <c r="P536" s="42"/>
      <c r="Q536" s="112" t="s">
        <v>24</v>
      </c>
      <c r="R536" s="112"/>
      <c r="S536" s="45"/>
      <c r="T536" s="45"/>
      <c r="U536" s="45"/>
      <c r="V536" s="45"/>
      <c r="W536" s="45"/>
      <c r="X536" s="45"/>
      <c r="Y536" s="45"/>
      <c r="Z536" s="45"/>
      <c r="AA536" s="45"/>
      <c r="AB536" s="45"/>
      <c r="AC536" s="42"/>
      <c r="AD536" s="112" t="s">
        <v>24</v>
      </c>
      <c r="AE536" s="112"/>
      <c r="AF536" s="45"/>
      <c r="AG536" s="45"/>
      <c r="AH536" s="45"/>
      <c r="AI536" s="45"/>
      <c r="AJ536" s="45"/>
      <c r="AK536" s="45"/>
      <c r="AL536" s="45"/>
      <c r="AM536" s="45"/>
      <c r="AN536" s="45"/>
      <c r="AO536" s="45"/>
      <c r="AP536" s="6"/>
      <c r="AQ536" s="112" t="s">
        <v>24</v>
      </c>
      <c r="AR536" s="112"/>
      <c r="AS536" s="45"/>
      <c r="AT536" s="45"/>
      <c r="AU536" s="45"/>
      <c r="AV536" s="45"/>
      <c r="AW536" s="45"/>
      <c r="AX536" s="45"/>
      <c r="AY536" s="45"/>
      <c r="AZ536" s="45"/>
      <c r="BA536" s="45"/>
      <c r="BB536" s="45"/>
      <c r="BC536" s="42"/>
      <c r="BD536" s="112" t="s">
        <v>24</v>
      </c>
      <c r="BE536" s="112"/>
      <c r="BF536" s="45"/>
      <c r="BG536" s="45"/>
      <c r="BH536" s="45"/>
      <c r="BI536" s="45"/>
      <c r="BJ536" s="45"/>
      <c r="BK536" s="45"/>
      <c r="BL536" s="45"/>
      <c r="BM536" s="45"/>
      <c r="BN536" s="45"/>
      <c r="BO536" s="45"/>
      <c r="BQ536" s="112" t="s">
        <v>24</v>
      </c>
      <c r="BR536" s="112"/>
      <c r="BS536" s="45"/>
      <c r="BT536" s="45"/>
      <c r="BU536" s="45"/>
      <c r="BV536" s="45"/>
      <c r="BW536" s="45"/>
      <c r="BX536" s="45"/>
      <c r="BY536" s="45"/>
      <c r="BZ536" s="45"/>
      <c r="CA536" s="45"/>
      <c r="CB536" s="45"/>
      <c r="CC536" s="42"/>
      <c r="CD536" s="112" t="s">
        <v>24</v>
      </c>
      <c r="CE536" s="112"/>
      <c r="CF536" s="45"/>
      <c r="CG536" s="45"/>
      <c r="CH536" s="45"/>
      <c r="CI536" s="45"/>
      <c r="CJ536" s="45"/>
      <c r="CK536" s="45"/>
      <c r="CL536" s="45"/>
      <c r="CM536" s="45"/>
      <c r="CN536" s="45"/>
      <c r="CO536" s="45"/>
      <c r="CQ536" s="112" t="s">
        <v>24</v>
      </c>
      <c r="CR536" s="112"/>
      <c r="CS536" s="45"/>
      <c r="CT536" s="45"/>
      <c r="CU536" s="45"/>
      <c r="CV536" s="45"/>
      <c r="CW536" s="45"/>
      <c r="CX536" s="45"/>
      <c r="CY536" s="45"/>
      <c r="CZ536" s="45"/>
      <c r="DA536" s="45"/>
      <c r="DB536" s="45"/>
      <c r="DC536" s="42"/>
      <c r="DD536" s="112" t="s">
        <v>24</v>
      </c>
      <c r="DE536" s="112"/>
      <c r="DF536" s="45"/>
      <c r="DG536" s="45"/>
      <c r="DH536" s="45"/>
      <c r="DI536" s="45"/>
      <c r="DJ536" s="45"/>
      <c r="DK536" s="45"/>
      <c r="DL536" s="45"/>
      <c r="DM536" s="45"/>
      <c r="DN536" s="45"/>
      <c r="DO536" s="45"/>
    </row>
    <row r="537" spans="2:119" ht="28.9" customHeight="1" x14ac:dyDescent="0.45">
      <c r="B537" s="99"/>
      <c r="C537" s="42"/>
      <c r="D537" s="112"/>
      <c r="E537" s="112"/>
      <c r="F537" s="108" t="s">
        <v>12</v>
      </c>
      <c r="G537" s="108"/>
      <c r="H537" s="108"/>
      <c r="I537" s="108"/>
      <c r="J537" s="108"/>
      <c r="K537" s="108"/>
      <c r="L537" s="108"/>
      <c r="M537" s="108"/>
      <c r="N537" s="108"/>
      <c r="O537" s="108"/>
      <c r="P537" s="42"/>
      <c r="Q537" s="112"/>
      <c r="R537" s="112"/>
      <c r="S537" s="108" t="s">
        <v>12</v>
      </c>
      <c r="T537" s="108"/>
      <c r="U537" s="108"/>
      <c r="V537" s="108"/>
      <c r="W537" s="108"/>
      <c r="X537" s="108"/>
      <c r="Y537" s="108"/>
      <c r="Z537" s="108"/>
      <c r="AA537" s="108"/>
      <c r="AB537" s="108"/>
      <c r="AC537" s="42"/>
      <c r="AD537" s="112"/>
      <c r="AE537" s="112"/>
      <c r="AF537" s="108" t="s">
        <v>12</v>
      </c>
      <c r="AG537" s="108"/>
      <c r="AH537" s="108"/>
      <c r="AI537" s="108"/>
      <c r="AJ537" s="108"/>
      <c r="AK537" s="108"/>
      <c r="AL537" s="108"/>
      <c r="AM537" s="108"/>
      <c r="AN537" s="108"/>
      <c r="AO537" s="108"/>
      <c r="AP537" s="6"/>
      <c r="AQ537" s="112"/>
      <c r="AR537" s="112"/>
      <c r="AS537" s="108" t="s">
        <v>12</v>
      </c>
      <c r="AT537" s="108"/>
      <c r="AU537" s="108"/>
      <c r="AV537" s="108"/>
      <c r="AW537" s="108"/>
      <c r="AX537" s="108"/>
      <c r="AY537" s="108"/>
      <c r="AZ537" s="108"/>
      <c r="BA537" s="108"/>
      <c r="BB537" s="108"/>
      <c r="BC537" s="42"/>
      <c r="BD537" s="112"/>
      <c r="BE537" s="112"/>
      <c r="BF537" s="108" t="s">
        <v>12</v>
      </c>
      <c r="BG537" s="108"/>
      <c r="BH537" s="108"/>
      <c r="BI537" s="108"/>
      <c r="BJ537" s="108"/>
      <c r="BK537" s="108"/>
      <c r="BL537" s="108"/>
      <c r="BM537" s="108"/>
      <c r="BN537" s="108"/>
      <c r="BO537" s="108"/>
      <c r="BQ537" s="112"/>
      <c r="BR537" s="112"/>
      <c r="BS537" s="108" t="s">
        <v>12</v>
      </c>
      <c r="BT537" s="108"/>
      <c r="BU537" s="108"/>
      <c r="BV537" s="108"/>
      <c r="BW537" s="108"/>
      <c r="BX537" s="108"/>
      <c r="BY537" s="108"/>
      <c r="BZ537" s="108"/>
      <c r="CA537" s="108"/>
      <c r="CB537" s="108"/>
      <c r="CC537" s="42"/>
      <c r="CD537" s="112"/>
      <c r="CE537" s="112"/>
      <c r="CF537" s="108" t="s">
        <v>12</v>
      </c>
      <c r="CG537" s="108"/>
      <c r="CH537" s="108"/>
      <c r="CI537" s="108"/>
      <c r="CJ537" s="108"/>
      <c r="CK537" s="108"/>
      <c r="CL537" s="108"/>
      <c r="CM537" s="108"/>
      <c r="CN537" s="108"/>
      <c r="CO537" s="108"/>
      <c r="CQ537" s="112"/>
      <c r="CR537" s="112"/>
      <c r="CS537" s="108" t="s">
        <v>12</v>
      </c>
      <c r="CT537" s="108"/>
      <c r="CU537" s="108"/>
      <c r="CV537" s="108"/>
      <c r="CW537" s="108"/>
      <c r="CX537" s="108"/>
      <c r="CY537" s="108"/>
      <c r="CZ537" s="108"/>
      <c r="DA537" s="108"/>
      <c r="DB537" s="108"/>
      <c r="DC537" s="42"/>
      <c r="DD537" s="112"/>
      <c r="DE537" s="112"/>
      <c r="DF537" s="108" t="s">
        <v>12</v>
      </c>
      <c r="DG537" s="108"/>
      <c r="DH537" s="108"/>
      <c r="DI537" s="108"/>
      <c r="DJ537" s="108"/>
      <c r="DK537" s="108"/>
      <c r="DL537" s="108"/>
      <c r="DM537" s="108"/>
      <c r="DN537" s="108"/>
      <c r="DO537" s="108"/>
    </row>
    <row r="538" spans="2:119" ht="15" customHeight="1" x14ac:dyDescent="0.45">
      <c r="B538" s="99"/>
      <c r="C538" s="42"/>
      <c r="D538" s="113"/>
      <c r="E538" s="113"/>
      <c r="F538" s="9" t="s">
        <v>0</v>
      </c>
      <c r="G538" s="9">
        <v>1</v>
      </c>
      <c r="H538" s="9">
        <v>2</v>
      </c>
      <c r="I538" s="9">
        <v>3</v>
      </c>
      <c r="J538" s="9">
        <v>4</v>
      </c>
      <c r="K538" s="9">
        <v>5</v>
      </c>
      <c r="L538" s="9">
        <v>6</v>
      </c>
      <c r="M538" s="9">
        <v>7</v>
      </c>
      <c r="N538" s="9">
        <v>8</v>
      </c>
      <c r="O538" s="9">
        <v>9</v>
      </c>
      <c r="P538" s="42"/>
      <c r="Q538" s="113"/>
      <c r="R538" s="113"/>
      <c r="S538" s="9" t="s">
        <v>0</v>
      </c>
      <c r="T538" s="9">
        <v>1</v>
      </c>
      <c r="U538" s="9">
        <v>2</v>
      </c>
      <c r="V538" s="9">
        <v>3</v>
      </c>
      <c r="W538" s="9">
        <v>4</v>
      </c>
      <c r="X538" s="9">
        <v>5</v>
      </c>
      <c r="Y538" s="9">
        <v>6</v>
      </c>
      <c r="Z538" s="9">
        <v>7</v>
      </c>
      <c r="AA538" s="9">
        <v>8</v>
      </c>
      <c r="AB538" s="9">
        <v>9</v>
      </c>
      <c r="AC538" s="42"/>
      <c r="AD538" s="113"/>
      <c r="AE538" s="113"/>
      <c r="AF538" s="9" t="s">
        <v>0</v>
      </c>
      <c r="AG538" s="9">
        <v>1</v>
      </c>
      <c r="AH538" s="9">
        <v>2</v>
      </c>
      <c r="AI538" s="9">
        <v>3</v>
      </c>
      <c r="AJ538" s="9">
        <v>4</v>
      </c>
      <c r="AK538" s="9">
        <v>5</v>
      </c>
      <c r="AL538" s="9">
        <v>6</v>
      </c>
      <c r="AM538" s="9">
        <v>7</v>
      </c>
      <c r="AN538" s="9">
        <v>8</v>
      </c>
      <c r="AO538" s="9">
        <v>9</v>
      </c>
      <c r="AP538" s="6"/>
      <c r="AQ538" s="113"/>
      <c r="AR538" s="113"/>
      <c r="AS538" s="9" t="s">
        <v>0</v>
      </c>
      <c r="AT538" s="9">
        <v>1</v>
      </c>
      <c r="AU538" s="9">
        <v>2</v>
      </c>
      <c r="AV538" s="9">
        <v>3</v>
      </c>
      <c r="AW538" s="9">
        <v>4</v>
      </c>
      <c r="AX538" s="9">
        <v>5</v>
      </c>
      <c r="AY538" s="9">
        <v>6</v>
      </c>
      <c r="AZ538" s="9">
        <v>7</v>
      </c>
      <c r="BA538" s="9">
        <v>8</v>
      </c>
      <c r="BB538" s="9">
        <v>9</v>
      </c>
      <c r="BC538" s="42"/>
      <c r="BD538" s="113"/>
      <c r="BE538" s="113"/>
      <c r="BF538" s="9" t="s">
        <v>0</v>
      </c>
      <c r="BG538" s="9">
        <v>1</v>
      </c>
      <c r="BH538" s="9">
        <v>2</v>
      </c>
      <c r="BI538" s="9">
        <v>3</v>
      </c>
      <c r="BJ538" s="9">
        <v>4</v>
      </c>
      <c r="BK538" s="9">
        <v>5</v>
      </c>
      <c r="BL538" s="9">
        <v>6</v>
      </c>
      <c r="BM538" s="9">
        <v>7</v>
      </c>
      <c r="BN538" s="9">
        <v>8</v>
      </c>
      <c r="BO538" s="9">
        <v>9</v>
      </c>
      <c r="BQ538" s="113"/>
      <c r="BR538" s="113"/>
      <c r="BS538" s="9" t="s">
        <v>0</v>
      </c>
      <c r="BT538" s="9">
        <v>1</v>
      </c>
      <c r="BU538" s="9">
        <v>2</v>
      </c>
      <c r="BV538" s="9">
        <v>3</v>
      </c>
      <c r="BW538" s="9">
        <v>4</v>
      </c>
      <c r="BX538" s="9">
        <v>5</v>
      </c>
      <c r="BY538" s="9">
        <v>6</v>
      </c>
      <c r="BZ538" s="9">
        <v>7</v>
      </c>
      <c r="CA538" s="9">
        <v>8</v>
      </c>
      <c r="CB538" s="9">
        <v>9</v>
      </c>
      <c r="CC538" s="42"/>
      <c r="CD538" s="113"/>
      <c r="CE538" s="113"/>
      <c r="CF538" s="9" t="s">
        <v>0</v>
      </c>
      <c r="CG538" s="9">
        <v>1</v>
      </c>
      <c r="CH538" s="9">
        <v>2</v>
      </c>
      <c r="CI538" s="9">
        <v>3</v>
      </c>
      <c r="CJ538" s="9">
        <v>4</v>
      </c>
      <c r="CK538" s="9">
        <v>5</v>
      </c>
      <c r="CL538" s="9">
        <v>6</v>
      </c>
      <c r="CM538" s="9">
        <v>7</v>
      </c>
      <c r="CN538" s="9">
        <v>8</v>
      </c>
      <c r="CO538" s="9">
        <v>9</v>
      </c>
      <c r="CQ538" s="113"/>
      <c r="CR538" s="113"/>
      <c r="CS538" s="9" t="s">
        <v>0</v>
      </c>
      <c r="CT538" s="9">
        <v>1</v>
      </c>
      <c r="CU538" s="9">
        <v>2</v>
      </c>
      <c r="CV538" s="9">
        <v>3</v>
      </c>
      <c r="CW538" s="9">
        <v>4</v>
      </c>
      <c r="CX538" s="9">
        <v>5</v>
      </c>
      <c r="CY538" s="9">
        <v>6</v>
      </c>
      <c r="CZ538" s="9">
        <v>7</v>
      </c>
      <c r="DA538" s="9">
        <v>8</v>
      </c>
      <c r="DB538" s="9">
        <v>9</v>
      </c>
      <c r="DC538" s="42"/>
      <c r="DD538" s="113"/>
      <c r="DE538" s="113"/>
      <c r="DF538" s="9" t="s">
        <v>0</v>
      </c>
      <c r="DG538" s="9">
        <v>1</v>
      </c>
      <c r="DH538" s="9">
        <v>2</v>
      </c>
      <c r="DI538" s="9">
        <v>3</v>
      </c>
      <c r="DJ538" s="9">
        <v>4</v>
      </c>
      <c r="DK538" s="9">
        <v>5</v>
      </c>
      <c r="DL538" s="9">
        <v>6</v>
      </c>
      <c r="DM538" s="9">
        <v>7</v>
      </c>
      <c r="DN538" s="9">
        <v>8</v>
      </c>
      <c r="DO538" s="9">
        <v>9</v>
      </c>
    </row>
    <row r="539" spans="2:119" ht="16.25" customHeight="1" x14ac:dyDescent="0.45">
      <c r="B539" s="134" t="s">
        <v>40</v>
      </c>
      <c r="C539" s="42"/>
      <c r="D539" s="109" t="s">
        <v>13</v>
      </c>
      <c r="E539" s="46" t="s">
        <v>1</v>
      </c>
      <c r="F539" s="103">
        <v>0</v>
      </c>
      <c r="G539" s="103">
        <v>0</v>
      </c>
      <c r="H539" s="103">
        <v>0</v>
      </c>
      <c r="I539" s="103">
        <v>1</v>
      </c>
      <c r="J539" s="103">
        <v>0</v>
      </c>
      <c r="K539" s="103">
        <v>0</v>
      </c>
      <c r="L539" s="103">
        <v>0</v>
      </c>
      <c r="M539" s="103">
        <v>0</v>
      </c>
      <c r="N539" s="103">
        <v>0</v>
      </c>
      <c r="O539" s="17">
        <v>0</v>
      </c>
      <c r="P539" s="42"/>
      <c r="Q539" s="109" t="s">
        <v>13</v>
      </c>
      <c r="R539" s="46" t="s">
        <v>1</v>
      </c>
      <c r="S539" s="103">
        <v>0</v>
      </c>
      <c r="T539" s="103">
        <v>0</v>
      </c>
      <c r="U539" s="103">
        <v>0</v>
      </c>
      <c r="V539" s="103">
        <v>0</v>
      </c>
      <c r="W539" s="103">
        <v>0</v>
      </c>
      <c r="X539" s="103">
        <v>0</v>
      </c>
      <c r="Y539" s="103">
        <v>0</v>
      </c>
      <c r="Z539" s="103">
        <v>0</v>
      </c>
      <c r="AA539" s="103">
        <v>0</v>
      </c>
      <c r="AB539" s="17">
        <v>0</v>
      </c>
      <c r="AC539" s="42"/>
      <c r="AD539" s="109" t="s">
        <v>13</v>
      </c>
      <c r="AE539" s="46" t="s">
        <v>1</v>
      </c>
      <c r="AF539" s="103">
        <v>0</v>
      </c>
      <c r="AG539" s="103">
        <v>0</v>
      </c>
      <c r="AH539" s="103">
        <v>0</v>
      </c>
      <c r="AI539" s="103">
        <v>1</v>
      </c>
      <c r="AJ539" s="103">
        <v>0</v>
      </c>
      <c r="AK539" s="103">
        <v>0</v>
      </c>
      <c r="AL539" s="103">
        <v>0</v>
      </c>
      <c r="AM539" s="103">
        <v>0</v>
      </c>
      <c r="AN539" s="103">
        <v>0</v>
      </c>
      <c r="AO539" s="17">
        <v>0</v>
      </c>
      <c r="AP539" s="6"/>
      <c r="AQ539" s="109" t="s">
        <v>13</v>
      </c>
      <c r="AR539" s="46" t="s">
        <v>1</v>
      </c>
      <c r="AS539" s="103">
        <v>0</v>
      </c>
      <c r="AT539" s="103">
        <v>0</v>
      </c>
      <c r="AU539" s="103">
        <v>0</v>
      </c>
      <c r="AV539" s="103">
        <v>1</v>
      </c>
      <c r="AW539" s="103">
        <v>0</v>
      </c>
      <c r="AX539" s="103">
        <v>0</v>
      </c>
      <c r="AY539" s="103">
        <v>0</v>
      </c>
      <c r="AZ539" s="103">
        <v>0</v>
      </c>
      <c r="BA539" s="103">
        <v>0</v>
      </c>
      <c r="BB539" s="17">
        <v>0</v>
      </c>
      <c r="BC539" s="42"/>
      <c r="BD539" s="109" t="s">
        <v>13</v>
      </c>
      <c r="BE539" s="46" t="s">
        <v>1</v>
      </c>
      <c r="BF539" s="103">
        <v>0</v>
      </c>
      <c r="BG539" s="103">
        <v>0</v>
      </c>
      <c r="BH539" s="103">
        <v>0</v>
      </c>
      <c r="BI539" s="103">
        <v>0</v>
      </c>
      <c r="BJ539" s="103">
        <v>0</v>
      </c>
      <c r="BK539" s="103">
        <v>0</v>
      </c>
      <c r="BL539" s="103">
        <v>0</v>
      </c>
      <c r="BM539" s="103">
        <v>0</v>
      </c>
      <c r="BN539" s="103">
        <v>0</v>
      </c>
      <c r="BO539" s="17">
        <v>0</v>
      </c>
      <c r="BQ539" s="109" t="s">
        <v>13</v>
      </c>
      <c r="BR539" s="46" t="s">
        <v>1</v>
      </c>
      <c r="BS539" s="103">
        <v>0</v>
      </c>
      <c r="BT539" s="103">
        <v>0</v>
      </c>
      <c r="BU539" s="103">
        <v>0</v>
      </c>
      <c r="BV539" s="103">
        <v>0</v>
      </c>
      <c r="BW539" s="103">
        <v>0</v>
      </c>
      <c r="BX539" s="103">
        <v>0</v>
      </c>
      <c r="BY539" s="103">
        <v>0</v>
      </c>
      <c r="BZ539" s="103">
        <v>0</v>
      </c>
      <c r="CA539" s="103">
        <v>0</v>
      </c>
      <c r="CB539" s="17">
        <v>0</v>
      </c>
      <c r="CC539" s="42"/>
      <c r="CD539" s="109" t="s">
        <v>13</v>
      </c>
      <c r="CE539" s="46" t="s">
        <v>1</v>
      </c>
      <c r="CF539" s="103">
        <v>0</v>
      </c>
      <c r="CG539" s="103">
        <v>0</v>
      </c>
      <c r="CH539" s="103">
        <v>0</v>
      </c>
      <c r="CI539" s="103">
        <v>1</v>
      </c>
      <c r="CJ539" s="103">
        <v>0</v>
      </c>
      <c r="CK539" s="103">
        <v>0</v>
      </c>
      <c r="CL539" s="103">
        <v>0</v>
      </c>
      <c r="CM539" s="103">
        <v>0</v>
      </c>
      <c r="CN539" s="103">
        <v>0</v>
      </c>
      <c r="CO539" s="17">
        <v>0</v>
      </c>
      <c r="CQ539" s="109" t="s">
        <v>13</v>
      </c>
      <c r="CR539" s="46" t="s">
        <v>1</v>
      </c>
      <c r="CS539" s="103">
        <v>0</v>
      </c>
      <c r="CT539" s="103">
        <v>0</v>
      </c>
      <c r="CU539" s="103">
        <v>0</v>
      </c>
      <c r="CV539" s="103">
        <v>1</v>
      </c>
      <c r="CW539" s="103">
        <v>0</v>
      </c>
      <c r="CX539" s="103">
        <v>0</v>
      </c>
      <c r="CY539" s="103">
        <v>0</v>
      </c>
      <c r="CZ539" s="103">
        <v>0</v>
      </c>
      <c r="DA539" s="103">
        <v>0</v>
      </c>
      <c r="DB539" s="17">
        <v>0</v>
      </c>
      <c r="DC539" s="42"/>
      <c r="DD539" s="109" t="s">
        <v>13</v>
      </c>
      <c r="DE539" s="46" t="s">
        <v>1</v>
      </c>
      <c r="DF539" s="103">
        <v>0</v>
      </c>
      <c r="DG539" s="103">
        <v>0</v>
      </c>
      <c r="DH539" s="103">
        <v>0</v>
      </c>
      <c r="DI539" s="103">
        <v>0</v>
      </c>
      <c r="DJ539" s="103">
        <v>0</v>
      </c>
      <c r="DK539" s="103">
        <v>0</v>
      </c>
      <c r="DL539" s="103">
        <v>0</v>
      </c>
      <c r="DM539" s="103">
        <v>0</v>
      </c>
      <c r="DN539" s="103">
        <v>0</v>
      </c>
      <c r="DO539" s="17">
        <v>0</v>
      </c>
    </row>
    <row r="540" spans="2:119" ht="16.25" customHeight="1" x14ac:dyDescent="0.45">
      <c r="B540" s="134"/>
      <c r="C540" s="42"/>
      <c r="D540" s="110"/>
      <c r="E540" s="46">
        <v>1</v>
      </c>
      <c r="F540" s="103">
        <v>0</v>
      </c>
      <c r="G540" s="103">
        <v>0</v>
      </c>
      <c r="H540" s="103">
        <v>2</v>
      </c>
      <c r="I540" s="103">
        <v>1</v>
      </c>
      <c r="J540" s="103">
        <v>0</v>
      </c>
      <c r="K540" s="103">
        <v>0</v>
      </c>
      <c r="L540" s="103">
        <v>0</v>
      </c>
      <c r="M540" s="103">
        <v>0</v>
      </c>
      <c r="N540" s="103">
        <v>0</v>
      </c>
      <c r="O540" s="103">
        <v>0</v>
      </c>
      <c r="P540" s="42"/>
      <c r="Q540" s="110"/>
      <c r="R540" s="46">
        <v>1</v>
      </c>
      <c r="S540" s="103">
        <v>0</v>
      </c>
      <c r="T540" s="103">
        <v>0</v>
      </c>
      <c r="U540" s="103">
        <v>1</v>
      </c>
      <c r="V540" s="103">
        <v>0</v>
      </c>
      <c r="W540" s="103">
        <v>0</v>
      </c>
      <c r="X540" s="103">
        <v>0</v>
      </c>
      <c r="Y540" s="103">
        <v>0</v>
      </c>
      <c r="Z540" s="103">
        <v>0</v>
      </c>
      <c r="AA540" s="103">
        <v>0</v>
      </c>
      <c r="AB540" s="103">
        <v>0</v>
      </c>
      <c r="AC540" s="42"/>
      <c r="AD540" s="110"/>
      <c r="AE540" s="46">
        <v>1</v>
      </c>
      <c r="AF540" s="103">
        <v>0</v>
      </c>
      <c r="AG540" s="103">
        <v>0</v>
      </c>
      <c r="AH540" s="103">
        <v>1</v>
      </c>
      <c r="AI540" s="103">
        <v>1</v>
      </c>
      <c r="AJ540" s="103">
        <v>0</v>
      </c>
      <c r="AK540" s="103">
        <v>0</v>
      </c>
      <c r="AL540" s="103">
        <v>0</v>
      </c>
      <c r="AM540" s="103">
        <v>0</v>
      </c>
      <c r="AN540" s="103">
        <v>0</v>
      </c>
      <c r="AO540" s="103">
        <v>0</v>
      </c>
      <c r="AP540" s="6"/>
      <c r="AQ540" s="110"/>
      <c r="AR540" s="46">
        <v>1</v>
      </c>
      <c r="AS540" s="103">
        <v>0</v>
      </c>
      <c r="AT540" s="103">
        <v>0</v>
      </c>
      <c r="AU540" s="103">
        <v>1</v>
      </c>
      <c r="AV540" s="103">
        <v>0</v>
      </c>
      <c r="AW540" s="103">
        <v>0</v>
      </c>
      <c r="AX540" s="103">
        <v>0</v>
      </c>
      <c r="AY540" s="103">
        <v>0</v>
      </c>
      <c r="AZ540" s="103">
        <v>0</v>
      </c>
      <c r="BA540" s="103">
        <v>0</v>
      </c>
      <c r="BB540" s="103">
        <v>0</v>
      </c>
      <c r="BC540" s="42"/>
      <c r="BD540" s="110"/>
      <c r="BE540" s="46">
        <v>1</v>
      </c>
      <c r="BF540" s="103">
        <v>0</v>
      </c>
      <c r="BG540" s="103">
        <v>0</v>
      </c>
      <c r="BH540" s="103">
        <v>1</v>
      </c>
      <c r="BI540" s="103">
        <v>1</v>
      </c>
      <c r="BJ540" s="103">
        <v>0</v>
      </c>
      <c r="BK540" s="103">
        <v>0</v>
      </c>
      <c r="BL540" s="103">
        <v>0</v>
      </c>
      <c r="BM540" s="103">
        <v>0</v>
      </c>
      <c r="BN540" s="103">
        <v>0</v>
      </c>
      <c r="BO540" s="103">
        <v>0</v>
      </c>
      <c r="BQ540" s="110"/>
      <c r="BR540" s="46">
        <v>1</v>
      </c>
      <c r="BS540" s="103">
        <v>0</v>
      </c>
      <c r="BT540" s="103">
        <v>0</v>
      </c>
      <c r="BU540" s="103">
        <v>0</v>
      </c>
      <c r="BV540" s="103">
        <v>0</v>
      </c>
      <c r="BW540" s="103">
        <v>0</v>
      </c>
      <c r="BX540" s="103">
        <v>0</v>
      </c>
      <c r="BY540" s="103">
        <v>0</v>
      </c>
      <c r="BZ540" s="103">
        <v>0</v>
      </c>
      <c r="CA540" s="103">
        <v>0</v>
      </c>
      <c r="CB540" s="103">
        <v>0</v>
      </c>
      <c r="CC540" s="42"/>
      <c r="CD540" s="110"/>
      <c r="CE540" s="46">
        <v>1</v>
      </c>
      <c r="CF540" s="103">
        <v>0</v>
      </c>
      <c r="CG540" s="103">
        <v>0</v>
      </c>
      <c r="CH540" s="103">
        <v>2</v>
      </c>
      <c r="CI540" s="103">
        <v>1</v>
      </c>
      <c r="CJ540" s="103">
        <v>0</v>
      </c>
      <c r="CK540" s="103">
        <v>0</v>
      </c>
      <c r="CL540" s="103">
        <v>0</v>
      </c>
      <c r="CM540" s="103">
        <v>0</v>
      </c>
      <c r="CN540" s="103">
        <v>0</v>
      </c>
      <c r="CO540" s="103">
        <v>0</v>
      </c>
      <c r="CQ540" s="110"/>
      <c r="CR540" s="46">
        <v>1</v>
      </c>
      <c r="CS540" s="103">
        <v>0</v>
      </c>
      <c r="CT540" s="103">
        <v>0</v>
      </c>
      <c r="CU540" s="103">
        <v>2</v>
      </c>
      <c r="CV540" s="103">
        <v>1</v>
      </c>
      <c r="CW540" s="103">
        <v>0</v>
      </c>
      <c r="CX540" s="103">
        <v>0</v>
      </c>
      <c r="CY540" s="103">
        <v>0</v>
      </c>
      <c r="CZ540" s="103">
        <v>0</v>
      </c>
      <c r="DA540" s="103">
        <v>0</v>
      </c>
      <c r="DB540" s="103">
        <v>0</v>
      </c>
      <c r="DC540" s="42"/>
      <c r="DD540" s="110"/>
      <c r="DE540" s="46">
        <v>1</v>
      </c>
      <c r="DF540" s="103">
        <v>0</v>
      </c>
      <c r="DG540" s="103">
        <v>0</v>
      </c>
      <c r="DH540" s="103">
        <v>0</v>
      </c>
      <c r="DI540" s="103">
        <v>0</v>
      </c>
      <c r="DJ540" s="103">
        <v>0</v>
      </c>
      <c r="DK540" s="103">
        <v>0</v>
      </c>
      <c r="DL540" s="103">
        <v>0</v>
      </c>
      <c r="DM540" s="103">
        <v>0</v>
      </c>
      <c r="DN540" s="103">
        <v>0</v>
      </c>
      <c r="DO540" s="103">
        <v>0</v>
      </c>
    </row>
    <row r="541" spans="2:119" ht="16.25" customHeight="1" x14ac:dyDescent="0.45">
      <c r="B541" s="134"/>
      <c r="C541" s="42"/>
      <c r="D541" s="110"/>
      <c r="E541" s="46" t="s">
        <v>2</v>
      </c>
      <c r="F541" s="103">
        <v>12</v>
      </c>
      <c r="G541" s="103">
        <v>52</v>
      </c>
      <c r="H541" s="103">
        <v>28</v>
      </c>
      <c r="I541" s="103">
        <v>16</v>
      </c>
      <c r="J541" s="103">
        <v>7</v>
      </c>
      <c r="K541" s="103">
        <v>1</v>
      </c>
      <c r="L541" s="103">
        <v>7</v>
      </c>
      <c r="M541" s="103">
        <v>0</v>
      </c>
      <c r="N541" s="103">
        <v>0</v>
      </c>
      <c r="O541" s="103">
        <v>0</v>
      </c>
      <c r="P541" s="42"/>
      <c r="Q541" s="110"/>
      <c r="R541" s="46" t="s">
        <v>2</v>
      </c>
      <c r="S541" s="103">
        <v>5</v>
      </c>
      <c r="T541" s="103">
        <v>29</v>
      </c>
      <c r="U541" s="103">
        <v>16</v>
      </c>
      <c r="V541" s="103">
        <v>12</v>
      </c>
      <c r="W541" s="103">
        <v>5</v>
      </c>
      <c r="X541" s="103">
        <v>1</v>
      </c>
      <c r="Y541" s="103">
        <v>3</v>
      </c>
      <c r="Z541" s="103">
        <v>0</v>
      </c>
      <c r="AA541" s="103">
        <v>0</v>
      </c>
      <c r="AB541" s="103">
        <v>0</v>
      </c>
      <c r="AC541" s="42"/>
      <c r="AD541" s="110"/>
      <c r="AE541" s="46" t="s">
        <v>2</v>
      </c>
      <c r="AF541" s="103">
        <v>7</v>
      </c>
      <c r="AG541" s="103">
        <v>23</v>
      </c>
      <c r="AH541" s="103">
        <v>12</v>
      </c>
      <c r="AI541" s="103">
        <v>4</v>
      </c>
      <c r="AJ541" s="103">
        <v>2</v>
      </c>
      <c r="AK541" s="103">
        <v>0</v>
      </c>
      <c r="AL541" s="103">
        <v>4</v>
      </c>
      <c r="AM541" s="103">
        <v>0</v>
      </c>
      <c r="AN541" s="103">
        <v>0</v>
      </c>
      <c r="AO541" s="103">
        <v>0</v>
      </c>
      <c r="AP541" s="6"/>
      <c r="AQ541" s="110"/>
      <c r="AR541" s="46" t="s">
        <v>2</v>
      </c>
      <c r="AS541" s="103">
        <v>4</v>
      </c>
      <c r="AT541" s="103">
        <v>25</v>
      </c>
      <c r="AU541" s="103">
        <v>12</v>
      </c>
      <c r="AV541" s="103">
        <v>11</v>
      </c>
      <c r="AW541" s="103">
        <v>2</v>
      </c>
      <c r="AX541" s="103">
        <v>1</v>
      </c>
      <c r="AY541" s="103">
        <v>2</v>
      </c>
      <c r="AZ541" s="103">
        <v>0</v>
      </c>
      <c r="BA541" s="103">
        <v>0</v>
      </c>
      <c r="BB541" s="103">
        <v>0</v>
      </c>
      <c r="BC541" s="42"/>
      <c r="BD541" s="110"/>
      <c r="BE541" s="46" t="s">
        <v>2</v>
      </c>
      <c r="BF541" s="103">
        <v>8</v>
      </c>
      <c r="BG541" s="103">
        <v>27</v>
      </c>
      <c r="BH541" s="103">
        <v>16</v>
      </c>
      <c r="BI541" s="103">
        <v>5</v>
      </c>
      <c r="BJ541" s="103">
        <v>5</v>
      </c>
      <c r="BK541" s="103">
        <v>0</v>
      </c>
      <c r="BL541" s="103">
        <v>5</v>
      </c>
      <c r="BM541" s="103">
        <v>0</v>
      </c>
      <c r="BN541" s="103">
        <v>0</v>
      </c>
      <c r="BO541" s="103">
        <v>0</v>
      </c>
      <c r="BQ541" s="110"/>
      <c r="BR541" s="46" t="s">
        <v>2</v>
      </c>
      <c r="BS541" s="103">
        <v>6</v>
      </c>
      <c r="BT541" s="103">
        <v>32</v>
      </c>
      <c r="BU541" s="103">
        <v>15</v>
      </c>
      <c r="BV541" s="103">
        <v>4</v>
      </c>
      <c r="BW541" s="103">
        <v>2</v>
      </c>
      <c r="BX541" s="103">
        <v>0</v>
      </c>
      <c r="BY541" s="103">
        <v>1</v>
      </c>
      <c r="BZ541" s="103">
        <v>0</v>
      </c>
      <c r="CA541" s="103">
        <v>0</v>
      </c>
      <c r="CB541" s="103">
        <v>0</v>
      </c>
      <c r="CC541" s="42"/>
      <c r="CD541" s="110"/>
      <c r="CE541" s="46" t="s">
        <v>2</v>
      </c>
      <c r="CF541" s="103">
        <v>6</v>
      </c>
      <c r="CG541" s="103">
        <v>20</v>
      </c>
      <c r="CH541" s="103">
        <v>13</v>
      </c>
      <c r="CI541" s="103">
        <v>12</v>
      </c>
      <c r="CJ541" s="103">
        <v>5</v>
      </c>
      <c r="CK541" s="103">
        <v>1</v>
      </c>
      <c r="CL541" s="103">
        <v>6</v>
      </c>
      <c r="CM541" s="103">
        <v>0</v>
      </c>
      <c r="CN541" s="103">
        <v>0</v>
      </c>
      <c r="CO541" s="103">
        <v>0</v>
      </c>
      <c r="CQ541" s="110"/>
      <c r="CR541" s="46" t="s">
        <v>2</v>
      </c>
      <c r="CS541" s="103">
        <v>7</v>
      </c>
      <c r="CT541" s="103">
        <v>16</v>
      </c>
      <c r="CU541" s="103">
        <v>19</v>
      </c>
      <c r="CV541" s="103">
        <v>11</v>
      </c>
      <c r="CW541" s="103">
        <v>5</v>
      </c>
      <c r="CX541" s="103">
        <v>1</v>
      </c>
      <c r="CY541" s="103">
        <v>6</v>
      </c>
      <c r="CZ541" s="103">
        <v>0</v>
      </c>
      <c r="DA541" s="103">
        <v>0</v>
      </c>
      <c r="DB541" s="103">
        <v>0</v>
      </c>
      <c r="DC541" s="42"/>
      <c r="DD541" s="110"/>
      <c r="DE541" s="46" t="s">
        <v>2</v>
      </c>
      <c r="DF541" s="103">
        <v>5</v>
      </c>
      <c r="DG541" s="103">
        <v>36</v>
      </c>
      <c r="DH541" s="103">
        <v>9</v>
      </c>
      <c r="DI541" s="103">
        <v>5</v>
      </c>
      <c r="DJ541" s="103">
        <v>2</v>
      </c>
      <c r="DK541" s="103">
        <v>0</v>
      </c>
      <c r="DL541" s="103">
        <v>1</v>
      </c>
      <c r="DM541" s="103">
        <v>0</v>
      </c>
      <c r="DN541" s="103">
        <v>0</v>
      </c>
      <c r="DO541" s="103">
        <v>0</v>
      </c>
    </row>
    <row r="542" spans="2:119" ht="16.25" customHeight="1" x14ac:dyDescent="0.45">
      <c r="B542" s="134"/>
      <c r="C542" s="42"/>
      <c r="D542" s="110"/>
      <c r="E542" s="46" t="s">
        <v>3</v>
      </c>
      <c r="F542" s="103">
        <v>9</v>
      </c>
      <c r="G542" s="103">
        <v>42</v>
      </c>
      <c r="H542" s="103">
        <v>32</v>
      </c>
      <c r="I542" s="103">
        <v>28</v>
      </c>
      <c r="J542" s="103">
        <v>8</v>
      </c>
      <c r="K542" s="103">
        <v>6</v>
      </c>
      <c r="L542" s="103">
        <v>3</v>
      </c>
      <c r="M542" s="103">
        <v>2</v>
      </c>
      <c r="N542" s="103">
        <v>0</v>
      </c>
      <c r="O542" s="103">
        <v>0</v>
      </c>
      <c r="P542" s="42"/>
      <c r="Q542" s="110"/>
      <c r="R542" s="46" t="s">
        <v>3</v>
      </c>
      <c r="S542" s="103">
        <v>4</v>
      </c>
      <c r="T542" s="103">
        <v>33</v>
      </c>
      <c r="U542" s="103">
        <v>22</v>
      </c>
      <c r="V542" s="103">
        <v>24</v>
      </c>
      <c r="W542" s="103">
        <v>6</v>
      </c>
      <c r="X542" s="103">
        <v>4</v>
      </c>
      <c r="Y542" s="103">
        <v>2</v>
      </c>
      <c r="Z542" s="103">
        <v>1</v>
      </c>
      <c r="AA542" s="103">
        <v>0</v>
      </c>
      <c r="AB542" s="103">
        <v>0</v>
      </c>
      <c r="AC542" s="42"/>
      <c r="AD542" s="110"/>
      <c r="AE542" s="46" t="s">
        <v>3</v>
      </c>
      <c r="AF542" s="103">
        <v>5</v>
      </c>
      <c r="AG542" s="103">
        <v>9</v>
      </c>
      <c r="AH542" s="103">
        <v>10</v>
      </c>
      <c r="AI542" s="103">
        <v>4</v>
      </c>
      <c r="AJ542" s="103">
        <v>2</v>
      </c>
      <c r="AK542" s="103">
        <v>2</v>
      </c>
      <c r="AL542" s="103">
        <v>1</v>
      </c>
      <c r="AM542" s="103">
        <v>1</v>
      </c>
      <c r="AN542" s="103">
        <v>0</v>
      </c>
      <c r="AO542" s="103">
        <v>0</v>
      </c>
      <c r="AP542" s="6"/>
      <c r="AQ542" s="110"/>
      <c r="AR542" s="46" t="s">
        <v>3</v>
      </c>
      <c r="AS542" s="103">
        <v>6</v>
      </c>
      <c r="AT542" s="103">
        <v>24</v>
      </c>
      <c r="AU542" s="103">
        <v>13</v>
      </c>
      <c r="AV542" s="103">
        <v>10</v>
      </c>
      <c r="AW542" s="103">
        <v>4</v>
      </c>
      <c r="AX542" s="103">
        <v>1</v>
      </c>
      <c r="AY542" s="103">
        <v>0</v>
      </c>
      <c r="AZ542" s="103">
        <v>1</v>
      </c>
      <c r="BA542" s="103">
        <v>0</v>
      </c>
      <c r="BB542" s="103">
        <v>0</v>
      </c>
      <c r="BC542" s="42"/>
      <c r="BD542" s="110"/>
      <c r="BE542" s="46" t="s">
        <v>3</v>
      </c>
      <c r="BF542" s="103">
        <v>3</v>
      </c>
      <c r="BG542" s="103">
        <v>18</v>
      </c>
      <c r="BH542" s="103">
        <v>19</v>
      </c>
      <c r="BI542" s="103">
        <v>18</v>
      </c>
      <c r="BJ542" s="103">
        <v>4</v>
      </c>
      <c r="BK542" s="103">
        <v>5</v>
      </c>
      <c r="BL542" s="103">
        <v>3</v>
      </c>
      <c r="BM542" s="103">
        <v>1</v>
      </c>
      <c r="BN542" s="103">
        <v>0</v>
      </c>
      <c r="BO542" s="103">
        <v>0</v>
      </c>
      <c r="BQ542" s="110"/>
      <c r="BR542" s="46" t="s">
        <v>3</v>
      </c>
      <c r="BS542" s="103">
        <v>6</v>
      </c>
      <c r="BT542" s="103">
        <v>19</v>
      </c>
      <c r="BU542" s="103">
        <v>11</v>
      </c>
      <c r="BV542" s="103">
        <v>6</v>
      </c>
      <c r="BW542" s="103">
        <v>1</v>
      </c>
      <c r="BX542" s="103">
        <v>1</v>
      </c>
      <c r="BY542" s="103">
        <v>2</v>
      </c>
      <c r="BZ542" s="103">
        <v>0</v>
      </c>
      <c r="CA542" s="103">
        <v>0</v>
      </c>
      <c r="CB542" s="103">
        <v>0</v>
      </c>
      <c r="CC542" s="42"/>
      <c r="CD542" s="110"/>
      <c r="CE542" s="46" t="s">
        <v>3</v>
      </c>
      <c r="CF542" s="103">
        <v>3</v>
      </c>
      <c r="CG542" s="103">
        <v>23</v>
      </c>
      <c r="CH542" s="103">
        <v>21</v>
      </c>
      <c r="CI542" s="103">
        <v>22</v>
      </c>
      <c r="CJ542" s="103">
        <v>7</v>
      </c>
      <c r="CK542" s="103">
        <v>5</v>
      </c>
      <c r="CL542" s="103">
        <v>1</v>
      </c>
      <c r="CM542" s="103">
        <v>2</v>
      </c>
      <c r="CN542" s="103">
        <v>0</v>
      </c>
      <c r="CO542" s="103">
        <v>0</v>
      </c>
      <c r="CQ542" s="110"/>
      <c r="CR542" s="46" t="s">
        <v>3</v>
      </c>
      <c r="CS542" s="103">
        <v>3</v>
      </c>
      <c r="CT542" s="103">
        <v>11</v>
      </c>
      <c r="CU542" s="103">
        <v>9</v>
      </c>
      <c r="CV542" s="103">
        <v>13</v>
      </c>
      <c r="CW542" s="103">
        <v>5</v>
      </c>
      <c r="CX542" s="103">
        <v>4</v>
      </c>
      <c r="CY542" s="103">
        <v>3</v>
      </c>
      <c r="CZ542" s="103">
        <v>1</v>
      </c>
      <c r="DA542" s="103">
        <v>0</v>
      </c>
      <c r="DB542" s="103">
        <v>0</v>
      </c>
      <c r="DC542" s="42"/>
      <c r="DD542" s="110"/>
      <c r="DE542" s="46" t="s">
        <v>3</v>
      </c>
      <c r="DF542" s="103">
        <v>6</v>
      </c>
      <c r="DG542" s="103">
        <v>31</v>
      </c>
      <c r="DH542" s="103">
        <v>23</v>
      </c>
      <c r="DI542" s="103">
        <v>15</v>
      </c>
      <c r="DJ542" s="103">
        <v>3</v>
      </c>
      <c r="DK542" s="103">
        <v>2</v>
      </c>
      <c r="DL542" s="103">
        <v>0</v>
      </c>
      <c r="DM542" s="103">
        <v>1</v>
      </c>
      <c r="DN542" s="103">
        <v>0</v>
      </c>
      <c r="DO542" s="103">
        <v>0</v>
      </c>
    </row>
    <row r="543" spans="2:119" ht="16.25" customHeight="1" x14ac:dyDescent="0.45">
      <c r="B543" s="134"/>
      <c r="C543" s="42"/>
      <c r="D543" s="110"/>
      <c r="E543" s="46" t="s">
        <v>4</v>
      </c>
      <c r="F543" s="103">
        <v>18</v>
      </c>
      <c r="G543" s="103">
        <v>63</v>
      </c>
      <c r="H543" s="103">
        <v>93</v>
      </c>
      <c r="I543" s="103">
        <v>67</v>
      </c>
      <c r="J543" s="103">
        <v>21</v>
      </c>
      <c r="K543" s="103">
        <v>13</v>
      </c>
      <c r="L543" s="103">
        <v>1</v>
      </c>
      <c r="M543" s="103">
        <v>0</v>
      </c>
      <c r="N543" s="103">
        <v>0</v>
      </c>
      <c r="O543" s="103">
        <v>0</v>
      </c>
      <c r="P543" s="42"/>
      <c r="Q543" s="110"/>
      <c r="R543" s="46" t="s">
        <v>4</v>
      </c>
      <c r="S543" s="103">
        <v>8</v>
      </c>
      <c r="T543" s="103">
        <v>43</v>
      </c>
      <c r="U543" s="103">
        <v>70</v>
      </c>
      <c r="V543" s="103">
        <v>52</v>
      </c>
      <c r="W543" s="103">
        <v>15</v>
      </c>
      <c r="X543" s="103">
        <v>12</v>
      </c>
      <c r="Y543" s="103">
        <v>1</v>
      </c>
      <c r="Z543" s="103">
        <v>0</v>
      </c>
      <c r="AA543" s="103">
        <v>0</v>
      </c>
      <c r="AB543" s="103">
        <v>0</v>
      </c>
      <c r="AC543" s="42"/>
      <c r="AD543" s="110"/>
      <c r="AE543" s="46" t="s">
        <v>4</v>
      </c>
      <c r="AF543" s="103">
        <v>10</v>
      </c>
      <c r="AG543" s="103">
        <v>20</v>
      </c>
      <c r="AH543" s="103">
        <v>23</v>
      </c>
      <c r="AI543" s="103">
        <v>15</v>
      </c>
      <c r="AJ543" s="103">
        <v>6</v>
      </c>
      <c r="AK543" s="103">
        <v>1</v>
      </c>
      <c r="AL543" s="103">
        <v>0</v>
      </c>
      <c r="AM543" s="103">
        <v>0</v>
      </c>
      <c r="AN543" s="103">
        <v>0</v>
      </c>
      <c r="AO543" s="103">
        <v>0</v>
      </c>
      <c r="AP543" s="6"/>
      <c r="AQ543" s="110"/>
      <c r="AR543" s="46" t="s">
        <v>4</v>
      </c>
      <c r="AS543" s="103">
        <v>7</v>
      </c>
      <c r="AT543" s="103">
        <v>22</v>
      </c>
      <c r="AU543" s="103">
        <v>44</v>
      </c>
      <c r="AV543" s="103">
        <v>21</v>
      </c>
      <c r="AW543" s="103">
        <v>9</v>
      </c>
      <c r="AX543" s="103">
        <v>3</v>
      </c>
      <c r="AY543" s="103">
        <v>0</v>
      </c>
      <c r="AZ543" s="103">
        <v>0</v>
      </c>
      <c r="BA543" s="103">
        <v>0</v>
      </c>
      <c r="BB543" s="103">
        <v>0</v>
      </c>
      <c r="BC543" s="42"/>
      <c r="BD543" s="110"/>
      <c r="BE543" s="46" t="s">
        <v>4</v>
      </c>
      <c r="BF543" s="103">
        <v>11</v>
      </c>
      <c r="BG543" s="103">
        <v>41</v>
      </c>
      <c r="BH543" s="103">
        <v>49</v>
      </c>
      <c r="BI543" s="103">
        <v>46</v>
      </c>
      <c r="BJ543" s="103">
        <v>12</v>
      </c>
      <c r="BK543" s="103">
        <v>10</v>
      </c>
      <c r="BL543" s="103">
        <v>1</v>
      </c>
      <c r="BM543" s="103">
        <v>0</v>
      </c>
      <c r="BN543" s="103">
        <v>0</v>
      </c>
      <c r="BO543" s="103">
        <v>0</v>
      </c>
      <c r="BQ543" s="110"/>
      <c r="BR543" s="46" t="s">
        <v>4</v>
      </c>
      <c r="BS543" s="103">
        <v>6</v>
      </c>
      <c r="BT543" s="103">
        <v>23</v>
      </c>
      <c r="BU543" s="103">
        <v>30</v>
      </c>
      <c r="BV543" s="103">
        <v>21</v>
      </c>
      <c r="BW543" s="103">
        <v>5</v>
      </c>
      <c r="BX543" s="103">
        <v>3</v>
      </c>
      <c r="BY543" s="103">
        <v>0</v>
      </c>
      <c r="BZ543" s="103">
        <v>0</v>
      </c>
      <c r="CA543" s="103">
        <v>0</v>
      </c>
      <c r="CB543" s="103">
        <v>0</v>
      </c>
      <c r="CC543" s="42"/>
      <c r="CD543" s="110"/>
      <c r="CE543" s="46" t="s">
        <v>4</v>
      </c>
      <c r="CF543" s="103">
        <v>12</v>
      </c>
      <c r="CG543" s="103">
        <v>40</v>
      </c>
      <c r="CH543" s="103">
        <v>63</v>
      </c>
      <c r="CI543" s="103">
        <v>46</v>
      </c>
      <c r="CJ543" s="103">
        <v>16</v>
      </c>
      <c r="CK543" s="103">
        <v>10</v>
      </c>
      <c r="CL543" s="103">
        <v>1</v>
      </c>
      <c r="CM543" s="103">
        <v>0</v>
      </c>
      <c r="CN543" s="103">
        <v>0</v>
      </c>
      <c r="CO543" s="103">
        <v>0</v>
      </c>
      <c r="CQ543" s="110"/>
      <c r="CR543" s="46" t="s">
        <v>4</v>
      </c>
      <c r="CS543" s="103">
        <v>5</v>
      </c>
      <c r="CT543" s="103">
        <v>16</v>
      </c>
      <c r="CU543" s="103">
        <v>39</v>
      </c>
      <c r="CV543" s="103">
        <v>27</v>
      </c>
      <c r="CW543" s="103">
        <v>8</v>
      </c>
      <c r="CX543" s="103">
        <v>9</v>
      </c>
      <c r="CY543" s="103">
        <v>1</v>
      </c>
      <c r="CZ543" s="103">
        <v>0</v>
      </c>
      <c r="DA543" s="103">
        <v>0</v>
      </c>
      <c r="DB543" s="103">
        <v>0</v>
      </c>
      <c r="DC543" s="42"/>
      <c r="DD543" s="110"/>
      <c r="DE543" s="46" t="s">
        <v>4</v>
      </c>
      <c r="DF543" s="103">
        <v>13</v>
      </c>
      <c r="DG543" s="103">
        <v>47</v>
      </c>
      <c r="DH543" s="103">
        <v>54</v>
      </c>
      <c r="DI543" s="103">
        <v>40</v>
      </c>
      <c r="DJ543" s="103">
        <v>13</v>
      </c>
      <c r="DK543" s="103">
        <v>4</v>
      </c>
      <c r="DL543" s="103">
        <v>0</v>
      </c>
      <c r="DM543" s="103">
        <v>0</v>
      </c>
      <c r="DN543" s="103">
        <v>0</v>
      </c>
      <c r="DO543" s="103">
        <v>0</v>
      </c>
    </row>
    <row r="544" spans="2:119" ht="16.25" customHeight="1" x14ac:dyDescent="0.45">
      <c r="B544" s="134"/>
      <c r="C544" s="42"/>
      <c r="D544" s="110"/>
      <c r="E544" s="46" t="s">
        <v>5</v>
      </c>
      <c r="F544" s="103">
        <v>32</v>
      </c>
      <c r="G544" s="103">
        <v>111</v>
      </c>
      <c r="H544" s="103">
        <v>184</v>
      </c>
      <c r="I544" s="103">
        <v>164</v>
      </c>
      <c r="J544" s="103">
        <v>90</v>
      </c>
      <c r="K544" s="103">
        <v>51</v>
      </c>
      <c r="L544" s="103">
        <v>17</v>
      </c>
      <c r="M544" s="103">
        <v>3</v>
      </c>
      <c r="N544" s="103">
        <v>0</v>
      </c>
      <c r="O544" s="103">
        <v>1</v>
      </c>
      <c r="P544" s="42"/>
      <c r="Q544" s="110"/>
      <c r="R544" s="46" t="s">
        <v>5</v>
      </c>
      <c r="S544" s="103">
        <v>14</v>
      </c>
      <c r="T544" s="103">
        <v>80</v>
      </c>
      <c r="U544" s="103">
        <v>136</v>
      </c>
      <c r="V544" s="103">
        <v>129</v>
      </c>
      <c r="W544" s="103">
        <v>73</v>
      </c>
      <c r="X544" s="103">
        <v>43</v>
      </c>
      <c r="Y544" s="103">
        <v>14</v>
      </c>
      <c r="Z544" s="103">
        <v>3</v>
      </c>
      <c r="AA544" s="103">
        <v>0</v>
      </c>
      <c r="AB544" s="103">
        <v>0</v>
      </c>
      <c r="AC544" s="42"/>
      <c r="AD544" s="110"/>
      <c r="AE544" s="46" t="s">
        <v>5</v>
      </c>
      <c r="AF544" s="103">
        <v>18</v>
      </c>
      <c r="AG544" s="103">
        <v>31</v>
      </c>
      <c r="AH544" s="103">
        <v>48</v>
      </c>
      <c r="AI544" s="103">
        <v>35</v>
      </c>
      <c r="AJ544" s="103">
        <v>17</v>
      </c>
      <c r="AK544" s="103">
        <v>8</v>
      </c>
      <c r="AL544" s="103">
        <v>3</v>
      </c>
      <c r="AM544" s="103">
        <v>0</v>
      </c>
      <c r="AN544" s="103">
        <v>0</v>
      </c>
      <c r="AO544" s="103">
        <v>1</v>
      </c>
      <c r="AP544" s="6"/>
      <c r="AQ544" s="110"/>
      <c r="AR544" s="46" t="s">
        <v>5</v>
      </c>
      <c r="AS544" s="103">
        <v>12</v>
      </c>
      <c r="AT544" s="103">
        <v>52</v>
      </c>
      <c r="AU544" s="103">
        <v>70</v>
      </c>
      <c r="AV544" s="103">
        <v>62</v>
      </c>
      <c r="AW544" s="103">
        <v>25</v>
      </c>
      <c r="AX544" s="103">
        <v>20</v>
      </c>
      <c r="AY544" s="103">
        <v>7</v>
      </c>
      <c r="AZ544" s="103">
        <v>1</v>
      </c>
      <c r="BA544" s="103">
        <v>0</v>
      </c>
      <c r="BB544" s="103">
        <v>0</v>
      </c>
      <c r="BC544" s="42"/>
      <c r="BD544" s="110"/>
      <c r="BE544" s="46" t="s">
        <v>5</v>
      </c>
      <c r="BF544" s="103">
        <v>20</v>
      </c>
      <c r="BG544" s="103">
        <v>59</v>
      </c>
      <c r="BH544" s="103">
        <v>114</v>
      </c>
      <c r="BI544" s="103">
        <v>102</v>
      </c>
      <c r="BJ544" s="103">
        <v>65</v>
      </c>
      <c r="BK544" s="103">
        <v>31</v>
      </c>
      <c r="BL544" s="103">
        <v>10</v>
      </c>
      <c r="BM544" s="103">
        <v>2</v>
      </c>
      <c r="BN544" s="103">
        <v>0</v>
      </c>
      <c r="BO544" s="103">
        <v>1</v>
      </c>
      <c r="BQ544" s="110"/>
      <c r="BR544" s="46" t="s">
        <v>5</v>
      </c>
      <c r="BS544" s="103">
        <v>8</v>
      </c>
      <c r="BT544" s="103">
        <v>37</v>
      </c>
      <c r="BU544" s="103">
        <v>42</v>
      </c>
      <c r="BV544" s="103">
        <v>31</v>
      </c>
      <c r="BW544" s="103">
        <v>14</v>
      </c>
      <c r="BX544" s="103">
        <v>10</v>
      </c>
      <c r="BY544" s="103">
        <v>2</v>
      </c>
      <c r="BZ544" s="103">
        <v>1</v>
      </c>
      <c r="CA544" s="103">
        <v>0</v>
      </c>
      <c r="CB544" s="103">
        <v>1</v>
      </c>
      <c r="CC544" s="42"/>
      <c r="CD544" s="110"/>
      <c r="CE544" s="46" t="s">
        <v>5</v>
      </c>
      <c r="CF544" s="103">
        <v>24</v>
      </c>
      <c r="CG544" s="103">
        <v>74</v>
      </c>
      <c r="CH544" s="103">
        <v>142</v>
      </c>
      <c r="CI544" s="103">
        <v>133</v>
      </c>
      <c r="CJ544" s="103">
        <v>76</v>
      </c>
      <c r="CK544" s="103">
        <v>41</v>
      </c>
      <c r="CL544" s="103">
        <v>15</v>
      </c>
      <c r="CM544" s="103">
        <v>2</v>
      </c>
      <c r="CN544" s="103">
        <v>0</v>
      </c>
      <c r="CO544" s="103">
        <v>0</v>
      </c>
      <c r="CQ544" s="110"/>
      <c r="CR544" s="46" t="s">
        <v>5</v>
      </c>
      <c r="CS544" s="103">
        <v>7</v>
      </c>
      <c r="CT544" s="103">
        <v>28</v>
      </c>
      <c r="CU544" s="103">
        <v>56</v>
      </c>
      <c r="CV544" s="103">
        <v>56</v>
      </c>
      <c r="CW544" s="103">
        <v>35</v>
      </c>
      <c r="CX544" s="103">
        <v>20</v>
      </c>
      <c r="CY544" s="103">
        <v>11</v>
      </c>
      <c r="CZ544" s="103">
        <v>2</v>
      </c>
      <c r="DA544" s="103">
        <v>0</v>
      </c>
      <c r="DB544" s="103">
        <v>0</v>
      </c>
      <c r="DC544" s="42"/>
      <c r="DD544" s="110"/>
      <c r="DE544" s="46" t="s">
        <v>5</v>
      </c>
      <c r="DF544" s="103">
        <v>25</v>
      </c>
      <c r="DG544" s="103">
        <v>83</v>
      </c>
      <c r="DH544" s="103">
        <v>128</v>
      </c>
      <c r="DI544" s="103">
        <v>108</v>
      </c>
      <c r="DJ544" s="103">
        <v>55</v>
      </c>
      <c r="DK544" s="103">
        <v>31</v>
      </c>
      <c r="DL544" s="103">
        <v>6</v>
      </c>
      <c r="DM544" s="103">
        <v>1</v>
      </c>
      <c r="DN544" s="103">
        <v>0</v>
      </c>
      <c r="DO544" s="103">
        <v>1</v>
      </c>
    </row>
    <row r="545" spans="2:119" ht="16.25" customHeight="1" x14ac:dyDescent="0.45">
      <c r="B545" s="134"/>
      <c r="C545" s="42"/>
      <c r="D545" s="110"/>
      <c r="E545" s="46" t="s">
        <v>6</v>
      </c>
      <c r="F545" s="103">
        <v>36</v>
      </c>
      <c r="G545" s="103">
        <v>209</v>
      </c>
      <c r="H545" s="103">
        <v>355</v>
      </c>
      <c r="I545" s="103">
        <v>436</v>
      </c>
      <c r="J545" s="103">
        <v>226</v>
      </c>
      <c r="K545" s="103">
        <v>160</v>
      </c>
      <c r="L545" s="103">
        <v>102</v>
      </c>
      <c r="M545" s="103">
        <v>36</v>
      </c>
      <c r="N545" s="103">
        <v>2</v>
      </c>
      <c r="O545" s="103">
        <v>4</v>
      </c>
      <c r="P545" s="42"/>
      <c r="Q545" s="110"/>
      <c r="R545" s="46" t="s">
        <v>6</v>
      </c>
      <c r="S545" s="103">
        <v>12</v>
      </c>
      <c r="T545" s="103">
        <v>118</v>
      </c>
      <c r="U545" s="103">
        <v>255</v>
      </c>
      <c r="V545" s="103">
        <v>322</v>
      </c>
      <c r="W545" s="103">
        <v>174</v>
      </c>
      <c r="X545" s="103">
        <v>135</v>
      </c>
      <c r="Y545" s="103">
        <v>80</v>
      </c>
      <c r="Z545" s="103">
        <v>29</v>
      </c>
      <c r="AA545" s="103">
        <v>2</v>
      </c>
      <c r="AB545" s="103">
        <v>2</v>
      </c>
      <c r="AC545" s="42"/>
      <c r="AD545" s="110"/>
      <c r="AE545" s="46" t="s">
        <v>6</v>
      </c>
      <c r="AF545" s="103">
        <v>24</v>
      </c>
      <c r="AG545" s="103">
        <v>91</v>
      </c>
      <c r="AH545" s="103">
        <v>100</v>
      </c>
      <c r="AI545" s="103">
        <v>114</v>
      </c>
      <c r="AJ545" s="103">
        <v>52</v>
      </c>
      <c r="AK545" s="103">
        <v>25</v>
      </c>
      <c r="AL545" s="103">
        <v>22</v>
      </c>
      <c r="AM545" s="103">
        <v>7</v>
      </c>
      <c r="AN545" s="103">
        <v>0</v>
      </c>
      <c r="AO545" s="103">
        <v>2</v>
      </c>
      <c r="AP545" s="6"/>
      <c r="AQ545" s="110"/>
      <c r="AR545" s="46" t="s">
        <v>6</v>
      </c>
      <c r="AS545" s="103">
        <v>16</v>
      </c>
      <c r="AT545" s="103">
        <v>84</v>
      </c>
      <c r="AU545" s="103">
        <v>141</v>
      </c>
      <c r="AV545" s="103">
        <v>147</v>
      </c>
      <c r="AW545" s="103">
        <v>78</v>
      </c>
      <c r="AX545" s="103">
        <v>49</v>
      </c>
      <c r="AY545" s="103">
        <v>31</v>
      </c>
      <c r="AZ545" s="103">
        <v>13</v>
      </c>
      <c r="BA545" s="103">
        <v>0</v>
      </c>
      <c r="BB545" s="103">
        <v>2</v>
      </c>
      <c r="BC545" s="42"/>
      <c r="BD545" s="110"/>
      <c r="BE545" s="46" t="s">
        <v>6</v>
      </c>
      <c r="BF545" s="103">
        <v>20</v>
      </c>
      <c r="BG545" s="103">
        <v>125</v>
      </c>
      <c r="BH545" s="103">
        <v>214</v>
      </c>
      <c r="BI545" s="103">
        <v>289</v>
      </c>
      <c r="BJ545" s="103">
        <v>148</v>
      </c>
      <c r="BK545" s="103">
        <v>111</v>
      </c>
      <c r="BL545" s="103">
        <v>71</v>
      </c>
      <c r="BM545" s="103">
        <v>23</v>
      </c>
      <c r="BN545" s="103">
        <v>2</v>
      </c>
      <c r="BO545" s="103">
        <v>2</v>
      </c>
      <c r="BQ545" s="110"/>
      <c r="BR545" s="46" t="s">
        <v>6</v>
      </c>
      <c r="BS545" s="103">
        <v>5</v>
      </c>
      <c r="BT545" s="103">
        <v>39</v>
      </c>
      <c r="BU545" s="103">
        <v>57</v>
      </c>
      <c r="BV545" s="103">
        <v>49</v>
      </c>
      <c r="BW545" s="103">
        <v>26</v>
      </c>
      <c r="BX545" s="103">
        <v>16</v>
      </c>
      <c r="BY545" s="103">
        <v>14</v>
      </c>
      <c r="BZ545" s="103">
        <v>5</v>
      </c>
      <c r="CA545" s="103">
        <v>0</v>
      </c>
      <c r="CB545" s="103">
        <v>0</v>
      </c>
      <c r="CC545" s="42"/>
      <c r="CD545" s="110"/>
      <c r="CE545" s="46" t="s">
        <v>6</v>
      </c>
      <c r="CF545" s="103">
        <v>31</v>
      </c>
      <c r="CG545" s="103">
        <v>170</v>
      </c>
      <c r="CH545" s="103">
        <v>298</v>
      </c>
      <c r="CI545" s="103">
        <v>387</v>
      </c>
      <c r="CJ545" s="103">
        <v>200</v>
      </c>
      <c r="CK545" s="103">
        <v>144</v>
      </c>
      <c r="CL545" s="103">
        <v>88</v>
      </c>
      <c r="CM545" s="103">
        <v>31</v>
      </c>
      <c r="CN545" s="103">
        <v>2</v>
      </c>
      <c r="CO545" s="103">
        <v>4</v>
      </c>
      <c r="CQ545" s="110"/>
      <c r="CR545" s="46" t="s">
        <v>6</v>
      </c>
      <c r="CS545" s="103">
        <v>4</v>
      </c>
      <c r="CT545" s="103">
        <v>48</v>
      </c>
      <c r="CU545" s="103">
        <v>87</v>
      </c>
      <c r="CV545" s="103">
        <v>123</v>
      </c>
      <c r="CW545" s="103">
        <v>69</v>
      </c>
      <c r="CX545" s="103">
        <v>60</v>
      </c>
      <c r="CY545" s="103">
        <v>37</v>
      </c>
      <c r="CZ545" s="103">
        <v>14</v>
      </c>
      <c r="DA545" s="103">
        <v>0</v>
      </c>
      <c r="DB545" s="103">
        <v>1</v>
      </c>
      <c r="DC545" s="42"/>
      <c r="DD545" s="110"/>
      <c r="DE545" s="46" t="s">
        <v>6</v>
      </c>
      <c r="DF545" s="103">
        <v>32</v>
      </c>
      <c r="DG545" s="103">
        <v>161</v>
      </c>
      <c r="DH545" s="103">
        <v>268</v>
      </c>
      <c r="DI545" s="103">
        <v>313</v>
      </c>
      <c r="DJ545" s="103">
        <v>157</v>
      </c>
      <c r="DK545" s="103">
        <v>100</v>
      </c>
      <c r="DL545" s="103">
        <v>65</v>
      </c>
      <c r="DM545" s="103">
        <v>22</v>
      </c>
      <c r="DN545" s="103">
        <v>2</v>
      </c>
      <c r="DO545" s="103">
        <v>3</v>
      </c>
    </row>
    <row r="546" spans="2:119" ht="16.25" customHeight="1" x14ac:dyDescent="0.45">
      <c r="B546" s="134"/>
      <c r="C546" s="42"/>
      <c r="D546" s="110"/>
      <c r="E546" s="46" t="s">
        <v>7</v>
      </c>
      <c r="F546" s="103">
        <v>58</v>
      </c>
      <c r="G546" s="103">
        <v>266</v>
      </c>
      <c r="H546" s="103">
        <v>515</v>
      </c>
      <c r="I546" s="103">
        <v>861</v>
      </c>
      <c r="J546" s="103">
        <v>635</v>
      </c>
      <c r="K546" s="103">
        <v>512</v>
      </c>
      <c r="L546" s="103">
        <v>330</v>
      </c>
      <c r="M546" s="103">
        <v>106</v>
      </c>
      <c r="N546" s="103">
        <v>41</v>
      </c>
      <c r="O546" s="103">
        <v>14</v>
      </c>
      <c r="P546" s="42"/>
      <c r="Q546" s="110"/>
      <c r="R546" s="46" t="s">
        <v>7</v>
      </c>
      <c r="S546" s="103">
        <v>22</v>
      </c>
      <c r="T546" s="103">
        <v>158</v>
      </c>
      <c r="U546" s="103">
        <v>327</v>
      </c>
      <c r="V546" s="103">
        <v>592</v>
      </c>
      <c r="W546" s="103">
        <v>494</v>
      </c>
      <c r="X546" s="103">
        <v>398</v>
      </c>
      <c r="Y546" s="103">
        <v>270</v>
      </c>
      <c r="Z546" s="103">
        <v>88</v>
      </c>
      <c r="AA546" s="103">
        <v>38</v>
      </c>
      <c r="AB546" s="103">
        <v>12</v>
      </c>
      <c r="AC546" s="42"/>
      <c r="AD546" s="110"/>
      <c r="AE546" s="46" t="s">
        <v>7</v>
      </c>
      <c r="AF546" s="103">
        <v>36</v>
      </c>
      <c r="AG546" s="103">
        <v>108</v>
      </c>
      <c r="AH546" s="103">
        <v>188</v>
      </c>
      <c r="AI546" s="103">
        <v>269</v>
      </c>
      <c r="AJ546" s="103">
        <v>141</v>
      </c>
      <c r="AK546" s="103">
        <v>114</v>
      </c>
      <c r="AL546" s="103">
        <v>60</v>
      </c>
      <c r="AM546" s="103">
        <v>18</v>
      </c>
      <c r="AN546" s="103">
        <v>3</v>
      </c>
      <c r="AO546" s="103">
        <v>2</v>
      </c>
      <c r="AP546" s="6"/>
      <c r="AQ546" s="110"/>
      <c r="AR546" s="46" t="s">
        <v>7</v>
      </c>
      <c r="AS546" s="103">
        <v>31</v>
      </c>
      <c r="AT546" s="103">
        <v>124</v>
      </c>
      <c r="AU546" s="103">
        <v>206</v>
      </c>
      <c r="AV546" s="103">
        <v>284</v>
      </c>
      <c r="AW546" s="103">
        <v>194</v>
      </c>
      <c r="AX546" s="103">
        <v>167</v>
      </c>
      <c r="AY546" s="103">
        <v>98</v>
      </c>
      <c r="AZ546" s="103">
        <v>30</v>
      </c>
      <c r="BA546" s="103">
        <v>14</v>
      </c>
      <c r="BB546" s="103">
        <v>6</v>
      </c>
      <c r="BC546" s="42"/>
      <c r="BD546" s="110"/>
      <c r="BE546" s="46" t="s">
        <v>7</v>
      </c>
      <c r="BF546" s="103">
        <v>27</v>
      </c>
      <c r="BG546" s="103">
        <v>142</v>
      </c>
      <c r="BH546" s="103">
        <v>309</v>
      </c>
      <c r="BI546" s="103">
        <v>577</v>
      </c>
      <c r="BJ546" s="103">
        <v>441</v>
      </c>
      <c r="BK546" s="103">
        <v>345</v>
      </c>
      <c r="BL546" s="103">
        <v>232</v>
      </c>
      <c r="BM546" s="103">
        <v>76</v>
      </c>
      <c r="BN546" s="103">
        <v>27</v>
      </c>
      <c r="BO546" s="103">
        <v>8</v>
      </c>
      <c r="BQ546" s="110"/>
      <c r="BR546" s="46" t="s">
        <v>7</v>
      </c>
      <c r="BS546" s="103">
        <v>11</v>
      </c>
      <c r="BT546" s="103">
        <v>37</v>
      </c>
      <c r="BU546" s="103">
        <v>49</v>
      </c>
      <c r="BV546" s="103">
        <v>70</v>
      </c>
      <c r="BW546" s="103">
        <v>41</v>
      </c>
      <c r="BX546" s="103">
        <v>37</v>
      </c>
      <c r="BY546" s="103">
        <v>27</v>
      </c>
      <c r="BZ546" s="103">
        <v>5</v>
      </c>
      <c r="CA546" s="103">
        <v>1</v>
      </c>
      <c r="CB546" s="103">
        <v>0</v>
      </c>
      <c r="CC546" s="42"/>
      <c r="CD546" s="110"/>
      <c r="CE546" s="46" t="s">
        <v>7</v>
      </c>
      <c r="CF546" s="103">
        <v>47</v>
      </c>
      <c r="CG546" s="103">
        <v>229</v>
      </c>
      <c r="CH546" s="103">
        <v>466</v>
      </c>
      <c r="CI546" s="103">
        <v>791</v>
      </c>
      <c r="CJ546" s="103">
        <v>594</v>
      </c>
      <c r="CK546" s="103">
        <v>475</v>
      </c>
      <c r="CL546" s="103">
        <v>303</v>
      </c>
      <c r="CM546" s="103">
        <v>101</v>
      </c>
      <c r="CN546" s="103">
        <v>40</v>
      </c>
      <c r="CO546" s="103">
        <v>14</v>
      </c>
      <c r="CQ546" s="110"/>
      <c r="CR546" s="46" t="s">
        <v>7</v>
      </c>
      <c r="CS546" s="103">
        <v>11</v>
      </c>
      <c r="CT546" s="103">
        <v>55</v>
      </c>
      <c r="CU546" s="103">
        <v>121</v>
      </c>
      <c r="CV546" s="103">
        <v>189</v>
      </c>
      <c r="CW546" s="103">
        <v>174</v>
      </c>
      <c r="CX546" s="103">
        <v>165</v>
      </c>
      <c r="CY546" s="103">
        <v>113</v>
      </c>
      <c r="CZ546" s="103">
        <v>34</v>
      </c>
      <c r="DA546" s="103">
        <v>10</v>
      </c>
      <c r="DB546" s="103">
        <v>6</v>
      </c>
      <c r="DC546" s="42"/>
      <c r="DD546" s="110"/>
      <c r="DE546" s="46" t="s">
        <v>7</v>
      </c>
      <c r="DF546" s="103">
        <v>47</v>
      </c>
      <c r="DG546" s="103">
        <v>211</v>
      </c>
      <c r="DH546" s="103">
        <v>394</v>
      </c>
      <c r="DI546" s="103">
        <v>672</v>
      </c>
      <c r="DJ546" s="103">
        <v>461</v>
      </c>
      <c r="DK546" s="103">
        <v>347</v>
      </c>
      <c r="DL546" s="103">
        <v>217</v>
      </c>
      <c r="DM546" s="103">
        <v>72</v>
      </c>
      <c r="DN546" s="103">
        <v>31</v>
      </c>
      <c r="DO546" s="103">
        <v>8</v>
      </c>
    </row>
    <row r="547" spans="2:119" ht="16.25" customHeight="1" x14ac:dyDescent="0.45">
      <c r="B547" s="134"/>
      <c r="C547" s="42"/>
      <c r="D547" s="110"/>
      <c r="E547" s="46" t="s">
        <v>8</v>
      </c>
      <c r="F547" s="103">
        <v>35</v>
      </c>
      <c r="G547" s="103">
        <v>210</v>
      </c>
      <c r="H547" s="103">
        <v>458</v>
      </c>
      <c r="I547" s="103">
        <v>891</v>
      </c>
      <c r="J547" s="103">
        <v>852</v>
      </c>
      <c r="K547" s="103">
        <v>876</v>
      </c>
      <c r="L547" s="103">
        <v>716</v>
      </c>
      <c r="M547" s="103">
        <v>306</v>
      </c>
      <c r="N547" s="103">
        <v>158</v>
      </c>
      <c r="O547" s="103">
        <v>47</v>
      </c>
      <c r="P547" s="42"/>
      <c r="Q547" s="110"/>
      <c r="R547" s="46" t="s">
        <v>8</v>
      </c>
      <c r="S547" s="103">
        <v>15</v>
      </c>
      <c r="T547" s="103">
        <v>94</v>
      </c>
      <c r="U547" s="103">
        <v>263</v>
      </c>
      <c r="V547" s="103">
        <v>596</v>
      </c>
      <c r="W547" s="103">
        <v>595</v>
      </c>
      <c r="X547" s="103">
        <v>698</v>
      </c>
      <c r="Y547" s="103">
        <v>591</v>
      </c>
      <c r="Z547" s="103">
        <v>259</v>
      </c>
      <c r="AA547" s="103">
        <v>146</v>
      </c>
      <c r="AB547" s="103">
        <v>39</v>
      </c>
      <c r="AC547" s="42"/>
      <c r="AD547" s="110"/>
      <c r="AE547" s="46" t="s">
        <v>8</v>
      </c>
      <c r="AF547" s="103">
        <v>20</v>
      </c>
      <c r="AG547" s="103">
        <v>116</v>
      </c>
      <c r="AH547" s="103">
        <v>195</v>
      </c>
      <c r="AI547" s="103">
        <v>295</v>
      </c>
      <c r="AJ547" s="103">
        <v>257</v>
      </c>
      <c r="AK547" s="103">
        <v>178</v>
      </c>
      <c r="AL547" s="103">
        <v>125</v>
      </c>
      <c r="AM547" s="103">
        <v>47</v>
      </c>
      <c r="AN547" s="103">
        <v>12</v>
      </c>
      <c r="AO547" s="103">
        <v>8</v>
      </c>
      <c r="AP547" s="6"/>
      <c r="AQ547" s="110"/>
      <c r="AR547" s="46" t="s">
        <v>8</v>
      </c>
      <c r="AS547" s="103">
        <v>16</v>
      </c>
      <c r="AT547" s="103">
        <v>99</v>
      </c>
      <c r="AU547" s="103">
        <v>153</v>
      </c>
      <c r="AV547" s="103">
        <v>271</v>
      </c>
      <c r="AW547" s="103">
        <v>269</v>
      </c>
      <c r="AX547" s="103">
        <v>252</v>
      </c>
      <c r="AY547" s="103">
        <v>192</v>
      </c>
      <c r="AZ547" s="103">
        <v>93</v>
      </c>
      <c r="BA547" s="103">
        <v>43</v>
      </c>
      <c r="BB547" s="103">
        <v>15</v>
      </c>
      <c r="BC547" s="42"/>
      <c r="BD547" s="110"/>
      <c r="BE547" s="46" t="s">
        <v>8</v>
      </c>
      <c r="BF547" s="103">
        <v>19</v>
      </c>
      <c r="BG547" s="103">
        <v>111</v>
      </c>
      <c r="BH547" s="103">
        <v>305</v>
      </c>
      <c r="BI547" s="103">
        <v>620</v>
      </c>
      <c r="BJ547" s="103">
        <v>583</v>
      </c>
      <c r="BK547" s="103">
        <v>624</v>
      </c>
      <c r="BL547" s="103">
        <v>524</v>
      </c>
      <c r="BM547" s="103">
        <v>213</v>
      </c>
      <c r="BN547" s="103">
        <v>115</v>
      </c>
      <c r="BO547" s="103">
        <v>32</v>
      </c>
      <c r="BQ547" s="110"/>
      <c r="BR547" s="46" t="s">
        <v>8</v>
      </c>
      <c r="BS547" s="103">
        <v>5</v>
      </c>
      <c r="BT547" s="103">
        <v>22</v>
      </c>
      <c r="BU547" s="103">
        <v>40</v>
      </c>
      <c r="BV547" s="103">
        <v>59</v>
      </c>
      <c r="BW547" s="103">
        <v>43</v>
      </c>
      <c r="BX547" s="103">
        <v>40</v>
      </c>
      <c r="BY547" s="103">
        <v>24</v>
      </c>
      <c r="BZ547" s="103">
        <v>15</v>
      </c>
      <c r="CA547" s="103">
        <v>5</v>
      </c>
      <c r="CB547" s="103">
        <v>1</v>
      </c>
      <c r="CC547" s="42"/>
      <c r="CD547" s="110"/>
      <c r="CE547" s="46" t="s">
        <v>8</v>
      </c>
      <c r="CF547" s="103">
        <v>30</v>
      </c>
      <c r="CG547" s="103">
        <v>188</v>
      </c>
      <c r="CH547" s="103">
        <v>418</v>
      </c>
      <c r="CI547" s="103">
        <v>832</v>
      </c>
      <c r="CJ547" s="103">
        <v>809</v>
      </c>
      <c r="CK547" s="103">
        <v>836</v>
      </c>
      <c r="CL547" s="103">
        <v>692</v>
      </c>
      <c r="CM547" s="103">
        <v>291</v>
      </c>
      <c r="CN547" s="103">
        <v>153</v>
      </c>
      <c r="CO547" s="103">
        <v>46</v>
      </c>
      <c r="CQ547" s="110"/>
      <c r="CR547" s="46" t="s">
        <v>8</v>
      </c>
      <c r="CS547" s="103">
        <v>6</v>
      </c>
      <c r="CT547" s="103">
        <v>38</v>
      </c>
      <c r="CU547" s="103">
        <v>86</v>
      </c>
      <c r="CV547" s="103">
        <v>156</v>
      </c>
      <c r="CW547" s="103">
        <v>207</v>
      </c>
      <c r="CX547" s="103">
        <v>232</v>
      </c>
      <c r="CY547" s="103">
        <v>204</v>
      </c>
      <c r="CZ547" s="103">
        <v>83</v>
      </c>
      <c r="DA547" s="103">
        <v>54</v>
      </c>
      <c r="DB547" s="103">
        <v>18</v>
      </c>
      <c r="DC547" s="42"/>
      <c r="DD547" s="110"/>
      <c r="DE547" s="46" t="s">
        <v>8</v>
      </c>
      <c r="DF547" s="103">
        <v>29</v>
      </c>
      <c r="DG547" s="103">
        <v>172</v>
      </c>
      <c r="DH547" s="103">
        <v>372</v>
      </c>
      <c r="DI547" s="103">
        <v>735</v>
      </c>
      <c r="DJ547" s="103">
        <v>645</v>
      </c>
      <c r="DK547" s="103">
        <v>644</v>
      </c>
      <c r="DL547" s="103">
        <v>512</v>
      </c>
      <c r="DM547" s="103">
        <v>223</v>
      </c>
      <c r="DN547" s="103">
        <v>104</v>
      </c>
      <c r="DO547" s="103">
        <v>29</v>
      </c>
    </row>
    <row r="548" spans="2:119" ht="16.25" customHeight="1" x14ac:dyDescent="0.45">
      <c r="B548" s="134"/>
      <c r="C548" s="42"/>
      <c r="D548" s="110"/>
      <c r="E548" s="46" t="s">
        <v>9</v>
      </c>
      <c r="F548" s="103">
        <v>12</v>
      </c>
      <c r="G548" s="103">
        <v>81</v>
      </c>
      <c r="H548" s="103">
        <v>230</v>
      </c>
      <c r="I548" s="103">
        <v>584</v>
      </c>
      <c r="J548" s="103">
        <v>752</v>
      </c>
      <c r="K548" s="103">
        <v>925</v>
      </c>
      <c r="L548" s="103">
        <v>979</v>
      </c>
      <c r="M548" s="103">
        <v>589</v>
      </c>
      <c r="N548" s="103">
        <v>357</v>
      </c>
      <c r="O548" s="103">
        <v>123</v>
      </c>
      <c r="P548" s="42"/>
      <c r="Q548" s="110"/>
      <c r="R548" s="46" t="s">
        <v>9</v>
      </c>
      <c r="S548" s="103">
        <v>5</v>
      </c>
      <c r="T548" s="103">
        <v>34</v>
      </c>
      <c r="U548" s="103">
        <v>121</v>
      </c>
      <c r="V548" s="103">
        <v>342</v>
      </c>
      <c r="W548" s="103">
        <v>478</v>
      </c>
      <c r="X548" s="103">
        <v>667</v>
      </c>
      <c r="Y548" s="103">
        <v>768</v>
      </c>
      <c r="Z548" s="103">
        <v>484</v>
      </c>
      <c r="AA548" s="103">
        <v>303</v>
      </c>
      <c r="AB548" s="103">
        <v>110</v>
      </c>
      <c r="AC548" s="42"/>
      <c r="AD548" s="110"/>
      <c r="AE548" s="46" t="s">
        <v>9</v>
      </c>
      <c r="AF548" s="103">
        <v>7</v>
      </c>
      <c r="AG548" s="103">
        <v>47</v>
      </c>
      <c r="AH548" s="103">
        <v>109</v>
      </c>
      <c r="AI548" s="103">
        <v>242</v>
      </c>
      <c r="AJ548" s="103">
        <v>274</v>
      </c>
      <c r="AK548" s="103">
        <v>258</v>
      </c>
      <c r="AL548" s="103">
        <v>211</v>
      </c>
      <c r="AM548" s="103">
        <v>105</v>
      </c>
      <c r="AN548" s="103">
        <v>54</v>
      </c>
      <c r="AO548" s="103">
        <v>13</v>
      </c>
      <c r="AP548" s="6"/>
      <c r="AQ548" s="110"/>
      <c r="AR548" s="46" t="s">
        <v>9</v>
      </c>
      <c r="AS548" s="103">
        <v>4</v>
      </c>
      <c r="AT548" s="103">
        <v>31</v>
      </c>
      <c r="AU548" s="103">
        <v>91</v>
      </c>
      <c r="AV548" s="103">
        <v>176</v>
      </c>
      <c r="AW548" s="103">
        <v>215</v>
      </c>
      <c r="AX548" s="103">
        <v>213</v>
      </c>
      <c r="AY548" s="103">
        <v>236</v>
      </c>
      <c r="AZ548" s="103">
        <v>154</v>
      </c>
      <c r="BA548" s="103">
        <v>71</v>
      </c>
      <c r="BB548" s="103">
        <v>36</v>
      </c>
      <c r="BC548" s="42"/>
      <c r="BD548" s="110"/>
      <c r="BE548" s="46" t="s">
        <v>9</v>
      </c>
      <c r="BF548" s="103">
        <v>8</v>
      </c>
      <c r="BG548" s="103">
        <v>50</v>
      </c>
      <c r="BH548" s="103">
        <v>139</v>
      </c>
      <c r="BI548" s="103">
        <v>408</v>
      </c>
      <c r="BJ548" s="103">
        <v>537</v>
      </c>
      <c r="BK548" s="103">
        <v>712</v>
      </c>
      <c r="BL548" s="103">
        <v>743</v>
      </c>
      <c r="BM548" s="103">
        <v>435</v>
      </c>
      <c r="BN548" s="103">
        <v>286</v>
      </c>
      <c r="BO548" s="103">
        <v>87</v>
      </c>
      <c r="BQ548" s="110"/>
      <c r="BR548" s="46" t="s">
        <v>9</v>
      </c>
      <c r="BS548" s="103">
        <v>1</v>
      </c>
      <c r="BT548" s="103">
        <v>8</v>
      </c>
      <c r="BU548" s="103">
        <v>26</v>
      </c>
      <c r="BV548" s="103">
        <v>41</v>
      </c>
      <c r="BW548" s="103">
        <v>37</v>
      </c>
      <c r="BX548" s="103">
        <v>47</v>
      </c>
      <c r="BY548" s="103">
        <v>37</v>
      </c>
      <c r="BZ548" s="103">
        <v>19</v>
      </c>
      <c r="CA548" s="103">
        <v>14</v>
      </c>
      <c r="CB548" s="103">
        <v>7</v>
      </c>
      <c r="CC548" s="42"/>
      <c r="CD548" s="110"/>
      <c r="CE548" s="46" t="s">
        <v>9</v>
      </c>
      <c r="CF548" s="103">
        <v>11</v>
      </c>
      <c r="CG548" s="103">
        <v>73</v>
      </c>
      <c r="CH548" s="103">
        <v>204</v>
      </c>
      <c r="CI548" s="103">
        <v>543</v>
      </c>
      <c r="CJ548" s="103">
        <v>715</v>
      </c>
      <c r="CK548" s="103">
        <v>878</v>
      </c>
      <c r="CL548" s="103">
        <v>942</v>
      </c>
      <c r="CM548" s="103">
        <v>570</v>
      </c>
      <c r="CN548" s="103">
        <v>343</v>
      </c>
      <c r="CO548" s="103">
        <v>116</v>
      </c>
      <c r="CQ548" s="110"/>
      <c r="CR548" s="46" t="s">
        <v>9</v>
      </c>
      <c r="CS548" s="103">
        <v>1</v>
      </c>
      <c r="CT548" s="103">
        <v>12</v>
      </c>
      <c r="CU548" s="103">
        <v>20</v>
      </c>
      <c r="CV548" s="103">
        <v>75</v>
      </c>
      <c r="CW548" s="103">
        <v>143</v>
      </c>
      <c r="CX548" s="103">
        <v>200</v>
      </c>
      <c r="CY548" s="103">
        <v>216</v>
      </c>
      <c r="CZ548" s="103">
        <v>154</v>
      </c>
      <c r="DA548" s="103">
        <v>79</v>
      </c>
      <c r="DB548" s="103">
        <v>39</v>
      </c>
      <c r="DC548" s="42"/>
      <c r="DD548" s="110"/>
      <c r="DE548" s="46" t="s">
        <v>9</v>
      </c>
      <c r="DF548" s="103">
        <v>11</v>
      </c>
      <c r="DG548" s="103">
        <v>69</v>
      </c>
      <c r="DH548" s="103">
        <v>210</v>
      </c>
      <c r="DI548" s="103">
        <v>509</v>
      </c>
      <c r="DJ548" s="103">
        <v>609</v>
      </c>
      <c r="DK548" s="103">
        <v>725</v>
      </c>
      <c r="DL548" s="103">
        <v>763</v>
      </c>
      <c r="DM548" s="103">
        <v>435</v>
      </c>
      <c r="DN548" s="103">
        <v>278</v>
      </c>
      <c r="DO548" s="103">
        <v>84</v>
      </c>
    </row>
    <row r="549" spans="2:119" ht="16.25" customHeight="1" x14ac:dyDescent="0.45">
      <c r="B549" s="134"/>
      <c r="C549" s="42"/>
      <c r="D549" s="110"/>
      <c r="E549" s="46" t="s">
        <v>10</v>
      </c>
      <c r="F549" s="103">
        <v>10</v>
      </c>
      <c r="G549" s="103">
        <v>19</v>
      </c>
      <c r="H549" s="103">
        <v>66</v>
      </c>
      <c r="I549" s="103">
        <v>230</v>
      </c>
      <c r="J549" s="103">
        <v>299</v>
      </c>
      <c r="K549" s="103">
        <v>520</v>
      </c>
      <c r="L549" s="103">
        <v>793</v>
      </c>
      <c r="M549" s="103">
        <v>659</v>
      </c>
      <c r="N549" s="103">
        <v>496</v>
      </c>
      <c r="O549" s="103">
        <v>293</v>
      </c>
      <c r="P549" s="42"/>
      <c r="Q549" s="110"/>
      <c r="R549" s="46" t="s">
        <v>10</v>
      </c>
      <c r="S549" s="103">
        <v>3</v>
      </c>
      <c r="T549" s="103">
        <v>6</v>
      </c>
      <c r="U549" s="103">
        <v>27</v>
      </c>
      <c r="V549" s="103">
        <v>111</v>
      </c>
      <c r="W549" s="103">
        <v>173</v>
      </c>
      <c r="X549" s="103">
        <v>335</v>
      </c>
      <c r="Y549" s="103">
        <v>582</v>
      </c>
      <c r="Z549" s="103">
        <v>499</v>
      </c>
      <c r="AA549" s="103">
        <v>417</v>
      </c>
      <c r="AB549" s="103">
        <v>255</v>
      </c>
      <c r="AC549" s="42"/>
      <c r="AD549" s="110"/>
      <c r="AE549" s="46" t="s">
        <v>10</v>
      </c>
      <c r="AF549" s="103">
        <v>7</v>
      </c>
      <c r="AG549" s="103">
        <v>13</v>
      </c>
      <c r="AH549" s="103">
        <v>39</v>
      </c>
      <c r="AI549" s="103">
        <v>119</v>
      </c>
      <c r="AJ549" s="103">
        <v>126</v>
      </c>
      <c r="AK549" s="103">
        <v>185</v>
      </c>
      <c r="AL549" s="103">
        <v>211</v>
      </c>
      <c r="AM549" s="103">
        <v>160</v>
      </c>
      <c r="AN549" s="103">
        <v>79</v>
      </c>
      <c r="AO549" s="103">
        <v>38</v>
      </c>
      <c r="AP549" s="6"/>
      <c r="AQ549" s="110"/>
      <c r="AR549" s="46" t="s">
        <v>10</v>
      </c>
      <c r="AS549" s="103">
        <v>6</v>
      </c>
      <c r="AT549" s="103">
        <v>6</v>
      </c>
      <c r="AU549" s="103">
        <v>31</v>
      </c>
      <c r="AV549" s="103">
        <v>59</v>
      </c>
      <c r="AW549" s="103">
        <v>86</v>
      </c>
      <c r="AX549" s="103">
        <v>121</v>
      </c>
      <c r="AY549" s="103">
        <v>167</v>
      </c>
      <c r="AZ549" s="103">
        <v>116</v>
      </c>
      <c r="BA549" s="103">
        <v>78</v>
      </c>
      <c r="BB549" s="103">
        <v>42</v>
      </c>
      <c r="BC549" s="42"/>
      <c r="BD549" s="110"/>
      <c r="BE549" s="46" t="s">
        <v>10</v>
      </c>
      <c r="BF549" s="103">
        <v>4</v>
      </c>
      <c r="BG549" s="103">
        <v>13</v>
      </c>
      <c r="BH549" s="103">
        <v>35</v>
      </c>
      <c r="BI549" s="103">
        <v>171</v>
      </c>
      <c r="BJ549" s="103">
        <v>213</v>
      </c>
      <c r="BK549" s="103">
        <v>399</v>
      </c>
      <c r="BL549" s="103">
        <v>626</v>
      </c>
      <c r="BM549" s="103">
        <v>543</v>
      </c>
      <c r="BN549" s="103">
        <v>418</v>
      </c>
      <c r="BO549" s="103">
        <v>251</v>
      </c>
      <c r="BQ549" s="110"/>
      <c r="BR549" s="46" t="s">
        <v>10</v>
      </c>
      <c r="BS549" s="103">
        <v>0</v>
      </c>
      <c r="BT549" s="103">
        <v>3</v>
      </c>
      <c r="BU549" s="103">
        <v>3</v>
      </c>
      <c r="BV549" s="103">
        <v>12</v>
      </c>
      <c r="BW549" s="103">
        <v>11</v>
      </c>
      <c r="BX549" s="103">
        <v>18</v>
      </c>
      <c r="BY549" s="103">
        <v>24</v>
      </c>
      <c r="BZ549" s="103">
        <v>18</v>
      </c>
      <c r="CA549" s="103">
        <v>12</v>
      </c>
      <c r="CB549" s="103">
        <v>7</v>
      </c>
      <c r="CC549" s="42"/>
      <c r="CD549" s="110"/>
      <c r="CE549" s="46" t="s">
        <v>10</v>
      </c>
      <c r="CF549" s="103">
        <v>10</v>
      </c>
      <c r="CG549" s="103">
        <v>16</v>
      </c>
      <c r="CH549" s="103">
        <v>63</v>
      </c>
      <c r="CI549" s="103">
        <v>218</v>
      </c>
      <c r="CJ549" s="103">
        <v>288</v>
      </c>
      <c r="CK549" s="103">
        <v>502</v>
      </c>
      <c r="CL549" s="103">
        <v>769</v>
      </c>
      <c r="CM549" s="103">
        <v>641</v>
      </c>
      <c r="CN549" s="103">
        <v>484</v>
      </c>
      <c r="CO549" s="103">
        <v>286</v>
      </c>
      <c r="CQ549" s="110"/>
      <c r="CR549" s="46" t="s">
        <v>10</v>
      </c>
      <c r="CS549" s="103">
        <v>0</v>
      </c>
      <c r="CT549" s="103">
        <v>1</v>
      </c>
      <c r="CU549" s="103">
        <v>12</v>
      </c>
      <c r="CV549" s="103">
        <v>43</v>
      </c>
      <c r="CW549" s="103">
        <v>50</v>
      </c>
      <c r="CX549" s="103">
        <v>79</v>
      </c>
      <c r="CY549" s="103">
        <v>171</v>
      </c>
      <c r="CZ549" s="103">
        <v>132</v>
      </c>
      <c r="DA549" s="103">
        <v>111</v>
      </c>
      <c r="DB549" s="103">
        <v>73</v>
      </c>
      <c r="DC549" s="42"/>
      <c r="DD549" s="110"/>
      <c r="DE549" s="46" t="s">
        <v>10</v>
      </c>
      <c r="DF549" s="103">
        <v>10</v>
      </c>
      <c r="DG549" s="103">
        <v>18</v>
      </c>
      <c r="DH549" s="103">
        <v>54</v>
      </c>
      <c r="DI549" s="103">
        <v>187</v>
      </c>
      <c r="DJ549" s="103">
        <v>249</v>
      </c>
      <c r="DK549" s="103">
        <v>441</v>
      </c>
      <c r="DL549" s="103">
        <v>622</v>
      </c>
      <c r="DM549" s="103">
        <v>527</v>
      </c>
      <c r="DN549" s="103">
        <v>385</v>
      </c>
      <c r="DO549" s="103">
        <v>220</v>
      </c>
    </row>
    <row r="550" spans="2:119" ht="16.25" customHeight="1" x14ac:dyDescent="0.45">
      <c r="B550" s="134"/>
      <c r="C550" s="42"/>
      <c r="D550" s="111"/>
      <c r="E550" s="46" t="s">
        <v>11</v>
      </c>
      <c r="F550" s="103">
        <v>0</v>
      </c>
      <c r="G550" s="103">
        <v>3</v>
      </c>
      <c r="H550" s="103">
        <v>2</v>
      </c>
      <c r="I550" s="103">
        <v>17</v>
      </c>
      <c r="J550" s="103">
        <v>29</v>
      </c>
      <c r="K550" s="103">
        <v>52</v>
      </c>
      <c r="L550" s="103">
        <v>88</v>
      </c>
      <c r="M550" s="103">
        <v>123</v>
      </c>
      <c r="N550" s="103">
        <v>150</v>
      </c>
      <c r="O550" s="103">
        <v>141</v>
      </c>
      <c r="P550" s="42"/>
      <c r="Q550" s="111"/>
      <c r="R550" s="46" t="s">
        <v>11</v>
      </c>
      <c r="S550" s="103">
        <v>0</v>
      </c>
      <c r="T550" s="103">
        <v>1</v>
      </c>
      <c r="U550" s="103">
        <v>0</v>
      </c>
      <c r="V550" s="103">
        <v>4</v>
      </c>
      <c r="W550" s="103">
        <v>17</v>
      </c>
      <c r="X550" s="103">
        <v>30</v>
      </c>
      <c r="Y550" s="103">
        <v>52</v>
      </c>
      <c r="Z550" s="103">
        <v>92</v>
      </c>
      <c r="AA550" s="103">
        <v>118</v>
      </c>
      <c r="AB550" s="103">
        <v>110</v>
      </c>
      <c r="AC550" s="42"/>
      <c r="AD550" s="111"/>
      <c r="AE550" s="46" t="s">
        <v>11</v>
      </c>
      <c r="AF550" s="103">
        <v>0</v>
      </c>
      <c r="AG550" s="103">
        <v>2</v>
      </c>
      <c r="AH550" s="103">
        <v>2</v>
      </c>
      <c r="AI550" s="103">
        <v>13</v>
      </c>
      <c r="AJ550" s="103">
        <v>12</v>
      </c>
      <c r="AK550" s="103">
        <v>22</v>
      </c>
      <c r="AL550" s="103">
        <v>36</v>
      </c>
      <c r="AM550" s="103">
        <v>31</v>
      </c>
      <c r="AN550" s="103">
        <v>32</v>
      </c>
      <c r="AO550" s="103">
        <v>31</v>
      </c>
      <c r="AP550" s="6"/>
      <c r="AQ550" s="111"/>
      <c r="AR550" s="46" t="s">
        <v>11</v>
      </c>
      <c r="AS550" s="103">
        <v>0</v>
      </c>
      <c r="AT550" s="103">
        <v>1</v>
      </c>
      <c r="AU550" s="103">
        <v>0</v>
      </c>
      <c r="AV550" s="103">
        <v>2</v>
      </c>
      <c r="AW550" s="103">
        <v>9</v>
      </c>
      <c r="AX550" s="103">
        <v>8</v>
      </c>
      <c r="AY550" s="103">
        <v>3</v>
      </c>
      <c r="AZ550" s="103">
        <v>18</v>
      </c>
      <c r="BA550" s="103">
        <v>15</v>
      </c>
      <c r="BB550" s="103">
        <v>17</v>
      </c>
      <c r="BC550" s="42"/>
      <c r="BD550" s="111"/>
      <c r="BE550" s="46" t="s">
        <v>11</v>
      </c>
      <c r="BF550" s="103">
        <v>0</v>
      </c>
      <c r="BG550" s="103">
        <v>2</v>
      </c>
      <c r="BH550" s="103">
        <v>2</v>
      </c>
      <c r="BI550" s="103">
        <v>15</v>
      </c>
      <c r="BJ550" s="103">
        <v>20</v>
      </c>
      <c r="BK550" s="103">
        <v>44</v>
      </c>
      <c r="BL550" s="103">
        <v>85</v>
      </c>
      <c r="BM550" s="103">
        <v>105</v>
      </c>
      <c r="BN550" s="103">
        <v>135</v>
      </c>
      <c r="BO550" s="103">
        <v>124</v>
      </c>
      <c r="BQ550" s="111"/>
      <c r="BR550" s="46" t="s">
        <v>11</v>
      </c>
      <c r="BS550" s="103">
        <v>0</v>
      </c>
      <c r="BT550" s="103">
        <v>2</v>
      </c>
      <c r="BU550" s="103">
        <v>0</v>
      </c>
      <c r="BV550" s="103">
        <v>1</v>
      </c>
      <c r="BW550" s="103">
        <v>1</v>
      </c>
      <c r="BX550" s="103">
        <v>4</v>
      </c>
      <c r="BY550" s="103">
        <v>2</v>
      </c>
      <c r="BZ550" s="103">
        <v>2</v>
      </c>
      <c r="CA550" s="103">
        <v>5</v>
      </c>
      <c r="CB550" s="103">
        <v>1</v>
      </c>
      <c r="CC550" s="42"/>
      <c r="CD550" s="111"/>
      <c r="CE550" s="46" t="s">
        <v>11</v>
      </c>
      <c r="CF550" s="103">
        <v>0</v>
      </c>
      <c r="CG550" s="103">
        <v>1</v>
      </c>
      <c r="CH550" s="103">
        <v>2</v>
      </c>
      <c r="CI550" s="103">
        <v>16</v>
      </c>
      <c r="CJ550" s="103">
        <v>28</v>
      </c>
      <c r="CK550" s="103">
        <v>48</v>
      </c>
      <c r="CL550" s="103">
        <v>86</v>
      </c>
      <c r="CM550" s="103">
        <v>121</v>
      </c>
      <c r="CN550" s="103">
        <v>145</v>
      </c>
      <c r="CO550" s="103">
        <v>140</v>
      </c>
      <c r="CQ550" s="111"/>
      <c r="CR550" s="46" t="s">
        <v>11</v>
      </c>
      <c r="CS550" s="103">
        <v>0</v>
      </c>
      <c r="CT550" s="103">
        <v>0</v>
      </c>
      <c r="CU550" s="103">
        <v>1</v>
      </c>
      <c r="CV550" s="103">
        <v>1</v>
      </c>
      <c r="CW550" s="103">
        <v>1</v>
      </c>
      <c r="CX550" s="103">
        <v>6</v>
      </c>
      <c r="CY550" s="103">
        <v>14</v>
      </c>
      <c r="CZ550" s="103">
        <v>27</v>
      </c>
      <c r="DA550" s="103">
        <v>27</v>
      </c>
      <c r="DB550" s="103">
        <v>22</v>
      </c>
      <c r="DC550" s="42"/>
      <c r="DD550" s="111"/>
      <c r="DE550" s="46" t="s">
        <v>11</v>
      </c>
      <c r="DF550" s="103">
        <v>0</v>
      </c>
      <c r="DG550" s="103">
        <v>3</v>
      </c>
      <c r="DH550" s="103">
        <v>1</v>
      </c>
      <c r="DI550" s="103">
        <v>16</v>
      </c>
      <c r="DJ550" s="103">
        <v>28</v>
      </c>
      <c r="DK550" s="103">
        <v>46</v>
      </c>
      <c r="DL550" s="103">
        <v>74</v>
      </c>
      <c r="DM550" s="103">
        <v>96</v>
      </c>
      <c r="DN550" s="103">
        <v>123</v>
      </c>
      <c r="DO550" s="103">
        <v>119</v>
      </c>
    </row>
    <row r="551" spans="2:119" ht="22.5" x14ac:dyDescent="0.45">
      <c r="B551" s="99"/>
      <c r="C551" s="42"/>
      <c r="D551" s="42"/>
      <c r="E551" s="42"/>
      <c r="F551" s="42"/>
      <c r="G551" s="42"/>
      <c r="H551" s="42"/>
      <c r="I551" s="42"/>
      <c r="J551" s="42"/>
      <c r="K551" s="42"/>
      <c r="L551" s="42"/>
      <c r="M551" s="42"/>
      <c r="N551" s="42"/>
      <c r="O551" s="42"/>
      <c r="P551" s="42"/>
      <c r="Q551" s="42"/>
      <c r="R551" s="42"/>
      <c r="S551" s="42"/>
      <c r="T551" s="42"/>
      <c r="U551" s="42"/>
      <c r="V551" s="42"/>
      <c r="W551" s="42"/>
      <c r="X551" s="42"/>
      <c r="Y551" s="42"/>
      <c r="Z551" s="42"/>
      <c r="AA551" s="42"/>
      <c r="AB551" s="42"/>
      <c r="AC551" s="42"/>
      <c r="AD551" s="42"/>
      <c r="AE551" s="42"/>
      <c r="AF551" s="42"/>
      <c r="AG551" s="42"/>
      <c r="AH551" s="42"/>
      <c r="AI551" s="42"/>
      <c r="AJ551" s="42"/>
      <c r="AK551" s="42"/>
      <c r="AL551" s="42"/>
      <c r="AM551" s="42"/>
      <c r="AN551" s="42"/>
      <c r="AO551" s="42"/>
      <c r="AP551" s="6"/>
      <c r="AQ551" s="42"/>
      <c r="AR551" s="42"/>
      <c r="AS551" s="42"/>
      <c r="AT551" s="42"/>
      <c r="AU551" s="42"/>
      <c r="AV551" s="42"/>
      <c r="AW551" s="42"/>
      <c r="AX551" s="42"/>
      <c r="AY551" s="42"/>
      <c r="AZ551" s="42"/>
      <c r="BA551" s="42"/>
      <c r="BB551" s="42"/>
      <c r="BC551" s="42"/>
      <c r="BD551" s="42"/>
      <c r="BE551" s="42"/>
      <c r="BF551" s="42"/>
      <c r="BG551" s="42"/>
      <c r="BH551" s="42"/>
      <c r="BI551" s="42"/>
      <c r="BJ551" s="42"/>
      <c r="BK551" s="42"/>
      <c r="BL551" s="42"/>
      <c r="BM551" s="42"/>
      <c r="BN551" s="42"/>
      <c r="BO551" s="42"/>
      <c r="BQ551" s="42"/>
      <c r="BR551" s="42"/>
      <c r="BS551" s="42"/>
      <c r="BT551" s="42"/>
      <c r="BU551" s="42"/>
      <c r="BV551" s="42"/>
      <c r="BW551" s="42"/>
      <c r="BX551" s="42"/>
      <c r="BY551" s="42"/>
      <c r="BZ551" s="42"/>
      <c r="CA551" s="42"/>
      <c r="CB551" s="42"/>
      <c r="CC551" s="42"/>
      <c r="CD551" s="42"/>
      <c r="CE551" s="42"/>
      <c r="CF551" s="42"/>
      <c r="CG551" s="42"/>
      <c r="CH551" s="42"/>
      <c r="CI551" s="42"/>
      <c r="CJ551" s="42"/>
      <c r="CK551" s="42"/>
      <c r="CL551" s="42"/>
      <c r="CM551" s="42"/>
      <c r="CN551" s="42"/>
      <c r="CO551" s="42"/>
      <c r="CQ551" s="42"/>
      <c r="CR551" s="42"/>
      <c r="CS551" s="42"/>
      <c r="CT551" s="42"/>
      <c r="CU551" s="42"/>
      <c r="CV551" s="42"/>
      <c r="CW551" s="42"/>
      <c r="CX551" s="42"/>
      <c r="CY551" s="42"/>
      <c r="CZ551" s="42"/>
      <c r="DA551" s="42"/>
      <c r="DB551" s="42"/>
      <c r="DC551" s="42"/>
      <c r="DD551" s="42"/>
      <c r="DE551" s="42"/>
      <c r="DF551" s="42"/>
      <c r="DG551" s="42"/>
      <c r="DH551" s="42"/>
      <c r="DI551" s="42"/>
      <c r="DJ551" s="42"/>
      <c r="DK551" s="42"/>
      <c r="DL551" s="42"/>
      <c r="DM551" s="42"/>
      <c r="DN551" s="42"/>
      <c r="DO551" s="42"/>
    </row>
    <row r="552" spans="2:119" ht="18.75" customHeight="1" x14ac:dyDescent="0.55000000000000004">
      <c r="B552" s="99"/>
      <c r="C552" s="42"/>
      <c r="D552" s="112" t="s">
        <v>16</v>
      </c>
      <c r="E552" s="112"/>
      <c r="F552" s="45"/>
      <c r="G552" s="45"/>
      <c r="H552" s="45"/>
      <c r="I552" s="45"/>
      <c r="J552" s="45"/>
      <c r="K552" s="45"/>
      <c r="L552" s="45"/>
      <c r="M552" s="45"/>
      <c r="N552" s="45"/>
      <c r="O552" s="45"/>
      <c r="P552" s="42"/>
      <c r="Q552" s="112" t="s">
        <v>16</v>
      </c>
      <c r="R552" s="112"/>
      <c r="S552" s="45"/>
      <c r="T552" s="45"/>
      <c r="U552" s="45"/>
      <c r="V552" s="45"/>
      <c r="W552" s="45"/>
      <c r="X552" s="45"/>
      <c r="Y552" s="45"/>
      <c r="Z552" s="45"/>
      <c r="AA552" s="45"/>
      <c r="AB552" s="45"/>
      <c r="AC552" s="42"/>
      <c r="AD552" s="112" t="s">
        <v>16</v>
      </c>
      <c r="AE552" s="112"/>
      <c r="AF552" s="45"/>
      <c r="AG552" s="45"/>
      <c r="AH552" s="45"/>
      <c r="AI552" s="45"/>
      <c r="AJ552" s="45"/>
      <c r="AK552" s="45"/>
      <c r="AL552" s="45"/>
      <c r="AM552" s="45"/>
      <c r="AN552" s="45"/>
      <c r="AO552" s="45"/>
      <c r="AP552" s="6"/>
      <c r="AQ552" s="112" t="s">
        <v>16</v>
      </c>
      <c r="AR552" s="112"/>
      <c r="AS552" s="45"/>
      <c r="AT552" s="45"/>
      <c r="AU552" s="45"/>
      <c r="AV552" s="45"/>
      <c r="AW552" s="45"/>
      <c r="AX552" s="45"/>
      <c r="AY552" s="45"/>
      <c r="AZ552" s="45"/>
      <c r="BA552" s="45"/>
      <c r="BB552" s="45"/>
      <c r="BC552" s="42"/>
      <c r="BD552" s="112" t="s">
        <v>16</v>
      </c>
      <c r="BE552" s="112"/>
      <c r="BF552" s="45"/>
      <c r="BG552" s="45"/>
      <c r="BH552" s="45"/>
      <c r="BI552" s="45"/>
      <c r="BJ552" s="45"/>
      <c r="BK552" s="45"/>
      <c r="BL552" s="45"/>
      <c r="BM552" s="45"/>
      <c r="BN552" s="45"/>
      <c r="BO552" s="45"/>
      <c r="BQ552" s="112" t="s">
        <v>16</v>
      </c>
      <c r="BR552" s="112"/>
      <c r="BS552" s="45"/>
      <c r="BT552" s="45"/>
      <c r="BU552" s="45"/>
      <c r="BV552" s="45"/>
      <c r="BW552" s="45"/>
      <c r="BX552" s="45"/>
      <c r="BY552" s="45"/>
      <c r="BZ552" s="45"/>
      <c r="CA552" s="45"/>
      <c r="CB552" s="45"/>
      <c r="CC552" s="42"/>
      <c r="CD552" s="112" t="s">
        <v>16</v>
      </c>
      <c r="CE552" s="112"/>
      <c r="CF552" s="45"/>
      <c r="CG552" s="45"/>
      <c r="CH552" s="45"/>
      <c r="CI552" s="45"/>
      <c r="CJ552" s="45"/>
      <c r="CK552" s="45"/>
      <c r="CL552" s="45"/>
      <c r="CM552" s="45"/>
      <c r="CN552" s="45"/>
      <c r="CO552" s="45"/>
      <c r="CQ552" s="112" t="s">
        <v>16</v>
      </c>
      <c r="CR552" s="112"/>
      <c r="CS552" s="45"/>
      <c r="CT552" s="45"/>
      <c r="CU552" s="45"/>
      <c r="CV552" s="45"/>
      <c r="CW552" s="45"/>
      <c r="CX552" s="45"/>
      <c r="CY552" s="45"/>
      <c r="CZ552" s="45"/>
      <c r="DA552" s="45"/>
      <c r="DB552" s="45"/>
      <c r="DC552" s="42"/>
      <c r="DD552" s="112" t="s">
        <v>16</v>
      </c>
      <c r="DE552" s="112"/>
      <c r="DF552" s="45"/>
      <c r="DG552" s="45"/>
      <c r="DH552" s="45"/>
      <c r="DI552" s="45"/>
      <c r="DJ552" s="45"/>
      <c r="DK552" s="45"/>
      <c r="DL552" s="45"/>
      <c r="DM552" s="45"/>
      <c r="DN552" s="45"/>
      <c r="DO552" s="45"/>
    </row>
    <row r="553" spans="2:119" ht="28.9" customHeight="1" x14ac:dyDescent="0.45">
      <c r="B553" s="99"/>
      <c r="C553" s="42"/>
      <c r="D553" s="112"/>
      <c r="E553" s="112"/>
      <c r="F553" s="108" t="s">
        <v>12</v>
      </c>
      <c r="G553" s="108"/>
      <c r="H553" s="108"/>
      <c r="I553" s="108"/>
      <c r="J553" s="108"/>
      <c r="K553" s="108"/>
      <c r="L553" s="108"/>
      <c r="M553" s="108"/>
      <c r="N553" s="108"/>
      <c r="O553" s="108"/>
      <c r="P553" s="42"/>
      <c r="Q553" s="112"/>
      <c r="R553" s="112"/>
      <c r="S553" s="108" t="s">
        <v>12</v>
      </c>
      <c r="T553" s="108"/>
      <c r="U553" s="108"/>
      <c r="V553" s="108"/>
      <c r="W553" s="108"/>
      <c r="X553" s="108"/>
      <c r="Y553" s="108"/>
      <c r="Z553" s="108"/>
      <c r="AA553" s="108"/>
      <c r="AB553" s="108"/>
      <c r="AC553" s="42"/>
      <c r="AD553" s="112"/>
      <c r="AE553" s="112"/>
      <c r="AF553" s="131" t="s">
        <v>12</v>
      </c>
      <c r="AG553" s="132"/>
      <c r="AH553" s="132"/>
      <c r="AI553" s="132"/>
      <c r="AJ553" s="132"/>
      <c r="AK553" s="132"/>
      <c r="AL553" s="132"/>
      <c r="AM553" s="132"/>
      <c r="AN553" s="132"/>
      <c r="AO553" s="133"/>
      <c r="AP553" s="6"/>
      <c r="AQ553" s="112"/>
      <c r="AR553" s="112"/>
      <c r="AS553" s="108" t="s">
        <v>12</v>
      </c>
      <c r="AT553" s="108"/>
      <c r="AU553" s="108"/>
      <c r="AV553" s="108"/>
      <c r="AW553" s="108"/>
      <c r="AX553" s="108"/>
      <c r="AY553" s="108"/>
      <c r="AZ553" s="108"/>
      <c r="BA553" s="108"/>
      <c r="BB553" s="108"/>
      <c r="BC553" s="42"/>
      <c r="BD553" s="112"/>
      <c r="BE553" s="112"/>
      <c r="BF553" s="108" t="s">
        <v>12</v>
      </c>
      <c r="BG553" s="108"/>
      <c r="BH553" s="108"/>
      <c r="BI553" s="108"/>
      <c r="BJ553" s="108"/>
      <c r="BK553" s="108"/>
      <c r="BL553" s="108"/>
      <c r="BM553" s="108"/>
      <c r="BN553" s="108"/>
      <c r="BO553" s="108"/>
      <c r="BQ553" s="112"/>
      <c r="BR553" s="112"/>
      <c r="BS553" s="108" t="s">
        <v>12</v>
      </c>
      <c r="BT553" s="108"/>
      <c r="BU553" s="108"/>
      <c r="BV553" s="108"/>
      <c r="BW553" s="108"/>
      <c r="BX553" s="108"/>
      <c r="BY553" s="108"/>
      <c r="BZ553" s="108"/>
      <c r="CA553" s="108"/>
      <c r="CB553" s="108"/>
      <c r="CC553" s="42"/>
      <c r="CD553" s="112"/>
      <c r="CE553" s="112"/>
      <c r="CF553" s="108" t="s">
        <v>12</v>
      </c>
      <c r="CG553" s="108"/>
      <c r="CH553" s="108"/>
      <c r="CI553" s="108"/>
      <c r="CJ553" s="108"/>
      <c r="CK553" s="108"/>
      <c r="CL553" s="108"/>
      <c r="CM553" s="108"/>
      <c r="CN553" s="108"/>
      <c r="CO553" s="108"/>
      <c r="CQ553" s="112"/>
      <c r="CR553" s="112"/>
      <c r="CS553" s="108" t="s">
        <v>12</v>
      </c>
      <c r="CT553" s="108"/>
      <c r="CU553" s="108"/>
      <c r="CV553" s="108"/>
      <c r="CW553" s="108"/>
      <c r="CX553" s="108"/>
      <c r="CY553" s="108"/>
      <c r="CZ553" s="108"/>
      <c r="DA553" s="108"/>
      <c r="DB553" s="108"/>
      <c r="DC553" s="42"/>
      <c r="DD553" s="112"/>
      <c r="DE553" s="112"/>
      <c r="DF553" s="108" t="s">
        <v>12</v>
      </c>
      <c r="DG553" s="108"/>
      <c r="DH553" s="108"/>
      <c r="DI553" s="108"/>
      <c r="DJ553" s="108"/>
      <c r="DK553" s="108"/>
      <c r="DL553" s="108"/>
      <c r="DM553" s="108"/>
      <c r="DN553" s="108"/>
      <c r="DO553" s="108"/>
    </row>
    <row r="554" spans="2:119" ht="15" customHeight="1" x14ac:dyDescent="0.45">
      <c r="B554" s="99"/>
      <c r="C554" s="42"/>
      <c r="D554" s="113"/>
      <c r="E554" s="113"/>
      <c r="F554" s="9" t="s">
        <v>0</v>
      </c>
      <c r="G554" s="9">
        <v>1</v>
      </c>
      <c r="H554" s="9">
        <v>2</v>
      </c>
      <c r="I554" s="9">
        <v>3</v>
      </c>
      <c r="J554" s="9">
        <v>4</v>
      </c>
      <c r="K554" s="9">
        <v>5</v>
      </c>
      <c r="L554" s="9">
        <v>6</v>
      </c>
      <c r="M554" s="9">
        <v>7</v>
      </c>
      <c r="N554" s="9">
        <v>8</v>
      </c>
      <c r="O554" s="9">
        <v>9</v>
      </c>
      <c r="P554" s="42"/>
      <c r="Q554" s="113"/>
      <c r="R554" s="113"/>
      <c r="S554" s="9" t="s">
        <v>0</v>
      </c>
      <c r="T554" s="9">
        <v>1</v>
      </c>
      <c r="U554" s="9">
        <v>2</v>
      </c>
      <c r="V554" s="9">
        <v>3</v>
      </c>
      <c r="W554" s="9">
        <v>4</v>
      </c>
      <c r="X554" s="9">
        <v>5</v>
      </c>
      <c r="Y554" s="9">
        <v>6</v>
      </c>
      <c r="Z554" s="9">
        <v>7</v>
      </c>
      <c r="AA554" s="9">
        <v>8</v>
      </c>
      <c r="AB554" s="9">
        <v>9</v>
      </c>
      <c r="AC554" s="42"/>
      <c r="AD554" s="113"/>
      <c r="AE554" s="113"/>
      <c r="AF554" s="9" t="s">
        <v>0</v>
      </c>
      <c r="AG554" s="9">
        <v>1</v>
      </c>
      <c r="AH554" s="9">
        <v>2</v>
      </c>
      <c r="AI554" s="9">
        <v>3</v>
      </c>
      <c r="AJ554" s="9">
        <v>4</v>
      </c>
      <c r="AK554" s="9">
        <v>5</v>
      </c>
      <c r="AL554" s="9">
        <v>6</v>
      </c>
      <c r="AM554" s="9">
        <v>7</v>
      </c>
      <c r="AN554" s="9">
        <v>8</v>
      </c>
      <c r="AO554" s="9">
        <v>9</v>
      </c>
      <c r="AP554" s="6"/>
      <c r="AQ554" s="113"/>
      <c r="AR554" s="113"/>
      <c r="AS554" s="9" t="s">
        <v>0</v>
      </c>
      <c r="AT554" s="9">
        <v>1</v>
      </c>
      <c r="AU554" s="9">
        <v>2</v>
      </c>
      <c r="AV554" s="9">
        <v>3</v>
      </c>
      <c r="AW554" s="9">
        <v>4</v>
      </c>
      <c r="AX554" s="9">
        <v>5</v>
      </c>
      <c r="AY554" s="9">
        <v>6</v>
      </c>
      <c r="AZ554" s="9">
        <v>7</v>
      </c>
      <c r="BA554" s="9">
        <v>8</v>
      </c>
      <c r="BB554" s="9">
        <v>9</v>
      </c>
      <c r="BC554" s="42"/>
      <c r="BD554" s="113"/>
      <c r="BE554" s="113"/>
      <c r="BF554" s="9" t="s">
        <v>0</v>
      </c>
      <c r="BG554" s="9">
        <v>1</v>
      </c>
      <c r="BH554" s="9">
        <v>2</v>
      </c>
      <c r="BI554" s="9">
        <v>3</v>
      </c>
      <c r="BJ554" s="9">
        <v>4</v>
      </c>
      <c r="BK554" s="9">
        <v>5</v>
      </c>
      <c r="BL554" s="9">
        <v>6</v>
      </c>
      <c r="BM554" s="9">
        <v>7</v>
      </c>
      <c r="BN554" s="9">
        <v>8</v>
      </c>
      <c r="BO554" s="9">
        <v>9</v>
      </c>
      <c r="BQ554" s="113"/>
      <c r="BR554" s="113"/>
      <c r="BS554" s="9" t="s">
        <v>0</v>
      </c>
      <c r="BT554" s="9">
        <v>1</v>
      </c>
      <c r="BU554" s="9">
        <v>2</v>
      </c>
      <c r="BV554" s="9">
        <v>3</v>
      </c>
      <c r="BW554" s="9">
        <v>4</v>
      </c>
      <c r="BX554" s="9">
        <v>5</v>
      </c>
      <c r="BY554" s="9">
        <v>6</v>
      </c>
      <c r="BZ554" s="9">
        <v>7</v>
      </c>
      <c r="CA554" s="9">
        <v>8</v>
      </c>
      <c r="CB554" s="9">
        <v>9</v>
      </c>
      <c r="CC554" s="42"/>
      <c r="CD554" s="113"/>
      <c r="CE554" s="113"/>
      <c r="CF554" s="9" t="s">
        <v>0</v>
      </c>
      <c r="CG554" s="9">
        <v>1</v>
      </c>
      <c r="CH554" s="9">
        <v>2</v>
      </c>
      <c r="CI554" s="9">
        <v>3</v>
      </c>
      <c r="CJ554" s="9">
        <v>4</v>
      </c>
      <c r="CK554" s="9">
        <v>5</v>
      </c>
      <c r="CL554" s="9">
        <v>6</v>
      </c>
      <c r="CM554" s="9">
        <v>7</v>
      </c>
      <c r="CN554" s="9">
        <v>8</v>
      </c>
      <c r="CO554" s="9">
        <v>9</v>
      </c>
      <c r="CQ554" s="113"/>
      <c r="CR554" s="113"/>
      <c r="CS554" s="9" t="s">
        <v>0</v>
      </c>
      <c r="CT554" s="9">
        <v>1</v>
      </c>
      <c r="CU554" s="9">
        <v>2</v>
      </c>
      <c r="CV554" s="9">
        <v>3</v>
      </c>
      <c r="CW554" s="9">
        <v>4</v>
      </c>
      <c r="CX554" s="9">
        <v>5</v>
      </c>
      <c r="CY554" s="9">
        <v>6</v>
      </c>
      <c r="CZ554" s="9">
        <v>7</v>
      </c>
      <c r="DA554" s="9">
        <v>8</v>
      </c>
      <c r="DB554" s="9">
        <v>9</v>
      </c>
      <c r="DC554" s="42"/>
      <c r="DD554" s="113"/>
      <c r="DE554" s="113"/>
      <c r="DF554" s="9" t="s">
        <v>0</v>
      </c>
      <c r="DG554" s="9">
        <v>1</v>
      </c>
      <c r="DH554" s="9">
        <v>2</v>
      </c>
      <c r="DI554" s="9">
        <v>3</v>
      </c>
      <c r="DJ554" s="9">
        <v>4</v>
      </c>
      <c r="DK554" s="9">
        <v>5</v>
      </c>
      <c r="DL554" s="9">
        <v>6</v>
      </c>
      <c r="DM554" s="9">
        <v>7</v>
      </c>
      <c r="DN554" s="9">
        <v>8</v>
      </c>
      <c r="DO554" s="9">
        <v>9</v>
      </c>
    </row>
    <row r="555" spans="2:119" ht="16.25" customHeight="1" x14ac:dyDescent="0.45">
      <c r="B555" s="99"/>
      <c r="C555" s="42"/>
      <c r="D555" s="109" t="s">
        <v>13</v>
      </c>
      <c r="E555" s="47" t="s">
        <v>1</v>
      </c>
      <c r="F555" s="103">
        <v>0</v>
      </c>
      <c r="G555" s="103">
        <v>0</v>
      </c>
      <c r="H555" s="103">
        <v>0</v>
      </c>
      <c r="I555" s="103">
        <v>100</v>
      </c>
      <c r="J555" s="103">
        <v>0</v>
      </c>
      <c r="K555" s="103">
        <v>0</v>
      </c>
      <c r="L555" s="103">
        <v>0</v>
      </c>
      <c r="M555" s="103">
        <v>0</v>
      </c>
      <c r="N555" s="103">
        <v>0</v>
      </c>
      <c r="O555" s="17">
        <v>0</v>
      </c>
      <c r="P555" s="42"/>
      <c r="Q555" s="109" t="s">
        <v>13</v>
      </c>
      <c r="R555" s="46" t="s">
        <v>1</v>
      </c>
      <c r="S555" s="103" t="s">
        <v>128</v>
      </c>
      <c r="T555" s="103" t="s">
        <v>128</v>
      </c>
      <c r="U555" s="103" t="s">
        <v>128</v>
      </c>
      <c r="V555" s="103" t="s">
        <v>128</v>
      </c>
      <c r="W555" s="103" t="s">
        <v>128</v>
      </c>
      <c r="X555" s="103" t="s">
        <v>128</v>
      </c>
      <c r="Y555" s="103" t="s">
        <v>128</v>
      </c>
      <c r="Z555" s="103" t="s">
        <v>128</v>
      </c>
      <c r="AA555" s="103" t="s">
        <v>128</v>
      </c>
      <c r="AB555" s="17" t="s">
        <v>128</v>
      </c>
      <c r="AC555" s="42"/>
      <c r="AD555" s="109" t="s">
        <v>13</v>
      </c>
      <c r="AE555" s="46" t="s">
        <v>1</v>
      </c>
      <c r="AF555" s="103">
        <v>0</v>
      </c>
      <c r="AG555" s="103">
        <v>0</v>
      </c>
      <c r="AH555" s="103">
        <v>0</v>
      </c>
      <c r="AI555" s="103">
        <v>100</v>
      </c>
      <c r="AJ555" s="103">
        <v>0</v>
      </c>
      <c r="AK555" s="103">
        <v>0</v>
      </c>
      <c r="AL555" s="103">
        <v>0</v>
      </c>
      <c r="AM555" s="103">
        <v>0</v>
      </c>
      <c r="AN555" s="103">
        <v>0</v>
      </c>
      <c r="AO555" s="17">
        <v>0</v>
      </c>
      <c r="AP555" s="6"/>
      <c r="AQ555" s="109" t="s">
        <v>13</v>
      </c>
      <c r="AR555" s="46" t="s">
        <v>1</v>
      </c>
      <c r="AS555" s="103">
        <v>0</v>
      </c>
      <c r="AT555" s="103">
        <v>0</v>
      </c>
      <c r="AU555" s="103">
        <v>0</v>
      </c>
      <c r="AV555" s="103">
        <v>100</v>
      </c>
      <c r="AW555" s="103">
        <v>0</v>
      </c>
      <c r="AX555" s="103">
        <v>0</v>
      </c>
      <c r="AY555" s="103">
        <v>0</v>
      </c>
      <c r="AZ555" s="103">
        <v>0</v>
      </c>
      <c r="BA555" s="103">
        <v>0</v>
      </c>
      <c r="BB555" s="17">
        <v>0</v>
      </c>
      <c r="BC555" s="42"/>
      <c r="BD555" s="109" t="s">
        <v>13</v>
      </c>
      <c r="BE555" s="46" t="s">
        <v>1</v>
      </c>
      <c r="BF555" s="103" t="s">
        <v>128</v>
      </c>
      <c r="BG555" s="103" t="s">
        <v>128</v>
      </c>
      <c r="BH555" s="103" t="s">
        <v>128</v>
      </c>
      <c r="BI555" s="103" t="s">
        <v>128</v>
      </c>
      <c r="BJ555" s="103" t="s">
        <v>128</v>
      </c>
      <c r="BK555" s="103" t="s">
        <v>128</v>
      </c>
      <c r="BL555" s="103" t="s">
        <v>128</v>
      </c>
      <c r="BM555" s="103" t="s">
        <v>128</v>
      </c>
      <c r="BN555" s="103" t="s">
        <v>128</v>
      </c>
      <c r="BO555" s="17" t="s">
        <v>128</v>
      </c>
      <c r="BQ555" s="109" t="s">
        <v>13</v>
      </c>
      <c r="BR555" s="46" t="s">
        <v>1</v>
      </c>
      <c r="BS555" s="103" t="s">
        <v>128</v>
      </c>
      <c r="BT555" s="103" t="s">
        <v>128</v>
      </c>
      <c r="BU555" s="103" t="s">
        <v>128</v>
      </c>
      <c r="BV555" s="103" t="s">
        <v>128</v>
      </c>
      <c r="BW555" s="103" t="s">
        <v>128</v>
      </c>
      <c r="BX555" s="103" t="s">
        <v>128</v>
      </c>
      <c r="BY555" s="103" t="s">
        <v>128</v>
      </c>
      <c r="BZ555" s="103" t="s">
        <v>128</v>
      </c>
      <c r="CA555" s="103" t="s">
        <v>128</v>
      </c>
      <c r="CB555" s="17" t="s">
        <v>128</v>
      </c>
      <c r="CC555" s="42"/>
      <c r="CD555" s="109" t="s">
        <v>13</v>
      </c>
      <c r="CE555" s="46" t="s">
        <v>1</v>
      </c>
      <c r="CF555" s="103">
        <v>0</v>
      </c>
      <c r="CG555" s="103">
        <v>0</v>
      </c>
      <c r="CH555" s="103">
        <v>0</v>
      </c>
      <c r="CI555" s="103">
        <v>100</v>
      </c>
      <c r="CJ555" s="103">
        <v>0</v>
      </c>
      <c r="CK555" s="103">
        <v>0</v>
      </c>
      <c r="CL555" s="103">
        <v>0</v>
      </c>
      <c r="CM555" s="103">
        <v>0</v>
      </c>
      <c r="CN555" s="103">
        <v>0</v>
      </c>
      <c r="CO555" s="17">
        <v>0</v>
      </c>
      <c r="CQ555" s="109" t="s">
        <v>13</v>
      </c>
      <c r="CR555" s="46" t="s">
        <v>1</v>
      </c>
      <c r="CS555" s="103">
        <v>0</v>
      </c>
      <c r="CT555" s="103">
        <v>0</v>
      </c>
      <c r="CU555" s="103">
        <v>0</v>
      </c>
      <c r="CV555" s="103">
        <v>100</v>
      </c>
      <c r="CW555" s="103">
        <v>0</v>
      </c>
      <c r="CX555" s="103">
        <v>0</v>
      </c>
      <c r="CY555" s="103">
        <v>0</v>
      </c>
      <c r="CZ555" s="103">
        <v>0</v>
      </c>
      <c r="DA555" s="103">
        <v>0</v>
      </c>
      <c r="DB555" s="17">
        <v>0</v>
      </c>
      <c r="DC555" s="42"/>
      <c r="DD555" s="109" t="s">
        <v>13</v>
      </c>
      <c r="DE555" s="46" t="s">
        <v>1</v>
      </c>
      <c r="DF555" s="103" t="s">
        <v>128</v>
      </c>
      <c r="DG555" s="103" t="s">
        <v>128</v>
      </c>
      <c r="DH555" s="103" t="s">
        <v>128</v>
      </c>
      <c r="DI555" s="103" t="s">
        <v>128</v>
      </c>
      <c r="DJ555" s="103" t="s">
        <v>128</v>
      </c>
      <c r="DK555" s="103" t="s">
        <v>128</v>
      </c>
      <c r="DL555" s="103" t="s">
        <v>128</v>
      </c>
      <c r="DM555" s="103" t="s">
        <v>128</v>
      </c>
      <c r="DN555" s="103" t="s">
        <v>128</v>
      </c>
      <c r="DO555" s="17" t="s">
        <v>128</v>
      </c>
    </row>
    <row r="556" spans="2:119" ht="16.25" customHeight="1" x14ac:dyDescent="0.45">
      <c r="B556" s="99"/>
      <c r="C556" s="42"/>
      <c r="D556" s="110"/>
      <c r="E556" s="47">
        <v>1</v>
      </c>
      <c r="F556" s="103">
        <v>0</v>
      </c>
      <c r="G556" s="103">
        <v>0</v>
      </c>
      <c r="H556" s="103">
        <v>66.666666666666657</v>
      </c>
      <c r="I556" s="103">
        <v>33.333333333333329</v>
      </c>
      <c r="J556" s="103">
        <v>0</v>
      </c>
      <c r="K556" s="103">
        <v>0</v>
      </c>
      <c r="L556" s="103">
        <v>0</v>
      </c>
      <c r="M556" s="103">
        <v>0</v>
      </c>
      <c r="N556" s="103">
        <v>0</v>
      </c>
      <c r="O556" s="103">
        <v>0</v>
      </c>
      <c r="P556" s="42"/>
      <c r="Q556" s="110"/>
      <c r="R556" s="46">
        <v>1</v>
      </c>
      <c r="S556" s="103">
        <v>0</v>
      </c>
      <c r="T556" s="103">
        <v>0</v>
      </c>
      <c r="U556" s="103">
        <v>100</v>
      </c>
      <c r="V556" s="103">
        <v>0</v>
      </c>
      <c r="W556" s="103">
        <v>0</v>
      </c>
      <c r="X556" s="103">
        <v>0</v>
      </c>
      <c r="Y556" s="103">
        <v>0</v>
      </c>
      <c r="Z556" s="103">
        <v>0</v>
      </c>
      <c r="AA556" s="103">
        <v>0</v>
      </c>
      <c r="AB556" s="103">
        <v>0</v>
      </c>
      <c r="AC556" s="42"/>
      <c r="AD556" s="110"/>
      <c r="AE556" s="46">
        <v>1</v>
      </c>
      <c r="AF556" s="103">
        <v>0</v>
      </c>
      <c r="AG556" s="103">
        <v>0</v>
      </c>
      <c r="AH556" s="103">
        <v>50</v>
      </c>
      <c r="AI556" s="103">
        <v>50</v>
      </c>
      <c r="AJ556" s="103">
        <v>0</v>
      </c>
      <c r="AK556" s="103">
        <v>0</v>
      </c>
      <c r="AL556" s="103">
        <v>0</v>
      </c>
      <c r="AM556" s="103">
        <v>0</v>
      </c>
      <c r="AN556" s="103">
        <v>0</v>
      </c>
      <c r="AO556" s="103">
        <v>0</v>
      </c>
      <c r="AP556" s="6"/>
      <c r="AQ556" s="110"/>
      <c r="AR556" s="46">
        <v>1</v>
      </c>
      <c r="AS556" s="103">
        <v>0</v>
      </c>
      <c r="AT556" s="103">
        <v>0</v>
      </c>
      <c r="AU556" s="103">
        <v>100</v>
      </c>
      <c r="AV556" s="103">
        <v>0</v>
      </c>
      <c r="AW556" s="103">
        <v>0</v>
      </c>
      <c r="AX556" s="103">
        <v>0</v>
      </c>
      <c r="AY556" s="103">
        <v>0</v>
      </c>
      <c r="AZ556" s="103">
        <v>0</v>
      </c>
      <c r="BA556" s="103">
        <v>0</v>
      </c>
      <c r="BB556" s="103">
        <v>0</v>
      </c>
      <c r="BC556" s="42"/>
      <c r="BD556" s="110"/>
      <c r="BE556" s="46">
        <v>1</v>
      </c>
      <c r="BF556" s="103">
        <v>0</v>
      </c>
      <c r="BG556" s="103">
        <v>0</v>
      </c>
      <c r="BH556" s="103">
        <v>50</v>
      </c>
      <c r="BI556" s="103">
        <v>50</v>
      </c>
      <c r="BJ556" s="103">
        <v>0</v>
      </c>
      <c r="BK556" s="103">
        <v>0</v>
      </c>
      <c r="BL556" s="103">
        <v>0</v>
      </c>
      <c r="BM556" s="103">
        <v>0</v>
      </c>
      <c r="BN556" s="103">
        <v>0</v>
      </c>
      <c r="BO556" s="103">
        <v>0</v>
      </c>
      <c r="BQ556" s="110"/>
      <c r="BR556" s="46">
        <v>1</v>
      </c>
      <c r="BS556" s="103" t="s">
        <v>128</v>
      </c>
      <c r="BT556" s="103" t="s">
        <v>128</v>
      </c>
      <c r="BU556" s="103" t="s">
        <v>128</v>
      </c>
      <c r="BV556" s="103" t="s">
        <v>128</v>
      </c>
      <c r="BW556" s="103" t="s">
        <v>128</v>
      </c>
      <c r="BX556" s="103" t="s">
        <v>128</v>
      </c>
      <c r="BY556" s="103" t="s">
        <v>128</v>
      </c>
      <c r="BZ556" s="103" t="s">
        <v>128</v>
      </c>
      <c r="CA556" s="103" t="s">
        <v>128</v>
      </c>
      <c r="CB556" s="103" t="s">
        <v>128</v>
      </c>
      <c r="CC556" s="42"/>
      <c r="CD556" s="110"/>
      <c r="CE556" s="46">
        <v>1</v>
      </c>
      <c r="CF556" s="103">
        <v>0</v>
      </c>
      <c r="CG556" s="103">
        <v>0</v>
      </c>
      <c r="CH556" s="103">
        <v>66.666666666666657</v>
      </c>
      <c r="CI556" s="103">
        <v>33.333333333333329</v>
      </c>
      <c r="CJ556" s="103">
        <v>0</v>
      </c>
      <c r="CK556" s="103">
        <v>0</v>
      </c>
      <c r="CL556" s="103">
        <v>0</v>
      </c>
      <c r="CM556" s="103">
        <v>0</v>
      </c>
      <c r="CN556" s="103">
        <v>0</v>
      </c>
      <c r="CO556" s="103">
        <v>0</v>
      </c>
      <c r="CQ556" s="110"/>
      <c r="CR556" s="46">
        <v>1</v>
      </c>
      <c r="CS556" s="103">
        <v>0</v>
      </c>
      <c r="CT556" s="103">
        <v>0</v>
      </c>
      <c r="CU556" s="103">
        <v>66.666666666666657</v>
      </c>
      <c r="CV556" s="103">
        <v>33.333333333333329</v>
      </c>
      <c r="CW556" s="103">
        <v>0</v>
      </c>
      <c r="CX556" s="103">
        <v>0</v>
      </c>
      <c r="CY556" s="103">
        <v>0</v>
      </c>
      <c r="CZ556" s="103">
        <v>0</v>
      </c>
      <c r="DA556" s="103">
        <v>0</v>
      </c>
      <c r="DB556" s="103">
        <v>0</v>
      </c>
      <c r="DC556" s="42"/>
      <c r="DD556" s="110"/>
      <c r="DE556" s="46">
        <v>1</v>
      </c>
      <c r="DF556" s="103" t="s">
        <v>128</v>
      </c>
      <c r="DG556" s="103" t="s">
        <v>128</v>
      </c>
      <c r="DH556" s="103" t="s">
        <v>128</v>
      </c>
      <c r="DI556" s="103" t="s">
        <v>128</v>
      </c>
      <c r="DJ556" s="103" t="s">
        <v>128</v>
      </c>
      <c r="DK556" s="103" t="s">
        <v>128</v>
      </c>
      <c r="DL556" s="103" t="s">
        <v>128</v>
      </c>
      <c r="DM556" s="103" t="s">
        <v>128</v>
      </c>
      <c r="DN556" s="103" t="s">
        <v>128</v>
      </c>
      <c r="DO556" s="103" t="s">
        <v>128</v>
      </c>
    </row>
    <row r="557" spans="2:119" ht="16.25" customHeight="1" x14ac:dyDescent="0.45">
      <c r="B557" s="99"/>
      <c r="C557" s="42"/>
      <c r="D557" s="110"/>
      <c r="E557" s="47" t="s">
        <v>2</v>
      </c>
      <c r="F557" s="103">
        <v>9.7560975609756095</v>
      </c>
      <c r="G557" s="103">
        <v>42.276422764227647</v>
      </c>
      <c r="H557" s="103">
        <v>22.76422764227642</v>
      </c>
      <c r="I557" s="103">
        <v>13.008130081300814</v>
      </c>
      <c r="J557" s="103">
        <v>5.6910569105691051</v>
      </c>
      <c r="K557" s="103">
        <v>0.81300813008130091</v>
      </c>
      <c r="L557" s="103">
        <v>5.6910569105691051</v>
      </c>
      <c r="M557" s="103">
        <v>0</v>
      </c>
      <c r="N557" s="103">
        <v>0</v>
      </c>
      <c r="O557" s="103">
        <v>0</v>
      </c>
      <c r="P557" s="42"/>
      <c r="Q557" s="110"/>
      <c r="R557" s="46" t="s">
        <v>2</v>
      </c>
      <c r="S557" s="103">
        <v>7.042253521126761</v>
      </c>
      <c r="T557" s="103">
        <v>40.845070422535215</v>
      </c>
      <c r="U557" s="103">
        <v>22.535211267605636</v>
      </c>
      <c r="V557" s="103">
        <v>16.901408450704224</v>
      </c>
      <c r="W557" s="103">
        <v>7.042253521126761</v>
      </c>
      <c r="X557" s="103">
        <v>1.4084507042253522</v>
      </c>
      <c r="Y557" s="103">
        <v>4.225352112676056</v>
      </c>
      <c r="Z557" s="103">
        <v>0</v>
      </c>
      <c r="AA557" s="103">
        <v>0</v>
      </c>
      <c r="AB557" s="103">
        <v>0</v>
      </c>
      <c r="AC557" s="42"/>
      <c r="AD557" s="110"/>
      <c r="AE557" s="46" t="s">
        <v>2</v>
      </c>
      <c r="AF557" s="103">
        <v>13.461538461538462</v>
      </c>
      <c r="AG557" s="103">
        <v>44.230769230769226</v>
      </c>
      <c r="AH557" s="103">
        <v>23.076923076923077</v>
      </c>
      <c r="AI557" s="103">
        <v>7.6923076923076925</v>
      </c>
      <c r="AJ557" s="103">
        <v>3.8461538461538463</v>
      </c>
      <c r="AK557" s="103">
        <v>0</v>
      </c>
      <c r="AL557" s="103">
        <v>7.6923076923076925</v>
      </c>
      <c r="AM557" s="103">
        <v>0</v>
      </c>
      <c r="AN557" s="103">
        <v>0</v>
      </c>
      <c r="AO557" s="103">
        <v>0</v>
      </c>
      <c r="AP557" s="6"/>
      <c r="AQ557" s="110"/>
      <c r="AR557" s="46" t="s">
        <v>2</v>
      </c>
      <c r="AS557" s="103">
        <v>7.0175438596491224</v>
      </c>
      <c r="AT557" s="103">
        <v>43.859649122807014</v>
      </c>
      <c r="AU557" s="103">
        <v>21.052631578947366</v>
      </c>
      <c r="AV557" s="103">
        <v>19.298245614035086</v>
      </c>
      <c r="AW557" s="103">
        <v>3.5087719298245612</v>
      </c>
      <c r="AX557" s="103">
        <v>1.7543859649122806</v>
      </c>
      <c r="AY557" s="103">
        <v>3.5087719298245612</v>
      </c>
      <c r="AZ557" s="103">
        <v>0</v>
      </c>
      <c r="BA557" s="103">
        <v>0</v>
      </c>
      <c r="BB557" s="103">
        <v>0</v>
      </c>
      <c r="BC557" s="42"/>
      <c r="BD557" s="110"/>
      <c r="BE557" s="46" t="s">
        <v>2</v>
      </c>
      <c r="BF557" s="103">
        <v>12.121212121212121</v>
      </c>
      <c r="BG557" s="103">
        <v>40.909090909090914</v>
      </c>
      <c r="BH557" s="103">
        <v>24.242424242424242</v>
      </c>
      <c r="BI557" s="103">
        <v>7.5757575757575761</v>
      </c>
      <c r="BJ557" s="103">
        <v>7.5757575757575761</v>
      </c>
      <c r="BK557" s="103">
        <v>0</v>
      </c>
      <c r="BL557" s="103">
        <v>7.5757575757575761</v>
      </c>
      <c r="BM557" s="103">
        <v>0</v>
      </c>
      <c r="BN557" s="103">
        <v>0</v>
      </c>
      <c r="BO557" s="103">
        <v>0</v>
      </c>
      <c r="BQ557" s="110"/>
      <c r="BR557" s="46" t="s">
        <v>2</v>
      </c>
      <c r="BS557" s="103">
        <v>10</v>
      </c>
      <c r="BT557" s="103">
        <v>53.333333333333336</v>
      </c>
      <c r="BU557" s="103">
        <v>25</v>
      </c>
      <c r="BV557" s="103">
        <v>6.666666666666667</v>
      </c>
      <c r="BW557" s="103">
        <v>3.3333333333333335</v>
      </c>
      <c r="BX557" s="103">
        <v>0</v>
      </c>
      <c r="BY557" s="103">
        <v>1.6666666666666667</v>
      </c>
      <c r="BZ557" s="103">
        <v>0</v>
      </c>
      <c r="CA557" s="103">
        <v>0</v>
      </c>
      <c r="CB557" s="103">
        <v>0</v>
      </c>
      <c r="CC557" s="42"/>
      <c r="CD557" s="110"/>
      <c r="CE557" s="46" t="s">
        <v>2</v>
      </c>
      <c r="CF557" s="103">
        <v>9.5238095238095237</v>
      </c>
      <c r="CG557" s="103">
        <v>31.746031746031743</v>
      </c>
      <c r="CH557" s="103">
        <v>20.634920634920633</v>
      </c>
      <c r="CI557" s="103">
        <v>19.047619047619047</v>
      </c>
      <c r="CJ557" s="103">
        <v>7.9365079365079358</v>
      </c>
      <c r="CK557" s="103">
        <v>1.5873015873015872</v>
      </c>
      <c r="CL557" s="103">
        <v>9.5238095238095237</v>
      </c>
      <c r="CM557" s="103">
        <v>0</v>
      </c>
      <c r="CN557" s="103">
        <v>0</v>
      </c>
      <c r="CO557" s="103">
        <v>0</v>
      </c>
      <c r="CQ557" s="110"/>
      <c r="CR557" s="46" t="s">
        <v>2</v>
      </c>
      <c r="CS557" s="103">
        <v>10.76923076923077</v>
      </c>
      <c r="CT557" s="103">
        <v>24.615384615384617</v>
      </c>
      <c r="CU557" s="103">
        <v>29.230769230769234</v>
      </c>
      <c r="CV557" s="103">
        <v>16.923076923076923</v>
      </c>
      <c r="CW557" s="103">
        <v>7.6923076923076925</v>
      </c>
      <c r="CX557" s="103">
        <v>1.5384615384615385</v>
      </c>
      <c r="CY557" s="103">
        <v>9.2307692307692317</v>
      </c>
      <c r="CZ557" s="103">
        <v>0</v>
      </c>
      <c r="DA557" s="103">
        <v>0</v>
      </c>
      <c r="DB557" s="103">
        <v>0</v>
      </c>
      <c r="DC557" s="42"/>
      <c r="DD557" s="110"/>
      <c r="DE557" s="46" t="s">
        <v>2</v>
      </c>
      <c r="DF557" s="103">
        <v>8.6206896551724146</v>
      </c>
      <c r="DG557" s="103">
        <v>62.068965517241381</v>
      </c>
      <c r="DH557" s="103">
        <v>15.517241379310345</v>
      </c>
      <c r="DI557" s="103">
        <v>8.6206896551724146</v>
      </c>
      <c r="DJ557" s="103">
        <v>3.4482758620689653</v>
      </c>
      <c r="DK557" s="103">
        <v>0</v>
      </c>
      <c r="DL557" s="103">
        <v>1.7241379310344827</v>
      </c>
      <c r="DM557" s="103">
        <v>0</v>
      </c>
      <c r="DN557" s="103">
        <v>0</v>
      </c>
      <c r="DO557" s="103">
        <v>0</v>
      </c>
    </row>
    <row r="558" spans="2:119" ht="16.25" customHeight="1" x14ac:dyDescent="0.45">
      <c r="B558" s="99"/>
      <c r="C558" s="42"/>
      <c r="D558" s="110"/>
      <c r="E558" s="47" t="s">
        <v>3</v>
      </c>
      <c r="F558" s="103">
        <v>6.9230769230769234</v>
      </c>
      <c r="G558" s="103">
        <v>32.307692307692307</v>
      </c>
      <c r="H558" s="103">
        <v>24.615384615384617</v>
      </c>
      <c r="I558" s="103">
        <v>21.53846153846154</v>
      </c>
      <c r="J558" s="103">
        <v>6.1538461538461542</v>
      </c>
      <c r="K558" s="103">
        <v>4.6153846153846159</v>
      </c>
      <c r="L558" s="103">
        <v>2.3076923076923079</v>
      </c>
      <c r="M558" s="103">
        <v>1.5384615384615385</v>
      </c>
      <c r="N558" s="103">
        <v>0</v>
      </c>
      <c r="O558" s="103">
        <v>0</v>
      </c>
      <c r="P558" s="42"/>
      <c r="Q558" s="110"/>
      <c r="R558" s="46" t="s">
        <v>3</v>
      </c>
      <c r="S558" s="103">
        <v>4.1666666666666661</v>
      </c>
      <c r="T558" s="103">
        <v>34.375</v>
      </c>
      <c r="U558" s="103">
        <v>22.916666666666664</v>
      </c>
      <c r="V558" s="103">
        <v>25</v>
      </c>
      <c r="W558" s="103">
        <v>6.25</v>
      </c>
      <c r="X558" s="103">
        <v>4.1666666666666661</v>
      </c>
      <c r="Y558" s="103">
        <v>2.083333333333333</v>
      </c>
      <c r="Z558" s="103">
        <v>1.0416666666666665</v>
      </c>
      <c r="AA558" s="103">
        <v>0</v>
      </c>
      <c r="AB558" s="103">
        <v>0</v>
      </c>
      <c r="AC558" s="42"/>
      <c r="AD558" s="110"/>
      <c r="AE558" s="46" t="s">
        <v>3</v>
      </c>
      <c r="AF558" s="103">
        <v>14.705882352941178</v>
      </c>
      <c r="AG558" s="103">
        <v>26.47058823529412</v>
      </c>
      <c r="AH558" s="103">
        <v>29.411764705882355</v>
      </c>
      <c r="AI558" s="103">
        <v>11.76470588235294</v>
      </c>
      <c r="AJ558" s="103">
        <v>5.8823529411764701</v>
      </c>
      <c r="AK558" s="103">
        <v>5.8823529411764701</v>
      </c>
      <c r="AL558" s="103">
        <v>2.9411764705882351</v>
      </c>
      <c r="AM558" s="103">
        <v>2.9411764705882351</v>
      </c>
      <c r="AN558" s="103">
        <v>0</v>
      </c>
      <c r="AO558" s="103">
        <v>0</v>
      </c>
      <c r="AP558" s="6"/>
      <c r="AQ558" s="110"/>
      <c r="AR558" s="46" t="s">
        <v>3</v>
      </c>
      <c r="AS558" s="103">
        <v>10.16949152542373</v>
      </c>
      <c r="AT558" s="103">
        <v>40.677966101694921</v>
      </c>
      <c r="AU558" s="103">
        <v>22.033898305084744</v>
      </c>
      <c r="AV558" s="103">
        <v>16.949152542372879</v>
      </c>
      <c r="AW558" s="103">
        <v>6.7796610169491522</v>
      </c>
      <c r="AX558" s="103">
        <v>1.6949152542372881</v>
      </c>
      <c r="AY558" s="103">
        <v>0</v>
      </c>
      <c r="AZ558" s="103">
        <v>1.6949152542372881</v>
      </c>
      <c r="BA558" s="103">
        <v>0</v>
      </c>
      <c r="BB558" s="103">
        <v>0</v>
      </c>
      <c r="BC558" s="42"/>
      <c r="BD558" s="110"/>
      <c r="BE558" s="46" t="s">
        <v>3</v>
      </c>
      <c r="BF558" s="103">
        <v>4.225352112676056</v>
      </c>
      <c r="BG558" s="103">
        <v>25.352112676056336</v>
      </c>
      <c r="BH558" s="103">
        <v>26.760563380281688</v>
      </c>
      <c r="BI558" s="103">
        <v>25.352112676056336</v>
      </c>
      <c r="BJ558" s="103">
        <v>5.6338028169014089</v>
      </c>
      <c r="BK558" s="103">
        <v>7.042253521126761</v>
      </c>
      <c r="BL558" s="103">
        <v>4.225352112676056</v>
      </c>
      <c r="BM558" s="103">
        <v>1.4084507042253522</v>
      </c>
      <c r="BN558" s="103">
        <v>0</v>
      </c>
      <c r="BO558" s="103">
        <v>0</v>
      </c>
      <c r="BQ558" s="110"/>
      <c r="BR558" s="46" t="s">
        <v>3</v>
      </c>
      <c r="BS558" s="103">
        <v>13.043478260869565</v>
      </c>
      <c r="BT558" s="103">
        <v>41.304347826086953</v>
      </c>
      <c r="BU558" s="103">
        <v>23.913043478260871</v>
      </c>
      <c r="BV558" s="103">
        <v>13.043478260869565</v>
      </c>
      <c r="BW558" s="103">
        <v>2.1739130434782608</v>
      </c>
      <c r="BX558" s="103">
        <v>2.1739130434782608</v>
      </c>
      <c r="BY558" s="103">
        <v>4.3478260869565215</v>
      </c>
      <c r="BZ558" s="103">
        <v>0</v>
      </c>
      <c r="CA558" s="103">
        <v>0</v>
      </c>
      <c r="CB558" s="103">
        <v>0</v>
      </c>
      <c r="CC558" s="42"/>
      <c r="CD558" s="110"/>
      <c r="CE558" s="46" t="s">
        <v>3</v>
      </c>
      <c r="CF558" s="103">
        <v>3.5714285714285712</v>
      </c>
      <c r="CG558" s="103">
        <v>27.380952380952383</v>
      </c>
      <c r="CH558" s="103">
        <v>25</v>
      </c>
      <c r="CI558" s="103">
        <v>26.190476190476193</v>
      </c>
      <c r="CJ558" s="103">
        <v>8.3333333333333321</v>
      </c>
      <c r="CK558" s="103">
        <v>5.9523809523809517</v>
      </c>
      <c r="CL558" s="103">
        <v>1.1904761904761905</v>
      </c>
      <c r="CM558" s="103">
        <v>2.3809523809523809</v>
      </c>
      <c r="CN558" s="103">
        <v>0</v>
      </c>
      <c r="CO558" s="103">
        <v>0</v>
      </c>
      <c r="CQ558" s="110"/>
      <c r="CR558" s="46" t="s">
        <v>3</v>
      </c>
      <c r="CS558" s="103">
        <v>6.1224489795918364</v>
      </c>
      <c r="CT558" s="103">
        <v>22.448979591836736</v>
      </c>
      <c r="CU558" s="103">
        <v>18.367346938775512</v>
      </c>
      <c r="CV558" s="103">
        <v>26.530612244897959</v>
      </c>
      <c r="CW558" s="103">
        <v>10.204081632653061</v>
      </c>
      <c r="CX558" s="103">
        <v>8.1632653061224492</v>
      </c>
      <c r="CY558" s="103">
        <v>6.1224489795918364</v>
      </c>
      <c r="CZ558" s="103">
        <v>2.0408163265306123</v>
      </c>
      <c r="DA558" s="103">
        <v>0</v>
      </c>
      <c r="DB558" s="103">
        <v>0</v>
      </c>
      <c r="DC558" s="42"/>
      <c r="DD558" s="110"/>
      <c r="DE558" s="46" t="s">
        <v>3</v>
      </c>
      <c r="DF558" s="103">
        <v>7.4074074074074066</v>
      </c>
      <c r="DG558" s="103">
        <v>38.271604938271601</v>
      </c>
      <c r="DH558" s="103">
        <v>28.39506172839506</v>
      </c>
      <c r="DI558" s="103">
        <v>18.518518518518519</v>
      </c>
      <c r="DJ558" s="103">
        <v>3.7037037037037033</v>
      </c>
      <c r="DK558" s="103">
        <v>2.4691358024691357</v>
      </c>
      <c r="DL558" s="103">
        <v>0</v>
      </c>
      <c r="DM558" s="103">
        <v>1.2345679012345678</v>
      </c>
      <c r="DN558" s="103">
        <v>0</v>
      </c>
      <c r="DO558" s="103">
        <v>0</v>
      </c>
    </row>
    <row r="559" spans="2:119" ht="16.25" customHeight="1" x14ac:dyDescent="0.45">
      <c r="B559" s="99"/>
      <c r="C559" s="42"/>
      <c r="D559" s="110"/>
      <c r="E559" s="47" t="s">
        <v>4</v>
      </c>
      <c r="F559" s="103">
        <v>6.5217391304347823</v>
      </c>
      <c r="G559" s="103">
        <v>22.826086956521738</v>
      </c>
      <c r="H559" s="103">
        <v>33.695652173913047</v>
      </c>
      <c r="I559" s="103">
        <v>24.275362318840578</v>
      </c>
      <c r="J559" s="103">
        <v>7.608695652173914</v>
      </c>
      <c r="K559" s="103">
        <v>4.7101449275362324</v>
      </c>
      <c r="L559" s="103">
        <v>0.36231884057971014</v>
      </c>
      <c r="M559" s="103">
        <v>0</v>
      </c>
      <c r="N559" s="103">
        <v>0</v>
      </c>
      <c r="O559" s="103">
        <v>0</v>
      </c>
      <c r="P559" s="42"/>
      <c r="Q559" s="110"/>
      <c r="R559" s="46" t="s">
        <v>4</v>
      </c>
      <c r="S559" s="103">
        <v>3.9800995024875623</v>
      </c>
      <c r="T559" s="103">
        <v>21.393034825870647</v>
      </c>
      <c r="U559" s="103">
        <v>34.82587064676617</v>
      </c>
      <c r="V559" s="103">
        <v>25.870646766169152</v>
      </c>
      <c r="W559" s="103">
        <v>7.4626865671641784</v>
      </c>
      <c r="X559" s="103">
        <v>5.9701492537313428</v>
      </c>
      <c r="Y559" s="103">
        <v>0.49751243781094528</v>
      </c>
      <c r="Z559" s="103">
        <v>0</v>
      </c>
      <c r="AA559" s="103">
        <v>0</v>
      </c>
      <c r="AB559" s="103">
        <v>0</v>
      </c>
      <c r="AC559" s="42"/>
      <c r="AD559" s="110"/>
      <c r="AE559" s="46" t="s">
        <v>4</v>
      </c>
      <c r="AF559" s="103">
        <v>13.333333333333334</v>
      </c>
      <c r="AG559" s="103">
        <v>26.666666666666668</v>
      </c>
      <c r="AH559" s="103">
        <v>30.666666666666664</v>
      </c>
      <c r="AI559" s="103">
        <v>20</v>
      </c>
      <c r="AJ559" s="103">
        <v>8</v>
      </c>
      <c r="AK559" s="103">
        <v>1.3333333333333335</v>
      </c>
      <c r="AL559" s="103">
        <v>0</v>
      </c>
      <c r="AM559" s="103">
        <v>0</v>
      </c>
      <c r="AN559" s="103">
        <v>0</v>
      </c>
      <c r="AO559" s="103">
        <v>0</v>
      </c>
      <c r="AP559" s="6"/>
      <c r="AQ559" s="110"/>
      <c r="AR559" s="46" t="s">
        <v>4</v>
      </c>
      <c r="AS559" s="103">
        <v>6.6037735849056602</v>
      </c>
      <c r="AT559" s="103">
        <v>20.754716981132077</v>
      </c>
      <c r="AU559" s="103">
        <v>41.509433962264154</v>
      </c>
      <c r="AV559" s="103">
        <v>19.811320754716981</v>
      </c>
      <c r="AW559" s="103">
        <v>8.4905660377358494</v>
      </c>
      <c r="AX559" s="103">
        <v>2.8301886792452833</v>
      </c>
      <c r="AY559" s="103">
        <v>0</v>
      </c>
      <c r="AZ559" s="103">
        <v>0</v>
      </c>
      <c r="BA559" s="103">
        <v>0</v>
      </c>
      <c r="BB559" s="103">
        <v>0</v>
      </c>
      <c r="BC559" s="42"/>
      <c r="BD559" s="110"/>
      <c r="BE559" s="46" t="s">
        <v>4</v>
      </c>
      <c r="BF559" s="103">
        <v>6.4705882352941186</v>
      </c>
      <c r="BG559" s="103">
        <v>24.117647058823529</v>
      </c>
      <c r="BH559" s="103">
        <v>28.823529411764703</v>
      </c>
      <c r="BI559" s="103">
        <v>27.058823529411764</v>
      </c>
      <c r="BJ559" s="103">
        <v>7.0588235294117645</v>
      </c>
      <c r="BK559" s="103">
        <v>5.8823529411764701</v>
      </c>
      <c r="BL559" s="103">
        <v>0.58823529411764708</v>
      </c>
      <c r="BM559" s="103">
        <v>0</v>
      </c>
      <c r="BN559" s="103">
        <v>0</v>
      </c>
      <c r="BO559" s="103">
        <v>0</v>
      </c>
      <c r="BQ559" s="110"/>
      <c r="BR559" s="46" t="s">
        <v>4</v>
      </c>
      <c r="BS559" s="103">
        <v>6.8181818181818175</v>
      </c>
      <c r="BT559" s="103">
        <v>26.136363636363637</v>
      </c>
      <c r="BU559" s="103">
        <v>34.090909090909086</v>
      </c>
      <c r="BV559" s="103">
        <v>23.863636363636363</v>
      </c>
      <c r="BW559" s="103">
        <v>5.6818181818181817</v>
      </c>
      <c r="BX559" s="103">
        <v>3.4090909090909087</v>
      </c>
      <c r="BY559" s="103">
        <v>0</v>
      </c>
      <c r="BZ559" s="103">
        <v>0</v>
      </c>
      <c r="CA559" s="103">
        <v>0</v>
      </c>
      <c r="CB559" s="103">
        <v>0</v>
      </c>
      <c r="CC559" s="42"/>
      <c r="CD559" s="110"/>
      <c r="CE559" s="46" t="s">
        <v>4</v>
      </c>
      <c r="CF559" s="103">
        <v>6.3829787234042552</v>
      </c>
      <c r="CG559" s="103">
        <v>21.276595744680851</v>
      </c>
      <c r="CH559" s="103">
        <v>33.51063829787234</v>
      </c>
      <c r="CI559" s="103">
        <v>24.468085106382979</v>
      </c>
      <c r="CJ559" s="103">
        <v>8.5106382978723403</v>
      </c>
      <c r="CK559" s="103">
        <v>5.3191489361702127</v>
      </c>
      <c r="CL559" s="103">
        <v>0.53191489361702127</v>
      </c>
      <c r="CM559" s="103">
        <v>0</v>
      </c>
      <c r="CN559" s="103">
        <v>0</v>
      </c>
      <c r="CO559" s="103">
        <v>0</v>
      </c>
      <c r="CQ559" s="110"/>
      <c r="CR559" s="46" t="s">
        <v>4</v>
      </c>
      <c r="CS559" s="103">
        <v>4.7619047619047619</v>
      </c>
      <c r="CT559" s="103">
        <v>15.238095238095239</v>
      </c>
      <c r="CU559" s="103">
        <v>37.142857142857146</v>
      </c>
      <c r="CV559" s="103">
        <v>25.714285714285712</v>
      </c>
      <c r="CW559" s="103">
        <v>7.6190476190476195</v>
      </c>
      <c r="CX559" s="103">
        <v>8.5714285714285712</v>
      </c>
      <c r="CY559" s="103">
        <v>0.95238095238095244</v>
      </c>
      <c r="CZ559" s="103">
        <v>0</v>
      </c>
      <c r="DA559" s="103">
        <v>0</v>
      </c>
      <c r="DB559" s="103">
        <v>0</v>
      </c>
      <c r="DC559" s="42"/>
      <c r="DD559" s="110"/>
      <c r="DE559" s="46" t="s">
        <v>4</v>
      </c>
      <c r="DF559" s="103">
        <v>7.6023391812865491</v>
      </c>
      <c r="DG559" s="103">
        <v>27.485380116959064</v>
      </c>
      <c r="DH559" s="103">
        <v>31.578947368421051</v>
      </c>
      <c r="DI559" s="103">
        <v>23.391812865497073</v>
      </c>
      <c r="DJ559" s="103">
        <v>7.6023391812865491</v>
      </c>
      <c r="DK559" s="103">
        <v>2.3391812865497075</v>
      </c>
      <c r="DL559" s="103">
        <v>0</v>
      </c>
      <c r="DM559" s="103">
        <v>0</v>
      </c>
      <c r="DN559" s="103">
        <v>0</v>
      </c>
      <c r="DO559" s="103">
        <v>0</v>
      </c>
    </row>
    <row r="560" spans="2:119" ht="16.25" customHeight="1" x14ac:dyDescent="0.45">
      <c r="B560" s="99"/>
      <c r="C560" s="42"/>
      <c r="D560" s="110"/>
      <c r="E560" s="47" t="s">
        <v>5</v>
      </c>
      <c r="F560" s="103">
        <v>4.9004594180704446</v>
      </c>
      <c r="G560" s="103">
        <v>16.998468606431853</v>
      </c>
      <c r="H560" s="103">
        <v>28.177641653905056</v>
      </c>
      <c r="I560" s="103">
        <v>25.114854517611025</v>
      </c>
      <c r="J560" s="103">
        <v>13.782542113323123</v>
      </c>
      <c r="K560" s="103">
        <v>7.8101071975497707</v>
      </c>
      <c r="L560" s="103">
        <v>2.6033690658499236</v>
      </c>
      <c r="M560" s="103">
        <v>0.45941807044410415</v>
      </c>
      <c r="N560" s="103">
        <v>0</v>
      </c>
      <c r="O560" s="103">
        <v>0.15313935681470139</v>
      </c>
      <c r="P560" s="42"/>
      <c r="Q560" s="110"/>
      <c r="R560" s="46" t="s">
        <v>5</v>
      </c>
      <c r="S560" s="103">
        <v>2.8455284552845526</v>
      </c>
      <c r="T560" s="103">
        <v>16.260162601626014</v>
      </c>
      <c r="U560" s="103">
        <v>27.64227642276423</v>
      </c>
      <c r="V560" s="103">
        <v>26.219512195121951</v>
      </c>
      <c r="W560" s="103">
        <v>14.83739837398374</v>
      </c>
      <c r="X560" s="103">
        <v>8.7398373983739841</v>
      </c>
      <c r="Y560" s="103">
        <v>2.8455284552845526</v>
      </c>
      <c r="Z560" s="103">
        <v>0.6097560975609756</v>
      </c>
      <c r="AA560" s="103">
        <v>0</v>
      </c>
      <c r="AB560" s="103">
        <v>0</v>
      </c>
      <c r="AC560" s="42"/>
      <c r="AD560" s="110"/>
      <c r="AE560" s="46" t="s">
        <v>5</v>
      </c>
      <c r="AF560" s="103">
        <v>11.180124223602485</v>
      </c>
      <c r="AG560" s="103">
        <v>19.254658385093169</v>
      </c>
      <c r="AH560" s="103">
        <v>29.813664596273291</v>
      </c>
      <c r="AI560" s="103">
        <v>21.739130434782609</v>
      </c>
      <c r="AJ560" s="103">
        <v>10.559006211180124</v>
      </c>
      <c r="AK560" s="103">
        <v>4.9689440993788816</v>
      </c>
      <c r="AL560" s="103">
        <v>1.8633540372670807</v>
      </c>
      <c r="AM560" s="103">
        <v>0</v>
      </c>
      <c r="AN560" s="103">
        <v>0</v>
      </c>
      <c r="AO560" s="103">
        <v>0.6211180124223602</v>
      </c>
      <c r="AP560" s="6"/>
      <c r="AQ560" s="110"/>
      <c r="AR560" s="46" t="s">
        <v>5</v>
      </c>
      <c r="AS560" s="103">
        <v>4.8192771084337354</v>
      </c>
      <c r="AT560" s="103">
        <v>20.883534136546185</v>
      </c>
      <c r="AU560" s="103">
        <v>28.112449799196789</v>
      </c>
      <c r="AV560" s="103">
        <v>24.899598393574294</v>
      </c>
      <c r="AW560" s="103">
        <v>10.040160642570282</v>
      </c>
      <c r="AX560" s="103">
        <v>8.0321285140562253</v>
      </c>
      <c r="AY560" s="103">
        <v>2.8112449799196786</v>
      </c>
      <c r="AZ560" s="103">
        <v>0.40160642570281119</v>
      </c>
      <c r="BA560" s="103">
        <v>0</v>
      </c>
      <c r="BB560" s="103">
        <v>0</v>
      </c>
      <c r="BC560" s="42"/>
      <c r="BD560" s="110"/>
      <c r="BE560" s="46" t="s">
        <v>5</v>
      </c>
      <c r="BF560" s="103">
        <v>4.9504950495049505</v>
      </c>
      <c r="BG560" s="103">
        <v>14.603960396039604</v>
      </c>
      <c r="BH560" s="103">
        <v>28.217821782178216</v>
      </c>
      <c r="BI560" s="103">
        <v>25.247524752475247</v>
      </c>
      <c r="BJ560" s="103">
        <v>16.089108910891088</v>
      </c>
      <c r="BK560" s="103">
        <v>7.673267326732673</v>
      </c>
      <c r="BL560" s="103">
        <v>2.4752475247524752</v>
      </c>
      <c r="BM560" s="103">
        <v>0.49504950495049505</v>
      </c>
      <c r="BN560" s="103">
        <v>0</v>
      </c>
      <c r="BO560" s="103">
        <v>0.24752475247524752</v>
      </c>
      <c r="BQ560" s="110"/>
      <c r="BR560" s="46" t="s">
        <v>5</v>
      </c>
      <c r="BS560" s="103">
        <v>5.4794520547945202</v>
      </c>
      <c r="BT560" s="103">
        <v>25.342465753424658</v>
      </c>
      <c r="BU560" s="103">
        <v>28.767123287671232</v>
      </c>
      <c r="BV560" s="103">
        <v>21.232876712328768</v>
      </c>
      <c r="BW560" s="103">
        <v>9.5890410958904102</v>
      </c>
      <c r="BX560" s="103">
        <v>6.8493150684931505</v>
      </c>
      <c r="BY560" s="103">
        <v>1.3698630136986301</v>
      </c>
      <c r="BZ560" s="103">
        <v>0.68493150684931503</v>
      </c>
      <c r="CA560" s="103">
        <v>0</v>
      </c>
      <c r="CB560" s="103">
        <v>0.68493150684931503</v>
      </c>
      <c r="CC560" s="42"/>
      <c r="CD560" s="110"/>
      <c r="CE560" s="46" t="s">
        <v>5</v>
      </c>
      <c r="CF560" s="103">
        <v>4.7337278106508878</v>
      </c>
      <c r="CG560" s="103">
        <v>14.595660749506903</v>
      </c>
      <c r="CH560" s="103">
        <v>28.007889546351084</v>
      </c>
      <c r="CI560" s="103">
        <v>26.232741617357004</v>
      </c>
      <c r="CJ560" s="103">
        <v>14.990138067061142</v>
      </c>
      <c r="CK560" s="103">
        <v>8.0867850098619325</v>
      </c>
      <c r="CL560" s="103">
        <v>2.9585798816568047</v>
      </c>
      <c r="CM560" s="103">
        <v>0.39447731755424065</v>
      </c>
      <c r="CN560" s="103">
        <v>0</v>
      </c>
      <c r="CO560" s="103">
        <v>0</v>
      </c>
      <c r="CQ560" s="110"/>
      <c r="CR560" s="46" t="s">
        <v>5</v>
      </c>
      <c r="CS560" s="103">
        <v>3.2558139534883721</v>
      </c>
      <c r="CT560" s="103">
        <v>13.023255813953488</v>
      </c>
      <c r="CU560" s="103">
        <v>26.046511627906977</v>
      </c>
      <c r="CV560" s="103">
        <v>26.046511627906977</v>
      </c>
      <c r="CW560" s="103">
        <v>16.279069767441861</v>
      </c>
      <c r="CX560" s="103">
        <v>9.3023255813953494</v>
      </c>
      <c r="CY560" s="103">
        <v>5.1162790697674421</v>
      </c>
      <c r="CZ560" s="103">
        <v>0.93023255813953487</v>
      </c>
      <c r="DA560" s="103">
        <v>0</v>
      </c>
      <c r="DB560" s="103">
        <v>0</v>
      </c>
      <c r="DC560" s="42"/>
      <c r="DD560" s="110"/>
      <c r="DE560" s="46" t="s">
        <v>5</v>
      </c>
      <c r="DF560" s="103">
        <v>5.7077625570776256</v>
      </c>
      <c r="DG560" s="103">
        <v>18.949771689497716</v>
      </c>
      <c r="DH560" s="103">
        <v>29.223744292237441</v>
      </c>
      <c r="DI560" s="103">
        <v>24.657534246575342</v>
      </c>
      <c r="DJ560" s="103">
        <v>12.557077625570775</v>
      </c>
      <c r="DK560" s="103">
        <v>7.077625570776255</v>
      </c>
      <c r="DL560" s="103">
        <v>1.3698630136986301</v>
      </c>
      <c r="DM560" s="103">
        <v>0.22831050228310501</v>
      </c>
      <c r="DN560" s="103">
        <v>0</v>
      </c>
      <c r="DO560" s="103">
        <v>0.22831050228310501</v>
      </c>
    </row>
    <row r="561" spans="2:119" ht="16.25" customHeight="1" x14ac:dyDescent="0.45">
      <c r="B561" s="99"/>
      <c r="C561" s="42"/>
      <c r="D561" s="110"/>
      <c r="E561" s="47" t="s">
        <v>6</v>
      </c>
      <c r="F561" s="103">
        <v>2.2988505747126435</v>
      </c>
      <c r="G561" s="103">
        <v>13.346104725415071</v>
      </c>
      <c r="H561" s="103">
        <v>22.669220945083012</v>
      </c>
      <c r="I561" s="103">
        <v>27.84163473818646</v>
      </c>
      <c r="J561" s="103">
        <v>14.431673052362706</v>
      </c>
      <c r="K561" s="103">
        <v>10.217113665389528</v>
      </c>
      <c r="L561" s="103">
        <v>6.5134099616858236</v>
      </c>
      <c r="M561" s="103">
        <v>2.2988505747126435</v>
      </c>
      <c r="N561" s="103">
        <v>0.1277139208173691</v>
      </c>
      <c r="O561" s="103">
        <v>0.2554278416347382</v>
      </c>
      <c r="P561" s="42"/>
      <c r="Q561" s="110"/>
      <c r="R561" s="46" t="s">
        <v>6</v>
      </c>
      <c r="S561" s="103">
        <v>1.0628875110717448</v>
      </c>
      <c r="T561" s="103">
        <v>10.451727192205491</v>
      </c>
      <c r="U561" s="103">
        <v>22.586359610274577</v>
      </c>
      <c r="V561" s="103">
        <v>28.520814880425156</v>
      </c>
      <c r="W561" s="103">
        <v>15.411868910540303</v>
      </c>
      <c r="X561" s="103">
        <v>11.957484499557131</v>
      </c>
      <c r="Y561" s="103">
        <v>7.0859167404783001</v>
      </c>
      <c r="Z561" s="103">
        <v>2.5686448184233832</v>
      </c>
      <c r="AA561" s="103">
        <v>0.17714791851195749</v>
      </c>
      <c r="AB561" s="103">
        <v>0.17714791851195749</v>
      </c>
      <c r="AC561" s="42"/>
      <c r="AD561" s="110"/>
      <c r="AE561" s="46" t="s">
        <v>6</v>
      </c>
      <c r="AF561" s="103">
        <v>5.4919908466819223</v>
      </c>
      <c r="AG561" s="103">
        <v>20.823798627002287</v>
      </c>
      <c r="AH561" s="103">
        <v>22.883295194508012</v>
      </c>
      <c r="AI561" s="103">
        <v>26.086956521739129</v>
      </c>
      <c r="AJ561" s="103">
        <v>11.899313501144166</v>
      </c>
      <c r="AK561" s="103">
        <v>5.720823798627003</v>
      </c>
      <c r="AL561" s="103">
        <v>5.0343249427917618</v>
      </c>
      <c r="AM561" s="103">
        <v>1.6018306636155606</v>
      </c>
      <c r="AN561" s="103">
        <v>0</v>
      </c>
      <c r="AO561" s="103">
        <v>0.45766590389016021</v>
      </c>
      <c r="AP561" s="6"/>
      <c r="AQ561" s="110"/>
      <c r="AR561" s="46" t="s">
        <v>6</v>
      </c>
      <c r="AS561" s="103">
        <v>2.8520499108734403</v>
      </c>
      <c r="AT561" s="103">
        <v>14.973262032085561</v>
      </c>
      <c r="AU561" s="103">
        <v>25.133689839572192</v>
      </c>
      <c r="AV561" s="103">
        <v>26.203208556149733</v>
      </c>
      <c r="AW561" s="103">
        <v>13.903743315508022</v>
      </c>
      <c r="AX561" s="103">
        <v>8.7344028520499108</v>
      </c>
      <c r="AY561" s="103">
        <v>5.525846702317291</v>
      </c>
      <c r="AZ561" s="103">
        <v>2.3172905525846703</v>
      </c>
      <c r="BA561" s="103">
        <v>0</v>
      </c>
      <c r="BB561" s="103">
        <v>0.35650623885918004</v>
      </c>
      <c r="BC561" s="42"/>
      <c r="BD561" s="110"/>
      <c r="BE561" s="46" t="s">
        <v>6</v>
      </c>
      <c r="BF561" s="103">
        <v>1.9900497512437811</v>
      </c>
      <c r="BG561" s="103">
        <v>12.437810945273633</v>
      </c>
      <c r="BH561" s="103">
        <v>21.293532338308456</v>
      </c>
      <c r="BI561" s="103">
        <v>28.756218905472636</v>
      </c>
      <c r="BJ561" s="103">
        <v>14.726368159203981</v>
      </c>
      <c r="BK561" s="103">
        <v>11.044776119402986</v>
      </c>
      <c r="BL561" s="103">
        <v>7.0646766169154231</v>
      </c>
      <c r="BM561" s="103">
        <v>2.2885572139303481</v>
      </c>
      <c r="BN561" s="103">
        <v>0.19900497512437809</v>
      </c>
      <c r="BO561" s="103">
        <v>0.19900497512437809</v>
      </c>
      <c r="BQ561" s="110"/>
      <c r="BR561" s="46" t="s">
        <v>6</v>
      </c>
      <c r="BS561" s="103">
        <v>2.3696682464454977</v>
      </c>
      <c r="BT561" s="103">
        <v>18.48341232227488</v>
      </c>
      <c r="BU561" s="103">
        <v>27.014218009478675</v>
      </c>
      <c r="BV561" s="103">
        <v>23.222748815165879</v>
      </c>
      <c r="BW561" s="103">
        <v>12.322274881516588</v>
      </c>
      <c r="BX561" s="103">
        <v>7.5829383886255926</v>
      </c>
      <c r="BY561" s="103">
        <v>6.6350710900473935</v>
      </c>
      <c r="BZ561" s="103">
        <v>2.3696682464454977</v>
      </c>
      <c r="CA561" s="103">
        <v>0</v>
      </c>
      <c r="CB561" s="103">
        <v>0</v>
      </c>
      <c r="CC561" s="42"/>
      <c r="CD561" s="110"/>
      <c r="CE561" s="46" t="s">
        <v>6</v>
      </c>
      <c r="CF561" s="103">
        <v>2.2878228782287824</v>
      </c>
      <c r="CG561" s="103">
        <v>12.546125461254611</v>
      </c>
      <c r="CH561" s="103">
        <v>21.992619926199261</v>
      </c>
      <c r="CI561" s="103">
        <v>28.56088560885609</v>
      </c>
      <c r="CJ561" s="103">
        <v>14.760147601476014</v>
      </c>
      <c r="CK561" s="103">
        <v>10.627306273062731</v>
      </c>
      <c r="CL561" s="103">
        <v>6.4944649446494456</v>
      </c>
      <c r="CM561" s="103">
        <v>2.2878228782287824</v>
      </c>
      <c r="CN561" s="103">
        <v>0.14760147601476015</v>
      </c>
      <c r="CO561" s="103">
        <v>0.29520295202952029</v>
      </c>
      <c r="CQ561" s="110"/>
      <c r="CR561" s="46" t="s">
        <v>6</v>
      </c>
      <c r="CS561" s="103">
        <v>0.90293453724604955</v>
      </c>
      <c r="CT561" s="103">
        <v>10.835214446952596</v>
      </c>
      <c r="CU561" s="103">
        <v>19.638826185101578</v>
      </c>
      <c r="CV561" s="103">
        <v>27.765237020316025</v>
      </c>
      <c r="CW561" s="103">
        <v>15.575620767494355</v>
      </c>
      <c r="CX561" s="103">
        <v>13.544018058690746</v>
      </c>
      <c r="CY561" s="103">
        <v>8.3521444695259603</v>
      </c>
      <c r="CZ561" s="103">
        <v>3.1602708803611739</v>
      </c>
      <c r="DA561" s="103">
        <v>0</v>
      </c>
      <c r="DB561" s="103">
        <v>0.22573363431151239</v>
      </c>
      <c r="DC561" s="42"/>
      <c r="DD561" s="110"/>
      <c r="DE561" s="46" t="s">
        <v>6</v>
      </c>
      <c r="DF561" s="103">
        <v>2.8495102404274264</v>
      </c>
      <c r="DG561" s="103">
        <v>14.336598397150491</v>
      </c>
      <c r="DH561" s="103">
        <v>23.864648263579696</v>
      </c>
      <c r="DI561" s="103">
        <v>27.871772039180765</v>
      </c>
      <c r="DJ561" s="103">
        <v>13.980409617097061</v>
      </c>
      <c r="DK561" s="103">
        <v>8.9047195013357072</v>
      </c>
      <c r="DL561" s="103">
        <v>5.7880676758682101</v>
      </c>
      <c r="DM561" s="103">
        <v>1.9590382902938557</v>
      </c>
      <c r="DN561" s="103">
        <v>0.17809439002671415</v>
      </c>
      <c r="DO561" s="103">
        <v>0.26714158504007124</v>
      </c>
    </row>
    <row r="562" spans="2:119" ht="16.25" customHeight="1" x14ac:dyDescent="0.45">
      <c r="B562" s="99"/>
      <c r="C562" s="42"/>
      <c r="D562" s="110"/>
      <c r="E562" s="47" t="s">
        <v>7</v>
      </c>
      <c r="F562" s="103">
        <v>1.7375674056321149</v>
      </c>
      <c r="G562" s="103">
        <v>7.9688436189334935</v>
      </c>
      <c r="H562" s="103">
        <v>15.428400239664469</v>
      </c>
      <c r="I562" s="103">
        <v>25.793888556021571</v>
      </c>
      <c r="J562" s="103">
        <v>19.023367285799882</v>
      </c>
      <c r="K562" s="103">
        <v>15.338526063511084</v>
      </c>
      <c r="L562" s="103">
        <v>9.8861593768723797</v>
      </c>
      <c r="M562" s="103">
        <v>3.1755542240862793</v>
      </c>
      <c r="N562" s="103">
        <v>1.2282804074295985</v>
      </c>
      <c r="O562" s="103">
        <v>0.41941282204913122</v>
      </c>
      <c r="P562" s="42"/>
      <c r="Q562" s="110"/>
      <c r="R562" s="46" t="s">
        <v>7</v>
      </c>
      <c r="S562" s="103">
        <v>0.9170487703209671</v>
      </c>
      <c r="T562" s="103">
        <v>6.5860775323051275</v>
      </c>
      <c r="U562" s="103">
        <v>13.630679449770739</v>
      </c>
      <c r="V562" s="103">
        <v>24.676948728636933</v>
      </c>
      <c r="W562" s="103">
        <v>20.591913297207171</v>
      </c>
      <c r="X562" s="103">
        <v>16.590245935806585</v>
      </c>
      <c r="Y562" s="103">
        <v>11.254689453939141</v>
      </c>
      <c r="Z562" s="103">
        <v>3.6681950812838684</v>
      </c>
      <c r="AA562" s="103">
        <v>1.5839933305543976</v>
      </c>
      <c r="AB562" s="103">
        <v>0.50020842017507294</v>
      </c>
      <c r="AC562" s="42"/>
      <c r="AD562" s="110"/>
      <c r="AE562" s="46" t="s">
        <v>7</v>
      </c>
      <c r="AF562" s="103">
        <v>3.8338658146964857</v>
      </c>
      <c r="AG562" s="103">
        <v>11.501597444089457</v>
      </c>
      <c r="AH562" s="103">
        <v>20.021299254526092</v>
      </c>
      <c r="AI562" s="103">
        <v>28.647497337593187</v>
      </c>
      <c r="AJ562" s="103">
        <v>15.015974440894569</v>
      </c>
      <c r="AK562" s="103">
        <v>12.140575079872203</v>
      </c>
      <c r="AL562" s="103">
        <v>6.3897763578274756</v>
      </c>
      <c r="AM562" s="103">
        <v>1.9169329073482428</v>
      </c>
      <c r="AN562" s="103">
        <v>0.31948881789137379</v>
      </c>
      <c r="AO562" s="103">
        <v>0.21299254526091588</v>
      </c>
      <c r="AP562" s="6"/>
      <c r="AQ562" s="110"/>
      <c r="AR562" s="46" t="s">
        <v>7</v>
      </c>
      <c r="AS562" s="103">
        <v>2.6863084922010398</v>
      </c>
      <c r="AT562" s="103">
        <v>10.745233968804159</v>
      </c>
      <c r="AU562" s="103">
        <v>17.850953206239168</v>
      </c>
      <c r="AV562" s="103">
        <v>24.610051993067593</v>
      </c>
      <c r="AW562" s="103">
        <v>16.811091854419409</v>
      </c>
      <c r="AX562" s="103">
        <v>14.471403812824956</v>
      </c>
      <c r="AY562" s="103">
        <v>8.492201039861353</v>
      </c>
      <c r="AZ562" s="103">
        <v>2.5996533795493932</v>
      </c>
      <c r="BA562" s="103">
        <v>1.2131715771230502</v>
      </c>
      <c r="BB562" s="103">
        <v>0.51993067590987874</v>
      </c>
      <c r="BC562" s="42"/>
      <c r="BD562" s="110"/>
      <c r="BE562" s="46" t="s">
        <v>7</v>
      </c>
      <c r="BF562" s="103">
        <v>1.2362637362637363</v>
      </c>
      <c r="BG562" s="103">
        <v>6.5018315018315027</v>
      </c>
      <c r="BH562" s="103">
        <v>14.148351648351648</v>
      </c>
      <c r="BI562" s="103">
        <v>26.41941391941392</v>
      </c>
      <c r="BJ562" s="103">
        <v>20.192307692307693</v>
      </c>
      <c r="BK562" s="103">
        <v>15.796703296703296</v>
      </c>
      <c r="BL562" s="103">
        <v>10.622710622710622</v>
      </c>
      <c r="BM562" s="103">
        <v>3.4798534798534799</v>
      </c>
      <c r="BN562" s="103">
        <v>1.2362637362637363</v>
      </c>
      <c r="BO562" s="103">
        <v>0.36630036630036628</v>
      </c>
      <c r="BQ562" s="110"/>
      <c r="BR562" s="46" t="s">
        <v>7</v>
      </c>
      <c r="BS562" s="103">
        <v>3.9568345323741005</v>
      </c>
      <c r="BT562" s="103">
        <v>13.309352517985612</v>
      </c>
      <c r="BU562" s="103">
        <v>17.625899280575538</v>
      </c>
      <c r="BV562" s="103">
        <v>25.179856115107913</v>
      </c>
      <c r="BW562" s="103">
        <v>14.748201438848922</v>
      </c>
      <c r="BX562" s="103">
        <v>13.309352517985612</v>
      </c>
      <c r="BY562" s="103">
        <v>9.7122302158273381</v>
      </c>
      <c r="BZ562" s="103">
        <v>1.7985611510791366</v>
      </c>
      <c r="CA562" s="103">
        <v>0.35971223021582738</v>
      </c>
      <c r="CB562" s="103">
        <v>0</v>
      </c>
      <c r="CC562" s="42"/>
      <c r="CD562" s="110"/>
      <c r="CE562" s="46" t="s">
        <v>7</v>
      </c>
      <c r="CF562" s="103">
        <v>1.5359477124183005</v>
      </c>
      <c r="CG562" s="103">
        <v>7.4836601307189543</v>
      </c>
      <c r="CH562" s="103">
        <v>15.22875816993464</v>
      </c>
      <c r="CI562" s="103">
        <v>25.849673202614383</v>
      </c>
      <c r="CJ562" s="103">
        <v>19.411764705882355</v>
      </c>
      <c r="CK562" s="103">
        <v>15.522875816993464</v>
      </c>
      <c r="CL562" s="103">
        <v>9.9019607843137258</v>
      </c>
      <c r="CM562" s="103">
        <v>3.3006535947712421</v>
      </c>
      <c r="CN562" s="103">
        <v>1.3071895424836601</v>
      </c>
      <c r="CO562" s="103">
        <v>0.45751633986928109</v>
      </c>
      <c r="CQ562" s="110"/>
      <c r="CR562" s="46" t="s">
        <v>7</v>
      </c>
      <c r="CS562" s="103">
        <v>1.2528473804100226</v>
      </c>
      <c r="CT562" s="103">
        <v>6.264236902050115</v>
      </c>
      <c r="CU562" s="103">
        <v>13.781321184510251</v>
      </c>
      <c r="CV562" s="103">
        <v>21.526195899772212</v>
      </c>
      <c r="CW562" s="103">
        <v>19.817767653758541</v>
      </c>
      <c r="CX562" s="103">
        <v>18.792710706150341</v>
      </c>
      <c r="CY562" s="103">
        <v>12.870159453302962</v>
      </c>
      <c r="CZ562" s="103">
        <v>3.8724373576309796</v>
      </c>
      <c r="DA562" s="103">
        <v>1.1389521640091116</v>
      </c>
      <c r="DB562" s="103">
        <v>0.68337129840546695</v>
      </c>
      <c r="DC562" s="42"/>
      <c r="DD562" s="110"/>
      <c r="DE562" s="46" t="s">
        <v>7</v>
      </c>
      <c r="DF562" s="103">
        <v>1.9105691056910568</v>
      </c>
      <c r="DG562" s="103">
        <v>8.5772357723577226</v>
      </c>
      <c r="DH562" s="103">
        <v>16.016260162601625</v>
      </c>
      <c r="DI562" s="103">
        <v>27.31707317073171</v>
      </c>
      <c r="DJ562" s="103">
        <v>18.739837398373986</v>
      </c>
      <c r="DK562" s="103">
        <v>14.105691056910569</v>
      </c>
      <c r="DL562" s="103">
        <v>8.8211382113821131</v>
      </c>
      <c r="DM562" s="103">
        <v>2.9268292682926833</v>
      </c>
      <c r="DN562" s="103">
        <v>1.2601626016260163</v>
      </c>
      <c r="DO562" s="103">
        <v>0.32520325203252032</v>
      </c>
    </row>
    <row r="563" spans="2:119" ht="16.25" customHeight="1" x14ac:dyDescent="0.45">
      <c r="B563" s="99"/>
      <c r="C563" s="42"/>
      <c r="D563" s="110"/>
      <c r="E563" s="47" t="s">
        <v>8</v>
      </c>
      <c r="F563" s="103">
        <v>0.76939986810287975</v>
      </c>
      <c r="G563" s="103">
        <v>4.6163992086172785</v>
      </c>
      <c r="H563" s="103">
        <v>10.068146845460541</v>
      </c>
      <c r="I563" s="103">
        <v>19.586722356561882</v>
      </c>
      <c r="J563" s="103">
        <v>18.72939107496153</v>
      </c>
      <c r="K563" s="103">
        <v>19.256979555946362</v>
      </c>
      <c r="L563" s="103">
        <v>15.739723016047483</v>
      </c>
      <c r="M563" s="103">
        <v>6.7267531325566052</v>
      </c>
      <c r="N563" s="103">
        <v>3.4732908331501431</v>
      </c>
      <c r="O563" s="103">
        <v>1.0331941085952958</v>
      </c>
      <c r="P563" s="42"/>
      <c r="Q563" s="110"/>
      <c r="R563" s="46" t="s">
        <v>8</v>
      </c>
      <c r="S563" s="103">
        <v>0.45509708737864074</v>
      </c>
      <c r="T563" s="103">
        <v>2.8519417475728157</v>
      </c>
      <c r="U563" s="103">
        <v>7.9793689320388355</v>
      </c>
      <c r="V563" s="103">
        <v>18.082524271844662</v>
      </c>
      <c r="W563" s="103">
        <v>18.052184466019416</v>
      </c>
      <c r="X563" s="103">
        <v>21.177184466019416</v>
      </c>
      <c r="Y563" s="103">
        <v>17.930825242718445</v>
      </c>
      <c r="Z563" s="103">
        <v>7.8580097087378649</v>
      </c>
      <c r="AA563" s="103">
        <v>4.4296116504854366</v>
      </c>
      <c r="AB563" s="103">
        <v>1.183252427184466</v>
      </c>
      <c r="AC563" s="42"/>
      <c r="AD563" s="110"/>
      <c r="AE563" s="46" t="s">
        <v>8</v>
      </c>
      <c r="AF563" s="103">
        <v>1.596169193934557</v>
      </c>
      <c r="AG563" s="103">
        <v>9.2577813248204315</v>
      </c>
      <c r="AH563" s="103">
        <v>15.562649640861931</v>
      </c>
      <c r="AI563" s="103">
        <v>23.543495610534716</v>
      </c>
      <c r="AJ563" s="103">
        <v>20.510774142059056</v>
      </c>
      <c r="AK563" s="103">
        <v>14.20590582601756</v>
      </c>
      <c r="AL563" s="103">
        <v>9.9760574620909814</v>
      </c>
      <c r="AM563" s="103">
        <v>3.7509976057462091</v>
      </c>
      <c r="AN563" s="103">
        <v>0.9577015163607342</v>
      </c>
      <c r="AO563" s="103">
        <v>0.63846767757382283</v>
      </c>
      <c r="AP563" s="6"/>
      <c r="AQ563" s="110"/>
      <c r="AR563" s="46" t="s">
        <v>8</v>
      </c>
      <c r="AS563" s="103">
        <v>1.1404133998574484</v>
      </c>
      <c r="AT563" s="103">
        <v>7.056307911617961</v>
      </c>
      <c r="AU563" s="103">
        <v>10.90520313613685</v>
      </c>
      <c r="AV563" s="103">
        <v>19.315751960085532</v>
      </c>
      <c r="AW563" s="103">
        <v>19.173200285103352</v>
      </c>
      <c r="AX563" s="103">
        <v>17.961511047754811</v>
      </c>
      <c r="AY563" s="103">
        <v>13.684960798289382</v>
      </c>
      <c r="AZ563" s="103">
        <v>6.6286528866714187</v>
      </c>
      <c r="BA563" s="103">
        <v>3.0648610121168924</v>
      </c>
      <c r="BB563" s="103">
        <v>1.0691375623663579</v>
      </c>
      <c r="BC563" s="42"/>
      <c r="BD563" s="110"/>
      <c r="BE563" s="46" t="s">
        <v>8</v>
      </c>
      <c r="BF563" s="103">
        <v>0.60394151303242216</v>
      </c>
      <c r="BG563" s="103">
        <v>3.5282898919262555</v>
      </c>
      <c r="BH563" s="103">
        <v>9.6948506039415125</v>
      </c>
      <c r="BI563" s="103">
        <v>19.707565162110615</v>
      </c>
      <c r="BJ563" s="103">
        <v>18.53146853146853</v>
      </c>
      <c r="BK563" s="103">
        <v>19.834710743801654</v>
      </c>
      <c r="BL563" s="103">
        <v>16.656071201525748</v>
      </c>
      <c r="BM563" s="103">
        <v>6.7705022250476796</v>
      </c>
      <c r="BN563" s="103">
        <v>3.6554354736172918</v>
      </c>
      <c r="BO563" s="103">
        <v>1.0171646535282899</v>
      </c>
      <c r="BQ563" s="110"/>
      <c r="BR563" s="46" t="s">
        <v>8</v>
      </c>
      <c r="BS563" s="103">
        <v>1.9685039370078741</v>
      </c>
      <c r="BT563" s="103">
        <v>8.6614173228346463</v>
      </c>
      <c r="BU563" s="103">
        <v>15.748031496062993</v>
      </c>
      <c r="BV563" s="103">
        <v>23.228346456692915</v>
      </c>
      <c r="BW563" s="103">
        <v>16.929133858267718</v>
      </c>
      <c r="BX563" s="103">
        <v>15.748031496062993</v>
      </c>
      <c r="BY563" s="103">
        <v>9.4488188976377945</v>
      </c>
      <c r="BZ563" s="103">
        <v>5.9055118110236222</v>
      </c>
      <c r="CA563" s="103">
        <v>1.9685039370078741</v>
      </c>
      <c r="CB563" s="103">
        <v>0.39370078740157477</v>
      </c>
      <c r="CC563" s="42"/>
      <c r="CD563" s="110"/>
      <c r="CE563" s="46" t="s">
        <v>8</v>
      </c>
      <c r="CF563" s="103">
        <v>0.69848661233993015</v>
      </c>
      <c r="CG563" s="103">
        <v>4.3771827706635626</v>
      </c>
      <c r="CH563" s="103">
        <v>9.7322467986030272</v>
      </c>
      <c r="CI563" s="103">
        <v>19.371362048894063</v>
      </c>
      <c r="CJ563" s="103">
        <v>18.835855646100118</v>
      </c>
      <c r="CK563" s="103">
        <v>19.464493597206054</v>
      </c>
      <c r="CL563" s="103">
        <v>16.111757857974389</v>
      </c>
      <c r="CM563" s="103">
        <v>6.7753201396973228</v>
      </c>
      <c r="CN563" s="103">
        <v>3.5622817229336441</v>
      </c>
      <c r="CO563" s="103">
        <v>1.0710128055878929</v>
      </c>
      <c r="CQ563" s="110"/>
      <c r="CR563" s="46" t="s">
        <v>8</v>
      </c>
      <c r="CS563" s="103">
        <v>0.55350553505535049</v>
      </c>
      <c r="CT563" s="103">
        <v>3.5055350553505531</v>
      </c>
      <c r="CU563" s="103">
        <v>7.9335793357933575</v>
      </c>
      <c r="CV563" s="103">
        <v>14.391143911439114</v>
      </c>
      <c r="CW563" s="103">
        <v>19.095940959409592</v>
      </c>
      <c r="CX563" s="103">
        <v>21.402214022140221</v>
      </c>
      <c r="CY563" s="103">
        <v>18.819188191881921</v>
      </c>
      <c r="CZ563" s="103">
        <v>7.6568265682656831</v>
      </c>
      <c r="DA563" s="103">
        <v>4.9815498154981546</v>
      </c>
      <c r="DB563" s="103">
        <v>1.6605166051660518</v>
      </c>
      <c r="DC563" s="42"/>
      <c r="DD563" s="110"/>
      <c r="DE563" s="46" t="s">
        <v>8</v>
      </c>
      <c r="DF563" s="103">
        <v>0.83694083694083699</v>
      </c>
      <c r="DG563" s="103">
        <v>4.9639249639249643</v>
      </c>
      <c r="DH563" s="103">
        <v>10.735930735930737</v>
      </c>
      <c r="DI563" s="103">
        <v>21.212121212121211</v>
      </c>
      <c r="DJ563" s="103">
        <v>18.614718614718615</v>
      </c>
      <c r="DK563" s="103">
        <v>18.585858585858585</v>
      </c>
      <c r="DL563" s="103">
        <v>14.776334776334776</v>
      </c>
      <c r="DM563" s="103">
        <v>6.4357864357864365</v>
      </c>
      <c r="DN563" s="103">
        <v>3.0014430014430014</v>
      </c>
      <c r="DO563" s="103">
        <v>0.83694083694083699</v>
      </c>
    </row>
    <row r="564" spans="2:119" ht="16.25" customHeight="1" x14ac:dyDescent="0.45">
      <c r="B564" s="99"/>
      <c r="C564" s="42"/>
      <c r="D564" s="110"/>
      <c r="E564" s="47" t="s">
        <v>9</v>
      </c>
      <c r="F564" s="103">
        <v>0.2590673575129534</v>
      </c>
      <c r="G564" s="103">
        <v>1.7487046632124352</v>
      </c>
      <c r="H564" s="103">
        <v>4.9654576856649397</v>
      </c>
      <c r="I564" s="103">
        <v>12.607944732297064</v>
      </c>
      <c r="J564" s="103">
        <v>16.234887737478413</v>
      </c>
      <c r="K564" s="103">
        <v>19.969775474956823</v>
      </c>
      <c r="L564" s="103">
        <v>21.135578583765113</v>
      </c>
      <c r="M564" s="103">
        <v>12.715889464594127</v>
      </c>
      <c r="N564" s="103">
        <v>7.7072538860103625</v>
      </c>
      <c r="O564" s="103">
        <v>2.6554404145077721</v>
      </c>
      <c r="P564" s="42"/>
      <c r="Q564" s="110"/>
      <c r="R564" s="46" t="s">
        <v>9</v>
      </c>
      <c r="S564" s="103">
        <v>0.15096618357487923</v>
      </c>
      <c r="T564" s="103">
        <v>1.0265700483091789</v>
      </c>
      <c r="U564" s="103">
        <v>3.6533816425120778</v>
      </c>
      <c r="V564" s="103">
        <v>10.326086956521738</v>
      </c>
      <c r="W564" s="103">
        <v>14.432367149758454</v>
      </c>
      <c r="X564" s="103">
        <v>20.138888888888889</v>
      </c>
      <c r="Y564" s="103">
        <v>23.188405797101449</v>
      </c>
      <c r="Z564" s="103">
        <v>14.613526570048311</v>
      </c>
      <c r="AA564" s="103">
        <v>9.1485507246376816</v>
      </c>
      <c r="AB564" s="103">
        <v>3.3212560386473431</v>
      </c>
      <c r="AC564" s="42"/>
      <c r="AD564" s="110"/>
      <c r="AE564" s="46" t="s">
        <v>9</v>
      </c>
      <c r="AF564" s="103">
        <v>0.53030303030303039</v>
      </c>
      <c r="AG564" s="103">
        <v>3.5606060606060606</v>
      </c>
      <c r="AH564" s="103">
        <v>8.2575757575757578</v>
      </c>
      <c r="AI564" s="103">
        <v>18.333333333333332</v>
      </c>
      <c r="AJ564" s="103">
        <v>20.757575757575758</v>
      </c>
      <c r="AK564" s="103">
        <v>19.545454545454547</v>
      </c>
      <c r="AL564" s="103">
        <v>15.984848484848484</v>
      </c>
      <c r="AM564" s="103">
        <v>7.9545454545454541</v>
      </c>
      <c r="AN564" s="103">
        <v>4.0909090909090908</v>
      </c>
      <c r="AO564" s="103">
        <v>0.98484848484848475</v>
      </c>
      <c r="AP564" s="6"/>
      <c r="AQ564" s="110"/>
      <c r="AR564" s="46" t="s">
        <v>9</v>
      </c>
      <c r="AS564" s="103">
        <v>0.32599837000814996</v>
      </c>
      <c r="AT564" s="103">
        <v>2.5264873675631621</v>
      </c>
      <c r="AU564" s="103">
        <v>7.4164629176854113</v>
      </c>
      <c r="AV564" s="103">
        <v>14.343928280358597</v>
      </c>
      <c r="AW564" s="103">
        <v>17.522412387938061</v>
      </c>
      <c r="AX564" s="103">
        <v>17.359413202933986</v>
      </c>
      <c r="AY564" s="103">
        <v>19.233903830480848</v>
      </c>
      <c r="AZ564" s="103">
        <v>12.550937245313772</v>
      </c>
      <c r="BA564" s="103">
        <v>5.786471067644662</v>
      </c>
      <c r="BB564" s="103">
        <v>2.9339853300733498</v>
      </c>
      <c r="BC564" s="42"/>
      <c r="BD564" s="110"/>
      <c r="BE564" s="46" t="s">
        <v>9</v>
      </c>
      <c r="BF564" s="103">
        <v>0.23494860499265785</v>
      </c>
      <c r="BG564" s="103">
        <v>1.4684287812041115</v>
      </c>
      <c r="BH564" s="103">
        <v>4.08223201174743</v>
      </c>
      <c r="BI564" s="103">
        <v>11.98237885462555</v>
      </c>
      <c r="BJ564" s="103">
        <v>15.770925110132158</v>
      </c>
      <c r="BK564" s="103">
        <v>20.910425844346552</v>
      </c>
      <c r="BL564" s="103">
        <v>21.8208516886931</v>
      </c>
      <c r="BM564" s="103">
        <v>12.77533039647577</v>
      </c>
      <c r="BN564" s="103">
        <v>8.3994126284875179</v>
      </c>
      <c r="BO564" s="103">
        <v>2.5550660792951541</v>
      </c>
      <c r="BQ564" s="110"/>
      <c r="BR564" s="46" t="s">
        <v>9</v>
      </c>
      <c r="BS564" s="103">
        <v>0.42194092827004215</v>
      </c>
      <c r="BT564" s="103">
        <v>3.3755274261603372</v>
      </c>
      <c r="BU564" s="103">
        <v>10.970464135021098</v>
      </c>
      <c r="BV564" s="103">
        <v>17.299578059071731</v>
      </c>
      <c r="BW564" s="103">
        <v>15.611814345991561</v>
      </c>
      <c r="BX564" s="103">
        <v>19.831223628691983</v>
      </c>
      <c r="BY564" s="103">
        <v>15.611814345991561</v>
      </c>
      <c r="BZ564" s="103">
        <v>8.0168776371308024</v>
      </c>
      <c r="CA564" s="103">
        <v>5.9071729957805905</v>
      </c>
      <c r="CB564" s="103">
        <v>2.9535864978902953</v>
      </c>
      <c r="CC564" s="42"/>
      <c r="CD564" s="110"/>
      <c r="CE564" s="46" t="s">
        <v>9</v>
      </c>
      <c r="CF564" s="103">
        <v>0.25028441410693975</v>
      </c>
      <c r="CG564" s="103">
        <v>1.6609783845278725</v>
      </c>
      <c r="CH564" s="103">
        <v>4.6416382252559725</v>
      </c>
      <c r="CI564" s="103">
        <v>12.354948805460751</v>
      </c>
      <c r="CJ564" s="103">
        <v>16.26848691695108</v>
      </c>
      <c r="CK564" s="103">
        <v>19.977246871444823</v>
      </c>
      <c r="CL564" s="103">
        <v>21.43344709897611</v>
      </c>
      <c r="CM564" s="103">
        <v>12.969283276450511</v>
      </c>
      <c r="CN564" s="103">
        <v>7.8043230944254836</v>
      </c>
      <c r="CO564" s="103">
        <v>2.639362912400455</v>
      </c>
      <c r="CQ564" s="110"/>
      <c r="CR564" s="46" t="s">
        <v>9</v>
      </c>
      <c r="CS564" s="103">
        <v>0.10649627263045794</v>
      </c>
      <c r="CT564" s="103">
        <v>1.2779552715654952</v>
      </c>
      <c r="CU564" s="103">
        <v>2.1299254526091587</v>
      </c>
      <c r="CV564" s="103">
        <v>7.9872204472843444</v>
      </c>
      <c r="CW564" s="103">
        <v>15.228966986155484</v>
      </c>
      <c r="CX564" s="103">
        <v>21.299254526091588</v>
      </c>
      <c r="CY564" s="103">
        <v>23.003194888178914</v>
      </c>
      <c r="CZ564" s="103">
        <v>16.400425985090521</v>
      </c>
      <c r="DA564" s="103">
        <v>8.4132055378061779</v>
      </c>
      <c r="DB564" s="103">
        <v>4.1533546325878596</v>
      </c>
      <c r="DC564" s="42"/>
      <c r="DD564" s="110"/>
      <c r="DE564" s="46" t="s">
        <v>9</v>
      </c>
      <c r="DF564" s="103">
        <v>0.29786081776333606</v>
      </c>
      <c r="DG564" s="103">
        <v>1.868399675060926</v>
      </c>
      <c r="DH564" s="103">
        <v>5.6864337936636877</v>
      </c>
      <c r="DI564" s="103">
        <v>13.782832385594368</v>
      </c>
      <c r="DJ564" s="103">
        <v>16.490658001624695</v>
      </c>
      <c r="DK564" s="103">
        <v>19.631735716219875</v>
      </c>
      <c r="DL564" s="103">
        <v>20.660709450311398</v>
      </c>
      <c r="DM564" s="103">
        <v>11.779041429731924</v>
      </c>
      <c r="DN564" s="103">
        <v>7.5277552125643101</v>
      </c>
      <c r="DO564" s="103">
        <v>2.2745735174654751</v>
      </c>
    </row>
    <row r="565" spans="2:119" ht="16.25" customHeight="1" x14ac:dyDescent="0.45">
      <c r="B565" s="99"/>
      <c r="C565" s="42"/>
      <c r="D565" s="110"/>
      <c r="E565" s="47" t="s">
        <v>10</v>
      </c>
      <c r="F565" s="103">
        <v>0.29542097488921715</v>
      </c>
      <c r="G565" s="103">
        <v>0.56129985228951262</v>
      </c>
      <c r="H565" s="103">
        <v>1.9497784342688329</v>
      </c>
      <c r="I565" s="103">
        <v>6.7946824224519951</v>
      </c>
      <c r="J565" s="103">
        <v>8.8330871491875929</v>
      </c>
      <c r="K565" s="103">
        <v>15.361890694239291</v>
      </c>
      <c r="L565" s="103">
        <v>23.42688330871492</v>
      </c>
      <c r="M565" s="103">
        <v>19.468242245199409</v>
      </c>
      <c r="N565" s="103">
        <v>14.652880354505172</v>
      </c>
      <c r="O565" s="103">
        <v>8.6558345642540626</v>
      </c>
      <c r="P565" s="42"/>
      <c r="Q565" s="110"/>
      <c r="R565" s="46" t="s">
        <v>10</v>
      </c>
      <c r="S565" s="103">
        <v>0.12458471760797342</v>
      </c>
      <c r="T565" s="103">
        <v>0.24916943521594684</v>
      </c>
      <c r="U565" s="103">
        <v>1.1212624584717608</v>
      </c>
      <c r="V565" s="103">
        <v>4.6096345514950166</v>
      </c>
      <c r="W565" s="103">
        <v>7.1843853820598005</v>
      </c>
      <c r="X565" s="103">
        <v>13.911960132890366</v>
      </c>
      <c r="Y565" s="103">
        <v>24.169435215946844</v>
      </c>
      <c r="Z565" s="103">
        <v>20.722591362126249</v>
      </c>
      <c r="AA565" s="103">
        <v>17.317275747508308</v>
      </c>
      <c r="AB565" s="103">
        <v>10.58970099667774</v>
      </c>
      <c r="AC565" s="42"/>
      <c r="AD565" s="110"/>
      <c r="AE565" s="46" t="s">
        <v>10</v>
      </c>
      <c r="AF565" s="103">
        <v>0.7164790174002047</v>
      </c>
      <c r="AG565" s="103">
        <v>1.3306038894575232</v>
      </c>
      <c r="AH565" s="103">
        <v>3.9918116683725691</v>
      </c>
      <c r="AI565" s="103">
        <v>12.180143295803481</v>
      </c>
      <c r="AJ565" s="103">
        <v>12.896622313203684</v>
      </c>
      <c r="AK565" s="103">
        <v>18.93551688843398</v>
      </c>
      <c r="AL565" s="103">
        <v>21.596724667349026</v>
      </c>
      <c r="AM565" s="103">
        <v>16.376663254861825</v>
      </c>
      <c r="AN565" s="103">
        <v>8.0859774820880244</v>
      </c>
      <c r="AO565" s="103">
        <v>3.8894575230296824</v>
      </c>
      <c r="AP565" s="6"/>
      <c r="AQ565" s="110"/>
      <c r="AR565" s="46" t="s">
        <v>10</v>
      </c>
      <c r="AS565" s="103">
        <v>0.84269662921348309</v>
      </c>
      <c r="AT565" s="103">
        <v>0.84269662921348309</v>
      </c>
      <c r="AU565" s="103">
        <v>4.3539325842696632</v>
      </c>
      <c r="AV565" s="103">
        <v>8.286516853932584</v>
      </c>
      <c r="AW565" s="103">
        <v>12.078651685393259</v>
      </c>
      <c r="AX565" s="103">
        <v>16.99438202247191</v>
      </c>
      <c r="AY565" s="103">
        <v>23.45505617977528</v>
      </c>
      <c r="AZ565" s="103">
        <v>16.292134831460675</v>
      </c>
      <c r="BA565" s="103">
        <v>10.955056179775282</v>
      </c>
      <c r="BB565" s="103">
        <v>5.8988764044943816</v>
      </c>
      <c r="BC565" s="42"/>
      <c r="BD565" s="110"/>
      <c r="BE565" s="46" t="s">
        <v>10</v>
      </c>
      <c r="BF565" s="103">
        <v>0.14964459408903852</v>
      </c>
      <c r="BG565" s="103">
        <v>0.4863449307893753</v>
      </c>
      <c r="BH565" s="103">
        <v>1.3093901982790872</v>
      </c>
      <c r="BI565" s="103">
        <v>6.3973063973063971</v>
      </c>
      <c r="BJ565" s="103">
        <v>7.9685746352413016</v>
      </c>
      <c r="BK565" s="103">
        <v>14.927048260381593</v>
      </c>
      <c r="BL565" s="103">
        <v>23.419378974934528</v>
      </c>
      <c r="BM565" s="103">
        <v>20.31425364758698</v>
      </c>
      <c r="BN565" s="103">
        <v>15.637860082304528</v>
      </c>
      <c r="BO565" s="103">
        <v>9.3901982790871674</v>
      </c>
      <c r="BQ565" s="110"/>
      <c r="BR565" s="46" t="s">
        <v>10</v>
      </c>
      <c r="BS565" s="103">
        <v>0</v>
      </c>
      <c r="BT565" s="103">
        <v>2.7777777777777777</v>
      </c>
      <c r="BU565" s="103">
        <v>2.7777777777777777</v>
      </c>
      <c r="BV565" s="103">
        <v>11.111111111111111</v>
      </c>
      <c r="BW565" s="103">
        <v>10.185185185185185</v>
      </c>
      <c r="BX565" s="103">
        <v>16.666666666666664</v>
      </c>
      <c r="BY565" s="103">
        <v>22.222222222222221</v>
      </c>
      <c r="BZ565" s="103">
        <v>16.666666666666664</v>
      </c>
      <c r="CA565" s="103">
        <v>11.111111111111111</v>
      </c>
      <c r="CB565" s="103">
        <v>6.481481481481481</v>
      </c>
      <c r="CC565" s="42"/>
      <c r="CD565" s="110"/>
      <c r="CE565" s="46" t="s">
        <v>10</v>
      </c>
      <c r="CF565" s="103">
        <v>0.30515715593530668</v>
      </c>
      <c r="CG565" s="103">
        <v>0.48825144949649069</v>
      </c>
      <c r="CH565" s="103">
        <v>1.922490082392432</v>
      </c>
      <c r="CI565" s="103">
        <v>6.6524259993896857</v>
      </c>
      <c r="CJ565" s="103">
        <v>8.7885260909368323</v>
      </c>
      <c r="CK565" s="103">
        <v>15.318889227952395</v>
      </c>
      <c r="CL565" s="103">
        <v>23.466585291425083</v>
      </c>
      <c r="CM565" s="103">
        <v>19.560573695453158</v>
      </c>
      <c r="CN565" s="103">
        <v>14.769606347268843</v>
      </c>
      <c r="CO565" s="103">
        <v>8.7274946597497713</v>
      </c>
      <c r="CQ565" s="110"/>
      <c r="CR565" s="46" t="s">
        <v>10</v>
      </c>
      <c r="CS565" s="103">
        <v>0</v>
      </c>
      <c r="CT565" s="103">
        <v>0.14880952380952381</v>
      </c>
      <c r="CU565" s="103">
        <v>1.7857142857142856</v>
      </c>
      <c r="CV565" s="103">
        <v>6.3988095238095237</v>
      </c>
      <c r="CW565" s="103">
        <v>7.4404761904761907</v>
      </c>
      <c r="CX565" s="103">
        <v>11.755952380952381</v>
      </c>
      <c r="CY565" s="103">
        <v>25.446428571428569</v>
      </c>
      <c r="CZ565" s="103">
        <v>19.642857142857142</v>
      </c>
      <c r="DA565" s="103">
        <v>16.517857142857142</v>
      </c>
      <c r="DB565" s="103">
        <v>10.863095238095239</v>
      </c>
      <c r="DC565" s="42"/>
      <c r="DD565" s="110"/>
      <c r="DE565" s="46" t="s">
        <v>10</v>
      </c>
      <c r="DF565" s="103">
        <v>0.36859565057132326</v>
      </c>
      <c r="DG565" s="103">
        <v>0.66347217102838185</v>
      </c>
      <c r="DH565" s="103">
        <v>1.9904165130851457</v>
      </c>
      <c r="DI565" s="103">
        <v>6.892738665683745</v>
      </c>
      <c r="DJ565" s="103">
        <v>9.178031699225949</v>
      </c>
      <c r="DK565" s="103">
        <v>16.255068190195356</v>
      </c>
      <c r="DL565" s="103">
        <v>22.926649465536304</v>
      </c>
      <c r="DM565" s="103">
        <v>19.424990785108736</v>
      </c>
      <c r="DN565" s="103">
        <v>14.190932546995946</v>
      </c>
      <c r="DO565" s="103">
        <v>8.1091043125691105</v>
      </c>
    </row>
    <row r="566" spans="2:119" ht="16.25" customHeight="1" x14ac:dyDescent="0.45">
      <c r="B566" s="99"/>
      <c r="C566" s="42"/>
      <c r="D566" s="111"/>
      <c r="E566" s="47" t="s">
        <v>11</v>
      </c>
      <c r="F566" s="103">
        <v>0</v>
      </c>
      <c r="G566" s="103">
        <v>0.49586776859504134</v>
      </c>
      <c r="H566" s="103">
        <v>0.33057851239669422</v>
      </c>
      <c r="I566" s="103">
        <v>2.8099173553719008</v>
      </c>
      <c r="J566" s="103">
        <v>4.7933884297520661</v>
      </c>
      <c r="K566" s="103">
        <v>8.5950413223140494</v>
      </c>
      <c r="L566" s="103">
        <v>14.545454545454545</v>
      </c>
      <c r="M566" s="103">
        <v>20.330578512396695</v>
      </c>
      <c r="N566" s="103">
        <v>24.793388429752067</v>
      </c>
      <c r="O566" s="103">
        <v>23.305785123966942</v>
      </c>
      <c r="P566" s="42"/>
      <c r="Q566" s="111"/>
      <c r="R566" s="46" t="s">
        <v>11</v>
      </c>
      <c r="S566" s="103">
        <v>0</v>
      </c>
      <c r="T566" s="103">
        <v>0.23584905660377359</v>
      </c>
      <c r="U566" s="103">
        <v>0</v>
      </c>
      <c r="V566" s="103">
        <v>0.94339622641509435</v>
      </c>
      <c r="W566" s="103">
        <v>4.0094339622641506</v>
      </c>
      <c r="X566" s="103">
        <v>7.0754716981132075</v>
      </c>
      <c r="Y566" s="103">
        <v>12.264150943396226</v>
      </c>
      <c r="Z566" s="103">
        <v>21.69811320754717</v>
      </c>
      <c r="AA566" s="103">
        <v>27.830188679245282</v>
      </c>
      <c r="AB566" s="103">
        <v>25.943396226415093</v>
      </c>
      <c r="AC566" s="42"/>
      <c r="AD566" s="111"/>
      <c r="AE566" s="46" t="s">
        <v>11</v>
      </c>
      <c r="AF566" s="103">
        <v>0</v>
      </c>
      <c r="AG566" s="103">
        <v>1.1049723756906076</v>
      </c>
      <c r="AH566" s="103">
        <v>1.1049723756906076</v>
      </c>
      <c r="AI566" s="103">
        <v>7.1823204419889501</v>
      </c>
      <c r="AJ566" s="103">
        <v>6.6298342541436464</v>
      </c>
      <c r="AK566" s="103">
        <v>12.154696132596685</v>
      </c>
      <c r="AL566" s="103">
        <v>19.88950276243094</v>
      </c>
      <c r="AM566" s="103">
        <v>17.127071823204421</v>
      </c>
      <c r="AN566" s="103">
        <v>17.679558011049721</v>
      </c>
      <c r="AO566" s="103">
        <v>17.127071823204421</v>
      </c>
      <c r="AP566" s="6"/>
      <c r="AQ566" s="111"/>
      <c r="AR566" s="46" t="s">
        <v>11</v>
      </c>
      <c r="AS566" s="103">
        <v>0</v>
      </c>
      <c r="AT566" s="103">
        <v>1.3698630136986301</v>
      </c>
      <c r="AU566" s="103">
        <v>0</v>
      </c>
      <c r="AV566" s="103">
        <v>2.7397260273972601</v>
      </c>
      <c r="AW566" s="103">
        <v>12.328767123287671</v>
      </c>
      <c r="AX566" s="103">
        <v>10.95890410958904</v>
      </c>
      <c r="AY566" s="103">
        <v>4.10958904109589</v>
      </c>
      <c r="AZ566" s="103">
        <v>24.657534246575342</v>
      </c>
      <c r="BA566" s="103">
        <v>20.547945205479451</v>
      </c>
      <c r="BB566" s="103">
        <v>23.287671232876711</v>
      </c>
      <c r="BC566" s="42"/>
      <c r="BD566" s="111"/>
      <c r="BE566" s="46" t="s">
        <v>11</v>
      </c>
      <c r="BF566" s="103">
        <v>0</v>
      </c>
      <c r="BG566" s="103">
        <v>0.37593984962406013</v>
      </c>
      <c r="BH566" s="103">
        <v>0.37593984962406013</v>
      </c>
      <c r="BI566" s="103">
        <v>2.8195488721804511</v>
      </c>
      <c r="BJ566" s="103">
        <v>3.7593984962406015</v>
      </c>
      <c r="BK566" s="103">
        <v>8.2706766917293226</v>
      </c>
      <c r="BL566" s="103">
        <v>15.977443609022558</v>
      </c>
      <c r="BM566" s="103">
        <v>19.736842105263158</v>
      </c>
      <c r="BN566" s="103">
        <v>25.375939849624064</v>
      </c>
      <c r="BO566" s="103">
        <v>23.308270676691727</v>
      </c>
      <c r="BQ566" s="111"/>
      <c r="BR566" s="46" t="s">
        <v>11</v>
      </c>
      <c r="BS566" s="103">
        <v>0</v>
      </c>
      <c r="BT566" s="103">
        <v>11.111111111111111</v>
      </c>
      <c r="BU566" s="103">
        <v>0</v>
      </c>
      <c r="BV566" s="103">
        <v>5.5555555555555554</v>
      </c>
      <c r="BW566" s="103">
        <v>5.5555555555555554</v>
      </c>
      <c r="BX566" s="103">
        <v>22.222222222222221</v>
      </c>
      <c r="BY566" s="103">
        <v>11.111111111111111</v>
      </c>
      <c r="BZ566" s="103">
        <v>11.111111111111111</v>
      </c>
      <c r="CA566" s="103">
        <v>27.777777777777779</v>
      </c>
      <c r="CB566" s="103">
        <v>5.5555555555555554</v>
      </c>
      <c r="CC566" s="42"/>
      <c r="CD566" s="111"/>
      <c r="CE566" s="46" t="s">
        <v>11</v>
      </c>
      <c r="CF566" s="103">
        <v>0</v>
      </c>
      <c r="CG566" s="103">
        <v>0.17035775127768313</v>
      </c>
      <c r="CH566" s="103">
        <v>0.34071550255536626</v>
      </c>
      <c r="CI566" s="103">
        <v>2.7257240204429301</v>
      </c>
      <c r="CJ566" s="103">
        <v>4.7700170357751279</v>
      </c>
      <c r="CK566" s="103">
        <v>8.1771720613287897</v>
      </c>
      <c r="CL566" s="103">
        <v>14.650766609880749</v>
      </c>
      <c r="CM566" s="103">
        <v>20.613287904599659</v>
      </c>
      <c r="CN566" s="103">
        <v>24.701873935264054</v>
      </c>
      <c r="CO566" s="103">
        <v>23.850085178875638</v>
      </c>
      <c r="CQ566" s="111"/>
      <c r="CR566" s="46" t="s">
        <v>11</v>
      </c>
      <c r="CS566" s="103">
        <v>0</v>
      </c>
      <c r="CT566" s="103">
        <v>0</v>
      </c>
      <c r="CU566" s="103">
        <v>1.0101010101010102</v>
      </c>
      <c r="CV566" s="103">
        <v>1.0101010101010102</v>
      </c>
      <c r="CW566" s="103">
        <v>1.0101010101010102</v>
      </c>
      <c r="CX566" s="103">
        <v>6.0606060606060606</v>
      </c>
      <c r="CY566" s="103">
        <v>14.14141414141414</v>
      </c>
      <c r="CZ566" s="103">
        <v>27.27272727272727</v>
      </c>
      <c r="DA566" s="103">
        <v>27.27272727272727</v>
      </c>
      <c r="DB566" s="103">
        <v>22.222222222222221</v>
      </c>
      <c r="DC566" s="42"/>
      <c r="DD566" s="111"/>
      <c r="DE566" s="46" t="s">
        <v>11</v>
      </c>
      <c r="DF566" s="103">
        <v>0</v>
      </c>
      <c r="DG566" s="103">
        <v>0.59288537549407105</v>
      </c>
      <c r="DH566" s="103">
        <v>0.19762845849802371</v>
      </c>
      <c r="DI566" s="103">
        <v>3.1620553359683794</v>
      </c>
      <c r="DJ566" s="103">
        <v>5.5335968379446641</v>
      </c>
      <c r="DK566" s="103">
        <v>9.0909090909090917</v>
      </c>
      <c r="DL566" s="103">
        <v>14.624505928853754</v>
      </c>
      <c r="DM566" s="103">
        <v>18.972332015810274</v>
      </c>
      <c r="DN566" s="103">
        <v>24.308300395256918</v>
      </c>
      <c r="DO566" s="103">
        <v>23.517786561264824</v>
      </c>
    </row>
    <row r="567" spans="2:119" x14ac:dyDescent="0.45">
      <c r="B567" s="99"/>
      <c r="C567" s="42"/>
      <c r="D567" s="42"/>
      <c r="E567" s="42"/>
      <c r="F567" s="42"/>
      <c r="G567" s="42"/>
      <c r="H567" s="42"/>
      <c r="I567" s="42"/>
      <c r="J567" s="42"/>
      <c r="K567" s="42"/>
      <c r="L567" s="42"/>
      <c r="M567" s="42"/>
      <c r="N567" s="42"/>
      <c r="O567" s="42"/>
      <c r="P567" s="42"/>
      <c r="Q567" s="42"/>
      <c r="R567" s="42"/>
      <c r="S567" s="42"/>
      <c r="T567" s="42"/>
      <c r="U567" s="42"/>
      <c r="V567" s="42"/>
      <c r="W567" s="42"/>
      <c r="X567" s="42"/>
      <c r="Y567" s="42"/>
      <c r="Z567" s="42"/>
      <c r="AA567" s="42"/>
      <c r="AB567" s="42"/>
      <c r="AC567" s="42"/>
      <c r="AD567" s="42"/>
      <c r="AE567" s="42"/>
      <c r="AF567" s="42"/>
      <c r="AG567" s="42"/>
      <c r="AH567" s="42"/>
      <c r="AI567" s="42"/>
      <c r="AJ567" s="42"/>
      <c r="AK567" s="42"/>
      <c r="AL567" s="42"/>
      <c r="AM567" s="42"/>
      <c r="AN567" s="42"/>
      <c r="AO567" s="42"/>
      <c r="AQ567" s="42"/>
      <c r="AR567" s="42"/>
      <c r="AS567" s="42"/>
      <c r="AT567" s="42"/>
      <c r="AU567" s="42"/>
      <c r="AV567" s="42"/>
      <c r="AW567" s="42"/>
      <c r="AX567" s="42"/>
      <c r="AY567" s="42"/>
      <c r="AZ567" s="42"/>
      <c r="BA567" s="42"/>
      <c r="BB567" s="42"/>
      <c r="BC567" s="42"/>
      <c r="BD567" s="42"/>
      <c r="BE567" s="42"/>
      <c r="BF567" s="42"/>
      <c r="BG567" s="42"/>
      <c r="BH567" s="42"/>
      <c r="BI567" s="42"/>
      <c r="BJ567" s="42"/>
      <c r="BK567" s="42"/>
      <c r="BL567" s="42"/>
      <c r="BM567" s="42"/>
      <c r="BN567" s="42"/>
      <c r="BO567" s="42"/>
      <c r="BQ567" s="42"/>
      <c r="BR567" s="42"/>
      <c r="BS567" s="42"/>
      <c r="BT567" s="42"/>
      <c r="BU567" s="42"/>
      <c r="BV567" s="42"/>
      <c r="BW567" s="42"/>
      <c r="BX567" s="42"/>
      <c r="BY567" s="42"/>
      <c r="BZ567" s="42"/>
      <c r="CA567" s="42"/>
      <c r="CB567" s="42"/>
      <c r="CC567" s="42"/>
      <c r="CD567" s="42"/>
      <c r="CE567" s="42"/>
      <c r="CF567" s="42"/>
      <c r="CG567" s="42"/>
      <c r="CH567" s="42"/>
      <c r="CI567" s="42"/>
      <c r="CJ567" s="42"/>
      <c r="CK567" s="42"/>
      <c r="CL567" s="42"/>
      <c r="CM567" s="42"/>
      <c r="CN567" s="42"/>
      <c r="CO567" s="42"/>
      <c r="CQ567" s="42"/>
      <c r="CR567" s="42"/>
      <c r="CS567" s="42"/>
      <c r="CT567" s="42"/>
      <c r="CU567" s="42"/>
      <c r="CV567" s="42"/>
      <c r="CW567" s="42"/>
      <c r="CX567" s="42"/>
      <c r="CY567" s="42"/>
      <c r="CZ567" s="42"/>
      <c r="DA567" s="42"/>
      <c r="DB567" s="42"/>
      <c r="DC567" s="42"/>
      <c r="DD567" s="42"/>
      <c r="DE567" s="42"/>
      <c r="DF567" s="42"/>
      <c r="DG567" s="42"/>
      <c r="DH567" s="42"/>
      <c r="DI567" s="42"/>
      <c r="DJ567" s="42"/>
      <c r="DK567" s="42"/>
      <c r="DL567" s="42"/>
      <c r="DM567" s="42"/>
      <c r="DN567" s="42"/>
      <c r="DO567" s="42"/>
    </row>
    <row r="568" spans="2:119" x14ac:dyDescent="0.45">
      <c r="B568" s="99"/>
      <c r="C568" s="42"/>
      <c r="D568" s="42"/>
      <c r="E568" s="42"/>
      <c r="F568" s="42"/>
      <c r="G568" s="42"/>
      <c r="H568" s="42"/>
      <c r="I568" s="42"/>
      <c r="J568" s="42"/>
      <c r="K568" s="42"/>
      <c r="L568" s="42"/>
      <c r="M568" s="42"/>
      <c r="N568" s="42"/>
      <c r="O568" s="42"/>
      <c r="P568" s="42"/>
      <c r="Q568" s="42"/>
      <c r="R568" s="42"/>
      <c r="S568" s="42"/>
      <c r="T568" s="42"/>
      <c r="U568" s="42"/>
      <c r="V568" s="42"/>
      <c r="W568" s="42"/>
      <c r="X568" s="42"/>
      <c r="Y568" s="42"/>
      <c r="Z568" s="42"/>
      <c r="AA568" s="42"/>
      <c r="AB568" s="42"/>
      <c r="AC568" s="42"/>
      <c r="AD568" s="42"/>
      <c r="AE568" s="42"/>
      <c r="AF568" s="42"/>
      <c r="AG568" s="42"/>
      <c r="AH568" s="42"/>
      <c r="AI568" s="42"/>
      <c r="AJ568" s="42"/>
      <c r="AK568" s="42"/>
      <c r="AL568" s="42"/>
      <c r="AM568" s="42"/>
      <c r="AN568" s="42"/>
      <c r="AO568" s="42"/>
      <c r="AQ568" s="42"/>
      <c r="AR568" s="42"/>
      <c r="AS568" s="42"/>
      <c r="AT568" s="42"/>
      <c r="AU568" s="42"/>
      <c r="AV568" s="42"/>
      <c r="AW568" s="42"/>
      <c r="AX568" s="42"/>
      <c r="AY568" s="42"/>
      <c r="AZ568" s="42"/>
      <c r="BA568" s="42"/>
      <c r="BB568" s="42"/>
      <c r="BC568" s="42"/>
      <c r="BD568" s="42"/>
      <c r="BE568" s="42"/>
      <c r="BF568" s="42"/>
      <c r="BG568" s="42"/>
      <c r="BH568" s="42"/>
      <c r="BI568" s="42"/>
      <c r="BJ568" s="42"/>
      <c r="BK568" s="42"/>
      <c r="BL568" s="42"/>
      <c r="BM568" s="42"/>
      <c r="BN568" s="42"/>
      <c r="BO568" s="42"/>
      <c r="BQ568" s="42"/>
      <c r="BR568" s="42"/>
      <c r="BS568" s="42"/>
      <c r="BT568" s="42"/>
      <c r="BU568" s="42"/>
      <c r="BV568" s="42"/>
      <c r="BW568" s="42"/>
      <c r="BX568" s="42"/>
      <c r="BY568" s="42"/>
      <c r="BZ568" s="42"/>
      <c r="CA568" s="42"/>
      <c r="CB568" s="42"/>
      <c r="CC568" s="42"/>
      <c r="CD568" s="42"/>
      <c r="CE568" s="42"/>
      <c r="CF568" s="42"/>
      <c r="CG568" s="42"/>
      <c r="CH568" s="42"/>
      <c r="CI568" s="42"/>
      <c r="CJ568" s="42"/>
      <c r="CK568" s="42"/>
      <c r="CL568" s="42"/>
      <c r="CM568" s="42"/>
      <c r="CN568" s="42"/>
      <c r="CO568" s="42"/>
      <c r="CQ568" s="42"/>
      <c r="CR568" s="42"/>
      <c r="CS568" s="42"/>
      <c r="CT568" s="42"/>
      <c r="CU568" s="42"/>
      <c r="CV568" s="42"/>
      <c r="CW568" s="42"/>
      <c r="CX568" s="42"/>
      <c r="CY568" s="42"/>
      <c r="CZ568" s="42"/>
      <c r="DA568" s="42"/>
      <c r="DB568" s="42"/>
      <c r="DC568" s="42"/>
      <c r="DD568" s="42"/>
      <c r="DE568" s="42"/>
      <c r="DF568" s="42"/>
      <c r="DG568" s="42"/>
      <c r="DH568" s="42"/>
      <c r="DI568" s="42"/>
      <c r="DJ568" s="42"/>
      <c r="DK568" s="42"/>
      <c r="DL568" s="42"/>
      <c r="DM568" s="42"/>
      <c r="DN568" s="42"/>
      <c r="DO568" s="42"/>
    </row>
    <row r="569" spans="2:119" ht="18.75" customHeight="1" x14ac:dyDescent="0.55000000000000004">
      <c r="B569" s="99"/>
      <c r="C569" s="42"/>
      <c r="D569" s="112" t="s">
        <v>24</v>
      </c>
      <c r="E569" s="112"/>
      <c r="F569" s="45"/>
      <c r="G569" s="45"/>
      <c r="H569" s="45"/>
      <c r="I569" s="45"/>
      <c r="J569" s="45"/>
      <c r="K569" s="45"/>
      <c r="L569" s="45"/>
      <c r="M569" s="45"/>
      <c r="N569" s="45"/>
      <c r="O569" s="45"/>
      <c r="P569" s="42"/>
      <c r="Q569" s="112" t="s">
        <v>24</v>
      </c>
      <c r="R569" s="112"/>
      <c r="S569" s="45"/>
      <c r="T569" s="45"/>
      <c r="U569" s="45"/>
      <c r="V569" s="45"/>
      <c r="W569" s="45"/>
      <c r="X569" s="45"/>
      <c r="Y569" s="45"/>
      <c r="Z569" s="45"/>
      <c r="AA569" s="45"/>
      <c r="AB569" s="45"/>
      <c r="AC569" s="42"/>
      <c r="AD569" s="112" t="s">
        <v>24</v>
      </c>
      <c r="AE569" s="112"/>
      <c r="AF569" s="45"/>
      <c r="AG569" s="45"/>
      <c r="AH569" s="45"/>
      <c r="AI569" s="45"/>
      <c r="AJ569" s="45"/>
      <c r="AK569" s="45"/>
      <c r="AL569" s="45"/>
      <c r="AM569" s="45"/>
      <c r="AN569" s="45"/>
      <c r="AO569" s="45"/>
      <c r="AP569" s="6"/>
      <c r="AQ569" s="112" t="s">
        <v>24</v>
      </c>
      <c r="AR569" s="112"/>
      <c r="AS569" s="45"/>
      <c r="AT569" s="45"/>
      <c r="AU569" s="45"/>
      <c r="AV569" s="45"/>
      <c r="AW569" s="45"/>
      <c r="AX569" s="45"/>
      <c r="AY569" s="45"/>
      <c r="AZ569" s="45"/>
      <c r="BA569" s="45"/>
      <c r="BB569" s="45"/>
      <c r="BC569" s="42"/>
      <c r="BD569" s="112" t="s">
        <v>24</v>
      </c>
      <c r="BE569" s="112"/>
      <c r="BF569" s="45"/>
      <c r="BG569" s="45"/>
      <c r="BH569" s="45"/>
      <c r="BI569" s="45"/>
      <c r="BJ569" s="45"/>
      <c r="BK569" s="45"/>
      <c r="BL569" s="45"/>
      <c r="BM569" s="45"/>
      <c r="BN569" s="45"/>
      <c r="BO569" s="45"/>
      <c r="BQ569" s="112" t="s">
        <v>24</v>
      </c>
      <c r="BR569" s="112"/>
      <c r="BS569" s="45"/>
      <c r="BT569" s="45"/>
      <c r="BU569" s="45"/>
      <c r="BV569" s="45"/>
      <c r="BW569" s="45"/>
      <c r="BX569" s="45"/>
      <c r="BY569" s="45"/>
      <c r="BZ569" s="45"/>
      <c r="CA569" s="45"/>
      <c r="CB569" s="45"/>
      <c r="CC569" s="42"/>
      <c r="CD569" s="112" t="s">
        <v>24</v>
      </c>
      <c r="CE569" s="112"/>
      <c r="CF569" s="45"/>
      <c r="CG569" s="45"/>
      <c r="CH569" s="45"/>
      <c r="CI569" s="45"/>
      <c r="CJ569" s="45"/>
      <c r="CK569" s="45"/>
      <c r="CL569" s="45"/>
      <c r="CM569" s="45"/>
      <c r="CN569" s="45"/>
      <c r="CO569" s="45"/>
      <c r="CQ569" s="112" t="s">
        <v>24</v>
      </c>
      <c r="CR569" s="112"/>
      <c r="CS569" s="45"/>
      <c r="CT569" s="45"/>
      <c r="CU569" s="45"/>
      <c r="CV569" s="45"/>
      <c r="CW569" s="45"/>
      <c r="CX569" s="45"/>
      <c r="CY569" s="45"/>
      <c r="CZ569" s="45"/>
      <c r="DA569" s="45"/>
      <c r="DB569" s="45"/>
      <c r="DC569" s="42"/>
      <c r="DD569" s="112" t="s">
        <v>24</v>
      </c>
      <c r="DE569" s="112"/>
      <c r="DF569" s="45"/>
      <c r="DG569" s="45"/>
      <c r="DH569" s="45"/>
      <c r="DI569" s="45"/>
      <c r="DJ569" s="45"/>
      <c r="DK569" s="45"/>
      <c r="DL569" s="45"/>
      <c r="DM569" s="45"/>
      <c r="DN569" s="45"/>
      <c r="DO569" s="45"/>
    </row>
    <row r="570" spans="2:119" ht="28.9" customHeight="1" x14ac:dyDescent="0.45">
      <c r="B570" s="99"/>
      <c r="C570" s="42"/>
      <c r="D570" s="112"/>
      <c r="E570" s="112"/>
      <c r="F570" s="108" t="s">
        <v>12</v>
      </c>
      <c r="G570" s="108"/>
      <c r="H570" s="108"/>
      <c r="I570" s="108"/>
      <c r="J570" s="108"/>
      <c r="K570" s="108"/>
      <c r="L570" s="108"/>
      <c r="M570" s="108"/>
      <c r="N570" s="108"/>
      <c r="O570" s="108"/>
      <c r="P570" s="42"/>
      <c r="Q570" s="112"/>
      <c r="R570" s="112"/>
      <c r="S570" s="108" t="s">
        <v>12</v>
      </c>
      <c r="T570" s="108"/>
      <c r="U570" s="108"/>
      <c r="V570" s="108"/>
      <c r="W570" s="108"/>
      <c r="X570" s="108"/>
      <c r="Y570" s="108"/>
      <c r="Z570" s="108"/>
      <c r="AA570" s="108"/>
      <c r="AB570" s="108"/>
      <c r="AC570" s="42"/>
      <c r="AD570" s="112"/>
      <c r="AE570" s="112"/>
      <c r="AF570" s="108" t="s">
        <v>12</v>
      </c>
      <c r="AG570" s="108"/>
      <c r="AH570" s="108"/>
      <c r="AI570" s="108"/>
      <c r="AJ570" s="108"/>
      <c r="AK570" s="108"/>
      <c r="AL570" s="108"/>
      <c r="AM570" s="108"/>
      <c r="AN570" s="108"/>
      <c r="AO570" s="108"/>
      <c r="AP570" s="6"/>
      <c r="AQ570" s="112"/>
      <c r="AR570" s="112"/>
      <c r="AS570" s="108" t="s">
        <v>12</v>
      </c>
      <c r="AT570" s="108"/>
      <c r="AU570" s="108"/>
      <c r="AV570" s="108"/>
      <c r="AW570" s="108"/>
      <c r="AX570" s="108"/>
      <c r="AY570" s="108"/>
      <c r="AZ570" s="108"/>
      <c r="BA570" s="108"/>
      <c r="BB570" s="108"/>
      <c r="BC570" s="42"/>
      <c r="BD570" s="112"/>
      <c r="BE570" s="112"/>
      <c r="BF570" s="108" t="s">
        <v>12</v>
      </c>
      <c r="BG570" s="108"/>
      <c r="BH570" s="108"/>
      <c r="BI570" s="108"/>
      <c r="BJ570" s="108"/>
      <c r="BK570" s="108"/>
      <c r="BL570" s="108"/>
      <c r="BM570" s="108"/>
      <c r="BN570" s="108"/>
      <c r="BO570" s="108"/>
      <c r="BQ570" s="112"/>
      <c r="BR570" s="112"/>
      <c r="BS570" s="108" t="s">
        <v>12</v>
      </c>
      <c r="BT570" s="108"/>
      <c r="BU570" s="108"/>
      <c r="BV570" s="108"/>
      <c r="BW570" s="108"/>
      <c r="BX570" s="108"/>
      <c r="BY570" s="108"/>
      <c r="BZ570" s="108"/>
      <c r="CA570" s="108"/>
      <c r="CB570" s="108"/>
      <c r="CC570" s="42"/>
      <c r="CD570" s="112"/>
      <c r="CE570" s="112"/>
      <c r="CF570" s="108" t="s">
        <v>12</v>
      </c>
      <c r="CG570" s="108"/>
      <c r="CH570" s="108"/>
      <c r="CI570" s="108"/>
      <c r="CJ570" s="108"/>
      <c r="CK570" s="108"/>
      <c r="CL570" s="108"/>
      <c r="CM570" s="108"/>
      <c r="CN570" s="108"/>
      <c r="CO570" s="108"/>
      <c r="CQ570" s="112"/>
      <c r="CR570" s="112"/>
      <c r="CS570" s="108" t="s">
        <v>12</v>
      </c>
      <c r="CT570" s="108"/>
      <c r="CU570" s="108"/>
      <c r="CV570" s="108"/>
      <c r="CW570" s="108"/>
      <c r="CX570" s="108"/>
      <c r="CY570" s="108"/>
      <c r="CZ570" s="108"/>
      <c r="DA570" s="108"/>
      <c r="DB570" s="108"/>
      <c r="DC570" s="42"/>
      <c r="DD570" s="112"/>
      <c r="DE570" s="112"/>
      <c r="DF570" s="108" t="s">
        <v>12</v>
      </c>
      <c r="DG570" s="108"/>
      <c r="DH570" s="108"/>
      <c r="DI570" s="108"/>
      <c r="DJ570" s="108"/>
      <c r="DK570" s="108"/>
      <c r="DL570" s="108"/>
      <c r="DM570" s="108"/>
      <c r="DN570" s="108"/>
      <c r="DO570" s="108"/>
    </row>
    <row r="571" spans="2:119" ht="15" customHeight="1" x14ac:dyDescent="0.45">
      <c r="B571" s="99"/>
      <c r="C571" s="42"/>
      <c r="D571" s="113"/>
      <c r="E571" s="113"/>
      <c r="F571" s="9" t="s">
        <v>0</v>
      </c>
      <c r="G571" s="9">
        <v>1</v>
      </c>
      <c r="H571" s="9">
        <v>2</v>
      </c>
      <c r="I571" s="9">
        <v>3</v>
      </c>
      <c r="J571" s="9">
        <v>4</v>
      </c>
      <c r="K571" s="9">
        <v>5</v>
      </c>
      <c r="L571" s="9">
        <v>6</v>
      </c>
      <c r="M571" s="9">
        <v>7</v>
      </c>
      <c r="N571" s="9">
        <v>8</v>
      </c>
      <c r="O571" s="9">
        <v>9</v>
      </c>
      <c r="P571" s="42"/>
      <c r="Q571" s="113"/>
      <c r="R571" s="113"/>
      <c r="S571" s="9" t="s">
        <v>0</v>
      </c>
      <c r="T571" s="9">
        <v>1</v>
      </c>
      <c r="U571" s="9">
        <v>2</v>
      </c>
      <c r="V571" s="9">
        <v>3</v>
      </c>
      <c r="W571" s="9">
        <v>4</v>
      </c>
      <c r="X571" s="9">
        <v>5</v>
      </c>
      <c r="Y571" s="9">
        <v>6</v>
      </c>
      <c r="Z571" s="9">
        <v>7</v>
      </c>
      <c r="AA571" s="9">
        <v>8</v>
      </c>
      <c r="AB571" s="9">
        <v>9</v>
      </c>
      <c r="AC571" s="42"/>
      <c r="AD571" s="113"/>
      <c r="AE571" s="113"/>
      <c r="AF571" s="9" t="s">
        <v>0</v>
      </c>
      <c r="AG571" s="9">
        <v>1</v>
      </c>
      <c r="AH571" s="9">
        <v>2</v>
      </c>
      <c r="AI571" s="9">
        <v>3</v>
      </c>
      <c r="AJ571" s="9">
        <v>4</v>
      </c>
      <c r="AK571" s="9">
        <v>5</v>
      </c>
      <c r="AL571" s="9">
        <v>6</v>
      </c>
      <c r="AM571" s="9">
        <v>7</v>
      </c>
      <c r="AN571" s="9">
        <v>8</v>
      </c>
      <c r="AO571" s="9">
        <v>9</v>
      </c>
      <c r="AP571" s="6"/>
      <c r="AQ571" s="113"/>
      <c r="AR571" s="113"/>
      <c r="AS571" s="9" t="s">
        <v>0</v>
      </c>
      <c r="AT571" s="9">
        <v>1</v>
      </c>
      <c r="AU571" s="9">
        <v>2</v>
      </c>
      <c r="AV571" s="9">
        <v>3</v>
      </c>
      <c r="AW571" s="9">
        <v>4</v>
      </c>
      <c r="AX571" s="9">
        <v>5</v>
      </c>
      <c r="AY571" s="9">
        <v>6</v>
      </c>
      <c r="AZ571" s="9">
        <v>7</v>
      </c>
      <c r="BA571" s="9">
        <v>8</v>
      </c>
      <c r="BB571" s="9">
        <v>9</v>
      </c>
      <c r="BC571" s="42"/>
      <c r="BD571" s="113"/>
      <c r="BE571" s="113"/>
      <c r="BF571" s="9" t="s">
        <v>0</v>
      </c>
      <c r="BG571" s="9">
        <v>1</v>
      </c>
      <c r="BH571" s="9">
        <v>2</v>
      </c>
      <c r="BI571" s="9">
        <v>3</v>
      </c>
      <c r="BJ571" s="9">
        <v>4</v>
      </c>
      <c r="BK571" s="9">
        <v>5</v>
      </c>
      <c r="BL571" s="9">
        <v>6</v>
      </c>
      <c r="BM571" s="9">
        <v>7</v>
      </c>
      <c r="BN571" s="9">
        <v>8</v>
      </c>
      <c r="BO571" s="9">
        <v>9</v>
      </c>
      <c r="BQ571" s="113"/>
      <c r="BR571" s="113"/>
      <c r="BS571" s="9" t="s">
        <v>0</v>
      </c>
      <c r="BT571" s="9">
        <v>1</v>
      </c>
      <c r="BU571" s="9">
        <v>2</v>
      </c>
      <c r="BV571" s="9">
        <v>3</v>
      </c>
      <c r="BW571" s="9">
        <v>4</v>
      </c>
      <c r="BX571" s="9">
        <v>5</v>
      </c>
      <c r="BY571" s="9">
        <v>6</v>
      </c>
      <c r="BZ571" s="9">
        <v>7</v>
      </c>
      <c r="CA571" s="9">
        <v>8</v>
      </c>
      <c r="CB571" s="9">
        <v>9</v>
      </c>
      <c r="CC571" s="42"/>
      <c r="CD571" s="113"/>
      <c r="CE571" s="113"/>
      <c r="CF571" s="9" t="s">
        <v>0</v>
      </c>
      <c r="CG571" s="9">
        <v>1</v>
      </c>
      <c r="CH571" s="9">
        <v>2</v>
      </c>
      <c r="CI571" s="9">
        <v>3</v>
      </c>
      <c r="CJ571" s="9">
        <v>4</v>
      </c>
      <c r="CK571" s="9">
        <v>5</v>
      </c>
      <c r="CL571" s="9">
        <v>6</v>
      </c>
      <c r="CM571" s="9">
        <v>7</v>
      </c>
      <c r="CN571" s="9">
        <v>8</v>
      </c>
      <c r="CO571" s="9">
        <v>9</v>
      </c>
      <c r="CQ571" s="113"/>
      <c r="CR571" s="113"/>
      <c r="CS571" s="9" t="s">
        <v>0</v>
      </c>
      <c r="CT571" s="9">
        <v>1</v>
      </c>
      <c r="CU571" s="9">
        <v>2</v>
      </c>
      <c r="CV571" s="9">
        <v>3</v>
      </c>
      <c r="CW571" s="9">
        <v>4</v>
      </c>
      <c r="CX571" s="9">
        <v>5</v>
      </c>
      <c r="CY571" s="9">
        <v>6</v>
      </c>
      <c r="CZ571" s="9">
        <v>7</v>
      </c>
      <c r="DA571" s="9">
        <v>8</v>
      </c>
      <c r="DB571" s="9">
        <v>9</v>
      </c>
      <c r="DC571" s="42"/>
      <c r="DD571" s="113"/>
      <c r="DE571" s="113"/>
      <c r="DF571" s="9" t="s">
        <v>0</v>
      </c>
      <c r="DG571" s="9">
        <v>1</v>
      </c>
      <c r="DH571" s="9">
        <v>2</v>
      </c>
      <c r="DI571" s="9">
        <v>3</v>
      </c>
      <c r="DJ571" s="9">
        <v>4</v>
      </c>
      <c r="DK571" s="9">
        <v>5</v>
      </c>
      <c r="DL571" s="9">
        <v>6</v>
      </c>
      <c r="DM571" s="9">
        <v>7</v>
      </c>
      <c r="DN571" s="9">
        <v>8</v>
      </c>
      <c r="DO571" s="9">
        <v>9</v>
      </c>
    </row>
    <row r="572" spans="2:119" ht="16.5" customHeight="1" x14ac:dyDescent="0.45">
      <c r="B572" s="134" t="s">
        <v>37</v>
      </c>
      <c r="C572" s="42"/>
      <c r="D572" s="109" t="s">
        <v>13</v>
      </c>
      <c r="E572" s="46" t="s">
        <v>1</v>
      </c>
      <c r="F572" s="103">
        <v>0</v>
      </c>
      <c r="G572" s="103">
        <v>0</v>
      </c>
      <c r="H572" s="103">
        <v>1</v>
      </c>
      <c r="I572" s="103">
        <v>0</v>
      </c>
      <c r="J572" s="103">
        <v>2</v>
      </c>
      <c r="K572" s="103">
        <v>2</v>
      </c>
      <c r="L572" s="103">
        <v>0</v>
      </c>
      <c r="M572" s="103">
        <v>0</v>
      </c>
      <c r="N572" s="103">
        <v>0</v>
      </c>
      <c r="O572" s="17">
        <v>0</v>
      </c>
      <c r="P572" s="42"/>
      <c r="Q572" s="109" t="s">
        <v>13</v>
      </c>
      <c r="R572" s="46" t="s">
        <v>1</v>
      </c>
      <c r="S572" s="103">
        <v>0</v>
      </c>
      <c r="T572" s="103">
        <v>0</v>
      </c>
      <c r="U572" s="103">
        <v>1</v>
      </c>
      <c r="V572" s="103">
        <v>0</v>
      </c>
      <c r="W572" s="103">
        <v>1</v>
      </c>
      <c r="X572" s="103">
        <v>1</v>
      </c>
      <c r="Y572" s="103">
        <v>0</v>
      </c>
      <c r="Z572" s="103">
        <v>0</v>
      </c>
      <c r="AA572" s="103">
        <v>0</v>
      </c>
      <c r="AB572" s="17">
        <v>0</v>
      </c>
      <c r="AC572" s="42"/>
      <c r="AD572" s="109" t="s">
        <v>13</v>
      </c>
      <c r="AE572" s="46" t="s">
        <v>1</v>
      </c>
      <c r="AF572" s="103">
        <v>0</v>
      </c>
      <c r="AG572" s="103">
        <v>0</v>
      </c>
      <c r="AH572" s="103">
        <v>0</v>
      </c>
      <c r="AI572" s="103">
        <v>0</v>
      </c>
      <c r="AJ572" s="103">
        <v>1</v>
      </c>
      <c r="AK572" s="103">
        <v>1</v>
      </c>
      <c r="AL572" s="103">
        <v>0</v>
      </c>
      <c r="AM572" s="103">
        <v>0</v>
      </c>
      <c r="AN572" s="103">
        <v>0</v>
      </c>
      <c r="AO572" s="17">
        <v>0</v>
      </c>
      <c r="AP572" s="6"/>
      <c r="AQ572" s="109" t="s">
        <v>13</v>
      </c>
      <c r="AR572" s="46" t="s">
        <v>1</v>
      </c>
      <c r="AS572" s="103">
        <v>0</v>
      </c>
      <c r="AT572" s="103">
        <v>0</v>
      </c>
      <c r="AU572" s="103">
        <v>1</v>
      </c>
      <c r="AV572" s="103">
        <v>0</v>
      </c>
      <c r="AW572" s="103">
        <v>1</v>
      </c>
      <c r="AX572" s="103">
        <v>1</v>
      </c>
      <c r="AY572" s="103">
        <v>0</v>
      </c>
      <c r="AZ572" s="103">
        <v>0</v>
      </c>
      <c r="BA572" s="103">
        <v>0</v>
      </c>
      <c r="BB572" s="17">
        <v>0</v>
      </c>
      <c r="BC572" s="42"/>
      <c r="BD572" s="109" t="s">
        <v>13</v>
      </c>
      <c r="BE572" s="46" t="s">
        <v>1</v>
      </c>
      <c r="BF572" s="103">
        <v>0</v>
      </c>
      <c r="BG572" s="103">
        <v>0</v>
      </c>
      <c r="BH572" s="103">
        <v>0</v>
      </c>
      <c r="BI572" s="103">
        <v>0</v>
      </c>
      <c r="BJ572" s="103">
        <v>1</v>
      </c>
      <c r="BK572" s="103">
        <v>1</v>
      </c>
      <c r="BL572" s="103">
        <v>0</v>
      </c>
      <c r="BM572" s="103">
        <v>0</v>
      </c>
      <c r="BN572" s="103">
        <v>0</v>
      </c>
      <c r="BO572" s="17">
        <v>0</v>
      </c>
      <c r="BQ572" s="109" t="s">
        <v>13</v>
      </c>
      <c r="BR572" s="46" t="s">
        <v>1</v>
      </c>
      <c r="BS572" s="103">
        <v>0</v>
      </c>
      <c r="BT572" s="103">
        <v>0</v>
      </c>
      <c r="BU572" s="103">
        <v>0</v>
      </c>
      <c r="BV572" s="103">
        <v>0</v>
      </c>
      <c r="BW572" s="103">
        <v>0</v>
      </c>
      <c r="BX572" s="103">
        <v>0</v>
      </c>
      <c r="BY572" s="103">
        <v>0</v>
      </c>
      <c r="BZ572" s="103">
        <v>0</v>
      </c>
      <c r="CA572" s="103">
        <v>0</v>
      </c>
      <c r="CB572" s="17">
        <v>0</v>
      </c>
      <c r="CC572" s="42"/>
      <c r="CD572" s="109" t="s">
        <v>13</v>
      </c>
      <c r="CE572" s="46" t="s">
        <v>1</v>
      </c>
      <c r="CF572" s="103">
        <v>0</v>
      </c>
      <c r="CG572" s="103">
        <v>0</v>
      </c>
      <c r="CH572" s="103">
        <v>1</v>
      </c>
      <c r="CI572" s="103">
        <v>0</v>
      </c>
      <c r="CJ572" s="103">
        <v>2</v>
      </c>
      <c r="CK572" s="103">
        <v>2</v>
      </c>
      <c r="CL572" s="103">
        <v>0</v>
      </c>
      <c r="CM572" s="103">
        <v>0</v>
      </c>
      <c r="CN572" s="103">
        <v>0</v>
      </c>
      <c r="CO572" s="17">
        <v>0</v>
      </c>
      <c r="CQ572" s="109" t="s">
        <v>13</v>
      </c>
      <c r="CR572" s="46" t="s">
        <v>1</v>
      </c>
      <c r="CS572" s="103">
        <v>0</v>
      </c>
      <c r="CT572" s="103">
        <v>0</v>
      </c>
      <c r="CU572" s="103">
        <v>1</v>
      </c>
      <c r="CV572" s="103">
        <v>0</v>
      </c>
      <c r="CW572" s="103">
        <v>2</v>
      </c>
      <c r="CX572" s="103">
        <v>2</v>
      </c>
      <c r="CY572" s="103">
        <v>0</v>
      </c>
      <c r="CZ572" s="103">
        <v>0</v>
      </c>
      <c r="DA572" s="103">
        <v>0</v>
      </c>
      <c r="DB572" s="17">
        <v>0</v>
      </c>
      <c r="DC572" s="42"/>
      <c r="DD572" s="109" t="s">
        <v>13</v>
      </c>
      <c r="DE572" s="46" t="s">
        <v>1</v>
      </c>
      <c r="DF572" s="103">
        <v>0</v>
      </c>
      <c r="DG572" s="103">
        <v>0</v>
      </c>
      <c r="DH572" s="103">
        <v>0</v>
      </c>
      <c r="DI572" s="103">
        <v>0</v>
      </c>
      <c r="DJ572" s="103">
        <v>0</v>
      </c>
      <c r="DK572" s="103">
        <v>0</v>
      </c>
      <c r="DL572" s="103">
        <v>0</v>
      </c>
      <c r="DM572" s="103">
        <v>0</v>
      </c>
      <c r="DN572" s="103">
        <v>0</v>
      </c>
      <c r="DO572" s="17">
        <v>0</v>
      </c>
    </row>
    <row r="573" spans="2:119" ht="16.5" customHeight="1" x14ac:dyDescent="0.45">
      <c r="B573" s="134"/>
      <c r="C573" s="42"/>
      <c r="D573" s="110"/>
      <c r="E573" s="46">
        <v>1</v>
      </c>
      <c r="F573" s="103">
        <v>2</v>
      </c>
      <c r="G573" s="103">
        <v>4</v>
      </c>
      <c r="H573" s="103">
        <v>1</v>
      </c>
      <c r="I573" s="103">
        <v>2</v>
      </c>
      <c r="J573" s="103">
        <v>0</v>
      </c>
      <c r="K573" s="103">
        <v>2</v>
      </c>
      <c r="L573" s="103">
        <v>0</v>
      </c>
      <c r="M573" s="103">
        <v>3</v>
      </c>
      <c r="N573" s="103">
        <v>3</v>
      </c>
      <c r="O573" s="103">
        <v>0</v>
      </c>
      <c r="P573" s="42"/>
      <c r="Q573" s="110"/>
      <c r="R573" s="46">
        <v>1</v>
      </c>
      <c r="S573" s="103">
        <v>1</v>
      </c>
      <c r="T573" s="103">
        <v>1</v>
      </c>
      <c r="U573" s="103">
        <v>1</v>
      </c>
      <c r="V573" s="103">
        <v>2</v>
      </c>
      <c r="W573" s="103">
        <v>0</v>
      </c>
      <c r="X573" s="103">
        <v>1</v>
      </c>
      <c r="Y573" s="103">
        <v>0</v>
      </c>
      <c r="Z573" s="103">
        <v>0</v>
      </c>
      <c r="AA573" s="103">
        <v>2</v>
      </c>
      <c r="AB573" s="103">
        <v>0</v>
      </c>
      <c r="AC573" s="42"/>
      <c r="AD573" s="110"/>
      <c r="AE573" s="46">
        <v>1</v>
      </c>
      <c r="AF573" s="103">
        <v>1</v>
      </c>
      <c r="AG573" s="103">
        <v>3</v>
      </c>
      <c r="AH573" s="103">
        <v>0</v>
      </c>
      <c r="AI573" s="103">
        <v>0</v>
      </c>
      <c r="AJ573" s="103">
        <v>0</v>
      </c>
      <c r="AK573" s="103">
        <v>1</v>
      </c>
      <c r="AL573" s="103">
        <v>0</v>
      </c>
      <c r="AM573" s="103">
        <v>3</v>
      </c>
      <c r="AN573" s="103">
        <v>1</v>
      </c>
      <c r="AO573" s="103">
        <v>0</v>
      </c>
      <c r="AP573" s="6"/>
      <c r="AQ573" s="110"/>
      <c r="AR573" s="46">
        <v>1</v>
      </c>
      <c r="AS573" s="103">
        <v>1</v>
      </c>
      <c r="AT573" s="103">
        <v>1</v>
      </c>
      <c r="AU573" s="103">
        <v>0</v>
      </c>
      <c r="AV573" s="103">
        <v>0</v>
      </c>
      <c r="AW573" s="103">
        <v>0</v>
      </c>
      <c r="AX573" s="103">
        <v>1</v>
      </c>
      <c r="AY573" s="103">
        <v>0</v>
      </c>
      <c r="AZ573" s="103">
        <v>0</v>
      </c>
      <c r="BA573" s="103">
        <v>0</v>
      </c>
      <c r="BB573" s="103">
        <v>0</v>
      </c>
      <c r="BC573" s="42"/>
      <c r="BD573" s="110"/>
      <c r="BE573" s="46">
        <v>1</v>
      </c>
      <c r="BF573" s="103">
        <v>1</v>
      </c>
      <c r="BG573" s="103">
        <v>3</v>
      </c>
      <c r="BH573" s="103">
        <v>1</v>
      </c>
      <c r="BI573" s="103">
        <v>2</v>
      </c>
      <c r="BJ573" s="103">
        <v>0</v>
      </c>
      <c r="BK573" s="103">
        <v>1</v>
      </c>
      <c r="BL573" s="103">
        <v>0</v>
      </c>
      <c r="BM573" s="103">
        <v>3</v>
      </c>
      <c r="BN573" s="103">
        <v>3</v>
      </c>
      <c r="BO573" s="103">
        <v>0</v>
      </c>
      <c r="BQ573" s="110"/>
      <c r="BR573" s="46">
        <v>1</v>
      </c>
      <c r="BS573" s="103">
        <v>0</v>
      </c>
      <c r="BT573" s="103">
        <v>2</v>
      </c>
      <c r="BU573" s="103">
        <v>0</v>
      </c>
      <c r="BV573" s="103">
        <v>0</v>
      </c>
      <c r="BW573" s="103">
        <v>0</v>
      </c>
      <c r="BX573" s="103">
        <v>0</v>
      </c>
      <c r="BY573" s="103">
        <v>0</v>
      </c>
      <c r="BZ573" s="103">
        <v>1</v>
      </c>
      <c r="CA573" s="103">
        <v>0</v>
      </c>
      <c r="CB573" s="103">
        <v>0</v>
      </c>
      <c r="CC573" s="42"/>
      <c r="CD573" s="110"/>
      <c r="CE573" s="46">
        <v>1</v>
      </c>
      <c r="CF573" s="103">
        <v>2</v>
      </c>
      <c r="CG573" s="103">
        <v>2</v>
      </c>
      <c r="CH573" s="103">
        <v>1</v>
      </c>
      <c r="CI573" s="103">
        <v>2</v>
      </c>
      <c r="CJ573" s="103">
        <v>0</v>
      </c>
      <c r="CK573" s="103">
        <v>2</v>
      </c>
      <c r="CL573" s="103">
        <v>0</v>
      </c>
      <c r="CM573" s="103">
        <v>2</v>
      </c>
      <c r="CN573" s="103">
        <v>3</v>
      </c>
      <c r="CO573" s="103">
        <v>0</v>
      </c>
      <c r="CQ573" s="110"/>
      <c r="CR573" s="46">
        <v>1</v>
      </c>
      <c r="CS573" s="103">
        <v>2</v>
      </c>
      <c r="CT573" s="103">
        <v>3</v>
      </c>
      <c r="CU573" s="103">
        <v>1</v>
      </c>
      <c r="CV573" s="103">
        <v>2</v>
      </c>
      <c r="CW573" s="103">
        <v>0</v>
      </c>
      <c r="CX573" s="103">
        <v>2</v>
      </c>
      <c r="CY573" s="103">
        <v>0</v>
      </c>
      <c r="CZ573" s="103">
        <v>3</v>
      </c>
      <c r="DA573" s="103">
        <v>3</v>
      </c>
      <c r="DB573" s="103">
        <v>0</v>
      </c>
      <c r="DC573" s="42"/>
      <c r="DD573" s="110"/>
      <c r="DE573" s="46">
        <v>1</v>
      </c>
      <c r="DF573" s="103">
        <v>0</v>
      </c>
      <c r="DG573" s="103">
        <v>1</v>
      </c>
      <c r="DH573" s="103">
        <v>0</v>
      </c>
      <c r="DI573" s="103">
        <v>0</v>
      </c>
      <c r="DJ573" s="103">
        <v>0</v>
      </c>
      <c r="DK573" s="103">
        <v>0</v>
      </c>
      <c r="DL573" s="103">
        <v>0</v>
      </c>
      <c r="DM573" s="103">
        <v>0</v>
      </c>
      <c r="DN573" s="103">
        <v>0</v>
      </c>
      <c r="DO573" s="103">
        <v>0</v>
      </c>
    </row>
    <row r="574" spans="2:119" ht="16.5" customHeight="1" x14ac:dyDescent="0.45">
      <c r="B574" s="134"/>
      <c r="C574" s="42"/>
      <c r="D574" s="110"/>
      <c r="E574" s="46" t="s">
        <v>2</v>
      </c>
      <c r="F574" s="103">
        <v>22</v>
      </c>
      <c r="G574" s="103">
        <v>95</v>
      </c>
      <c r="H574" s="103">
        <v>123</v>
      </c>
      <c r="I574" s="103">
        <v>100</v>
      </c>
      <c r="J574" s="103">
        <v>34</v>
      </c>
      <c r="K574" s="103">
        <v>32</v>
      </c>
      <c r="L574" s="103">
        <v>15</v>
      </c>
      <c r="M574" s="103">
        <v>7</v>
      </c>
      <c r="N574" s="103">
        <v>6</v>
      </c>
      <c r="O574" s="103">
        <v>10</v>
      </c>
      <c r="P574" s="42"/>
      <c r="Q574" s="110"/>
      <c r="R574" s="46" t="s">
        <v>2</v>
      </c>
      <c r="S574" s="103">
        <v>6</v>
      </c>
      <c r="T574" s="103">
        <v>45</v>
      </c>
      <c r="U574" s="103">
        <v>68</v>
      </c>
      <c r="V574" s="103">
        <v>65</v>
      </c>
      <c r="W574" s="103">
        <v>14</v>
      </c>
      <c r="X574" s="103">
        <v>22</v>
      </c>
      <c r="Y574" s="103">
        <v>9</v>
      </c>
      <c r="Z574" s="103">
        <v>5</v>
      </c>
      <c r="AA574" s="103">
        <v>4</v>
      </c>
      <c r="AB574" s="103">
        <v>6</v>
      </c>
      <c r="AC574" s="42"/>
      <c r="AD574" s="110"/>
      <c r="AE574" s="46" t="s">
        <v>2</v>
      </c>
      <c r="AF574" s="103">
        <v>16</v>
      </c>
      <c r="AG574" s="103">
        <v>50</v>
      </c>
      <c r="AH574" s="103">
        <v>55</v>
      </c>
      <c r="AI574" s="103">
        <v>35</v>
      </c>
      <c r="AJ574" s="103">
        <v>20</v>
      </c>
      <c r="AK574" s="103">
        <v>10</v>
      </c>
      <c r="AL574" s="103">
        <v>6</v>
      </c>
      <c r="AM574" s="103">
        <v>2</v>
      </c>
      <c r="AN574" s="103">
        <v>2</v>
      </c>
      <c r="AO574" s="103">
        <v>4</v>
      </c>
      <c r="AP574" s="6"/>
      <c r="AQ574" s="110"/>
      <c r="AR574" s="46" t="s">
        <v>2</v>
      </c>
      <c r="AS574" s="103">
        <v>17</v>
      </c>
      <c r="AT574" s="103">
        <v>45</v>
      </c>
      <c r="AU574" s="103">
        <v>53</v>
      </c>
      <c r="AV574" s="103">
        <v>41</v>
      </c>
      <c r="AW574" s="103">
        <v>12</v>
      </c>
      <c r="AX574" s="103">
        <v>10</v>
      </c>
      <c r="AY574" s="103">
        <v>7</v>
      </c>
      <c r="AZ574" s="103">
        <v>3</v>
      </c>
      <c r="BA574" s="103">
        <v>4</v>
      </c>
      <c r="BB574" s="103">
        <v>7</v>
      </c>
      <c r="BC574" s="42"/>
      <c r="BD574" s="110"/>
      <c r="BE574" s="46" t="s">
        <v>2</v>
      </c>
      <c r="BF574" s="103">
        <v>5</v>
      </c>
      <c r="BG574" s="103">
        <v>50</v>
      </c>
      <c r="BH574" s="103">
        <v>70</v>
      </c>
      <c r="BI574" s="103">
        <v>59</v>
      </c>
      <c r="BJ574" s="103">
        <v>22</v>
      </c>
      <c r="BK574" s="103">
        <v>22</v>
      </c>
      <c r="BL574" s="103">
        <v>8</v>
      </c>
      <c r="BM574" s="103">
        <v>4</v>
      </c>
      <c r="BN574" s="103">
        <v>2</v>
      </c>
      <c r="BO574" s="103">
        <v>3</v>
      </c>
      <c r="BQ574" s="110"/>
      <c r="BR574" s="46" t="s">
        <v>2</v>
      </c>
      <c r="BS574" s="103">
        <v>9</v>
      </c>
      <c r="BT574" s="103">
        <v>53</v>
      </c>
      <c r="BU574" s="103">
        <v>50</v>
      </c>
      <c r="BV574" s="103">
        <v>36</v>
      </c>
      <c r="BW574" s="103">
        <v>4</v>
      </c>
      <c r="BX574" s="103">
        <v>10</v>
      </c>
      <c r="BY574" s="103">
        <v>4</v>
      </c>
      <c r="BZ574" s="103">
        <v>0</v>
      </c>
      <c r="CA574" s="103">
        <v>0</v>
      </c>
      <c r="CB574" s="103">
        <v>1</v>
      </c>
      <c r="CC574" s="42"/>
      <c r="CD574" s="110"/>
      <c r="CE574" s="46" t="s">
        <v>2</v>
      </c>
      <c r="CF574" s="103">
        <v>13</v>
      </c>
      <c r="CG574" s="103">
        <v>42</v>
      </c>
      <c r="CH574" s="103">
        <v>73</v>
      </c>
      <c r="CI574" s="103">
        <v>64</v>
      </c>
      <c r="CJ574" s="103">
        <v>30</v>
      </c>
      <c r="CK574" s="103">
        <v>22</v>
      </c>
      <c r="CL574" s="103">
        <v>11</v>
      </c>
      <c r="CM574" s="103">
        <v>7</v>
      </c>
      <c r="CN574" s="103">
        <v>6</v>
      </c>
      <c r="CO574" s="103">
        <v>9</v>
      </c>
      <c r="CQ574" s="110"/>
      <c r="CR574" s="46" t="s">
        <v>2</v>
      </c>
      <c r="CS574" s="103">
        <v>8</v>
      </c>
      <c r="CT574" s="103">
        <v>32</v>
      </c>
      <c r="CU574" s="103">
        <v>53</v>
      </c>
      <c r="CV574" s="103">
        <v>73</v>
      </c>
      <c r="CW574" s="103">
        <v>30</v>
      </c>
      <c r="CX574" s="103">
        <v>29</v>
      </c>
      <c r="CY574" s="103">
        <v>15</v>
      </c>
      <c r="CZ574" s="103">
        <v>5</v>
      </c>
      <c r="DA574" s="103">
        <v>5</v>
      </c>
      <c r="DB574" s="103">
        <v>9</v>
      </c>
      <c r="DC574" s="42"/>
      <c r="DD574" s="110"/>
      <c r="DE574" s="46" t="s">
        <v>2</v>
      </c>
      <c r="DF574" s="103">
        <v>14</v>
      </c>
      <c r="DG574" s="103">
        <v>63</v>
      </c>
      <c r="DH574" s="103">
        <v>70</v>
      </c>
      <c r="DI574" s="103">
        <v>27</v>
      </c>
      <c r="DJ574" s="103">
        <v>4</v>
      </c>
      <c r="DK574" s="103">
        <v>3</v>
      </c>
      <c r="DL574" s="103">
        <v>0</v>
      </c>
      <c r="DM574" s="103">
        <v>2</v>
      </c>
      <c r="DN574" s="103">
        <v>1</v>
      </c>
      <c r="DO574" s="103">
        <v>1</v>
      </c>
    </row>
    <row r="575" spans="2:119" ht="16.5" customHeight="1" x14ac:dyDescent="0.45">
      <c r="B575" s="134"/>
      <c r="C575" s="42"/>
      <c r="D575" s="110"/>
      <c r="E575" s="46" t="s">
        <v>3</v>
      </c>
      <c r="F575" s="103">
        <v>9</v>
      </c>
      <c r="G575" s="103">
        <v>100</v>
      </c>
      <c r="H575" s="103">
        <v>135</v>
      </c>
      <c r="I575" s="103">
        <v>113</v>
      </c>
      <c r="J575" s="103">
        <v>35</v>
      </c>
      <c r="K575" s="103">
        <v>21</v>
      </c>
      <c r="L575" s="103">
        <v>6</v>
      </c>
      <c r="M575" s="103">
        <v>8</v>
      </c>
      <c r="N575" s="103">
        <v>2</v>
      </c>
      <c r="O575" s="103">
        <v>0</v>
      </c>
      <c r="P575" s="42"/>
      <c r="Q575" s="110"/>
      <c r="R575" s="46" t="s">
        <v>3</v>
      </c>
      <c r="S575" s="103">
        <v>1</v>
      </c>
      <c r="T575" s="103">
        <v>57</v>
      </c>
      <c r="U575" s="103">
        <v>81</v>
      </c>
      <c r="V575" s="103">
        <v>72</v>
      </c>
      <c r="W575" s="103">
        <v>22</v>
      </c>
      <c r="X575" s="103">
        <v>12</v>
      </c>
      <c r="Y575" s="103">
        <v>5</v>
      </c>
      <c r="Z575" s="103">
        <v>2</v>
      </c>
      <c r="AA575" s="103">
        <v>2</v>
      </c>
      <c r="AB575" s="103">
        <v>0</v>
      </c>
      <c r="AC575" s="42"/>
      <c r="AD575" s="110"/>
      <c r="AE575" s="46" t="s">
        <v>3</v>
      </c>
      <c r="AF575" s="103">
        <v>8</v>
      </c>
      <c r="AG575" s="103">
        <v>43</v>
      </c>
      <c r="AH575" s="103">
        <v>54</v>
      </c>
      <c r="AI575" s="103">
        <v>41</v>
      </c>
      <c r="AJ575" s="103">
        <v>13</v>
      </c>
      <c r="AK575" s="103">
        <v>9</v>
      </c>
      <c r="AL575" s="103">
        <v>1</v>
      </c>
      <c r="AM575" s="103">
        <v>6</v>
      </c>
      <c r="AN575" s="103">
        <v>0</v>
      </c>
      <c r="AO575" s="103">
        <v>0</v>
      </c>
      <c r="AP575" s="6"/>
      <c r="AQ575" s="110"/>
      <c r="AR575" s="46" t="s">
        <v>3</v>
      </c>
      <c r="AS575" s="103">
        <v>2</v>
      </c>
      <c r="AT575" s="103">
        <v>47</v>
      </c>
      <c r="AU575" s="103">
        <v>62</v>
      </c>
      <c r="AV575" s="103">
        <v>41</v>
      </c>
      <c r="AW575" s="103">
        <v>14</v>
      </c>
      <c r="AX575" s="103">
        <v>8</v>
      </c>
      <c r="AY575" s="103">
        <v>1</v>
      </c>
      <c r="AZ575" s="103">
        <v>3</v>
      </c>
      <c r="BA575" s="103">
        <v>2</v>
      </c>
      <c r="BB575" s="103">
        <v>0</v>
      </c>
      <c r="BC575" s="42"/>
      <c r="BD575" s="110"/>
      <c r="BE575" s="46" t="s">
        <v>3</v>
      </c>
      <c r="BF575" s="103">
        <v>7</v>
      </c>
      <c r="BG575" s="103">
        <v>53</v>
      </c>
      <c r="BH575" s="103">
        <v>73</v>
      </c>
      <c r="BI575" s="103">
        <v>72</v>
      </c>
      <c r="BJ575" s="103">
        <v>21</v>
      </c>
      <c r="BK575" s="103">
        <v>13</v>
      </c>
      <c r="BL575" s="103">
        <v>5</v>
      </c>
      <c r="BM575" s="103">
        <v>5</v>
      </c>
      <c r="BN575" s="103">
        <v>0</v>
      </c>
      <c r="BO575" s="103">
        <v>0</v>
      </c>
      <c r="BQ575" s="110"/>
      <c r="BR575" s="46" t="s">
        <v>3</v>
      </c>
      <c r="BS575" s="103">
        <v>5</v>
      </c>
      <c r="BT575" s="103">
        <v>44</v>
      </c>
      <c r="BU575" s="103">
        <v>47</v>
      </c>
      <c r="BV575" s="103">
        <v>27</v>
      </c>
      <c r="BW575" s="103">
        <v>9</v>
      </c>
      <c r="BX575" s="103">
        <v>5</v>
      </c>
      <c r="BY575" s="103">
        <v>2</v>
      </c>
      <c r="BZ575" s="103">
        <v>4</v>
      </c>
      <c r="CA575" s="103">
        <v>0</v>
      </c>
      <c r="CB575" s="103">
        <v>0</v>
      </c>
      <c r="CC575" s="42"/>
      <c r="CD575" s="110"/>
      <c r="CE575" s="46" t="s">
        <v>3</v>
      </c>
      <c r="CF575" s="103">
        <v>4</v>
      </c>
      <c r="CG575" s="103">
        <v>56</v>
      </c>
      <c r="CH575" s="103">
        <v>88</v>
      </c>
      <c r="CI575" s="103">
        <v>86</v>
      </c>
      <c r="CJ575" s="103">
        <v>26</v>
      </c>
      <c r="CK575" s="103">
        <v>16</v>
      </c>
      <c r="CL575" s="103">
        <v>4</v>
      </c>
      <c r="CM575" s="103">
        <v>4</v>
      </c>
      <c r="CN575" s="103">
        <v>2</v>
      </c>
      <c r="CO575" s="103">
        <v>0</v>
      </c>
      <c r="CQ575" s="110"/>
      <c r="CR575" s="46" t="s">
        <v>3</v>
      </c>
      <c r="CS575" s="103">
        <v>5</v>
      </c>
      <c r="CT575" s="103">
        <v>24</v>
      </c>
      <c r="CU575" s="103">
        <v>46</v>
      </c>
      <c r="CV575" s="103">
        <v>52</v>
      </c>
      <c r="CW575" s="103">
        <v>17</v>
      </c>
      <c r="CX575" s="103">
        <v>16</v>
      </c>
      <c r="CY575" s="103">
        <v>4</v>
      </c>
      <c r="CZ575" s="103">
        <v>5</v>
      </c>
      <c r="DA575" s="103">
        <v>2</v>
      </c>
      <c r="DB575" s="103">
        <v>0</v>
      </c>
      <c r="DC575" s="42"/>
      <c r="DD575" s="110"/>
      <c r="DE575" s="46" t="s">
        <v>3</v>
      </c>
      <c r="DF575" s="103">
        <v>4</v>
      </c>
      <c r="DG575" s="103">
        <v>76</v>
      </c>
      <c r="DH575" s="103">
        <v>89</v>
      </c>
      <c r="DI575" s="103">
        <v>61</v>
      </c>
      <c r="DJ575" s="103">
        <v>18</v>
      </c>
      <c r="DK575" s="103">
        <v>5</v>
      </c>
      <c r="DL575" s="103">
        <v>2</v>
      </c>
      <c r="DM575" s="103">
        <v>3</v>
      </c>
      <c r="DN575" s="103">
        <v>0</v>
      </c>
      <c r="DO575" s="103">
        <v>0</v>
      </c>
    </row>
    <row r="576" spans="2:119" ht="16.5" customHeight="1" x14ac:dyDescent="0.45">
      <c r="B576" s="134"/>
      <c r="C576" s="42"/>
      <c r="D576" s="110"/>
      <c r="E576" s="46" t="s">
        <v>4</v>
      </c>
      <c r="F576" s="103">
        <v>12</v>
      </c>
      <c r="G576" s="103">
        <v>104</v>
      </c>
      <c r="H576" s="103">
        <v>254</v>
      </c>
      <c r="I576" s="103">
        <v>246</v>
      </c>
      <c r="J576" s="103">
        <v>77</v>
      </c>
      <c r="K576" s="103">
        <v>52</v>
      </c>
      <c r="L576" s="103">
        <v>20</v>
      </c>
      <c r="M576" s="103">
        <v>11</v>
      </c>
      <c r="N576" s="103">
        <v>7</v>
      </c>
      <c r="O576" s="103">
        <v>5</v>
      </c>
      <c r="P576" s="42"/>
      <c r="Q576" s="110"/>
      <c r="R576" s="46" t="s">
        <v>4</v>
      </c>
      <c r="S576" s="103">
        <v>5</v>
      </c>
      <c r="T576" s="103">
        <v>53</v>
      </c>
      <c r="U576" s="103">
        <v>160</v>
      </c>
      <c r="V576" s="103">
        <v>165</v>
      </c>
      <c r="W576" s="103">
        <v>57</v>
      </c>
      <c r="X576" s="103">
        <v>35</v>
      </c>
      <c r="Y576" s="103">
        <v>14</v>
      </c>
      <c r="Z576" s="103">
        <v>9</v>
      </c>
      <c r="AA576" s="103">
        <v>6</v>
      </c>
      <c r="AB576" s="103">
        <v>5</v>
      </c>
      <c r="AC576" s="42"/>
      <c r="AD576" s="110"/>
      <c r="AE576" s="46" t="s">
        <v>4</v>
      </c>
      <c r="AF576" s="103">
        <v>7</v>
      </c>
      <c r="AG576" s="103">
        <v>51</v>
      </c>
      <c r="AH576" s="103">
        <v>94</v>
      </c>
      <c r="AI576" s="103">
        <v>81</v>
      </c>
      <c r="AJ576" s="103">
        <v>20</v>
      </c>
      <c r="AK576" s="103">
        <v>17</v>
      </c>
      <c r="AL576" s="103">
        <v>6</v>
      </c>
      <c r="AM576" s="103">
        <v>2</v>
      </c>
      <c r="AN576" s="103">
        <v>1</v>
      </c>
      <c r="AO576" s="103">
        <v>0</v>
      </c>
      <c r="AP576" s="6"/>
      <c r="AQ576" s="110"/>
      <c r="AR576" s="46" t="s">
        <v>4</v>
      </c>
      <c r="AS576" s="103">
        <v>7</v>
      </c>
      <c r="AT576" s="103">
        <v>53</v>
      </c>
      <c r="AU576" s="103">
        <v>102</v>
      </c>
      <c r="AV576" s="103">
        <v>80</v>
      </c>
      <c r="AW576" s="103">
        <v>24</v>
      </c>
      <c r="AX576" s="103">
        <v>18</v>
      </c>
      <c r="AY576" s="103">
        <v>5</v>
      </c>
      <c r="AZ576" s="103">
        <v>5</v>
      </c>
      <c r="BA576" s="103">
        <v>3</v>
      </c>
      <c r="BB576" s="103">
        <v>4</v>
      </c>
      <c r="BC576" s="42"/>
      <c r="BD576" s="110"/>
      <c r="BE576" s="46" t="s">
        <v>4</v>
      </c>
      <c r="BF576" s="103">
        <v>5</v>
      </c>
      <c r="BG576" s="103">
        <v>51</v>
      </c>
      <c r="BH576" s="103">
        <v>152</v>
      </c>
      <c r="BI576" s="103">
        <v>166</v>
      </c>
      <c r="BJ576" s="103">
        <v>53</v>
      </c>
      <c r="BK576" s="103">
        <v>34</v>
      </c>
      <c r="BL576" s="103">
        <v>15</v>
      </c>
      <c r="BM576" s="103">
        <v>6</v>
      </c>
      <c r="BN576" s="103">
        <v>4</v>
      </c>
      <c r="BO576" s="103">
        <v>1</v>
      </c>
      <c r="BQ576" s="110"/>
      <c r="BR576" s="46" t="s">
        <v>4</v>
      </c>
      <c r="BS576" s="103">
        <v>6</v>
      </c>
      <c r="BT576" s="103">
        <v>44</v>
      </c>
      <c r="BU576" s="103">
        <v>72</v>
      </c>
      <c r="BV576" s="103">
        <v>51</v>
      </c>
      <c r="BW576" s="103">
        <v>20</v>
      </c>
      <c r="BX576" s="103">
        <v>9</v>
      </c>
      <c r="BY576" s="103">
        <v>1</v>
      </c>
      <c r="BZ576" s="103">
        <v>2</v>
      </c>
      <c r="CA576" s="103">
        <v>0</v>
      </c>
      <c r="CB576" s="103">
        <v>1</v>
      </c>
      <c r="CC576" s="42"/>
      <c r="CD576" s="110"/>
      <c r="CE576" s="46" t="s">
        <v>4</v>
      </c>
      <c r="CF576" s="103">
        <v>6</v>
      </c>
      <c r="CG576" s="103">
        <v>60</v>
      </c>
      <c r="CH576" s="103">
        <v>182</v>
      </c>
      <c r="CI576" s="103">
        <v>195</v>
      </c>
      <c r="CJ576" s="103">
        <v>57</v>
      </c>
      <c r="CK576" s="103">
        <v>43</v>
      </c>
      <c r="CL576" s="103">
        <v>19</v>
      </c>
      <c r="CM576" s="103">
        <v>9</v>
      </c>
      <c r="CN576" s="103">
        <v>7</v>
      </c>
      <c r="CO576" s="103">
        <v>4</v>
      </c>
      <c r="CQ576" s="110"/>
      <c r="CR576" s="46" t="s">
        <v>4</v>
      </c>
      <c r="CS576" s="103">
        <v>3</v>
      </c>
      <c r="CT576" s="103">
        <v>18</v>
      </c>
      <c r="CU576" s="103">
        <v>69</v>
      </c>
      <c r="CV576" s="103">
        <v>102</v>
      </c>
      <c r="CW576" s="103">
        <v>41</v>
      </c>
      <c r="CX576" s="103">
        <v>36</v>
      </c>
      <c r="CY576" s="103">
        <v>17</v>
      </c>
      <c r="CZ576" s="103">
        <v>8</v>
      </c>
      <c r="DA576" s="103">
        <v>7</v>
      </c>
      <c r="DB576" s="103">
        <v>5</v>
      </c>
      <c r="DC576" s="42"/>
      <c r="DD576" s="110"/>
      <c r="DE576" s="46" t="s">
        <v>4</v>
      </c>
      <c r="DF576" s="103">
        <v>9</v>
      </c>
      <c r="DG576" s="103">
        <v>86</v>
      </c>
      <c r="DH576" s="103">
        <v>185</v>
      </c>
      <c r="DI576" s="103">
        <v>144</v>
      </c>
      <c r="DJ576" s="103">
        <v>36</v>
      </c>
      <c r="DK576" s="103">
        <v>16</v>
      </c>
      <c r="DL576" s="103">
        <v>3</v>
      </c>
      <c r="DM576" s="103">
        <v>3</v>
      </c>
      <c r="DN576" s="103">
        <v>0</v>
      </c>
      <c r="DO576" s="103">
        <v>0</v>
      </c>
    </row>
    <row r="577" spans="2:119" ht="16.5" customHeight="1" x14ac:dyDescent="0.45">
      <c r="B577" s="134"/>
      <c r="C577" s="42"/>
      <c r="D577" s="110"/>
      <c r="E577" s="46" t="s">
        <v>5</v>
      </c>
      <c r="F577" s="103">
        <v>41</v>
      </c>
      <c r="G577" s="103">
        <v>228</v>
      </c>
      <c r="H577" s="103">
        <v>524</v>
      </c>
      <c r="I577" s="103">
        <v>606</v>
      </c>
      <c r="J577" s="103">
        <v>217</v>
      </c>
      <c r="K577" s="103">
        <v>159</v>
      </c>
      <c r="L577" s="103">
        <v>30</v>
      </c>
      <c r="M577" s="103">
        <v>29</v>
      </c>
      <c r="N577" s="103">
        <v>15</v>
      </c>
      <c r="O577" s="103">
        <v>6</v>
      </c>
      <c r="P577" s="42"/>
      <c r="Q577" s="110"/>
      <c r="R577" s="46" t="s">
        <v>5</v>
      </c>
      <c r="S577" s="103">
        <v>19</v>
      </c>
      <c r="T577" s="103">
        <v>111</v>
      </c>
      <c r="U577" s="103">
        <v>323</v>
      </c>
      <c r="V577" s="103">
        <v>421</v>
      </c>
      <c r="W577" s="103">
        <v>171</v>
      </c>
      <c r="X577" s="103">
        <v>114</v>
      </c>
      <c r="Y577" s="103">
        <v>13</v>
      </c>
      <c r="Z577" s="103">
        <v>15</v>
      </c>
      <c r="AA577" s="103">
        <v>10</v>
      </c>
      <c r="AB577" s="103">
        <v>3</v>
      </c>
      <c r="AC577" s="42"/>
      <c r="AD577" s="110"/>
      <c r="AE577" s="46" t="s">
        <v>5</v>
      </c>
      <c r="AF577" s="103">
        <v>22</v>
      </c>
      <c r="AG577" s="103">
        <v>117</v>
      </c>
      <c r="AH577" s="103">
        <v>201</v>
      </c>
      <c r="AI577" s="103">
        <v>185</v>
      </c>
      <c r="AJ577" s="103">
        <v>46</v>
      </c>
      <c r="AK577" s="103">
        <v>45</v>
      </c>
      <c r="AL577" s="103">
        <v>17</v>
      </c>
      <c r="AM577" s="103">
        <v>14</v>
      </c>
      <c r="AN577" s="103">
        <v>5</v>
      </c>
      <c r="AO577" s="103">
        <v>3</v>
      </c>
      <c r="AP577" s="6"/>
      <c r="AQ577" s="110"/>
      <c r="AR577" s="46" t="s">
        <v>5</v>
      </c>
      <c r="AS577" s="103">
        <v>15</v>
      </c>
      <c r="AT577" s="103">
        <v>106</v>
      </c>
      <c r="AU577" s="103">
        <v>198</v>
      </c>
      <c r="AV577" s="103">
        <v>198</v>
      </c>
      <c r="AW577" s="103">
        <v>74</v>
      </c>
      <c r="AX577" s="103">
        <v>52</v>
      </c>
      <c r="AY577" s="103">
        <v>13</v>
      </c>
      <c r="AZ577" s="103">
        <v>10</v>
      </c>
      <c r="BA577" s="103">
        <v>5</v>
      </c>
      <c r="BB577" s="103">
        <v>3</v>
      </c>
      <c r="BC577" s="42"/>
      <c r="BD577" s="110"/>
      <c r="BE577" s="46" t="s">
        <v>5</v>
      </c>
      <c r="BF577" s="103">
        <v>26</v>
      </c>
      <c r="BG577" s="103">
        <v>122</v>
      </c>
      <c r="BH577" s="103">
        <v>326</v>
      </c>
      <c r="BI577" s="103">
        <v>408</v>
      </c>
      <c r="BJ577" s="103">
        <v>143</v>
      </c>
      <c r="BK577" s="103">
        <v>107</v>
      </c>
      <c r="BL577" s="103">
        <v>17</v>
      </c>
      <c r="BM577" s="103">
        <v>19</v>
      </c>
      <c r="BN577" s="103">
        <v>10</v>
      </c>
      <c r="BO577" s="103">
        <v>3</v>
      </c>
      <c r="BQ577" s="110"/>
      <c r="BR577" s="46" t="s">
        <v>5</v>
      </c>
      <c r="BS577" s="103">
        <v>10</v>
      </c>
      <c r="BT577" s="103">
        <v>61</v>
      </c>
      <c r="BU577" s="103">
        <v>115</v>
      </c>
      <c r="BV577" s="103">
        <v>122</v>
      </c>
      <c r="BW577" s="103">
        <v>34</v>
      </c>
      <c r="BX577" s="103">
        <v>32</v>
      </c>
      <c r="BY577" s="103">
        <v>7</v>
      </c>
      <c r="BZ577" s="103">
        <v>3</v>
      </c>
      <c r="CA577" s="103">
        <v>3</v>
      </c>
      <c r="CB577" s="103">
        <v>2</v>
      </c>
      <c r="CC577" s="42"/>
      <c r="CD577" s="110"/>
      <c r="CE577" s="46" t="s">
        <v>5</v>
      </c>
      <c r="CF577" s="103">
        <v>31</v>
      </c>
      <c r="CG577" s="103">
        <v>167</v>
      </c>
      <c r="CH577" s="103">
        <v>409</v>
      </c>
      <c r="CI577" s="103">
        <v>484</v>
      </c>
      <c r="CJ577" s="103">
        <v>183</v>
      </c>
      <c r="CK577" s="103">
        <v>127</v>
      </c>
      <c r="CL577" s="103">
        <v>23</v>
      </c>
      <c r="CM577" s="103">
        <v>26</v>
      </c>
      <c r="CN577" s="103">
        <v>12</v>
      </c>
      <c r="CO577" s="103">
        <v>4</v>
      </c>
      <c r="CQ577" s="110"/>
      <c r="CR577" s="46" t="s">
        <v>5</v>
      </c>
      <c r="CS577" s="103">
        <v>17</v>
      </c>
      <c r="CT577" s="103">
        <v>40</v>
      </c>
      <c r="CU577" s="103">
        <v>101</v>
      </c>
      <c r="CV577" s="103">
        <v>178</v>
      </c>
      <c r="CW577" s="103">
        <v>79</v>
      </c>
      <c r="CX577" s="103">
        <v>75</v>
      </c>
      <c r="CY577" s="103">
        <v>18</v>
      </c>
      <c r="CZ577" s="103">
        <v>24</v>
      </c>
      <c r="DA577" s="103">
        <v>11</v>
      </c>
      <c r="DB577" s="103">
        <v>5</v>
      </c>
      <c r="DC577" s="42"/>
      <c r="DD577" s="110"/>
      <c r="DE577" s="46" t="s">
        <v>5</v>
      </c>
      <c r="DF577" s="103">
        <v>24</v>
      </c>
      <c r="DG577" s="103">
        <v>188</v>
      </c>
      <c r="DH577" s="103">
        <v>423</v>
      </c>
      <c r="DI577" s="103">
        <v>428</v>
      </c>
      <c r="DJ577" s="103">
        <v>138</v>
      </c>
      <c r="DK577" s="103">
        <v>84</v>
      </c>
      <c r="DL577" s="103">
        <v>12</v>
      </c>
      <c r="DM577" s="103">
        <v>5</v>
      </c>
      <c r="DN577" s="103">
        <v>4</v>
      </c>
      <c r="DO577" s="103">
        <v>1</v>
      </c>
    </row>
    <row r="578" spans="2:119" ht="16.5" customHeight="1" x14ac:dyDescent="0.45">
      <c r="B578" s="134"/>
      <c r="C578" s="42"/>
      <c r="D578" s="110"/>
      <c r="E578" s="46" t="s">
        <v>6</v>
      </c>
      <c r="F578" s="103">
        <v>67</v>
      </c>
      <c r="G578" s="103">
        <v>433</v>
      </c>
      <c r="H578" s="103">
        <v>1198</v>
      </c>
      <c r="I578" s="103">
        <v>1829</v>
      </c>
      <c r="J578" s="103">
        <v>814</v>
      </c>
      <c r="K578" s="103">
        <v>568</v>
      </c>
      <c r="L578" s="103">
        <v>112</v>
      </c>
      <c r="M578" s="103">
        <v>86</v>
      </c>
      <c r="N578" s="103">
        <v>40</v>
      </c>
      <c r="O578" s="103">
        <v>15</v>
      </c>
      <c r="P578" s="42"/>
      <c r="Q578" s="110"/>
      <c r="R578" s="46" t="s">
        <v>6</v>
      </c>
      <c r="S578" s="103">
        <v>29</v>
      </c>
      <c r="T578" s="103">
        <v>187</v>
      </c>
      <c r="U578" s="103">
        <v>659</v>
      </c>
      <c r="V578" s="103">
        <v>1209</v>
      </c>
      <c r="W578" s="103">
        <v>588</v>
      </c>
      <c r="X578" s="103">
        <v>420</v>
      </c>
      <c r="Y578" s="103">
        <v>80</v>
      </c>
      <c r="Z578" s="103">
        <v>62</v>
      </c>
      <c r="AA578" s="103">
        <v>29</v>
      </c>
      <c r="AB578" s="103">
        <v>11</v>
      </c>
      <c r="AC578" s="42"/>
      <c r="AD578" s="110"/>
      <c r="AE578" s="46" t="s">
        <v>6</v>
      </c>
      <c r="AF578" s="103">
        <v>38</v>
      </c>
      <c r="AG578" s="103">
        <v>246</v>
      </c>
      <c r="AH578" s="103">
        <v>539</v>
      </c>
      <c r="AI578" s="103">
        <v>620</v>
      </c>
      <c r="AJ578" s="103">
        <v>226</v>
      </c>
      <c r="AK578" s="103">
        <v>148</v>
      </c>
      <c r="AL578" s="103">
        <v>32</v>
      </c>
      <c r="AM578" s="103">
        <v>24</v>
      </c>
      <c r="AN578" s="103">
        <v>11</v>
      </c>
      <c r="AO578" s="103">
        <v>4</v>
      </c>
      <c r="AP578" s="6"/>
      <c r="AQ578" s="110"/>
      <c r="AR578" s="46" t="s">
        <v>6</v>
      </c>
      <c r="AS578" s="103">
        <v>27</v>
      </c>
      <c r="AT578" s="103">
        <v>184</v>
      </c>
      <c r="AU578" s="103">
        <v>422</v>
      </c>
      <c r="AV578" s="103">
        <v>557</v>
      </c>
      <c r="AW578" s="103">
        <v>241</v>
      </c>
      <c r="AX578" s="103">
        <v>165</v>
      </c>
      <c r="AY578" s="103">
        <v>29</v>
      </c>
      <c r="AZ578" s="103">
        <v>32</v>
      </c>
      <c r="BA578" s="103">
        <v>20</v>
      </c>
      <c r="BB578" s="103">
        <v>6</v>
      </c>
      <c r="BC578" s="42"/>
      <c r="BD578" s="110"/>
      <c r="BE578" s="46" t="s">
        <v>6</v>
      </c>
      <c r="BF578" s="103">
        <v>40</v>
      </c>
      <c r="BG578" s="103">
        <v>249</v>
      </c>
      <c r="BH578" s="103">
        <v>776</v>
      </c>
      <c r="BI578" s="103">
        <v>1272</v>
      </c>
      <c r="BJ578" s="103">
        <v>573</v>
      </c>
      <c r="BK578" s="103">
        <v>403</v>
      </c>
      <c r="BL578" s="103">
        <v>83</v>
      </c>
      <c r="BM578" s="103">
        <v>54</v>
      </c>
      <c r="BN578" s="103">
        <v>20</v>
      </c>
      <c r="BO578" s="103">
        <v>9</v>
      </c>
      <c r="BQ578" s="110"/>
      <c r="BR578" s="46" t="s">
        <v>6</v>
      </c>
      <c r="BS578" s="103">
        <v>11</v>
      </c>
      <c r="BT578" s="103">
        <v>61</v>
      </c>
      <c r="BU578" s="103">
        <v>178</v>
      </c>
      <c r="BV578" s="103">
        <v>195</v>
      </c>
      <c r="BW578" s="103">
        <v>80</v>
      </c>
      <c r="BX578" s="103">
        <v>45</v>
      </c>
      <c r="BY578" s="103">
        <v>9</v>
      </c>
      <c r="BZ578" s="103">
        <v>10</v>
      </c>
      <c r="CA578" s="103">
        <v>4</v>
      </c>
      <c r="CB578" s="103">
        <v>2</v>
      </c>
      <c r="CC578" s="42"/>
      <c r="CD578" s="110"/>
      <c r="CE578" s="46" t="s">
        <v>6</v>
      </c>
      <c r="CF578" s="103">
        <v>56</v>
      </c>
      <c r="CG578" s="103">
        <v>372</v>
      </c>
      <c r="CH578" s="103">
        <v>1020</v>
      </c>
      <c r="CI578" s="103">
        <v>1634</v>
      </c>
      <c r="CJ578" s="103">
        <v>734</v>
      </c>
      <c r="CK578" s="103">
        <v>523</v>
      </c>
      <c r="CL578" s="103">
        <v>103</v>
      </c>
      <c r="CM578" s="103">
        <v>76</v>
      </c>
      <c r="CN578" s="103">
        <v>36</v>
      </c>
      <c r="CO578" s="103">
        <v>13</v>
      </c>
      <c r="CQ578" s="110"/>
      <c r="CR578" s="46" t="s">
        <v>6</v>
      </c>
      <c r="CS578" s="103">
        <v>19</v>
      </c>
      <c r="CT578" s="103">
        <v>61</v>
      </c>
      <c r="CU578" s="103">
        <v>205</v>
      </c>
      <c r="CV578" s="103">
        <v>402</v>
      </c>
      <c r="CW578" s="103">
        <v>255</v>
      </c>
      <c r="CX578" s="103">
        <v>218</v>
      </c>
      <c r="CY578" s="103">
        <v>60</v>
      </c>
      <c r="CZ578" s="103">
        <v>55</v>
      </c>
      <c r="DA578" s="103">
        <v>32</v>
      </c>
      <c r="DB578" s="103">
        <v>10</v>
      </c>
      <c r="DC578" s="42"/>
      <c r="DD578" s="110"/>
      <c r="DE578" s="46" t="s">
        <v>6</v>
      </c>
      <c r="DF578" s="103">
        <v>48</v>
      </c>
      <c r="DG578" s="103">
        <v>372</v>
      </c>
      <c r="DH578" s="103">
        <v>993</v>
      </c>
      <c r="DI578" s="103">
        <v>1427</v>
      </c>
      <c r="DJ578" s="103">
        <v>559</v>
      </c>
      <c r="DK578" s="103">
        <v>350</v>
      </c>
      <c r="DL578" s="103">
        <v>52</v>
      </c>
      <c r="DM578" s="103">
        <v>31</v>
      </c>
      <c r="DN578" s="103">
        <v>8</v>
      </c>
      <c r="DO578" s="103">
        <v>5</v>
      </c>
    </row>
    <row r="579" spans="2:119" ht="16.5" customHeight="1" x14ac:dyDescent="0.45">
      <c r="B579" s="134"/>
      <c r="C579" s="42"/>
      <c r="D579" s="110"/>
      <c r="E579" s="46" t="s">
        <v>7</v>
      </c>
      <c r="F579" s="103">
        <v>176</v>
      </c>
      <c r="G579" s="103">
        <v>595</v>
      </c>
      <c r="H579" s="103">
        <v>2131</v>
      </c>
      <c r="I579" s="103">
        <v>4333</v>
      </c>
      <c r="J579" s="103">
        <v>2343</v>
      </c>
      <c r="K579" s="103">
        <v>1795</v>
      </c>
      <c r="L579" s="103">
        <v>435</v>
      </c>
      <c r="M579" s="103">
        <v>276</v>
      </c>
      <c r="N579" s="103">
        <v>164</v>
      </c>
      <c r="O579" s="103">
        <v>42</v>
      </c>
      <c r="P579" s="42"/>
      <c r="Q579" s="110"/>
      <c r="R579" s="46" t="s">
        <v>7</v>
      </c>
      <c r="S579" s="103">
        <v>105</v>
      </c>
      <c r="T579" s="103">
        <v>208</v>
      </c>
      <c r="U579" s="103">
        <v>1071</v>
      </c>
      <c r="V579" s="103">
        <v>2693</v>
      </c>
      <c r="W579" s="103">
        <v>1656</v>
      </c>
      <c r="X579" s="103">
        <v>1300</v>
      </c>
      <c r="Y579" s="103">
        <v>346</v>
      </c>
      <c r="Z579" s="103">
        <v>192</v>
      </c>
      <c r="AA579" s="103">
        <v>115</v>
      </c>
      <c r="AB579" s="103">
        <v>24</v>
      </c>
      <c r="AC579" s="42"/>
      <c r="AD579" s="110"/>
      <c r="AE579" s="46" t="s">
        <v>7</v>
      </c>
      <c r="AF579" s="103">
        <v>71</v>
      </c>
      <c r="AG579" s="103">
        <v>387</v>
      </c>
      <c r="AH579" s="103">
        <v>1060</v>
      </c>
      <c r="AI579" s="103">
        <v>1640</v>
      </c>
      <c r="AJ579" s="103">
        <v>687</v>
      </c>
      <c r="AK579" s="103">
        <v>495</v>
      </c>
      <c r="AL579" s="103">
        <v>89</v>
      </c>
      <c r="AM579" s="103">
        <v>84</v>
      </c>
      <c r="AN579" s="103">
        <v>49</v>
      </c>
      <c r="AO579" s="103">
        <v>18</v>
      </c>
      <c r="AP579" s="6"/>
      <c r="AQ579" s="110"/>
      <c r="AR579" s="46" t="s">
        <v>7</v>
      </c>
      <c r="AS579" s="103">
        <v>64</v>
      </c>
      <c r="AT579" s="103">
        <v>235</v>
      </c>
      <c r="AU579" s="103">
        <v>723</v>
      </c>
      <c r="AV579" s="103">
        <v>1195</v>
      </c>
      <c r="AW579" s="103">
        <v>601</v>
      </c>
      <c r="AX579" s="103">
        <v>454</v>
      </c>
      <c r="AY579" s="103">
        <v>123</v>
      </c>
      <c r="AZ579" s="103">
        <v>82</v>
      </c>
      <c r="BA579" s="103">
        <v>50</v>
      </c>
      <c r="BB579" s="103">
        <v>14</v>
      </c>
      <c r="BC579" s="42"/>
      <c r="BD579" s="110"/>
      <c r="BE579" s="46" t="s">
        <v>7</v>
      </c>
      <c r="BF579" s="103">
        <v>112</v>
      </c>
      <c r="BG579" s="103">
        <v>360</v>
      </c>
      <c r="BH579" s="103">
        <v>1408</v>
      </c>
      <c r="BI579" s="103">
        <v>3138</v>
      </c>
      <c r="BJ579" s="103">
        <v>1742</v>
      </c>
      <c r="BK579" s="103">
        <v>1341</v>
      </c>
      <c r="BL579" s="103">
        <v>312</v>
      </c>
      <c r="BM579" s="103">
        <v>194</v>
      </c>
      <c r="BN579" s="103">
        <v>114</v>
      </c>
      <c r="BO579" s="103">
        <v>28</v>
      </c>
      <c r="BQ579" s="110"/>
      <c r="BR579" s="46" t="s">
        <v>7</v>
      </c>
      <c r="BS579" s="103">
        <v>19</v>
      </c>
      <c r="BT579" s="103">
        <v>99</v>
      </c>
      <c r="BU579" s="103">
        <v>210</v>
      </c>
      <c r="BV579" s="103">
        <v>299</v>
      </c>
      <c r="BW579" s="103">
        <v>128</v>
      </c>
      <c r="BX579" s="103">
        <v>91</v>
      </c>
      <c r="BY579" s="103">
        <v>26</v>
      </c>
      <c r="BZ579" s="103">
        <v>18</v>
      </c>
      <c r="CA579" s="103">
        <v>10</v>
      </c>
      <c r="CB579" s="103">
        <v>2</v>
      </c>
      <c r="CC579" s="42"/>
      <c r="CD579" s="110"/>
      <c r="CE579" s="46" t="s">
        <v>7</v>
      </c>
      <c r="CF579" s="103">
        <v>157</v>
      </c>
      <c r="CG579" s="103">
        <v>496</v>
      </c>
      <c r="CH579" s="103">
        <v>1921</v>
      </c>
      <c r="CI579" s="103">
        <v>4034</v>
      </c>
      <c r="CJ579" s="103">
        <v>2215</v>
      </c>
      <c r="CK579" s="103">
        <v>1704</v>
      </c>
      <c r="CL579" s="103">
        <v>409</v>
      </c>
      <c r="CM579" s="103">
        <v>258</v>
      </c>
      <c r="CN579" s="103">
        <v>154</v>
      </c>
      <c r="CO579" s="103">
        <v>40</v>
      </c>
      <c r="CQ579" s="110"/>
      <c r="CR579" s="46" t="s">
        <v>7</v>
      </c>
      <c r="CS579" s="103">
        <v>44</v>
      </c>
      <c r="CT579" s="103">
        <v>95</v>
      </c>
      <c r="CU579" s="103">
        <v>339</v>
      </c>
      <c r="CV579" s="103">
        <v>787</v>
      </c>
      <c r="CW579" s="103">
        <v>534</v>
      </c>
      <c r="CX579" s="103">
        <v>510</v>
      </c>
      <c r="CY579" s="103">
        <v>195</v>
      </c>
      <c r="CZ579" s="103">
        <v>125</v>
      </c>
      <c r="DA579" s="103">
        <v>97</v>
      </c>
      <c r="DB579" s="103">
        <v>24</v>
      </c>
      <c r="DC579" s="42"/>
      <c r="DD579" s="110"/>
      <c r="DE579" s="46" t="s">
        <v>7</v>
      </c>
      <c r="DF579" s="103">
        <v>132</v>
      </c>
      <c r="DG579" s="103">
        <v>500</v>
      </c>
      <c r="DH579" s="103">
        <v>1792</v>
      </c>
      <c r="DI579" s="103">
        <v>3546</v>
      </c>
      <c r="DJ579" s="103">
        <v>1809</v>
      </c>
      <c r="DK579" s="103">
        <v>1285</v>
      </c>
      <c r="DL579" s="103">
        <v>240</v>
      </c>
      <c r="DM579" s="103">
        <v>151</v>
      </c>
      <c r="DN579" s="103">
        <v>67</v>
      </c>
      <c r="DO579" s="103">
        <v>18</v>
      </c>
    </row>
    <row r="580" spans="2:119" ht="16.5" customHeight="1" x14ac:dyDescent="0.45">
      <c r="B580" s="134"/>
      <c r="C580" s="42"/>
      <c r="D580" s="110"/>
      <c r="E580" s="46" t="s">
        <v>8</v>
      </c>
      <c r="F580" s="103">
        <v>347</v>
      </c>
      <c r="G580" s="103">
        <v>542</v>
      </c>
      <c r="H580" s="103">
        <v>2291</v>
      </c>
      <c r="I580" s="103">
        <v>6233</v>
      </c>
      <c r="J580" s="103">
        <v>4567</v>
      </c>
      <c r="K580" s="103">
        <v>4341</v>
      </c>
      <c r="L580" s="103">
        <v>1376</v>
      </c>
      <c r="M580" s="103">
        <v>951</v>
      </c>
      <c r="N580" s="103">
        <v>406</v>
      </c>
      <c r="O580" s="103">
        <v>158</v>
      </c>
      <c r="P580" s="42"/>
      <c r="Q580" s="110"/>
      <c r="R580" s="46" t="s">
        <v>8</v>
      </c>
      <c r="S580" s="103">
        <v>211</v>
      </c>
      <c r="T580" s="103">
        <v>143</v>
      </c>
      <c r="U580" s="103">
        <v>959</v>
      </c>
      <c r="V580" s="103">
        <v>3426</v>
      </c>
      <c r="W580" s="103">
        <v>2953</v>
      </c>
      <c r="X580" s="103">
        <v>3107</v>
      </c>
      <c r="Y580" s="103">
        <v>1057</v>
      </c>
      <c r="Z580" s="103">
        <v>722</v>
      </c>
      <c r="AA580" s="103">
        <v>295</v>
      </c>
      <c r="AB580" s="103">
        <v>107</v>
      </c>
      <c r="AC580" s="42"/>
      <c r="AD580" s="110"/>
      <c r="AE580" s="46" t="s">
        <v>8</v>
      </c>
      <c r="AF580" s="103">
        <v>136</v>
      </c>
      <c r="AG580" s="103">
        <v>399</v>
      </c>
      <c r="AH580" s="103">
        <v>1332</v>
      </c>
      <c r="AI580" s="103">
        <v>2807</v>
      </c>
      <c r="AJ580" s="103">
        <v>1614</v>
      </c>
      <c r="AK580" s="103">
        <v>1234</v>
      </c>
      <c r="AL580" s="103">
        <v>319</v>
      </c>
      <c r="AM580" s="103">
        <v>229</v>
      </c>
      <c r="AN580" s="103">
        <v>111</v>
      </c>
      <c r="AO580" s="103">
        <v>51</v>
      </c>
      <c r="AP580" s="6"/>
      <c r="AQ580" s="110"/>
      <c r="AR580" s="46" t="s">
        <v>8</v>
      </c>
      <c r="AS580" s="103">
        <v>88</v>
      </c>
      <c r="AT580" s="103">
        <v>211</v>
      </c>
      <c r="AU580" s="103">
        <v>676</v>
      </c>
      <c r="AV580" s="103">
        <v>1556</v>
      </c>
      <c r="AW580" s="103">
        <v>970</v>
      </c>
      <c r="AX580" s="103">
        <v>842</v>
      </c>
      <c r="AY580" s="103">
        <v>296</v>
      </c>
      <c r="AZ580" s="103">
        <v>215</v>
      </c>
      <c r="BA580" s="103">
        <v>107</v>
      </c>
      <c r="BB580" s="103">
        <v>35</v>
      </c>
      <c r="BC580" s="42"/>
      <c r="BD580" s="110"/>
      <c r="BE580" s="46" t="s">
        <v>8</v>
      </c>
      <c r="BF580" s="103">
        <v>259</v>
      </c>
      <c r="BG580" s="103">
        <v>331</v>
      </c>
      <c r="BH580" s="103">
        <v>1615</v>
      </c>
      <c r="BI580" s="103">
        <v>4677</v>
      </c>
      <c r="BJ580" s="103">
        <v>3597</v>
      </c>
      <c r="BK580" s="103">
        <v>3499</v>
      </c>
      <c r="BL580" s="103">
        <v>1080</v>
      </c>
      <c r="BM580" s="103">
        <v>736</v>
      </c>
      <c r="BN580" s="103">
        <v>299</v>
      </c>
      <c r="BO580" s="103">
        <v>123</v>
      </c>
      <c r="BQ580" s="110"/>
      <c r="BR580" s="46" t="s">
        <v>8</v>
      </c>
      <c r="BS580" s="103">
        <v>19</v>
      </c>
      <c r="BT580" s="103">
        <v>52</v>
      </c>
      <c r="BU580" s="103">
        <v>181</v>
      </c>
      <c r="BV580" s="103">
        <v>345</v>
      </c>
      <c r="BW580" s="103">
        <v>163</v>
      </c>
      <c r="BX580" s="103">
        <v>154</v>
      </c>
      <c r="BY580" s="103">
        <v>49</v>
      </c>
      <c r="BZ580" s="103">
        <v>44</v>
      </c>
      <c r="CA580" s="103">
        <v>16</v>
      </c>
      <c r="CB580" s="103">
        <v>8</v>
      </c>
      <c r="CC580" s="42"/>
      <c r="CD580" s="110"/>
      <c r="CE580" s="46" t="s">
        <v>8</v>
      </c>
      <c r="CF580" s="103">
        <v>328</v>
      </c>
      <c r="CG580" s="103">
        <v>490</v>
      </c>
      <c r="CH580" s="103">
        <v>2110</v>
      </c>
      <c r="CI580" s="103">
        <v>5888</v>
      </c>
      <c r="CJ580" s="103">
        <v>4404</v>
      </c>
      <c r="CK580" s="103">
        <v>4187</v>
      </c>
      <c r="CL580" s="103">
        <v>1327</v>
      </c>
      <c r="CM580" s="103">
        <v>907</v>
      </c>
      <c r="CN580" s="103">
        <v>390</v>
      </c>
      <c r="CO580" s="103">
        <v>150</v>
      </c>
      <c r="CQ580" s="110"/>
      <c r="CR580" s="46" t="s">
        <v>8</v>
      </c>
      <c r="CS580" s="103">
        <v>64</v>
      </c>
      <c r="CT580" s="103">
        <v>83</v>
      </c>
      <c r="CU580" s="103">
        <v>331</v>
      </c>
      <c r="CV580" s="103">
        <v>871</v>
      </c>
      <c r="CW580" s="103">
        <v>777</v>
      </c>
      <c r="CX580" s="103">
        <v>788</v>
      </c>
      <c r="CY580" s="103">
        <v>382</v>
      </c>
      <c r="CZ580" s="103">
        <v>322</v>
      </c>
      <c r="DA580" s="103">
        <v>170</v>
      </c>
      <c r="DB580" s="103">
        <v>73</v>
      </c>
      <c r="DC580" s="42"/>
      <c r="DD580" s="110"/>
      <c r="DE580" s="46" t="s">
        <v>8</v>
      </c>
      <c r="DF580" s="103">
        <v>283</v>
      </c>
      <c r="DG580" s="103">
        <v>459</v>
      </c>
      <c r="DH580" s="103">
        <v>1960</v>
      </c>
      <c r="DI580" s="103">
        <v>5362</v>
      </c>
      <c r="DJ580" s="103">
        <v>3790</v>
      </c>
      <c r="DK580" s="103">
        <v>3553</v>
      </c>
      <c r="DL580" s="103">
        <v>994</v>
      </c>
      <c r="DM580" s="103">
        <v>629</v>
      </c>
      <c r="DN580" s="103">
        <v>236</v>
      </c>
      <c r="DO580" s="103">
        <v>85</v>
      </c>
    </row>
    <row r="581" spans="2:119" ht="16.5" customHeight="1" x14ac:dyDescent="0.45">
      <c r="B581" s="134"/>
      <c r="C581" s="42"/>
      <c r="D581" s="110"/>
      <c r="E581" s="46" t="s">
        <v>9</v>
      </c>
      <c r="F581" s="103">
        <v>495</v>
      </c>
      <c r="G581" s="103">
        <v>287</v>
      </c>
      <c r="H581" s="103">
        <v>1518</v>
      </c>
      <c r="I581" s="103">
        <v>5712</v>
      </c>
      <c r="J581" s="103">
        <v>5732</v>
      </c>
      <c r="K581" s="103">
        <v>6921</v>
      </c>
      <c r="L581" s="103">
        <v>3387</v>
      </c>
      <c r="M581" s="103">
        <v>2488</v>
      </c>
      <c r="N581" s="103">
        <v>1171</v>
      </c>
      <c r="O581" s="103">
        <v>496</v>
      </c>
      <c r="P581" s="42"/>
      <c r="Q581" s="110"/>
      <c r="R581" s="46" t="s">
        <v>9</v>
      </c>
      <c r="S581" s="103">
        <v>263</v>
      </c>
      <c r="T581" s="103">
        <v>73</v>
      </c>
      <c r="U581" s="103">
        <v>463</v>
      </c>
      <c r="V581" s="103">
        <v>2587</v>
      </c>
      <c r="W581" s="103">
        <v>3232</v>
      </c>
      <c r="X581" s="103">
        <v>4346</v>
      </c>
      <c r="Y581" s="103">
        <v>2371</v>
      </c>
      <c r="Z581" s="103">
        <v>1805</v>
      </c>
      <c r="AA581" s="103">
        <v>885</v>
      </c>
      <c r="AB581" s="103">
        <v>357</v>
      </c>
      <c r="AC581" s="42"/>
      <c r="AD581" s="110"/>
      <c r="AE581" s="46" t="s">
        <v>9</v>
      </c>
      <c r="AF581" s="103">
        <v>232</v>
      </c>
      <c r="AG581" s="103">
        <v>214</v>
      </c>
      <c r="AH581" s="103">
        <v>1055</v>
      </c>
      <c r="AI581" s="103">
        <v>3125</v>
      </c>
      <c r="AJ581" s="103">
        <v>2500</v>
      </c>
      <c r="AK581" s="103">
        <v>2575</v>
      </c>
      <c r="AL581" s="103">
        <v>1016</v>
      </c>
      <c r="AM581" s="103">
        <v>683</v>
      </c>
      <c r="AN581" s="103">
        <v>286</v>
      </c>
      <c r="AO581" s="103">
        <v>139</v>
      </c>
      <c r="AP581" s="6"/>
      <c r="AQ581" s="110"/>
      <c r="AR581" s="46" t="s">
        <v>9</v>
      </c>
      <c r="AS581" s="103">
        <v>111</v>
      </c>
      <c r="AT581" s="103">
        <v>103</v>
      </c>
      <c r="AU581" s="103">
        <v>396</v>
      </c>
      <c r="AV581" s="103">
        <v>1225</v>
      </c>
      <c r="AW581" s="103">
        <v>1066</v>
      </c>
      <c r="AX581" s="103">
        <v>1139</v>
      </c>
      <c r="AY581" s="103">
        <v>484</v>
      </c>
      <c r="AZ581" s="103">
        <v>405</v>
      </c>
      <c r="BA581" s="103">
        <v>187</v>
      </c>
      <c r="BB581" s="103">
        <v>76</v>
      </c>
      <c r="BC581" s="42"/>
      <c r="BD581" s="110"/>
      <c r="BE581" s="46" t="s">
        <v>9</v>
      </c>
      <c r="BF581" s="103">
        <v>384</v>
      </c>
      <c r="BG581" s="103">
        <v>184</v>
      </c>
      <c r="BH581" s="103">
        <v>1122</v>
      </c>
      <c r="BI581" s="103">
        <v>4487</v>
      </c>
      <c r="BJ581" s="103">
        <v>4666</v>
      </c>
      <c r="BK581" s="103">
        <v>5782</v>
      </c>
      <c r="BL581" s="103">
        <v>2903</v>
      </c>
      <c r="BM581" s="103">
        <v>2083</v>
      </c>
      <c r="BN581" s="103">
        <v>984</v>
      </c>
      <c r="BO581" s="103">
        <v>420</v>
      </c>
      <c r="BQ581" s="110"/>
      <c r="BR581" s="46" t="s">
        <v>9</v>
      </c>
      <c r="BS581" s="103">
        <v>19</v>
      </c>
      <c r="BT581" s="103">
        <v>25</v>
      </c>
      <c r="BU581" s="103">
        <v>107</v>
      </c>
      <c r="BV581" s="103">
        <v>258</v>
      </c>
      <c r="BW581" s="103">
        <v>215</v>
      </c>
      <c r="BX581" s="103">
        <v>224</v>
      </c>
      <c r="BY581" s="103">
        <v>101</v>
      </c>
      <c r="BZ581" s="103">
        <v>67</v>
      </c>
      <c r="CA581" s="103">
        <v>35</v>
      </c>
      <c r="CB581" s="103">
        <v>20</v>
      </c>
      <c r="CC581" s="42"/>
      <c r="CD581" s="110"/>
      <c r="CE581" s="46" t="s">
        <v>9</v>
      </c>
      <c r="CF581" s="103">
        <v>476</v>
      </c>
      <c r="CG581" s="103">
        <v>262</v>
      </c>
      <c r="CH581" s="103">
        <v>1411</v>
      </c>
      <c r="CI581" s="103">
        <v>5454</v>
      </c>
      <c r="CJ581" s="103">
        <v>5517</v>
      </c>
      <c r="CK581" s="103">
        <v>6697</v>
      </c>
      <c r="CL581" s="103">
        <v>3286</v>
      </c>
      <c r="CM581" s="103">
        <v>2421</v>
      </c>
      <c r="CN581" s="103">
        <v>1136</v>
      </c>
      <c r="CO581" s="103">
        <v>476</v>
      </c>
      <c r="CQ581" s="110"/>
      <c r="CR581" s="46" t="s">
        <v>9</v>
      </c>
      <c r="CS581" s="103">
        <v>74</v>
      </c>
      <c r="CT581" s="103">
        <v>39</v>
      </c>
      <c r="CU581" s="103">
        <v>199</v>
      </c>
      <c r="CV581" s="103">
        <v>679</v>
      </c>
      <c r="CW581" s="103">
        <v>715</v>
      </c>
      <c r="CX581" s="103">
        <v>963</v>
      </c>
      <c r="CY581" s="103">
        <v>640</v>
      </c>
      <c r="CZ581" s="103">
        <v>555</v>
      </c>
      <c r="DA581" s="103">
        <v>302</v>
      </c>
      <c r="DB581" s="103">
        <v>168</v>
      </c>
      <c r="DC581" s="42"/>
      <c r="DD581" s="110"/>
      <c r="DE581" s="46" t="s">
        <v>9</v>
      </c>
      <c r="DF581" s="103">
        <v>421</v>
      </c>
      <c r="DG581" s="103">
        <v>248</v>
      </c>
      <c r="DH581" s="103">
        <v>1319</v>
      </c>
      <c r="DI581" s="103">
        <v>5033</v>
      </c>
      <c r="DJ581" s="103">
        <v>5017</v>
      </c>
      <c r="DK581" s="103">
        <v>5958</v>
      </c>
      <c r="DL581" s="103">
        <v>2747</v>
      </c>
      <c r="DM581" s="103">
        <v>1933</v>
      </c>
      <c r="DN581" s="103">
        <v>869</v>
      </c>
      <c r="DO581" s="103">
        <v>328</v>
      </c>
    </row>
    <row r="582" spans="2:119" ht="16.5" customHeight="1" x14ac:dyDescent="0.45">
      <c r="B582" s="134"/>
      <c r="C582" s="42"/>
      <c r="D582" s="110"/>
      <c r="E582" s="46" t="s">
        <v>10</v>
      </c>
      <c r="F582" s="103">
        <v>432</v>
      </c>
      <c r="G582" s="103">
        <v>91</v>
      </c>
      <c r="H582" s="103">
        <v>491</v>
      </c>
      <c r="I582" s="103">
        <v>2783</v>
      </c>
      <c r="J582" s="103">
        <v>4021</v>
      </c>
      <c r="K582" s="103">
        <v>6474</v>
      </c>
      <c r="L582" s="103">
        <v>5100</v>
      </c>
      <c r="M582" s="103">
        <v>5381</v>
      </c>
      <c r="N582" s="103">
        <v>3472</v>
      </c>
      <c r="O582" s="103">
        <v>1681</v>
      </c>
      <c r="P582" s="42"/>
      <c r="Q582" s="110"/>
      <c r="R582" s="46" t="s">
        <v>10</v>
      </c>
      <c r="S582" s="103">
        <v>164</v>
      </c>
      <c r="T582" s="103">
        <v>15</v>
      </c>
      <c r="U582" s="103">
        <v>122</v>
      </c>
      <c r="V582" s="103">
        <v>939</v>
      </c>
      <c r="W582" s="103">
        <v>1759</v>
      </c>
      <c r="X582" s="103">
        <v>3291</v>
      </c>
      <c r="Y582" s="103">
        <v>3017</v>
      </c>
      <c r="Z582" s="103">
        <v>3420</v>
      </c>
      <c r="AA582" s="103">
        <v>2323</v>
      </c>
      <c r="AB582" s="103">
        <v>1134</v>
      </c>
      <c r="AC582" s="42"/>
      <c r="AD582" s="110"/>
      <c r="AE582" s="46" t="s">
        <v>10</v>
      </c>
      <c r="AF582" s="103">
        <v>268</v>
      </c>
      <c r="AG582" s="103">
        <v>76</v>
      </c>
      <c r="AH582" s="103">
        <v>369</v>
      </c>
      <c r="AI582" s="103">
        <v>1844</v>
      </c>
      <c r="AJ582" s="103">
        <v>2262</v>
      </c>
      <c r="AK582" s="103">
        <v>3183</v>
      </c>
      <c r="AL582" s="103">
        <v>2083</v>
      </c>
      <c r="AM582" s="103">
        <v>1961</v>
      </c>
      <c r="AN582" s="103">
        <v>1149</v>
      </c>
      <c r="AO582" s="103">
        <v>547</v>
      </c>
      <c r="AP582" s="6"/>
      <c r="AQ582" s="110"/>
      <c r="AR582" s="46" t="s">
        <v>10</v>
      </c>
      <c r="AS582" s="103">
        <v>81</v>
      </c>
      <c r="AT582" s="103">
        <v>33</v>
      </c>
      <c r="AU582" s="103">
        <v>116</v>
      </c>
      <c r="AV582" s="103">
        <v>505</v>
      </c>
      <c r="AW582" s="103">
        <v>650</v>
      </c>
      <c r="AX582" s="103">
        <v>814</v>
      </c>
      <c r="AY582" s="103">
        <v>576</v>
      </c>
      <c r="AZ582" s="103">
        <v>534</v>
      </c>
      <c r="BA582" s="103">
        <v>327</v>
      </c>
      <c r="BB582" s="103">
        <v>149</v>
      </c>
      <c r="BC582" s="42"/>
      <c r="BD582" s="110"/>
      <c r="BE582" s="46" t="s">
        <v>10</v>
      </c>
      <c r="BF582" s="103">
        <v>351</v>
      </c>
      <c r="BG582" s="103">
        <v>58</v>
      </c>
      <c r="BH582" s="103">
        <v>375</v>
      </c>
      <c r="BI582" s="103">
        <v>2278</v>
      </c>
      <c r="BJ582" s="103">
        <v>3371</v>
      </c>
      <c r="BK582" s="103">
        <v>5660</v>
      </c>
      <c r="BL582" s="103">
        <v>4524</v>
      </c>
      <c r="BM582" s="103">
        <v>4847</v>
      </c>
      <c r="BN582" s="103">
        <v>3145</v>
      </c>
      <c r="BO582" s="103">
        <v>1532</v>
      </c>
      <c r="BQ582" s="110"/>
      <c r="BR582" s="46" t="s">
        <v>10</v>
      </c>
      <c r="BS582" s="103">
        <v>15</v>
      </c>
      <c r="BT582" s="103">
        <v>9</v>
      </c>
      <c r="BU582" s="103">
        <v>31</v>
      </c>
      <c r="BV582" s="103">
        <v>111</v>
      </c>
      <c r="BW582" s="103">
        <v>146</v>
      </c>
      <c r="BX582" s="103">
        <v>184</v>
      </c>
      <c r="BY582" s="103">
        <v>132</v>
      </c>
      <c r="BZ582" s="103">
        <v>129</v>
      </c>
      <c r="CA582" s="103">
        <v>100</v>
      </c>
      <c r="CB582" s="103">
        <v>56</v>
      </c>
      <c r="CC582" s="42"/>
      <c r="CD582" s="110"/>
      <c r="CE582" s="46" t="s">
        <v>10</v>
      </c>
      <c r="CF582" s="103">
        <v>417</v>
      </c>
      <c r="CG582" s="103">
        <v>82</v>
      </c>
      <c r="CH582" s="103">
        <v>460</v>
      </c>
      <c r="CI582" s="103">
        <v>2672</v>
      </c>
      <c r="CJ582" s="103">
        <v>3875</v>
      </c>
      <c r="CK582" s="103">
        <v>6290</v>
      </c>
      <c r="CL582" s="103">
        <v>4968</v>
      </c>
      <c r="CM582" s="103">
        <v>5252</v>
      </c>
      <c r="CN582" s="103">
        <v>3372</v>
      </c>
      <c r="CO582" s="103">
        <v>1625</v>
      </c>
      <c r="CQ582" s="110"/>
      <c r="CR582" s="46" t="s">
        <v>10</v>
      </c>
      <c r="CS582" s="103">
        <v>49</v>
      </c>
      <c r="CT582" s="103">
        <v>7</v>
      </c>
      <c r="CU582" s="103">
        <v>47</v>
      </c>
      <c r="CV582" s="103">
        <v>313</v>
      </c>
      <c r="CW582" s="103">
        <v>439</v>
      </c>
      <c r="CX582" s="103">
        <v>776</v>
      </c>
      <c r="CY582" s="103">
        <v>693</v>
      </c>
      <c r="CZ582" s="103">
        <v>816</v>
      </c>
      <c r="DA582" s="103">
        <v>619</v>
      </c>
      <c r="DB582" s="103">
        <v>372</v>
      </c>
      <c r="DC582" s="42"/>
      <c r="DD582" s="110"/>
      <c r="DE582" s="46" t="s">
        <v>10</v>
      </c>
      <c r="DF582" s="103">
        <v>383</v>
      </c>
      <c r="DG582" s="103">
        <v>84</v>
      </c>
      <c r="DH582" s="103">
        <v>444</v>
      </c>
      <c r="DI582" s="103">
        <v>2470</v>
      </c>
      <c r="DJ582" s="103">
        <v>3582</v>
      </c>
      <c r="DK582" s="103">
        <v>5698</v>
      </c>
      <c r="DL582" s="103">
        <v>4407</v>
      </c>
      <c r="DM582" s="103">
        <v>4565</v>
      </c>
      <c r="DN582" s="103">
        <v>2853</v>
      </c>
      <c r="DO582" s="103">
        <v>1309</v>
      </c>
    </row>
    <row r="583" spans="2:119" ht="16.5" customHeight="1" x14ac:dyDescent="0.45">
      <c r="B583" s="134"/>
      <c r="C583" s="42"/>
      <c r="D583" s="111"/>
      <c r="E583" s="46" t="s">
        <v>11</v>
      </c>
      <c r="F583" s="103">
        <v>30</v>
      </c>
      <c r="G583" s="103">
        <v>5</v>
      </c>
      <c r="H583" s="103">
        <v>28</v>
      </c>
      <c r="I583" s="103">
        <v>209</v>
      </c>
      <c r="J583" s="103">
        <v>472</v>
      </c>
      <c r="K583" s="103">
        <v>1034</v>
      </c>
      <c r="L583" s="103">
        <v>1284</v>
      </c>
      <c r="M583" s="103">
        <v>1959</v>
      </c>
      <c r="N583" s="103">
        <v>2064</v>
      </c>
      <c r="O583" s="103">
        <v>1748</v>
      </c>
      <c r="P583" s="42"/>
      <c r="Q583" s="111"/>
      <c r="R583" s="46" t="s">
        <v>11</v>
      </c>
      <c r="S583" s="103">
        <v>20</v>
      </c>
      <c r="T583" s="103">
        <v>0</v>
      </c>
      <c r="U583" s="103">
        <v>5</v>
      </c>
      <c r="V583" s="103">
        <v>60</v>
      </c>
      <c r="W583" s="103">
        <v>154</v>
      </c>
      <c r="X583" s="103">
        <v>418</v>
      </c>
      <c r="Y583" s="103">
        <v>646</v>
      </c>
      <c r="Z583" s="103">
        <v>1041</v>
      </c>
      <c r="AA583" s="103">
        <v>1284</v>
      </c>
      <c r="AB583" s="103">
        <v>1132</v>
      </c>
      <c r="AC583" s="42"/>
      <c r="AD583" s="111"/>
      <c r="AE583" s="46" t="s">
        <v>11</v>
      </c>
      <c r="AF583" s="103">
        <v>10</v>
      </c>
      <c r="AG583" s="103">
        <v>5</v>
      </c>
      <c r="AH583" s="103">
        <v>23</v>
      </c>
      <c r="AI583" s="103">
        <v>149</v>
      </c>
      <c r="AJ583" s="103">
        <v>318</v>
      </c>
      <c r="AK583" s="103">
        <v>616</v>
      </c>
      <c r="AL583" s="103">
        <v>638</v>
      </c>
      <c r="AM583" s="103">
        <v>918</v>
      </c>
      <c r="AN583" s="103">
        <v>780</v>
      </c>
      <c r="AO583" s="103">
        <v>616</v>
      </c>
      <c r="AP583" s="6"/>
      <c r="AQ583" s="111"/>
      <c r="AR583" s="46" t="s">
        <v>11</v>
      </c>
      <c r="AS583" s="103">
        <v>7</v>
      </c>
      <c r="AT583" s="103">
        <v>3</v>
      </c>
      <c r="AU583" s="103">
        <v>11</v>
      </c>
      <c r="AV583" s="103">
        <v>28</v>
      </c>
      <c r="AW583" s="103">
        <v>51</v>
      </c>
      <c r="AX583" s="103">
        <v>99</v>
      </c>
      <c r="AY583" s="103">
        <v>132</v>
      </c>
      <c r="AZ583" s="103">
        <v>123</v>
      </c>
      <c r="BA583" s="103">
        <v>131</v>
      </c>
      <c r="BB583" s="103">
        <v>85</v>
      </c>
      <c r="BC583" s="42"/>
      <c r="BD583" s="111"/>
      <c r="BE583" s="46" t="s">
        <v>11</v>
      </c>
      <c r="BF583" s="103">
        <v>23</v>
      </c>
      <c r="BG583" s="103">
        <v>2</v>
      </c>
      <c r="BH583" s="103">
        <v>17</v>
      </c>
      <c r="BI583" s="103">
        <v>181</v>
      </c>
      <c r="BJ583" s="103">
        <v>421</v>
      </c>
      <c r="BK583" s="103">
        <v>935</v>
      </c>
      <c r="BL583" s="103">
        <v>1152</v>
      </c>
      <c r="BM583" s="103">
        <v>1836</v>
      </c>
      <c r="BN583" s="103">
        <v>1933</v>
      </c>
      <c r="BO583" s="103">
        <v>1663</v>
      </c>
      <c r="BQ583" s="111"/>
      <c r="BR583" s="46" t="s">
        <v>11</v>
      </c>
      <c r="BS583" s="103">
        <v>2</v>
      </c>
      <c r="BT583" s="103">
        <v>0</v>
      </c>
      <c r="BU583" s="103">
        <v>2</v>
      </c>
      <c r="BV583" s="103">
        <v>8</v>
      </c>
      <c r="BW583" s="103">
        <v>16</v>
      </c>
      <c r="BX583" s="103">
        <v>35</v>
      </c>
      <c r="BY583" s="103">
        <v>42</v>
      </c>
      <c r="BZ583" s="103">
        <v>38</v>
      </c>
      <c r="CA583" s="103">
        <v>53</v>
      </c>
      <c r="CB583" s="103">
        <v>31</v>
      </c>
      <c r="CC583" s="42"/>
      <c r="CD583" s="111"/>
      <c r="CE583" s="46" t="s">
        <v>11</v>
      </c>
      <c r="CF583" s="103">
        <v>28</v>
      </c>
      <c r="CG583" s="103">
        <v>5</v>
      </c>
      <c r="CH583" s="103">
        <v>26</v>
      </c>
      <c r="CI583" s="103">
        <v>201</v>
      </c>
      <c r="CJ583" s="103">
        <v>456</v>
      </c>
      <c r="CK583" s="103">
        <v>999</v>
      </c>
      <c r="CL583" s="103">
        <v>1242</v>
      </c>
      <c r="CM583" s="103">
        <v>1921</v>
      </c>
      <c r="CN583" s="103">
        <v>2011</v>
      </c>
      <c r="CO583" s="103">
        <v>1717</v>
      </c>
      <c r="CQ583" s="111"/>
      <c r="CR583" s="46" t="s">
        <v>11</v>
      </c>
      <c r="CS583" s="103">
        <v>2</v>
      </c>
      <c r="CT583" s="103">
        <v>0</v>
      </c>
      <c r="CU583" s="103">
        <v>4</v>
      </c>
      <c r="CV583" s="103">
        <v>25</v>
      </c>
      <c r="CW583" s="103">
        <v>41</v>
      </c>
      <c r="CX583" s="103">
        <v>102</v>
      </c>
      <c r="CY583" s="103">
        <v>128</v>
      </c>
      <c r="CZ583" s="103">
        <v>200</v>
      </c>
      <c r="DA583" s="103">
        <v>245</v>
      </c>
      <c r="DB583" s="103">
        <v>256</v>
      </c>
      <c r="DC583" s="42"/>
      <c r="DD583" s="111"/>
      <c r="DE583" s="46" t="s">
        <v>11</v>
      </c>
      <c r="DF583" s="103">
        <v>28</v>
      </c>
      <c r="DG583" s="103">
        <v>5</v>
      </c>
      <c r="DH583" s="103">
        <v>24</v>
      </c>
      <c r="DI583" s="103">
        <v>184</v>
      </c>
      <c r="DJ583" s="103">
        <v>431</v>
      </c>
      <c r="DK583" s="103">
        <v>932</v>
      </c>
      <c r="DL583" s="103">
        <v>1156</v>
      </c>
      <c r="DM583" s="103">
        <v>1759</v>
      </c>
      <c r="DN583" s="103">
        <v>1819</v>
      </c>
      <c r="DO583" s="103">
        <v>1492</v>
      </c>
    </row>
    <row r="584" spans="2:119" ht="16.5" customHeight="1" x14ac:dyDescent="0.45">
      <c r="B584" s="99"/>
      <c r="C584" s="42"/>
      <c r="D584" s="42"/>
      <c r="E584" s="42"/>
      <c r="F584" s="42"/>
      <c r="G584" s="42"/>
      <c r="H584" s="42"/>
      <c r="I584" s="42"/>
      <c r="J584" s="42"/>
      <c r="K584" s="42"/>
      <c r="L584" s="42"/>
      <c r="M584" s="42"/>
      <c r="N584" s="42"/>
      <c r="O584" s="42"/>
      <c r="P584" s="42"/>
      <c r="Q584" s="42"/>
      <c r="R584" s="42"/>
      <c r="S584" s="42"/>
      <c r="T584" s="42"/>
      <c r="U584" s="42"/>
      <c r="V584" s="42"/>
      <c r="W584" s="42"/>
      <c r="X584" s="42"/>
      <c r="Y584" s="42"/>
      <c r="Z584" s="42"/>
      <c r="AA584" s="42"/>
      <c r="AB584" s="42"/>
      <c r="AC584" s="42"/>
      <c r="AD584" s="42"/>
      <c r="AE584" s="42"/>
      <c r="AF584" s="42"/>
      <c r="AG584" s="42"/>
      <c r="AH584" s="42"/>
      <c r="AI584" s="42"/>
      <c r="AJ584" s="42"/>
      <c r="AK584" s="42"/>
      <c r="AL584" s="42"/>
      <c r="AM584" s="42"/>
      <c r="AN584" s="42"/>
      <c r="AO584" s="42"/>
      <c r="AP584" s="6"/>
      <c r="AQ584" s="42"/>
      <c r="AR584" s="42"/>
      <c r="AS584" s="42"/>
      <c r="AT584" s="42"/>
      <c r="AU584" s="42"/>
      <c r="AV584" s="42"/>
      <c r="AW584" s="42"/>
      <c r="AX584" s="42"/>
      <c r="AY584" s="42"/>
      <c r="AZ584" s="42"/>
      <c r="BA584" s="42"/>
      <c r="BB584" s="42"/>
      <c r="BC584" s="42"/>
      <c r="BD584" s="42"/>
      <c r="BE584" s="42"/>
      <c r="BF584" s="42"/>
      <c r="BG584" s="42"/>
      <c r="BH584" s="42"/>
      <c r="BI584" s="42"/>
      <c r="BJ584" s="42"/>
      <c r="BK584" s="42"/>
      <c r="BL584" s="42"/>
      <c r="BM584" s="42"/>
      <c r="BN584" s="42"/>
      <c r="BO584" s="42"/>
      <c r="BQ584" s="42"/>
      <c r="BR584" s="42"/>
      <c r="BS584" s="42"/>
      <c r="BT584" s="42"/>
      <c r="BU584" s="42"/>
      <c r="BV584" s="42"/>
      <c r="BW584" s="42"/>
      <c r="BX584" s="42"/>
      <c r="BY584" s="42"/>
      <c r="BZ584" s="42"/>
      <c r="CA584" s="42"/>
      <c r="CB584" s="42"/>
      <c r="CC584" s="42"/>
      <c r="CD584" s="42"/>
      <c r="CE584" s="42"/>
      <c r="CF584" s="42"/>
      <c r="CG584" s="42"/>
      <c r="CH584" s="42"/>
      <c r="CI584" s="42"/>
      <c r="CJ584" s="42"/>
      <c r="CK584" s="42"/>
      <c r="CL584" s="42"/>
      <c r="CM584" s="42"/>
      <c r="CN584" s="42"/>
      <c r="CO584" s="42"/>
      <c r="CQ584" s="42"/>
      <c r="CR584" s="42"/>
      <c r="CS584" s="42"/>
      <c r="CT584" s="42"/>
      <c r="CU584" s="42"/>
      <c r="CV584" s="42"/>
      <c r="CW584" s="42"/>
      <c r="CX584" s="42"/>
      <c r="CY584" s="42"/>
      <c r="CZ584" s="42"/>
      <c r="DA584" s="42"/>
      <c r="DB584" s="42"/>
      <c r="DC584" s="42"/>
      <c r="DD584" s="42"/>
      <c r="DE584" s="42"/>
      <c r="DF584" s="42"/>
      <c r="DG584" s="42"/>
      <c r="DH584" s="42"/>
      <c r="DI584" s="42"/>
      <c r="DJ584" s="42"/>
      <c r="DK584" s="42"/>
      <c r="DL584" s="42"/>
      <c r="DM584" s="42"/>
      <c r="DN584" s="42"/>
      <c r="DO584" s="42"/>
    </row>
    <row r="585" spans="2:119" ht="16.5" customHeight="1" x14ac:dyDescent="0.55000000000000004">
      <c r="B585" s="99"/>
      <c r="C585" s="42"/>
      <c r="D585" s="112" t="s">
        <v>16</v>
      </c>
      <c r="E585" s="112"/>
      <c r="F585" s="45"/>
      <c r="G585" s="45"/>
      <c r="H585" s="45"/>
      <c r="I585" s="45"/>
      <c r="J585" s="45"/>
      <c r="K585" s="45"/>
      <c r="L585" s="45"/>
      <c r="M585" s="45"/>
      <c r="N585" s="45"/>
      <c r="O585" s="45"/>
      <c r="P585" s="42"/>
      <c r="Q585" s="112" t="s">
        <v>16</v>
      </c>
      <c r="R585" s="112"/>
      <c r="S585" s="45"/>
      <c r="T585" s="45"/>
      <c r="U585" s="45"/>
      <c r="V585" s="45"/>
      <c r="W585" s="45"/>
      <c r="X585" s="45"/>
      <c r="Y585" s="45"/>
      <c r="Z585" s="45"/>
      <c r="AA585" s="45"/>
      <c r="AB585" s="45"/>
      <c r="AC585" s="42"/>
      <c r="AD585" s="112" t="s">
        <v>16</v>
      </c>
      <c r="AE585" s="112"/>
      <c r="AF585" s="45"/>
      <c r="AG585" s="45"/>
      <c r="AH585" s="45"/>
      <c r="AI585" s="45"/>
      <c r="AJ585" s="45"/>
      <c r="AK585" s="45"/>
      <c r="AL585" s="45"/>
      <c r="AM585" s="45"/>
      <c r="AN585" s="45"/>
      <c r="AO585" s="45"/>
      <c r="AP585" s="6"/>
      <c r="AQ585" s="112" t="s">
        <v>16</v>
      </c>
      <c r="AR585" s="112"/>
      <c r="AS585" s="45"/>
      <c r="AT585" s="45"/>
      <c r="AU585" s="45"/>
      <c r="AV585" s="45"/>
      <c r="AW585" s="45"/>
      <c r="AX585" s="45"/>
      <c r="AY585" s="45"/>
      <c r="AZ585" s="45"/>
      <c r="BA585" s="45"/>
      <c r="BB585" s="45"/>
      <c r="BC585" s="42"/>
      <c r="BD585" s="112" t="s">
        <v>16</v>
      </c>
      <c r="BE585" s="112"/>
      <c r="BF585" s="45"/>
      <c r="BG585" s="45"/>
      <c r="BH585" s="45"/>
      <c r="BI585" s="45"/>
      <c r="BJ585" s="45"/>
      <c r="BK585" s="45"/>
      <c r="BL585" s="45"/>
      <c r="BM585" s="45"/>
      <c r="BN585" s="45"/>
      <c r="BO585" s="45"/>
      <c r="BQ585" s="112" t="s">
        <v>16</v>
      </c>
      <c r="BR585" s="112"/>
      <c r="BS585" s="45"/>
      <c r="BT585" s="45"/>
      <c r="BU585" s="45"/>
      <c r="BV585" s="45"/>
      <c r="BW585" s="45"/>
      <c r="BX585" s="45"/>
      <c r="BY585" s="45"/>
      <c r="BZ585" s="45"/>
      <c r="CA585" s="45"/>
      <c r="CB585" s="45"/>
      <c r="CC585" s="42"/>
      <c r="CD585" s="112" t="s">
        <v>16</v>
      </c>
      <c r="CE585" s="112"/>
      <c r="CF585" s="45"/>
      <c r="CG585" s="45"/>
      <c r="CH585" s="45"/>
      <c r="CI585" s="45"/>
      <c r="CJ585" s="45"/>
      <c r="CK585" s="45"/>
      <c r="CL585" s="45"/>
      <c r="CM585" s="45"/>
      <c r="CN585" s="45"/>
      <c r="CO585" s="45"/>
      <c r="CQ585" s="112" t="s">
        <v>16</v>
      </c>
      <c r="CR585" s="112"/>
      <c r="CS585" s="45"/>
      <c r="CT585" s="45"/>
      <c r="CU585" s="45"/>
      <c r="CV585" s="45"/>
      <c r="CW585" s="45"/>
      <c r="CX585" s="45"/>
      <c r="CY585" s="45"/>
      <c r="CZ585" s="45"/>
      <c r="DA585" s="45"/>
      <c r="DB585" s="45"/>
      <c r="DC585" s="42"/>
      <c r="DD585" s="112" t="s">
        <v>16</v>
      </c>
      <c r="DE585" s="112"/>
      <c r="DF585" s="45"/>
      <c r="DG585" s="45"/>
      <c r="DH585" s="45"/>
      <c r="DI585" s="45"/>
      <c r="DJ585" s="45"/>
      <c r="DK585" s="45"/>
      <c r="DL585" s="45"/>
      <c r="DM585" s="45"/>
      <c r="DN585" s="45"/>
      <c r="DO585" s="45"/>
    </row>
    <row r="586" spans="2:119" ht="28.9" customHeight="1" x14ac:dyDescent="0.45">
      <c r="B586" s="99"/>
      <c r="C586" s="42"/>
      <c r="D586" s="112"/>
      <c r="E586" s="112"/>
      <c r="F586" s="108" t="s">
        <v>12</v>
      </c>
      <c r="G586" s="108"/>
      <c r="H586" s="108"/>
      <c r="I586" s="108"/>
      <c r="J586" s="108"/>
      <c r="K586" s="108"/>
      <c r="L586" s="108"/>
      <c r="M586" s="108"/>
      <c r="N586" s="108"/>
      <c r="O586" s="108"/>
      <c r="P586" s="42"/>
      <c r="Q586" s="112"/>
      <c r="R586" s="112"/>
      <c r="S586" s="108" t="s">
        <v>12</v>
      </c>
      <c r="T586" s="108"/>
      <c r="U586" s="108"/>
      <c r="V586" s="108"/>
      <c r="W586" s="108"/>
      <c r="X586" s="108"/>
      <c r="Y586" s="108"/>
      <c r="Z586" s="108"/>
      <c r="AA586" s="108"/>
      <c r="AB586" s="108"/>
      <c r="AC586" s="42"/>
      <c r="AD586" s="112"/>
      <c r="AE586" s="112"/>
      <c r="AF586" s="131" t="s">
        <v>12</v>
      </c>
      <c r="AG586" s="132"/>
      <c r="AH586" s="132"/>
      <c r="AI586" s="132"/>
      <c r="AJ586" s="132"/>
      <c r="AK586" s="132"/>
      <c r="AL586" s="132"/>
      <c r="AM586" s="132"/>
      <c r="AN586" s="132"/>
      <c r="AO586" s="133"/>
      <c r="AP586" s="6"/>
      <c r="AQ586" s="112"/>
      <c r="AR586" s="112"/>
      <c r="AS586" s="108" t="s">
        <v>12</v>
      </c>
      <c r="AT586" s="108"/>
      <c r="AU586" s="108"/>
      <c r="AV586" s="108"/>
      <c r="AW586" s="108"/>
      <c r="AX586" s="108"/>
      <c r="AY586" s="108"/>
      <c r="AZ586" s="108"/>
      <c r="BA586" s="108"/>
      <c r="BB586" s="108"/>
      <c r="BC586" s="42"/>
      <c r="BD586" s="112"/>
      <c r="BE586" s="112"/>
      <c r="BF586" s="108" t="s">
        <v>12</v>
      </c>
      <c r="BG586" s="108"/>
      <c r="BH586" s="108"/>
      <c r="BI586" s="108"/>
      <c r="BJ586" s="108"/>
      <c r="BK586" s="108"/>
      <c r="BL586" s="108"/>
      <c r="BM586" s="108"/>
      <c r="BN586" s="108"/>
      <c r="BO586" s="108"/>
      <c r="BQ586" s="112"/>
      <c r="BR586" s="112"/>
      <c r="BS586" s="108" t="s">
        <v>12</v>
      </c>
      <c r="BT586" s="108"/>
      <c r="BU586" s="108"/>
      <c r="BV586" s="108"/>
      <c r="BW586" s="108"/>
      <c r="BX586" s="108"/>
      <c r="BY586" s="108"/>
      <c r="BZ586" s="108"/>
      <c r="CA586" s="108"/>
      <c r="CB586" s="108"/>
      <c r="CC586" s="42"/>
      <c r="CD586" s="112"/>
      <c r="CE586" s="112"/>
      <c r="CF586" s="108" t="s">
        <v>12</v>
      </c>
      <c r="CG586" s="108"/>
      <c r="CH586" s="108"/>
      <c r="CI586" s="108"/>
      <c r="CJ586" s="108"/>
      <c r="CK586" s="108"/>
      <c r="CL586" s="108"/>
      <c r="CM586" s="108"/>
      <c r="CN586" s="108"/>
      <c r="CO586" s="108"/>
      <c r="CQ586" s="112"/>
      <c r="CR586" s="112"/>
      <c r="CS586" s="108" t="s">
        <v>12</v>
      </c>
      <c r="CT586" s="108"/>
      <c r="CU586" s="108"/>
      <c r="CV586" s="108"/>
      <c r="CW586" s="108"/>
      <c r="CX586" s="108"/>
      <c r="CY586" s="108"/>
      <c r="CZ586" s="108"/>
      <c r="DA586" s="108"/>
      <c r="DB586" s="108"/>
      <c r="DC586" s="42"/>
      <c r="DD586" s="112"/>
      <c r="DE586" s="112"/>
      <c r="DF586" s="108" t="s">
        <v>12</v>
      </c>
      <c r="DG586" s="108"/>
      <c r="DH586" s="108"/>
      <c r="DI586" s="108"/>
      <c r="DJ586" s="108"/>
      <c r="DK586" s="108"/>
      <c r="DL586" s="108"/>
      <c r="DM586" s="108"/>
      <c r="DN586" s="108"/>
      <c r="DO586" s="108"/>
    </row>
    <row r="587" spans="2:119" ht="15" customHeight="1" x14ac:dyDescent="0.45">
      <c r="B587" s="99"/>
      <c r="C587" s="42"/>
      <c r="D587" s="113"/>
      <c r="E587" s="113"/>
      <c r="F587" s="9" t="s">
        <v>0</v>
      </c>
      <c r="G587" s="9">
        <v>1</v>
      </c>
      <c r="H587" s="9">
        <v>2</v>
      </c>
      <c r="I587" s="9">
        <v>3</v>
      </c>
      <c r="J587" s="9">
        <v>4</v>
      </c>
      <c r="K587" s="9">
        <v>5</v>
      </c>
      <c r="L587" s="9">
        <v>6</v>
      </c>
      <c r="M587" s="9">
        <v>7</v>
      </c>
      <c r="N587" s="9">
        <v>8</v>
      </c>
      <c r="O587" s="9">
        <v>9</v>
      </c>
      <c r="P587" s="42"/>
      <c r="Q587" s="113"/>
      <c r="R587" s="113"/>
      <c r="S587" s="9" t="s">
        <v>0</v>
      </c>
      <c r="T587" s="9">
        <v>1</v>
      </c>
      <c r="U587" s="9">
        <v>2</v>
      </c>
      <c r="V587" s="9">
        <v>3</v>
      </c>
      <c r="W587" s="9">
        <v>4</v>
      </c>
      <c r="X587" s="9">
        <v>5</v>
      </c>
      <c r="Y587" s="9">
        <v>6</v>
      </c>
      <c r="Z587" s="9">
        <v>7</v>
      </c>
      <c r="AA587" s="9">
        <v>8</v>
      </c>
      <c r="AB587" s="9">
        <v>9</v>
      </c>
      <c r="AC587" s="42"/>
      <c r="AD587" s="113"/>
      <c r="AE587" s="113"/>
      <c r="AF587" s="9" t="s">
        <v>0</v>
      </c>
      <c r="AG587" s="9">
        <v>1</v>
      </c>
      <c r="AH587" s="9">
        <v>2</v>
      </c>
      <c r="AI587" s="9">
        <v>3</v>
      </c>
      <c r="AJ587" s="9">
        <v>4</v>
      </c>
      <c r="AK587" s="9">
        <v>5</v>
      </c>
      <c r="AL587" s="9">
        <v>6</v>
      </c>
      <c r="AM587" s="9">
        <v>7</v>
      </c>
      <c r="AN587" s="9">
        <v>8</v>
      </c>
      <c r="AO587" s="9">
        <v>9</v>
      </c>
      <c r="AP587" s="6"/>
      <c r="AQ587" s="113"/>
      <c r="AR587" s="113"/>
      <c r="AS587" s="9" t="s">
        <v>0</v>
      </c>
      <c r="AT587" s="9">
        <v>1</v>
      </c>
      <c r="AU587" s="9">
        <v>2</v>
      </c>
      <c r="AV587" s="9">
        <v>3</v>
      </c>
      <c r="AW587" s="9">
        <v>4</v>
      </c>
      <c r="AX587" s="9">
        <v>5</v>
      </c>
      <c r="AY587" s="9">
        <v>6</v>
      </c>
      <c r="AZ587" s="9">
        <v>7</v>
      </c>
      <c r="BA587" s="9">
        <v>8</v>
      </c>
      <c r="BB587" s="9">
        <v>9</v>
      </c>
      <c r="BC587" s="42"/>
      <c r="BD587" s="113"/>
      <c r="BE587" s="113"/>
      <c r="BF587" s="9" t="s">
        <v>0</v>
      </c>
      <c r="BG587" s="9">
        <v>1</v>
      </c>
      <c r="BH587" s="9">
        <v>2</v>
      </c>
      <c r="BI587" s="9">
        <v>3</v>
      </c>
      <c r="BJ587" s="9">
        <v>4</v>
      </c>
      <c r="BK587" s="9">
        <v>5</v>
      </c>
      <c r="BL587" s="9">
        <v>6</v>
      </c>
      <c r="BM587" s="9">
        <v>7</v>
      </c>
      <c r="BN587" s="9">
        <v>8</v>
      </c>
      <c r="BO587" s="9">
        <v>9</v>
      </c>
      <c r="BQ587" s="113"/>
      <c r="BR587" s="113"/>
      <c r="BS587" s="9" t="s">
        <v>0</v>
      </c>
      <c r="BT587" s="9">
        <v>1</v>
      </c>
      <c r="BU587" s="9">
        <v>2</v>
      </c>
      <c r="BV587" s="9">
        <v>3</v>
      </c>
      <c r="BW587" s="9">
        <v>4</v>
      </c>
      <c r="BX587" s="9">
        <v>5</v>
      </c>
      <c r="BY587" s="9">
        <v>6</v>
      </c>
      <c r="BZ587" s="9">
        <v>7</v>
      </c>
      <c r="CA587" s="9">
        <v>8</v>
      </c>
      <c r="CB587" s="9">
        <v>9</v>
      </c>
      <c r="CC587" s="42"/>
      <c r="CD587" s="113"/>
      <c r="CE587" s="113"/>
      <c r="CF587" s="9" t="s">
        <v>0</v>
      </c>
      <c r="CG587" s="9">
        <v>1</v>
      </c>
      <c r="CH587" s="9">
        <v>2</v>
      </c>
      <c r="CI587" s="9">
        <v>3</v>
      </c>
      <c r="CJ587" s="9">
        <v>4</v>
      </c>
      <c r="CK587" s="9">
        <v>5</v>
      </c>
      <c r="CL587" s="9">
        <v>6</v>
      </c>
      <c r="CM587" s="9">
        <v>7</v>
      </c>
      <c r="CN587" s="9">
        <v>8</v>
      </c>
      <c r="CO587" s="9">
        <v>9</v>
      </c>
      <c r="CQ587" s="113"/>
      <c r="CR587" s="113"/>
      <c r="CS587" s="9" t="s">
        <v>0</v>
      </c>
      <c r="CT587" s="9">
        <v>1</v>
      </c>
      <c r="CU587" s="9">
        <v>2</v>
      </c>
      <c r="CV587" s="9">
        <v>3</v>
      </c>
      <c r="CW587" s="9">
        <v>4</v>
      </c>
      <c r="CX587" s="9">
        <v>5</v>
      </c>
      <c r="CY587" s="9">
        <v>6</v>
      </c>
      <c r="CZ587" s="9">
        <v>7</v>
      </c>
      <c r="DA587" s="9">
        <v>8</v>
      </c>
      <c r="DB587" s="9">
        <v>9</v>
      </c>
      <c r="DC587" s="42"/>
      <c r="DD587" s="113"/>
      <c r="DE587" s="113"/>
      <c r="DF587" s="9" t="s">
        <v>0</v>
      </c>
      <c r="DG587" s="9">
        <v>1</v>
      </c>
      <c r="DH587" s="9">
        <v>2</v>
      </c>
      <c r="DI587" s="9">
        <v>3</v>
      </c>
      <c r="DJ587" s="9">
        <v>4</v>
      </c>
      <c r="DK587" s="9">
        <v>5</v>
      </c>
      <c r="DL587" s="9">
        <v>6</v>
      </c>
      <c r="DM587" s="9">
        <v>7</v>
      </c>
      <c r="DN587" s="9">
        <v>8</v>
      </c>
      <c r="DO587" s="9">
        <v>9</v>
      </c>
    </row>
    <row r="588" spans="2:119" ht="16.5" customHeight="1" x14ac:dyDescent="0.45">
      <c r="B588" s="99"/>
      <c r="C588" s="42"/>
      <c r="D588" s="109" t="s">
        <v>13</v>
      </c>
      <c r="E588" s="47" t="s">
        <v>1</v>
      </c>
      <c r="F588" s="103">
        <v>0</v>
      </c>
      <c r="G588" s="103">
        <v>0</v>
      </c>
      <c r="H588" s="103">
        <v>20</v>
      </c>
      <c r="I588" s="103">
        <v>0</v>
      </c>
      <c r="J588" s="103">
        <v>40</v>
      </c>
      <c r="K588" s="103">
        <v>40</v>
      </c>
      <c r="L588" s="103">
        <v>0</v>
      </c>
      <c r="M588" s="103">
        <v>0</v>
      </c>
      <c r="N588" s="103">
        <v>0</v>
      </c>
      <c r="O588" s="17">
        <v>0</v>
      </c>
      <c r="P588" s="42"/>
      <c r="Q588" s="109" t="s">
        <v>13</v>
      </c>
      <c r="R588" s="46" t="s">
        <v>1</v>
      </c>
      <c r="S588" s="103">
        <v>0</v>
      </c>
      <c r="T588" s="103">
        <v>0</v>
      </c>
      <c r="U588" s="103">
        <v>33.333333333333329</v>
      </c>
      <c r="V588" s="103">
        <v>0</v>
      </c>
      <c r="W588" s="103">
        <v>33.333333333333329</v>
      </c>
      <c r="X588" s="103">
        <v>33.333333333333329</v>
      </c>
      <c r="Y588" s="103">
        <v>0</v>
      </c>
      <c r="Z588" s="103">
        <v>0</v>
      </c>
      <c r="AA588" s="103">
        <v>0</v>
      </c>
      <c r="AB588" s="17">
        <v>0</v>
      </c>
      <c r="AC588" s="42"/>
      <c r="AD588" s="109" t="s">
        <v>13</v>
      </c>
      <c r="AE588" s="46" t="s">
        <v>1</v>
      </c>
      <c r="AF588" s="103">
        <v>0</v>
      </c>
      <c r="AG588" s="103">
        <v>0</v>
      </c>
      <c r="AH588" s="103">
        <v>0</v>
      </c>
      <c r="AI588" s="103">
        <v>0</v>
      </c>
      <c r="AJ588" s="103">
        <v>50</v>
      </c>
      <c r="AK588" s="103">
        <v>50</v>
      </c>
      <c r="AL588" s="103">
        <v>0</v>
      </c>
      <c r="AM588" s="103">
        <v>0</v>
      </c>
      <c r="AN588" s="103">
        <v>0</v>
      </c>
      <c r="AO588" s="17">
        <v>0</v>
      </c>
      <c r="AP588" s="6"/>
      <c r="AQ588" s="109" t="s">
        <v>13</v>
      </c>
      <c r="AR588" s="46" t="s">
        <v>1</v>
      </c>
      <c r="AS588" s="103">
        <v>0</v>
      </c>
      <c r="AT588" s="103">
        <v>0</v>
      </c>
      <c r="AU588" s="103">
        <v>33.333333333333329</v>
      </c>
      <c r="AV588" s="103">
        <v>0</v>
      </c>
      <c r="AW588" s="103">
        <v>33.333333333333329</v>
      </c>
      <c r="AX588" s="103">
        <v>33.333333333333329</v>
      </c>
      <c r="AY588" s="103">
        <v>0</v>
      </c>
      <c r="AZ588" s="103">
        <v>0</v>
      </c>
      <c r="BA588" s="103">
        <v>0</v>
      </c>
      <c r="BB588" s="17">
        <v>0</v>
      </c>
      <c r="BC588" s="42"/>
      <c r="BD588" s="109" t="s">
        <v>13</v>
      </c>
      <c r="BE588" s="46" t="s">
        <v>1</v>
      </c>
      <c r="BF588" s="103">
        <v>0</v>
      </c>
      <c r="BG588" s="103">
        <v>0</v>
      </c>
      <c r="BH588" s="103">
        <v>0</v>
      </c>
      <c r="BI588" s="103">
        <v>0</v>
      </c>
      <c r="BJ588" s="103">
        <v>50</v>
      </c>
      <c r="BK588" s="103">
        <v>50</v>
      </c>
      <c r="BL588" s="103">
        <v>0</v>
      </c>
      <c r="BM588" s="103">
        <v>0</v>
      </c>
      <c r="BN588" s="103">
        <v>0</v>
      </c>
      <c r="BO588" s="17">
        <v>0</v>
      </c>
      <c r="BQ588" s="109" t="s">
        <v>13</v>
      </c>
      <c r="BR588" s="46" t="s">
        <v>1</v>
      </c>
      <c r="BS588" s="103" t="s">
        <v>128</v>
      </c>
      <c r="BT588" s="103" t="s">
        <v>128</v>
      </c>
      <c r="BU588" s="103" t="s">
        <v>128</v>
      </c>
      <c r="BV588" s="103" t="s">
        <v>128</v>
      </c>
      <c r="BW588" s="103" t="s">
        <v>128</v>
      </c>
      <c r="BX588" s="103" t="s">
        <v>128</v>
      </c>
      <c r="BY588" s="103" t="s">
        <v>128</v>
      </c>
      <c r="BZ588" s="103" t="s">
        <v>128</v>
      </c>
      <c r="CA588" s="103" t="s">
        <v>128</v>
      </c>
      <c r="CB588" s="17" t="s">
        <v>128</v>
      </c>
      <c r="CC588" s="42"/>
      <c r="CD588" s="109" t="s">
        <v>13</v>
      </c>
      <c r="CE588" s="46" t="s">
        <v>1</v>
      </c>
      <c r="CF588" s="103">
        <v>0</v>
      </c>
      <c r="CG588" s="103">
        <v>0</v>
      </c>
      <c r="CH588" s="103">
        <v>20</v>
      </c>
      <c r="CI588" s="103">
        <v>0</v>
      </c>
      <c r="CJ588" s="103">
        <v>40</v>
      </c>
      <c r="CK588" s="103">
        <v>40</v>
      </c>
      <c r="CL588" s="103">
        <v>0</v>
      </c>
      <c r="CM588" s="103">
        <v>0</v>
      </c>
      <c r="CN588" s="103">
        <v>0</v>
      </c>
      <c r="CO588" s="17">
        <v>0</v>
      </c>
      <c r="CQ588" s="109" t="s">
        <v>13</v>
      </c>
      <c r="CR588" s="46" t="s">
        <v>1</v>
      </c>
      <c r="CS588" s="103">
        <v>0</v>
      </c>
      <c r="CT588" s="103">
        <v>0</v>
      </c>
      <c r="CU588" s="103">
        <v>20</v>
      </c>
      <c r="CV588" s="103">
        <v>0</v>
      </c>
      <c r="CW588" s="103">
        <v>40</v>
      </c>
      <c r="CX588" s="103">
        <v>40</v>
      </c>
      <c r="CY588" s="103">
        <v>0</v>
      </c>
      <c r="CZ588" s="103">
        <v>0</v>
      </c>
      <c r="DA588" s="103">
        <v>0</v>
      </c>
      <c r="DB588" s="17">
        <v>0</v>
      </c>
      <c r="DC588" s="42"/>
      <c r="DD588" s="109" t="s">
        <v>13</v>
      </c>
      <c r="DE588" s="46" t="s">
        <v>1</v>
      </c>
      <c r="DF588" s="103" t="s">
        <v>128</v>
      </c>
      <c r="DG588" s="103" t="s">
        <v>128</v>
      </c>
      <c r="DH588" s="103" t="s">
        <v>128</v>
      </c>
      <c r="DI588" s="103" t="s">
        <v>128</v>
      </c>
      <c r="DJ588" s="103" t="s">
        <v>128</v>
      </c>
      <c r="DK588" s="103" t="s">
        <v>128</v>
      </c>
      <c r="DL588" s="103" t="s">
        <v>128</v>
      </c>
      <c r="DM588" s="103" t="s">
        <v>128</v>
      </c>
      <c r="DN588" s="103" t="s">
        <v>128</v>
      </c>
      <c r="DO588" s="17" t="s">
        <v>128</v>
      </c>
    </row>
    <row r="589" spans="2:119" ht="16.5" customHeight="1" x14ac:dyDescent="0.45">
      <c r="B589" s="99"/>
      <c r="C589" s="42"/>
      <c r="D589" s="110"/>
      <c r="E589" s="47">
        <v>1</v>
      </c>
      <c r="F589" s="103">
        <v>11.76470588235294</v>
      </c>
      <c r="G589" s="103">
        <v>23.52941176470588</v>
      </c>
      <c r="H589" s="103">
        <v>5.8823529411764701</v>
      </c>
      <c r="I589" s="103">
        <v>11.76470588235294</v>
      </c>
      <c r="J589" s="103">
        <v>0</v>
      </c>
      <c r="K589" s="103">
        <v>11.76470588235294</v>
      </c>
      <c r="L589" s="103">
        <v>0</v>
      </c>
      <c r="M589" s="103">
        <v>17.647058823529413</v>
      </c>
      <c r="N589" s="103">
        <v>17.647058823529413</v>
      </c>
      <c r="O589" s="103">
        <v>0</v>
      </c>
      <c r="P589" s="42"/>
      <c r="Q589" s="110"/>
      <c r="R589" s="46">
        <v>1</v>
      </c>
      <c r="S589" s="103">
        <v>12.5</v>
      </c>
      <c r="T589" s="103">
        <v>12.5</v>
      </c>
      <c r="U589" s="103">
        <v>12.5</v>
      </c>
      <c r="V589" s="103">
        <v>25</v>
      </c>
      <c r="W589" s="103">
        <v>0</v>
      </c>
      <c r="X589" s="103">
        <v>12.5</v>
      </c>
      <c r="Y589" s="103">
        <v>0</v>
      </c>
      <c r="Z589" s="103">
        <v>0</v>
      </c>
      <c r="AA589" s="103">
        <v>25</v>
      </c>
      <c r="AB589" s="103">
        <v>0</v>
      </c>
      <c r="AC589" s="42"/>
      <c r="AD589" s="110"/>
      <c r="AE589" s="46">
        <v>1</v>
      </c>
      <c r="AF589" s="103">
        <v>11.111111111111111</v>
      </c>
      <c r="AG589" s="103">
        <v>33.333333333333329</v>
      </c>
      <c r="AH589" s="103">
        <v>0</v>
      </c>
      <c r="AI589" s="103">
        <v>0</v>
      </c>
      <c r="AJ589" s="103">
        <v>0</v>
      </c>
      <c r="AK589" s="103">
        <v>11.111111111111111</v>
      </c>
      <c r="AL589" s="103">
        <v>0</v>
      </c>
      <c r="AM589" s="103">
        <v>33.333333333333329</v>
      </c>
      <c r="AN589" s="103">
        <v>11.111111111111111</v>
      </c>
      <c r="AO589" s="103">
        <v>0</v>
      </c>
      <c r="AP589" s="6"/>
      <c r="AQ589" s="110"/>
      <c r="AR589" s="46">
        <v>1</v>
      </c>
      <c r="AS589" s="103">
        <v>33.333333333333329</v>
      </c>
      <c r="AT589" s="103">
        <v>33.333333333333329</v>
      </c>
      <c r="AU589" s="103">
        <v>0</v>
      </c>
      <c r="AV589" s="103">
        <v>0</v>
      </c>
      <c r="AW589" s="103">
        <v>0</v>
      </c>
      <c r="AX589" s="103">
        <v>33.333333333333329</v>
      </c>
      <c r="AY589" s="103">
        <v>0</v>
      </c>
      <c r="AZ589" s="103">
        <v>0</v>
      </c>
      <c r="BA589" s="103">
        <v>0</v>
      </c>
      <c r="BB589" s="103">
        <v>0</v>
      </c>
      <c r="BC589" s="42"/>
      <c r="BD589" s="110"/>
      <c r="BE589" s="46">
        <v>1</v>
      </c>
      <c r="BF589" s="103">
        <v>7.1428571428571423</v>
      </c>
      <c r="BG589" s="103">
        <v>21.428571428571427</v>
      </c>
      <c r="BH589" s="103">
        <v>7.1428571428571423</v>
      </c>
      <c r="BI589" s="103">
        <v>14.285714285714285</v>
      </c>
      <c r="BJ589" s="103">
        <v>0</v>
      </c>
      <c r="BK589" s="103">
        <v>7.1428571428571423</v>
      </c>
      <c r="BL589" s="103">
        <v>0</v>
      </c>
      <c r="BM589" s="103">
        <v>21.428571428571427</v>
      </c>
      <c r="BN589" s="103">
        <v>21.428571428571427</v>
      </c>
      <c r="BO589" s="103">
        <v>0</v>
      </c>
      <c r="BQ589" s="110"/>
      <c r="BR589" s="46">
        <v>1</v>
      </c>
      <c r="BS589" s="103">
        <v>0</v>
      </c>
      <c r="BT589" s="103">
        <v>66.666666666666657</v>
      </c>
      <c r="BU589" s="103">
        <v>0</v>
      </c>
      <c r="BV589" s="103">
        <v>0</v>
      </c>
      <c r="BW589" s="103">
        <v>0</v>
      </c>
      <c r="BX589" s="103">
        <v>0</v>
      </c>
      <c r="BY589" s="103">
        <v>0</v>
      </c>
      <c r="BZ589" s="103">
        <v>33.333333333333329</v>
      </c>
      <c r="CA589" s="103">
        <v>0</v>
      </c>
      <c r="CB589" s="103">
        <v>0</v>
      </c>
      <c r="CC589" s="42"/>
      <c r="CD589" s="110"/>
      <c r="CE589" s="46">
        <v>1</v>
      </c>
      <c r="CF589" s="103">
        <v>14.285714285714285</v>
      </c>
      <c r="CG589" s="103">
        <v>14.285714285714285</v>
      </c>
      <c r="CH589" s="103">
        <v>7.1428571428571423</v>
      </c>
      <c r="CI589" s="103">
        <v>14.285714285714285</v>
      </c>
      <c r="CJ589" s="103">
        <v>0</v>
      </c>
      <c r="CK589" s="103">
        <v>14.285714285714285</v>
      </c>
      <c r="CL589" s="103">
        <v>0</v>
      </c>
      <c r="CM589" s="103">
        <v>14.285714285714285</v>
      </c>
      <c r="CN589" s="103">
        <v>21.428571428571427</v>
      </c>
      <c r="CO589" s="103">
        <v>0</v>
      </c>
      <c r="CQ589" s="110"/>
      <c r="CR589" s="46">
        <v>1</v>
      </c>
      <c r="CS589" s="103">
        <v>12.5</v>
      </c>
      <c r="CT589" s="103">
        <v>18.75</v>
      </c>
      <c r="CU589" s="103">
        <v>6.25</v>
      </c>
      <c r="CV589" s="103">
        <v>12.5</v>
      </c>
      <c r="CW589" s="103">
        <v>0</v>
      </c>
      <c r="CX589" s="103">
        <v>12.5</v>
      </c>
      <c r="CY589" s="103">
        <v>0</v>
      </c>
      <c r="CZ589" s="103">
        <v>18.75</v>
      </c>
      <c r="DA589" s="103">
        <v>18.75</v>
      </c>
      <c r="DB589" s="103">
        <v>0</v>
      </c>
      <c r="DC589" s="42"/>
      <c r="DD589" s="110"/>
      <c r="DE589" s="46">
        <v>1</v>
      </c>
      <c r="DF589" s="103">
        <v>0</v>
      </c>
      <c r="DG589" s="103">
        <v>100</v>
      </c>
      <c r="DH589" s="103">
        <v>0</v>
      </c>
      <c r="DI589" s="103">
        <v>0</v>
      </c>
      <c r="DJ589" s="103">
        <v>0</v>
      </c>
      <c r="DK589" s="103">
        <v>0</v>
      </c>
      <c r="DL589" s="103">
        <v>0</v>
      </c>
      <c r="DM589" s="103">
        <v>0</v>
      </c>
      <c r="DN589" s="103">
        <v>0</v>
      </c>
      <c r="DO589" s="103">
        <v>0</v>
      </c>
    </row>
    <row r="590" spans="2:119" ht="16.5" customHeight="1" x14ac:dyDescent="0.45">
      <c r="B590" s="99"/>
      <c r="C590" s="42"/>
      <c r="D590" s="110"/>
      <c r="E590" s="47" t="s">
        <v>2</v>
      </c>
      <c r="F590" s="103">
        <v>4.954954954954955</v>
      </c>
      <c r="G590" s="103">
        <v>21.396396396396398</v>
      </c>
      <c r="H590" s="103">
        <v>27.702702702702702</v>
      </c>
      <c r="I590" s="103">
        <v>22.522522522522522</v>
      </c>
      <c r="J590" s="103">
        <v>7.6576576576576567</v>
      </c>
      <c r="K590" s="103">
        <v>7.2072072072072073</v>
      </c>
      <c r="L590" s="103">
        <v>3.3783783783783785</v>
      </c>
      <c r="M590" s="103">
        <v>1.5765765765765765</v>
      </c>
      <c r="N590" s="103">
        <v>1.3513513513513513</v>
      </c>
      <c r="O590" s="103">
        <v>2.2522522522522523</v>
      </c>
      <c r="P590" s="42"/>
      <c r="Q590" s="110"/>
      <c r="R590" s="46" t="s">
        <v>2</v>
      </c>
      <c r="S590" s="103">
        <v>2.459016393442623</v>
      </c>
      <c r="T590" s="103">
        <v>18.442622950819672</v>
      </c>
      <c r="U590" s="103">
        <v>27.868852459016392</v>
      </c>
      <c r="V590" s="103">
        <v>26.639344262295083</v>
      </c>
      <c r="W590" s="103">
        <v>5.7377049180327866</v>
      </c>
      <c r="X590" s="103">
        <v>9.0163934426229506</v>
      </c>
      <c r="Y590" s="103">
        <v>3.6885245901639343</v>
      </c>
      <c r="Z590" s="103">
        <v>2.0491803278688523</v>
      </c>
      <c r="AA590" s="103">
        <v>1.639344262295082</v>
      </c>
      <c r="AB590" s="103">
        <v>2.459016393442623</v>
      </c>
      <c r="AC590" s="42"/>
      <c r="AD590" s="110"/>
      <c r="AE590" s="46" t="s">
        <v>2</v>
      </c>
      <c r="AF590" s="103">
        <v>8</v>
      </c>
      <c r="AG590" s="103">
        <v>25</v>
      </c>
      <c r="AH590" s="103">
        <v>27.500000000000004</v>
      </c>
      <c r="AI590" s="103">
        <v>17.5</v>
      </c>
      <c r="AJ590" s="103">
        <v>10</v>
      </c>
      <c r="AK590" s="103">
        <v>5</v>
      </c>
      <c r="AL590" s="103">
        <v>3</v>
      </c>
      <c r="AM590" s="103">
        <v>1</v>
      </c>
      <c r="AN590" s="103">
        <v>1</v>
      </c>
      <c r="AO590" s="103">
        <v>2</v>
      </c>
      <c r="AP590" s="6"/>
      <c r="AQ590" s="110"/>
      <c r="AR590" s="46" t="s">
        <v>2</v>
      </c>
      <c r="AS590" s="103">
        <v>8.5427135678391952</v>
      </c>
      <c r="AT590" s="103">
        <v>22.613065326633166</v>
      </c>
      <c r="AU590" s="103">
        <v>26.633165829145728</v>
      </c>
      <c r="AV590" s="103">
        <v>20.603015075376884</v>
      </c>
      <c r="AW590" s="103">
        <v>6.0301507537688437</v>
      </c>
      <c r="AX590" s="103">
        <v>5.025125628140704</v>
      </c>
      <c r="AY590" s="103">
        <v>3.5175879396984926</v>
      </c>
      <c r="AZ590" s="103">
        <v>1.5075376884422109</v>
      </c>
      <c r="BA590" s="103">
        <v>2.0100502512562812</v>
      </c>
      <c r="BB590" s="103">
        <v>3.5175879396984926</v>
      </c>
      <c r="BC590" s="42"/>
      <c r="BD590" s="110"/>
      <c r="BE590" s="46" t="s">
        <v>2</v>
      </c>
      <c r="BF590" s="103">
        <v>2.0408163265306123</v>
      </c>
      <c r="BG590" s="103">
        <v>20.408163265306122</v>
      </c>
      <c r="BH590" s="103">
        <v>28.571428571428569</v>
      </c>
      <c r="BI590" s="103">
        <v>24.081632653061224</v>
      </c>
      <c r="BJ590" s="103">
        <v>8.9795918367346932</v>
      </c>
      <c r="BK590" s="103">
        <v>8.9795918367346932</v>
      </c>
      <c r="BL590" s="103">
        <v>3.2653061224489797</v>
      </c>
      <c r="BM590" s="103">
        <v>1.6326530612244898</v>
      </c>
      <c r="BN590" s="103">
        <v>0.81632653061224492</v>
      </c>
      <c r="BO590" s="103">
        <v>1.2244897959183674</v>
      </c>
      <c r="BQ590" s="110"/>
      <c r="BR590" s="46" t="s">
        <v>2</v>
      </c>
      <c r="BS590" s="103">
        <v>5.3892215568862278</v>
      </c>
      <c r="BT590" s="103">
        <v>31.736526946107784</v>
      </c>
      <c r="BU590" s="103">
        <v>29.940119760479039</v>
      </c>
      <c r="BV590" s="103">
        <v>21.556886227544911</v>
      </c>
      <c r="BW590" s="103">
        <v>2.3952095808383236</v>
      </c>
      <c r="BX590" s="103">
        <v>5.9880239520958085</v>
      </c>
      <c r="BY590" s="103">
        <v>2.3952095808383236</v>
      </c>
      <c r="BZ590" s="103">
        <v>0</v>
      </c>
      <c r="CA590" s="103">
        <v>0</v>
      </c>
      <c r="CB590" s="103">
        <v>0.5988023952095809</v>
      </c>
      <c r="CC590" s="42"/>
      <c r="CD590" s="110"/>
      <c r="CE590" s="46" t="s">
        <v>2</v>
      </c>
      <c r="CF590" s="103">
        <v>4.6931407942238268</v>
      </c>
      <c r="CG590" s="103">
        <v>15.162454873646208</v>
      </c>
      <c r="CH590" s="103">
        <v>26.353790613718413</v>
      </c>
      <c r="CI590" s="103">
        <v>23.104693140794225</v>
      </c>
      <c r="CJ590" s="103">
        <v>10.830324909747292</v>
      </c>
      <c r="CK590" s="103">
        <v>7.9422382671480145</v>
      </c>
      <c r="CL590" s="103">
        <v>3.9711191335740073</v>
      </c>
      <c r="CM590" s="103">
        <v>2.5270758122743682</v>
      </c>
      <c r="CN590" s="103">
        <v>2.1660649819494582</v>
      </c>
      <c r="CO590" s="103">
        <v>3.2490974729241873</v>
      </c>
      <c r="CQ590" s="110"/>
      <c r="CR590" s="46" t="s">
        <v>2</v>
      </c>
      <c r="CS590" s="103">
        <v>3.0888030888030888</v>
      </c>
      <c r="CT590" s="103">
        <v>12.355212355212355</v>
      </c>
      <c r="CU590" s="103">
        <v>20.463320463320464</v>
      </c>
      <c r="CV590" s="103">
        <v>28.185328185328185</v>
      </c>
      <c r="CW590" s="103">
        <v>11.583011583011583</v>
      </c>
      <c r="CX590" s="103">
        <v>11.196911196911197</v>
      </c>
      <c r="CY590" s="103">
        <v>5.7915057915057915</v>
      </c>
      <c r="CZ590" s="103">
        <v>1.9305019305019304</v>
      </c>
      <c r="DA590" s="103">
        <v>1.9305019305019304</v>
      </c>
      <c r="DB590" s="103">
        <v>3.4749034749034751</v>
      </c>
      <c r="DC590" s="42"/>
      <c r="DD590" s="110"/>
      <c r="DE590" s="46" t="s">
        <v>2</v>
      </c>
      <c r="DF590" s="103">
        <v>7.5675675675675684</v>
      </c>
      <c r="DG590" s="103">
        <v>34.054054054054056</v>
      </c>
      <c r="DH590" s="103">
        <v>37.837837837837839</v>
      </c>
      <c r="DI590" s="103">
        <v>14.594594594594595</v>
      </c>
      <c r="DJ590" s="103">
        <v>2.1621621621621623</v>
      </c>
      <c r="DK590" s="103">
        <v>1.6216216216216217</v>
      </c>
      <c r="DL590" s="103">
        <v>0</v>
      </c>
      <c r="DM590" s="103">
        <v>1.0810810810810811</v>
      </c>
      <c r="DN590" s="103">
        <v>0.54054054054054057</v>
      </c>
      <c r="DO590" s="103">
        <v>0.54054054054054057</v>
      </c>
    </row>
    <row r="591" spans="2:119" ht="16.5" customHeight="1" x14ac:dyDescent="0.45">
      <c r="B591" s="99"/>
      <c r="C591" s="42"/>
      <c r="D591" s="110"/>
      <c r="E591" s="47" t="s">
        <v>3</v>
      </c>
      <c r="F591" s="103">
        <v>2.0979020979020979</v>
      </c>
      <c r="G591" s="103">
        <v>23.310023310023308</v>
      </c>
      <c r="H591" s="103">
        <v>31.46853146853147</v>
      </c>
      <c r="I591" s="103">
        <v>26.340326340326342</v>
      </c>
      <c r="J591" s="103">
        <v>8.1585081585081589</v>
      </c>
      <c r="K591" s="103">
        <v>4.895104895104895</v>
      </c>
      <c r="L591" s="103">
        <v>1.3986013986013985</v>
      </c>
      <c r="M591" s="103">
        <v>1.8648018648018647</v>
      </c>
      <c r="N591" s="103">
        <v>0.46620046620046618</v>
      </c>
      <c r="O591" s="103">
        <v>0</v>
      </c>
      <c r="P591" s="42"/>
      <c r="Q591" s="110"/>
      <c r="R591" s="46" t="s">
        <v>3</v>
      </c>
      <c r="S591" s="103">
        <v>0.39370078740157477</v>
      </c>
      <c r="T591" s="103">
        <v>22.440944881889763</v>
      </c>
      <c r="U591" s="103">
        <v>31.889763779527559</v>
      </c>
      <c r="V591" s="103">
        <v>28.346456692913385</v>
      </c>
      <c r="W591" s="103">
        <v>8.6614173228346463</v>
      </c>
      <c r="X591" s="103">
        <v>4.7244094488188972</v>
      </c>
      <c r="Y591" s="103">
        <v>1.9685039370078741</v>
      </c>
      <c r="Z591" s="103">
        <v>0.78740157480314954</v>
      </c>
      <c r="AA591" s="103">
        <v>0.78740157480314954</v>
      </c>
      <c r="AB591" s="103">
        <v>0</v>
      </c>
      <c r="AC591" s="42"/>
      <c r="AD591" s="110"/>
      <c r="AE591" s="46" t="s">
        <v>3</v>
      </c>
      <c r="AF591" s="103">
        <v>4.5714285714285712</v>
      </c>
      <c r="AG591" s="103">
        <v>24.571428571428573</v>
      </c>
      <c r="AH591" s="103">
        <v>30.857142857142854</v>
      </c>
      <c r="AI591" s="103">
        <v>23.428571428571431</v>
      </c>
      <c r="AJ591" s="103">
        <v>7.4285714285714288</v>
      </c>
      <c r="AK591" s="103">
        <v>5.1428571428571423</v>
      </c>
      <c r="AL591" s="103">
        <v>0.5714285714285714</v>
      </c>
      <c r="AM591" s="103">
        <v>3.4285714285714288</v>
      </c>
      <c r="AN591" s="103">
        <v>0</v>
      </c>
      <c r="AO591" s="103">
        <v>0</v>
      </c>
      <c r="AP591" s="6"/>
      <c r="AQ591" s="110"/>
      <c r="AR591" s="46" t="s">
        <v>3</v>
      </c>
      <c r="AS591" s="103">
        <v>1.1111111111111112</v>
      </c>
      <c r="AT591" s="103">
        <v>26.111111111111114</v>
      </c>
      <c r="AU591" s="103">
        <v>34.444444444444443</v>
      </c>
      <c r="AV591" s="103">
        <v>22.777777777777779</v>
      </c>
      <c r="AW591" s="103">
        <v>7.7777777777777777</v>
      </c>
      <c r="AX591" s="103">
        <v>4.4444444444444446</v>
      </c>
      <c r="AY591" s="103">
        <v>0.55555555555555558</v>
      </c>
      <c r="AZ591" s="103">
        <v>1.6666666666666667</v>
      </c>
      <c r="BA591" s="103">
        <v>1.1111111111111112</v>
      </c>
      <c r="BB591" s="103">
        <v>0</v>
      </c>
      <c r="BC591" s="42"/>
      <c r="BD591" s="110"/>
      <c r="BE591" s="46" t="s">
        <v>3</v>
      </c>
      <c r="BF591" s="103">
        <v>2.8112449799196786</v>
      </c>
      <c r="BG591" s="103">
        <v>21.285140562248998</v>
      </c>
      <c r="BH591" s="103">
        <v>29.317269076305219</v>
      </c>
      <c r="BI591" s="103">
        <v>28.915662650602407</v>
      </c>
      <c r="BJ591" s="103">
        <v>8.4337349397590362</v>
      </c>
      <c r="BK591" s="103">
        <v>5.2208835341365463</v>
      </c>
      <c r="BL591" s="103">
        <v>2.0080321285140563</v>
      </c>
      <c r="BM591" s="103">
        <v>2.0080321285140563</v>
      </c>
      <c r="BN591" s="103">
        <v>0</v>
      </c>
      <c r="BO591" s="103">
        <v>0</v>
      </c>
      <c r="BQ591" s="110"/>
      <c r="BR591" s="46" t="s">
        <v>3</v>
      </c>
      <c r="BS591" s="103">
        <v>3.4965034965034967</v>
      </c>
      <c r="BT591" s="103">
        <v>30.76923076923077</v>
      </c>
      <c r="BU591" s="103">
        <v>32.867132867132867</v>
      </c>
      <c r="BV591" s="103">
        <v>18.88111888111888</v>
      </c>
      <c r="BW591" s="103">
        <v>6.2937062937062942</v>
      </c>
      <c r="BX591" s="103">
        <v>3.4965034965034967</v>
      </c>
      <c r="BY591" s="103">
        <v>1.3986013986013985</v>
      </c>
      <c r="BZ591" s="103">
        <v>2.7972027972027971</v>
      </c>
      <c r="CA591" s="103">
        <v>0</v>
      </c>
      <c r="CB591" s="103">
        <v>0</v>
      </c>
      <c r="CC591" s="42"/>
      <c r="CD591" s="110"/>
      <c r="CE591" s="46" t="s">
        <v>3</v>
      </c>
      <c r="CF591" s="103">
        <v>1.3986013986013985</v>
      </c>
      <c r="CG591" s="103">
        <v>19.58041958041958</v>
      </c>
      <c r="CH591" s="103">
        <v>30.76923076923077</v>
      </c>
      <c r="CI591" s="103">
        <v>30.069930069930066</v>
      </c>
      <c r="CJ591" s="103">
        <v>9.0909090909090917</v>
      </c>
      <c r="CK591" s="103">
        <v>5.5944055944055942</v>
      </c>
      <c r="CL591" s="103">
        <v>1.3986013986013985</v>
      </c>
      <c r="CM591" s="103">
        <v>1.3986013986013985</v>
      </c>
      <c r="CN591" s="103">
        <v>0.69930069930069927</v>
      </c>
      <c r="CO591" s="103">
        <v>0</v>
      </c>
      <c r="CQ591" s="110"/>
      <c r="CR591" s="46" t="s">
        <v>3</v>
      </c>
      <c r="CS591" s="103">
        <v>2.9239766081871341</v>
      </c>
      <c r="CT591" s="103">
        <v>14.035087719298245</v>
      </c>
      <c r="CU591" s="103">
        <v>26.900584795321635</v>
      </c>
      <c r="CV591" s="103">
        <v>30.409356725146196</v>
      </c>
      <c r="CW591" s="103">
        <v>9.9415204678362574</v>
      </c>
      <c r="CX591" s="103">
        <v>9.3567251461988299</v>
      </c>
      <c r="CY591" s="103">
        <v>2.3391812865497075</v>
      </c>
      <c r="CZ591" s="103">
        <v>2.9239766081871341</v>
      </c>
      <c r="DA591" s="103">
        <v>1.1695906432748537</v>
      </c>
      <c r="DB591" s="103">
        <v>0</v>
      </c>
      <c r="DC591" s="42"/>
      <c r="DD591" s="110"/>
      <c r="DE591" s="46" t="s">
        <v>3</v>
      </c>
      <c r="DF591" s="103">
        <v>1.5503875968992249</v>
      </c>
      <c r="DG591" s="103">
        <v>29.457364341085274</v>
      </c>
      <c r="DH591" s="103">
        <v>34.496124031007753</v>
      </c>
      <c r="DI591" s="103">
        <v>23.643410852713178</v>
      </c>
      <c r="DJ591" s="103">
        <v>6.9767441860465116</v>
      </c>
      <c r="DK591" s="103">
        <v>1.9379844961240309</v>
      </c>
      <c r="DL591" s="103">
        <v>0.77519379844961245</v>
      </c>
      <c r="DM591" s="103">
        <v>1.1627906976744187</v>
      </c>
      <c r="DN591" s="103">
        <v>0</v>
      </c>
      <c r="DO591" s="103">
        <v>0</v>
      </c>
    </row>
    <row r="592" spans="2:119" ht="16.5" customHeight="1" x14ac:dyDescent="0.45">
      <c r="B592" s="99"/>
      <c r="C592" s="42"/>
      <c r="D592" s="110"/>
      <c r="E592" s="47" t="s">
        <v>4</v>
      </c>
      <c r="F592" s="103">
        <v>1.5228426395939088</v>
      </c>
      <c r="G592" s="103">
        <v>13.197969543147209</v>
      </c>
      <c r="H592" s="103">
        <v>32.233502538071065</v>
      </c>
      <c r="I592" s="103">
        <v>31.218274111675125</v>
      </c>
      <c r="J592" s="103">
        <v>9.7715736040609134</v>
      </c>
      <c r="K592" s="103">
        <v>6.5989847715736047</v>
      </c>
      <c r="L592" s="103">
        <v>2.5380710659898478</v>
      </c>
      <c r="M592" s="103">
        <v>1.3959390862944163</v>
      </c>
      <c r="N592" s="103">
        <v>0.88832487309644681</v>
      </c>
      <c r="O592" s="103">
        <v>0.63451776649746194</v>
      </c>
      <c r="P592" s="42"/>
      <c r="Q592" s="110"/>
      <c r="R592" s="46" t="s">
        <v>4</v>
      </c>
      <c r="S592" s="103">
        <v>0.98231827111984282</v>
      </c>
      <c r="T592" s="103">
        <v>10.412573673870334</v>
      </c>
      <c r="U592" s="103">
        <v>31.43418467583497</v>
      </c>
      <c r="V592" s="103">
        <v>32.416502946954814</v>
      </c>
      <c r="W592" s="103">
        <v>11.198428290766209</v>
      </c>
      <c r="X592" s="103">
        <v>6.8762278978389002</v>
      </c>
      <c r="Y592" s="103">
        <v>2.7504911591355601</v>
      </c>
      <c r="Z592" s="103">
        <v>1.768172888015717</v>
      </c>
      <c r="AA592" s="103">
        <v>1.1787819253438114</v>
      </c>
      <c r="AB592" s="103">
        <v>0.98231827111984282</v>
      </c>
      <c r="AC592" s="42"/>
      <c r="AD592" s="110"/>
      <c r="AE592" s="46" t="s">
        <v>4</v>
      </c>
      <c r="AF592" s="103">
        <v>2.5089605734767026</v>
      </c>
      <c r="AG592" s="103">
        <v>18.27956989247312</v>
      </c>
      <c r="AH592" s="103">
        <v>33.691756272401435</v>
      </c>
      <c r="AI592" s="103">
        <v>29.032258064516132</v>
      </c>
      <c r="AJ592" s="103">
        <v>7.1684587813620064</v>
      </c>
      <c r="AK592" s="103">
        <v>6.0931899641577063</v>
      </c>
      <c r="AL592" s="103">
        <v>2.1505376344086025</v>
      </c>
      <c r="AM592" s="103">
        <v>0.71684587813620071</v>
      </c>
      <c r="AN592" s="103">
        <v>0.35842293906810035</v>
      </c>
      <c r="AO592" s="103">
        <v>0</v>
      </c>
      <c r="AP592" s="6"/>
      <c r="AQ592" s="110"/>
      <c r="AR592" s="46" t="s">
        <v>4</v>
      </c>
      <c r="AS592" s="103">
        <v>2.3255813953488373</v>
      </c>
      <c r="AT592" s="103">
        <v>17.607973421926911</v>
      </c>
      <c r="AU592" s="103">
        <v>33.887043189368768</v>
      </c>
      <c r="AV592" s="103">
        <v>26.578073089701</v>
      </c>
      <c r="AW592" s="103">
        <v>7.9734219269102988</v>
      </c>
      <c r="AX592" s="103">
        <v>5.9800664451827243</v>
      </c>
      <c r="AY592" s="103">
        <v>1.6611295681063125</v>
      </c>
      <c r="AZ592" s="103">
        <v>1.6611295681063125</v>
      </c>
      <c r="BA592" s="103">
        <v>0.99667774086378735</v>
      </c>
      <c r="BB592" s="103">
        <v>1.3289036544850499</v>
      </c>
      <c r="BC592" s="42"/>
      <c r="BD592" s="110"/>
      <c r="BE592" s="46" t="s">
        <v>4</v>
      </c>
      <c r="BF592" s="103">
        <v>1.0266940451745379</v>
      </c>
      <c r="BG592" s="103">
        <v>10.472279260780287</v>
      </c>
      <c r="BH592" s="103">
        <v>31.211498973305957</v>
      </c>
      <c r="BI592" s="103">
        <v>34.086242299794662</v>
      </c>
      <c r="BJ592" s="103">
        <v>10.882956878850102</v>
      </c>
      <c r="BK592" s="103">
        <v>6.9815195071868574</v>
      </c>
      <c r="BL592" s="103">
        <v>3.0800821355236137</v>
      </c>
      <c r="BM592" s="103">
        <v>1.2320328542094456</v>
      </c>
      <c r="BN592" s="103">
        <v>0.82135523613963046</v>
      </c>
      <c r="BO592" s="103">
        <v>0.20533880903490762</v>
      </c>
      <c r="BQ592" s="110"/>
      <c r="BR592" s="46" t="s">
        <v>4</v>
      </c>
      <c r="BS592" s="103">
        <v>2.912621359223301</v>
      </c>
      <c r="BT592" s="103">
        <v>21.359223300970871</v>
      </c>
      <c r="BU592" s="103">
        <v>34.95145631067961</v>
      </c>
      <c r="BV592" s="103">
        <v>24.757281553398059</v>
      </c>
      <c r="BW592" s="103">
        <v>9.7087378640776691</v>
      </c>
      <c r="BX592" s="103">
        <v>4.3689320388349513</v>
      </c>
      <c r="BY592" s="103">
        <v>0.48543689320388345</v>
      </c>
      <c r="BZ592" s="103">
        <v>0.97087378640776689</v>
      </c>
      <c r="CA592" s="103">
        <v>0</v>
      </c>
      <c r="CB592" s="103">
        <v>0.48543689320388345</v>
      </c>
      <c r="CC592" s="42"/>
      <c r="CD592" s="110"/>
      <c r="CE592" s="46" t="s">
        <v>4</v>
      </c>
      <c r="CF592" s="103">
        <v>1.0309278350515463</v>
      </c>
      <c r="CG592" s="103">
        <v>10.309278350515463</v>
      </c>
      <c r="CH592" s="103">
        <v>31.27147766323024</v>
      </c>
      <c r="CI592" s="103">
        <v>33.505154639175252</v>
      </c>
      <c r="CJ592" s="103">
        <v>9.7938144329896915</v>
      </c>
      <c r="CK592" s="103">
        <v>7.3883161512027495</v>
      </c>
      <c r="CL592" s="103">
        <v>3.264604810996564</v>
      </c>
      <c r="CM592" s="103">
        <v>1.5463917525773196</v>
      </c>
      <c r="CN592" s="103">
        <v>1.202749140893471</v>
      </c>
      <c r="CO592" s="103">
        <v>0.6872852233676976</v>
      </c>
      <c r="CQ592" s="110"/>
      <c r="CR592" s="46" t="s">
        <v>4</v>
      </c>
      <c r="CS592" s="103">
        <v>0.98039215686274506</v>
      </c>
      <c r="CT592" s="103">
        <v>5.8823529411764701</v>
      </c>
      <c r="CU592" s="103">
        <v>22.549019607843139</v>
      </c>
      <c r="CV592" s="103">
        <v>33.333333333333329</v>
      </c>
      <c r="CW592" s="103">
        <v>13.398692810457517</v>
      </c>
      <c r="CX592" s="103">
        <v>11.76470588235294</v>
      </c>
      <c r="CY592" s="103">
        <v>5.5555555555555554</v>
      </c>
      <c r="CZ592" s="103">
        <v>2.6143790849673203</v>
      </c>
      <c r="DA592" s="103">
        <v>2.2875816993464051</v>
      </c>
      <c r="DB592" s="103">
        <v>1.6339869281045754</v>
      </c>
      <c r="DC592" s="42"/>
      <c r="DD592" s="110"/>
      <c r="DE592" s="46" t="s">
        <v>4</v>
      </c>
      <c r="DF592" s="103">
        <v>1.8672199170124482</v>
      </c>
      <c r="DG592" s="103">
        <v>17.842323651452283</v>
      </c>
      <c r="DH592" s="103">
        <v>38.381742738589217</v>
      </c>
      <c r="DI592" s="103">
        <v>29.875518672199171</v>
      </c>
      <c r="DJ592" s="103">
        <v>7.4688796680497926</v>
      </c>
      <c r="DK592" s="103">
        <v>3.3195020746887969</v>
      </c>
      <c r="DL592" s="103">
        <v>0.62240663900414939</v>
      </c>
      <c r="DM592" s="103">
        <v>0.62240663900414939</v>
      </c>
      <c r="DN592" s="103">
        <v>0</v>
      </c>
      <c r="DO592" s="103">
        <v>0</v>
      </c>
    </row>
    <row r="593" spans="2:119" ht="16.5" customHeight="1" x14ac:dyDescent="0.45">
      <c r="B593" s="99"/>
      <c r="C593" s="42"/>
      <c r="D593" s="110"/>
      <c r="E593" s="47" t="s">
        <v>5</v>
      </c>
      <c r="F593" s="103">
        <v>2.2102425876010785</v>
      </c>
      <c r="G593" s="103">
        <v>12.291105121293802</v>
      </c>
      <c r="H593" s="103">
        <v>28.247978436657682</v>
      </c>
      <c r="I593" s="103">
        <v>32.668463611859835</v>
      </c>
      <c r="J593" s="103">
        <v>11.69811320754717</v>
      </c>
      <c r="K593" s="103">
        <v>8.5714285714285712</v>
      </c>
      <c r="L593" s="103">
        <v>1.6172506738544474</v>
      </c>
      <c r="M593" s="103">
        <v>1.5633423180592994</v>
      </c>
      <c r="N593" s="103">
        <v>0.80862533692722371</v>
      </c>
      <c r="O593" s="103">
        <v>0.32345013477088952</v>
      </c>
      <c r="P593" s="42"/>
      <c r="Q593" s="110"/>
      <c r="R593" s="46" t="s">
        <v>5</v>
      </c>
      <c r="S593" s="103">
        <v>1.5833333333333335</v>
      </c>
      <c r="T593" s="103">
        <v>9.25</v>
      </c>
      <c r="U593" s="103">
        <v>26.916666666666668</v>
      </c>
      <c r="V593" s="103">
        <v>35.083333333333336</v>
      </c>
      <c r="W593" s="103">
        <v>14.249999999999998</v>
      </c>
      <c r="X593" s="103">
        <v>9.5</v>
      </c>
      <c r="Y593" s="103">
        <v>1.0833333333333335</v>
      </c>
      <c r="Z593" s="103">
        <v>1.25</v>
      </c>
      <c r="AA593" s="103">
        <v>0.83333333333333337</v>
      </c>
      <c r="AB593" s="103">
        <v>0.25</v>
      </c>
      <c r="AC593" s="42"/>
      <c r="AD593" s="110"/>
      <c r="AE593" s="46" t="s">
        <v>5</v>
      </c>
      <c r="AF593" s="103">
        <v>3.3587786259541987</v>
      </c>
      <c r="AG593" s="103">
        <v>17.862595419847327</v>
      </c>
      <c r="AH593" s="103">
        <v>30.68702290076336</v>
      </c>
      <c r="AI593" s="103">
        <v>28.244274809160309</v>
      </c>
      <c r="AJ593" s="103">
        <v>7.0229007633587788</v>
      </c>
      <c r="AK593" s="103">
        <v>6.8702290076335881</v>
      </c>
      <c r="AL593" s="103">
        <v>2.5954198473282442</v>
      </c>
      <c r="AM593" s="103">
        <v>2.1374045801526718</v>
      </c>
      <c r="AN593" s="103">
        <v>0.76335877862595414</v>
      </c>
      <c r="AO593" s="103">
        <v>0.45801526717557256</v>
      </c>
      <c r="AP593" s="6"/>
      <c r="AQ593" s="110"/>
      <c r="AR593" s="46" t="s">
        <v>5</v>
      </c>
      <c r="AS593" s="103">
        <v>2.2255192878338281</v>
      </c>
      <c r="AT593" s="103">
        <v>15.727002967359049</v>
      </c>
      <c r="AU593" s="103">
        <v>29.376854599406528</v>
      </c>
      <c r="AV593" s="103">
        <v>29.376854599406528</v>
      </c>
      <c r="AW593" s="103">
        <v>10.979228486646884</v>
      </c>
      <c r="AX593" s="103">
        <v>7.71513353115727</v>
      </c>
      <c r="AY593" s="103">
        <v>1.9287833827893175</v>
      </c>
      <c r="AZ593" s="103">
        <v>1.4836795252225521</v>
      </c>
      <c r="BA593" s="103">
        <v>0.74183976261127604</v>
      </c>
      <c r="BB593" s="103">
        <v>0.44510385756676557</v>
      </c>
      <c r="BC593" s="42"/>
      <c r="BD593" s="110"/>
      <c r="BE593" s="46" t="s">
        <v>5</v>
      </c>
      <c r="BF593" s="103">
        <v>2.201524132091448</v>
      </c>
      <c r="BG593" s="103">
        <v>10.330228619813717</v>
      </c>
      <c r="BH593" s="103">
        <v>27.603725656223538</v>
      </c>
      <c r="BI593" s="103">
        <v>34.546994072819643</v>
      </c>
      <c r="BJ593" s="103">
        <v>12.108382726502963</v>
      </c>
      <c r="BK593" s="103">
        <v>9.0601185436071123</v>
      </c>
      <c r="BL593" s="103">
        <v>1.4394580863674851</v>
      </c>
      <c r="BM593" s="103">
        <v>1.6088060965283657</v>
      </c>
      <c r="BN593" s="103">
        <v>0.84674005080440307</v>
      </c>
      <c r="BO593" s="103">
        <v>0.2540220152413209</v>
      </c>
      <c r="BQ593" s="110"/>
      <c r="BR593" s="46" t="s">
        <v>5</v>
      </c>
      <c r="BS593" s="103">
        <v>2.5706940874035991</v>
      </c>
      <c r="BT593" s="103">
        <v>15.681233933161954</v>
      </c>
      <c r="BU593" s="103">
        <v>29.562982005141386</v>
      </c>
      <c r="BV593" s="103">
        <v>31.362467866323907</v>
      </c>
      <c r="BW593" s="103">
        <v>8.7403598971722367</v>
      </c>
      <c r="BX593" s="103">
        <v>8.2262210796915163</v>
      </c>
      <c r="BY593" s="103">
        <v>1.7994858611825193</v>
      </c>
      <c r="BZ593" s="103">
        <v>0.77120822622107965</v>
      </c>
      <c r="CA593" s="103">
        <v>0.77120822622107965</v>
      </c>
      <c r="CB593" s="103">
        <v>0.51413881748071977</v>
      </c>
      <c r="CC593" s="42"/>
      <c r="CD593" s="110"/>
      <c r="CE593" s="46" t="s">
        <v>5</v>
      </c>
      <c r="CF593" s="103">
        <v>2.1145975443383356</v>
      </c>
      <c r="CG593" s="103">
        <v>11.391541609822646</v>
      </c>
      <c r="CH593" s="103">
        <v>27.899045020463848</v>
      </c>
      <c r="CI593" s="103">
        <v>33.015006821282398</v>
      </c>
      <c r="CJ593" s="103">
        <v>12.482946793997272</v>
      </c>
      <c r="CK593" s="103">
        <v>8.6630286493860851</v>
      </c>
      <c r="CL593" s="103">
        <v>1.5688949522510234</v>
      </c>
      <c r="CM593" s="103">
        <v>1.7735334242837655</v>
      </c>
      <c r="CN593" s="103">
        <v>0.81855388813096863</v>
      </c>
      <c r="CO593" s="103">
        <v>0.27285129604365621</v>
      </c>
      <c r="CQ593" s="110"/>
      <c r="CR593" s="46" t="s">
        <v>5</v>
      </c>
      <c r="CS593" s="103">
        <v>3.1021897810218979</v>
      </c>
      <c r="CT593" s="103">
        <v>7.2992700729926998</v>
      </c>
      <c r="CU593" s="103">
        <v>18.430656934306569</v>
      </c>
      <c r="CV593" s="103">
        <v>32.481751824817515</v>
      </c>
      <c r="CW593" s="103">
        <v>14.416058394160583</v>
      </c>
      <c r="CX593" s="103">
        <v>13.686131386861314</v>
      </c>
      <c r="CY593" s="103">
        <v>3.2846715328467155</v>
      </c>
      <c r="CZ593" s="103">
        <v>4.3795620437956204</v>
      </c>
      <c r="DA593" s="103">
        <v>2.0072992700729926</v>
      </c>
      <c r="DB593" s="103">
        <v>0.91240875912408748</v>
      </c>
      <c r="DC593" s="42"/>
      <c r="DD593" s="110"/>
      <c r="DE593" s="46" t="s">
        <v>5</v>
      </c>
      <c r="DF593" s="103">
        <v>1.8362662586074983</v>
      </c>
      <c r="DG593" s="103">
        <v>14.384085692425403</v>
      </c>
      <c r="DH593" s="103">
        <v>32.364192807957153</v>
      </c>
      <c r="DI593" s="103">
        <v>32.746748278500384</v>
      </c>
      <c r="DJ593" s="103">
        <v>10.558530986993114</v>
      </c>
      <c r="DK593" s="103">
        <v>6.426931905126243</v>
      </c>
      <c r="DL593" s="103">
        <v>0.91813312930374913</v>
      </c>
      <c r="DM593" s="103">
        <v>0.3825554705432288</v>
      </c>
      <c r="DN593" s="103">
        <v>0.30604437643458299</v>
      </c>
      <c r="DO593" s="103">
        <v>7.6511094108645747E-2</v>
      </c>
    </row>
    <row r="594" spans="2:119" ht="16.5" customHeight="1" x14ac:dyDescent="0.45">
      <c r="B594" s="99"/>
      <c r="C594" s="42"/>
      <c r="D594" s="110"/>
      <c r="E594" s="47" t="s">
        <v>6</v>
      </c>
      <c r="F594" s="103">
        <v>1.2979465323518018</v>
      </c>
      <c r="G594" s="103">
        <v>8.3882216195273163</v>
      </c>
      <c r="H594" s="103">
        <v>23.208058891902365</v>
      </c>
      <c r="I594" s="103">
        <v>35.432003099573812</v>
      </c>
      <c r="J594" s="103">
        <v>15.769081751259201</v>
      </c>
      <c r="K594" s="103">
        <v>11.003487020534676</v>
      </c>
      <c r="L594" s="103">
        <v>2.1697016660209218</v>
      </c>
      <c r="M594" s="103">
        <v>1.6660209221232081</v>
      </c>
      <c r="N594" s="103">
        <v>0.77489345215032934</v>
      </c>
      <c r="O594" s="103">
        <v>0.29058504455637352</v>
      </c>
      <c r="P594" s="42"/>
      <c r="Q594" s="110"/>
      <c r="R594" s="46" t="s">
        <v>6</v>
      </c>
      <c r="S594" s="103">
        <v>0.88576664630421498</v>
      </c>
      <c r="T594" s="103">
        <v>5.7116676847892487</v>
      </c>
      <c r="U594" s="103">
        <v>20.128283445326815</v>
      </c>
      <c r="V594" s="103">
        <v>36.927306047648131</v>
      </c>
      <c r="W594" s="103">
        <v>17.95968234575443</v>
      </c>
      <c r="X594" s="103">
        <v>12.828344532681735</v>
      </c>
      <c r="Y594" s="103">
        <v>2.4434941967012831</v>
      </c>
      <c r="Z594" s="103">
        <v>1.8937080024434942</v>
      </c>
      <c r="AA594" s="103">
        <v>0.88576664630421498</v>
      </c>
      <c r="AB594" s="103">
        <v>0.3359804520464264</v>
      </c>
      <c r="AC594" s="42"/>
      <c r="AD594" s="110"/>
      <c r="AE594" s="46" t="s">
        <v>6</v>
      </c>
      <c r="AF594" s="103">
        <v>2.0127118644067794</v>
      </c>
      <c r="AG594" s="103">
        <v>13.029661016949154</v>
      </c>
      <c r="AH594" s="103">
        <v>28.548728813559322</v>
      </c>
      <c r="AI594" s="103">
        <v>32.83898305084746</v>
      </c>
      <c r="AJ594" s="103">
        <v>11.970338983050848</v>
      </c>
      <c r="AK594" s="103">
        <v>7.8389830508474576</v>
      </c>
      <c r="AL594" s="103">
        <v>1.6949152542372881</v>
      </c>
      <c r="AM594" s="103">
        <v>1.2711864406779663</v>
      </c>
      <c r="AN594" s="103">
        <v>0.5826271186440678</v>
      </c>
      <c r="AO594" s="103">
        <v>0.21186440677966101</v>
      </c>
      <c r="AP594" s="6"/>
      <c r="AQ594" s="110"/>
      <c r="AR594" s="46" t="s">
        <v>6</v>
      </c>
      <c r="AS594" s="103">
        <v>1.6042780748663104</v>
      </c>
      <c r="AT594" s="103">
        <v>10.932857991681521</v>
      </c>
      <c r="AU594" s="103">
        <v>25.074272133095665</v>
      </c>
      <c r="AV594" s="103">
        <v>33.095662507427214</v>
      </c>
      <c r="AW594" s="103">
        <v>14.319667260843733</v>
      </c>
      <c r="AX594" s="103">
        <v>9.8039215686274517</v>
      </c>
      <c r="AY594" s="103">
        <v>1.7231134878193701</v>
      </c>
      <c r="AZ594" s="103">
        <v>1.9013666072489603</v>
      </c>
      <c r="BA594" s="103">
        <v>1.1883541295306002</v>
      </c>
      <c r="BB594" s="103">
        <v>0.35650623885918004</v>
      </c>
      <c r="BC594" s="42"/>
      <c r="BD594" s="110"/>
      <c r="BE594" s="46" t="s">
        <v>6</v>
      </c>
      <c r="BF594" s="103">
        <v>1.1497556769186548</v>
      </c>
      <c r="BG594" s="103">
        <v>7.1572290888186254</v>
      </c>
      <c r="BH594" s="103">
        <v>22.305260132221903</v>
      </c>
      <c r="BI594" s="103">
        <v>36.562230526013224</v>
      </c>
      <c r="BJ594" s="103">
        <v>16.470250071859731</v>
      </c>
      <c r="BK594" s="103">
        <v>11.583788444955447</v>
      </c>
      <c r="BL594" s="103">
        <v>2.3857430296062088</v>
      </c>
      <c r="BM594" s="103">
        <v>1.5521701638401839</v>
      </c>
      <c r="BN594" s="103">
        <v>0.57487783845932738</v>
      </c>
      <c r="BO594" s="103">
        <v>0.25869502730669736</v>
      </c>
      <c r="BQ594" s="110"/>
      <c r="BR594" s="46" t="s">
        <v>6</v>
      </c>
      <c r="BS594" s="103">
        <v>1.8487394957983194</v>
      </c>
      <c r="BT594" s="103">
        <v>10.252100840336134</v>
      </c>
      <c r="BU594" s="103">
        <v>29.915966386554622</v>
      </c>
      <c r="BV594" s="103">
        <v>32.773109243697476</v>
      </c>
      <c r="BW594" s="103">
        <v>13.445378151260504</v>
      </c>
      <c r="BX594" s="103">
        <v>7.5630252100840334</v>
      </c>
      <c r="BY594" s="103">
        <v>1.5126050420168067</v>
      </c>
      <c r="BZ594" s="103">
        <v>1.680672268907563</v>
      </c>
      <c r="CA594" s="103">
        <v>0.67226890756302526</v>
      </c>
      <c r="CB594" s="103">
        <v>0.33613445378151263</v>
      </c>
      <c r="CC594" s="42"/>
      <c r="CD594" s="110"/>
      <c r="CE594" s="46" t="s">
        <v>6</v>
      </c>
      <c r="CF594" s="103">
        <v>1.2261878694985766</v>
      </c>
      <c r="CG594" s="103">
        <v>8.1453908473834034</v>
      </c>
      <c r="CH594" s="103">
        <v>22.334136194438361</v>
      </c>
      <c r="CI594" s="103">
        <v>35.778410335012047</v>
      </c>
      <c r="CJ594" s="103">
        <v>16.071819575213489</v>
      </c>
      <c r="CK594" s="103">
        <v>11.451718852638495</v>
      </c>
      <c r="CL594" s="103">
        <v>2.2553098313991682</v>
      </c>
      <c r="CM594" s="103">
        <v>1.6641121086052111</v>
      </c>
      <c r="CN594" s="103">
        <v>0.78826363039194225</v>
      </c>
      <c r="CO594" s="103">
        <v>0.28465075541931245</v>
      </c>
      <c r="CQ594" s="110"/>
      <c r="CR594" s="46" t="s">
        <v>6</v>
      </c>
      <c r="CS594" s="103">
        <v>1.4426727410782081</v>
      </c>
      <c r="CT594" s="103">
        <v>4.6317388003037205</v>
      </c>
      <c r="CU594" s="103">
        <v>15.565679574791192</v>
      </c>
      <c r="CV594" s="103">
        <v>30.52391799544419</v>
      </c>
      <c r="CW594" s="103">
        <v>19.362186788154897</v>
      </c>
      <c r="CX594" s="103">
        <v>16.552771450265755</v>
      </c>
      <c r="CY594" s="103">
        <v>4.5558086560364464</v>
      </c>
      <c r="CZ594" s="103">
        <v>4.1761579347000763</v>
      </c>
      <c r="DA594" s="103">
        <v>2.4297646165527715</v>
      </c>
      <c r="DB594" s="103">
        <v>0.75930144267274102</v>
      </c>
      <c r="DC594" s="42"/>
      <c r="DD594" s="110"/>
      <c r="DE594" s="46" t="s">
        <v>6</v>
      </c>
      <c r="DF594" s="103">
        <v>1.2483745123537062</v>
      </c>
      <c r="DG594" s="103">
        <v>9.6749024707412232</v>
      </c>
      <c r="DH594" s="103">
        <v>25.825747724317296</v>
      </c>
      <c r="DI594" s="103">
        <v>37.113133940182053</v>
      </c>
      <c r="DJ594" s="103">
        <v>14.538361508452535</v>
      </c>
      <c r="DK594" s="103">
        <v>9.1027308192457728</v>
      </c>
      <c r="DL594" s="103">
        <v>1.3524057217165149</v>
      </c>
      <c r="DM594" s="103">
        <v>0.8062418725617686</v>
      </c>
      <c r="DN594" s="103">
        <v>0.20806241872561768</v>
      </c>
      <c r="DO594" s="103">
        <v>0.13003901170351106</v>
      </c>
    </row>
    <row r="595" spans="2:119" ht="16.5" customHeight="1" x14ac:dyDescent="0.45">
      <c r="B595" s="99"/>
      <c r="C595" s="42"/>
      <c r="D595" s="110"/>
      <c r="E595" s="47" t="s">
        <v>7</v>
      </c>
      <c r="F595" s="103">
        <v>1.4320585842148088</v>
      </c>
      <c r="G595" s="103">
        <v>4.8413344182262001</v>
      </c>
      <c r="H595" s="103">
        <v>17.339300244100894</v>
      </c>
      <c r="I595" s="103">
        <v>35.256305939788447</v>
      </c>
      <c r="J595" s="103">
        <v>19.064279902359644</v>
      </c>
      <c r="K595" s="103">
        <v>14.605370219690805</v>
      </c>
      <c r="L595" s="103">
        <v>3.5394629780309197</v>
      </c>
      <c r="M595" s="103">
        <v>2.2457282343368594</v>
      </c>
      <c r="N595" s="103">
        <v>1.3344182262001627</v>
      </c>
      <c r="O595" s="103">
        <v>0.34174125305126118</v>
      </c>
      <c r="P595" s="42"/>
      <c r="Q595" s="110"/>
      <c r="R595" s="46" t="s">
        <v>7</v>
      </c>
      <c r="S595" s="103">
        <v>1.3618677042801557</v>
      </c>
      <c r="T595" s="103">
        <v>2.6977950713359276</v>
      </c>
      <c r="U595" s="103">
        <v>13.891050583657588</v>
      </c>
      <c r="V595" s="103">
        <v>34.928664072632941</v>
      </c>
      <c r="W595" s="103">
        <v>21.478599221789882</v>
      </c>
      <c r="X595" s="103">
        <v>16.861219195849547</v>
      </c>
      <c r="Y595" s="103">
        <v>4.4876783398184177</v>
      </c>
      <c r="Z595" s="103">
        <v>2.4902723735408561</v>
      </c>
      <c r="AA595" s="103">
        <v>1.4915693904020753</v>
      </c>
      <c r="AB595" s="103">
        <v>0.31128404669260701</v>
      </c>
      <c r="AC595" s="42"/>
      <c r="AD595" s="110"/>
      <c r="AE595" s="46" t="s">
        <v>7</v>
      </c>
      <c r="AF595" s="103">
        <v>1.5502183406113539</v>
      </c>
      <c r="AG595" s="103">
        <v>8.4497816593886466</v>
      </c>
      <c r="AH595" s="103">
        <v>23.144104803493452</v>
      </c>
      <c r="AI595" s="103">
        <v>35.807860262008731</v>
      </c>
      <c r="AJ595" s="103">
        <v>15</v>
      </c>
      <c r="AK595" s="103">
        <v>10.807860262008735</v>
      </c>
      <c r="AL595" s="103">
        <v>1.9432314410480349</v>
      </c>
      <c r="AM595" s="103">
        <v>1.8340611353711789</v>
      </c>
      <c r="AN595" s="103">
        <v>1.0698689956331877</v>
      </c>
      <c r="AO595" s="103">
        <v>0.39301310043668125</v>
      </c>
      <c r="AP595" s="6"/>
      <c r="AQ595" s="110"/>
      <c r="AR595" s="46" t="s">
        <v>7</v>
      </c>
      <c r="AS595" s="103">
        <v>1.8073990398192601</v>
      </c>
      <c r="AT595" s="103">
        <v>6.6365433493363462</v>
      </c>
      <c r="AU595" s="103">
        <v>20.417961027958203</v>
      </c>
      <c r="AV595" s="103">
        <v>33.747528946625252</v>
      </c>
      <c r="AW595" s="103">
        <v>16.97260660830274</v>
      </c>
      <c r="AX595" s="103">
        <v>12.821236938717876</v>
      </c>
      <c r="AY595" s="103">
        <v>3.4735950296526403</v>
      </c>
      <c r="AZ595" s="103">
        <v>2.3157300197684272</v>
      </c>
      <c r="BA595" s="103">
        <v>1.4120304998587969</v>
      </c>
      <c r="BB595" s="103">
        <v>0.39536853996046317</v>
      </c>
      <c r="BC595" s="42"/>
      <c r="BD595" s="110"/>
      <c r="BE595" s="46" t="s">
        <v>7</v>
      </c>
      <c r="BF595" s="103">
        <v>1.2801463024345638</v>
      </c>
      <c r="BG595" s="103">
        <v>4.114755972111098</v>
      </c>
      <c r="BH595" s="103">
        <v>16.093267802034518</v>
      </c>
      <c r="BI595" s="103">
        <v>35.866956223568408</v>
      </c>
      <c r="BJ595" s="103">
        <v>19.910846953937593</v>
      </c>
      <c r="BK595" s="103">
        <v>15.327465996113842</v>
      </c>
      <c r="BL595" s="103">
        <v>3.5661218424962851</v>
      </c>
      <c r="BM595" s="103">
        <v>2.2173962738598698</v>
      </c>
      <c r="BN595" s="103">
        <v>1.3030060578351812</v>
      </c>
      <c r="BO595" s="103">
        <v>0.32003657560864096</v>
      </c>
      <c r="BQ595" s="110"/>
      <c r="BR595" s="46" t="s">
        <v>7</v>
      </c>
      <c r="BS595" s="103">
        <v>2.106430155210643</v>
      </c>
      <c r="BT595" s="103">
        <v>10.975609756097562</v>
      </c>
      <c r="BU595" s="103">
        <v>23.281596452328159</v>
      </c>
      <c r="BV595" s="103">
        <v>33.148558758314856</v>
      </c>
      <c r="BW595" s="103">
        <v>14.190687361419069</v>
      </c>
      <c r="BX595" s="103">
        <v>10.08869179600887</v>
      </c>
      <c r="BY595" s="103">
        <v>2.8824833702882482</v>
      </c>
      <c r="BZ595" s="103">
        <v>1.9955654101995564</v>
      </c>
      <c r="CA595" s="103">
        <v>1.1086474501108647</v>
      </c>
      <c r="CB595" s="103">
        <v>0.22172949002217296</v>
      </c>
      <c r="CC595" s="42"/>
      <c r="CD595" s="110"/>
      <c r="CE595" s="46" t="s">
        <v>7</v>
      </c>
      <c r="CF595" s="103">
        <v>1.378644186863365</v>
      </c>
      <c r="CG595" s="103">
        <v>4.3554618897084652</v>
      </c>
      <c r="CH595" s="103">
        <v>16.868633649455568</v>
      </c>
      <c r="CI595" s="103">
        <v>35.423252546540219</v>
      </c>
      <c r="CJ595" s="103">
        <v>19.450298559887603</v>
      </c>
      <c r="CK595" s="103">
        <v>14.963119072708114</v>
      </c>
      <c r="CL595" s="103">
        <v>3.5914998243765366</v>
      </c>
      <c r="CM595" s="103">
        <v>2.2655426765015809</v>
      </c>
      <c r="CN595" s="103">
        <v>1.3523006673691604</v>
      </c>
      <c r="CO595" s="103">
        <v>0.35124692658939233</v>
      </c>
      <c r="CQ595" s="110"/>
      <c r="CR595" s="46" t="s">
        <v>7</v>
      </c>
      <c r="CS595" s="103">
        <v>1.6</v>
      </c>
      <c r="CT595" s="103">
        <v>3.4545454545454546</v>
      </c>
      <c r="CU595" s="103">
        <v>12.327272727272726</v>
      </c>
      <c r="CV595" s="103">
        <v>28.618181818181821</v>
      </c>
      <c r="CW595" s="103">
        <v>19.418181818181818</v>
      </c>
      <c r="CX595" s="103">
        <v>18.545454545454547</v>
      </c>
      <c r="CY595" s="103">
        <v>7.0909090909090908</v>
      </c>
      <c r="CZ595" s="103">
        <v>4.5454545454545459</v>
      </c>
      <c r="DA595" s="103">
        <v>3.5272727272727273</v>
      </c>
      <c r="DB595" s="103">
        <v>0.8727272727272728</v>
      </c>
      <c r="DC595" s="42"/>
      <c r="DD595" s="110"/>
      <c r="DE595" s="46" t="s">
        <v>7</v>
      </c>
      <c r="DF595" s="103">
        <v>1.3836477987421385</v>
      </c>
      <c r="DG595" s="103">
        <v>5.2410901467505235</v>
      </c>
      <c r="DH595" s="103">
        <v>18.784067085953879</v>
      </c>
      <c r="DI595" s="103">
        <v>37.169811320754711</v>
      </c>
      <c r="DJ595" s="103">
        <v>18.962264150943398</v>
      </c>
      <c r="DK595" s="103">
        <v>13.469601677148846</v>
      </c>
      <c r="DL595" s="103">
        <v>2.5157232704402519</v>
      </c>
      <c r="DM595" s="103">
        <v>1.5828092243186584</v>
      </c>
      <c r="DN595" s="103">
        <v>0.70230607966457015</v>
      </c>
      <c r="DO595" s="103">
        <v>0.18867924528301888</v>
      </c>
    </row>
    <row r="596" spans="2:119" ht="16.5" customHeight="1" x14ac:dyDescent="0.45">
      <c r="B596" s="99"/>
      <c r="C596" s="42"/>
      <c r="D596" s="110"/>
      <c r="E596" s="47" t="s">
        <v>8</v>
      </c>
      <c r="F596" s="103">
        <v>1.635866490665661</v>
      </c>
      <c r="G596" s="103">
        <v>2.5551574580426175</v>
      </c>
      <c r="H596" s="103">
        <v>10.800490288515935</v>
      </c>
      <c r="I596" s="103">
        <v>29.384310767490103</v>
      </c>
      <c r="J596" s="103">
        <v>21.530265887233639</v>
      </c>
      <c r="K596" s="103">
        <v>20.464831227607014</v>
      </c>
      <c r="L596" s="103">
        <v>6.4868942108240626</v>
      </c>
      <c r="M596" s="103">
        <v>4.4833113332076184</v>
      </c>
      <c r="N596" s="103">
        <v>1.9140109372053553</v>
      </c>
      <c r="O596" s="103">
        <v>0.74486139920799543</v>
      </c>
      <c r="P596" s="42"/>
      <c r="Q596" s="110"/>
      <c r="R596" s="46" t="s">
        <v>8</v>
      </c>
      <c r="S596" s="103">
        <v>1.6255778120184898</v>
      </c>
      <c r="T596" s="103">
        <v>1.1016949152542372</v>
      </c>
      <c r="U596" s="103">
        <v>7.388289676425269</v>
      </c>
      <c r="V596" s="103">
        <v>26.394453004622498</v>
      </c>
      <c r="W596" s="103">
        <v>22.750385208012329</v>
      </c>
      <c r="X596" s="103">
        <v>23.936825885978426</v>
      </c>
      <c r="Y596" s="103">
        <v>8.1432973805855173</v>
      </c>
      <c r="Z596" s="103">
        <v>5.5624036979969187</v>
      </c>
      <c r="AA596" s="103">
        <v>2.2727272727272729</v>
      </c>
      <c r="AB596" s="103">
        <v>0.82434514637904477</v>
      </c>
      <c r="AC596" s="42"/>
      <c r="AD596" s="110"/>
      <c r="AE596" s="46" t="s">
        <v>8</v>
      </c>
      <c r="AF596" s="103">
        <v>1.6520894071914478</v>
      </c>
      <c r="AG596" s="103">
        <v>4.8469387755102042</v>
      </c>
      <c r="AH596" s="103">
        <v>16.18075801749271</v>
      </c>
      <c r="AI596" s="103">
        <v>34.098639455782312</v>
      </c>
      <c r="AJ596" s="103">
        <v>19.606413994169099</v>
      </c>
      <c r="AK596" s="103">
        <v>14.990281827016522</v>
      </c>
      <c r="AL596" s="103">
        <v>3.8751214771622937</v>
      </c>
      <c r="AM596" s="103">
        <v>2.7818270165208938</v>
      </c>
      <c r="AN596" s="103">
        <v>1.3483965014577259</v>
      </c>
      <c r="AO596" s="103">
        <v>0.61953352769679304</v>
      </c>
      <c r="AP596" s="6"/>
      <c r="AQ596" s="110"/>
      <c r="AR596" s="46" t="s">
        <v>8</v>
      </c>
      <c r="AS596" s="103">
        <v>1.7614091273018415</v>
      </c>
      <c r="AT596" s="103">
        <v>4.2233787029623704</v>
      </c>
      <c r="AU596" s="103">
        <v>13.530824659727783</v>
      </c>
      <c r="AV596" s="103">
        <v>31.144915932746198</v>
      </c>
      <c r="AW596" s="103">
        <v>19.41553242594075</v>
      </c>
      <c r="AX596" s="103">
        <v>16.853482786228984</v>
      </c>
      <c r="AY596" s="103">
        <v>5.924739791833467</v>
      </c>
      <c r="AZ596" s="103">
        <v>4.3034427542033624</v>
      </c>
      <c r="BA596" s="103">
        <v>2.1417133706965572</v>
      </c>
      <c r="BB596" s="103">
        <v>0.70056044835868692</v>
      </c>
      <c r="BC596" s="42"/>
      <c r="BD596" s="110"/>
      <c r="BE596" s="46" t="s">
        <v>8</v>
      </c>
      <c r="BF596" s="103">
        <v>1.5971879625061667</v>
      </c>
      <c r="BG596" s="103">
        <v>2.0411938825851008</v>
      </c>
      <c r="BH596" s="103">
        <v>9.9592994573260967</v>
      </c>
      <c r="BI596" s="103">
        <v>28.84188455846078</v>
      </c>
      <c r="BJ596" s="103">
        <v>22.181795757276763</v>
      </c>
      <c r="BK596" s="103">
        <v>21.577454366058213</v>
      </c>
      <c r="BL596" s="103">
        <v>6.6600888011840169</v>
      </c>
      <c r="BM596" s="103">
        <v>4.5387271830291072</v>
      </c>
      <c r="BN596" s="103">
        <v>1.8438579181055748</v>
      </c>
      <c r="BO596" s="103">
        <v>0.75851011346817954</v>
      </c>
      <c r="BQ596" s="110"/>
      <c r="BR596" s="46" t="s">
        <v>8</v>
      </c>
      <c r="BS596" s="103">
        <v>1.842870999030068</v>
      </c>
      <c r="BT596" s="103">
        <v>5.0436469447138697</v>
      </c>
      <c r="BU596" s="103">
        <v>17.555771096023278</v>
      </c>
      <c r="BV596" s="103">
        <v>33.462657613967025</v>
      </c>
      <c r="BW596" s="103">
        <v>15.809893307468478</v>
      </c>
      <c r="BX596" s="103">
        <v>14.936954413191076</v>
      </c>
      <c r="BY596" s="103">
        <v>4.7526673132880699</v>
      </c>
      <c r="BZ596" s="103">
        <v>4.2677012609117364</v>
      </c>
      <c r="CA596" s="103">
        <v>1.5518913676042678</v>
      </c>
      <c r="CB596" s="103">
        <v>0.77594568380213391</v>
      </c>
      <c r="CC596" s="42"/>
      <c r="CD596" s="110"/>
      <c r="CE596" s="46" t="s">
        <v>8</v>
      </c>
      <c r="CF596" s="103">
        <v>1.6252911154055794</v>
      </c>
      <c r="CG596" s="103">
        <v>2.4280263614290671</v>
      </c>
      <c r="CH596" s="103">
        <v>10.455378821663942</v>
      </c>
      <c r="CI596" s="103">
        <v>29.175957583866012</v>
      </c>
      <c r="CJ596" s="103">
        <v>21.822506317823695</v>
      </c>
      <c r="CK596" s="103">
        <v>20.747237500619395</v>
      </c>
      <c r="CL596" s="103">
        <v>6.5754917992170858</v>
      </c>
      <c r="CM596" s="103">
        <v>4.4943263465635992</v>
      </c>
      <c r="CN596" s="103">
        <v>1.9325107774639514</v>
      </c>
      <c r="CO596" s="103">
        <v>0.74327337594767351</v>
      </c>
      <c r="CQ596" s="110"/>
      <c r="CR596" s="46" t="s">
        <v>8</v>
      </c>
      <c r="CS596" s="103">
        <v>1.6576016576016577</v>
      </c>
      <c r="CT596" s="103">
        <v>2.1497021497021498</v>
      </c>
      <c r="CU596" s="103">
        <v>8.5729085729085739</v>
      </c>
      <c r="CV596" s="103">
        <v>22.558922558922561</v>
      </c>
      <c r="CW596" s="103">
        <v>20.124320124320125</v>
      </c>
      <c r="CX596" s="103">
        <v>20.40922040922041</v>
      </c>
      <c r="CY596" s="103">
        <v>9.8938098938098928</v>
      </c>
      <c r="CZ596" s="103">
        <v>8.3398083398083394</v>
      </c>
      <c r="DA596" s="103">
        <v>4.4030044030044024</v>
      </c>
      <c r="DB596" s="103">
        <v>1.8907018907018907</v>
      </c>
      <c r="DC596" s="42"/>
      <c r="DD596" s="110"/>
      <c r="DE596" s="46" t="s">
        <v>8</v>
      </c>
      <c r="DF596" s="103">
        <v>1.6310299118206446</v>
      </c>
      <c r="DG596" s="103">
        <v>2.6453806697020346</v>
      </c>
      <c r="DH596" s="103">
        <v>11.296178894588209</v>
      </c>
      <c r="DI596" s="103">
        <v>30.903117975909169</v>
      </c>
      <c r="DJ596" s="103">
        <v>21.843121433923116</v>
      </c>
      <c r="DK596" s="103">
        <v>20.477205924730562</v>
      </c>
      <c r="DL596" s="103">
        <v>5.7287764393983052</v>
      </c>
      <c r="DM596" s="103">
        <v>3.6251512881101955</v>
      </c>
      <c r="DN596" s="103">
        <v>1.3601521526136822</v>
      </c>
      <c r="DO596" s="103">
        <v>0.48988530920408047</v>
      </c>
    </row>
    <row r="597" spans="2:119" ht="16.5" customHeight="1" x14ac:dyDescent="0.45">
      <c r="B597" s="99"/>
      <c r="C597" s="42"/>
      <c r="D597" s="110"/>
      <c r="E597" s="47" t="s">
        <v>9</v>
      </c>
      <c r="F597" s="103">
        <v>1.7548835395469209</v>
      </c>
      <c r="G597" s="103">
        <v>1.017477931010033</v>
      </c>
      <c r="H597" s="103">
        <v>5.3816428546105577</v>
      </c>
      <c r="I597" s="103">
        <v>20.250292480589923</v>
      </c>
      <c r="J597" s="103">
        <v>20.321196866026163</v>
      </c>
      <c r="K597" s="103">
        <v>24.536462580210586</v>
      </c>
      <c r="L597" s="103">
        <v>12.007657673627113</v>
      </c>
      <c r="M597" s="103">
        <v>8.8205055482681605</v>
      </c>
      <c r="N597" s="103">
        <v>4.1514517672918068</v>
      </c>
      <c r="O597" s="103">
        <v>1.7584287588187328</v>
      </c>
      <c r="P597" s="42"/>
      <c r="Q597" s="110"/>
      <c r="R597" s="46" t="s">
        <v>9</v>
      </c>
      <c r="S597" s="103">
        <v>1.6054205835673301</v>
      </c>
      <c r="T597" s="103">
        <v>0.44561103650347944</v>
      </c>
      <c r="U597" s="103">
        <v>2.8262727383713835</v>
      </c>
      <c r="V597" s="103">
        <v>15.791722622390427</v>
      </c>
      <c r="W597" s="103">
        <v>19.728970821633503</v>
      </c>
      <c r="X597" s="103">
        <v>26.529117323892077</v>
      </c>
      <c r="Y597" s="103">
        <v>14.47320229520205</v>
      </c>
      <c r="Z597" s="103">
        <v>11.018190697106581</v>
      </c>
      <c r="AA597" s="103">
        <v>5.4022707850079357</v>
      </c>
      <c r="AB597" s="103">
        <v>2.179221096325235</v>
      </c>
      <c r="AC597" s="42"/>
      <c r="AD597" s="110"/>
      <c r="AE597" s="46" t="s">
        <v>9</v>
      </c>
      <c r="AF597" s="103">
        <v>1.9619450317124736</v>
      </c>
      <c r="AG597" s="103">
        <v>1.8097251585623679</v>
      </c>
      <c r="AH597" s="103">
        <v>8.9217758985200852</v>
      </c>
      <c r="AI597" s="103">
        <v>26.427061310782239</v>
      </c>
      <c r="AJ597" s="103">
        <v>21.141649048625794</v>
      </c>
      <c r="AK597" s="103">
        <v>21.775898520084567</v>
      </c>
      <c r="AL597" s="103">
        <v>8.5919661733615218</v>
      </c>
      <c r="AM597" s="103">
        <v>5.7758985200845663</v>
      </c>
      <c r="AN597" s="103">
        <v>2.4186046511627906</v>
      </c>
      <c r="AO597" s="103">
        <v>1.1754756871035941</v>
      </c>
      <c r="AP597" s="6"/>
      <c r="AQ597" s="110"/>
      <c r="AR597" s="46" t="s">
        <v>9</v>
      </c>
      <c r="AS597" s="103">
        <v>2.1379044684129429</v>
      </c>
      <c r="AT597" s="103">
        <v>1.9838212634822803</v>
      </c>
      <c r="AU597" s="103">
        <v>7.6271186440677967</v>
      </c>
      <c r="AV597" s="103">
        <v>23.593990755007706</v>
      </c>
      <c r="AW597" s="103">
        <v>20.531587057010785</v>
      </c>
      <c r="AX597" s="103">
        <v>21.937596302003083</v>
      </c>
      <c r="AY597" s="103">
        <v>9.3220338983050848</v>
      </c>
      <c r="AZ597" s="103">
        <v>7.8004622496147924</v>
      </c>
      <c r="BA597" s="103">
        <v>3.6016949152542375</v>
      </c>
      <c r="BB597" s="103">
        <v>1.4637904468412943</v>
      </c>
      <c r="BC597" s="42"/>
      <c r="BD597" s="110"/>
      <c r="BE597" s="46" t="s">
        <v>9</v>
      </c>
      <c r="BF597" s="103">
        <v>1.6684770801651099</v>
      </c>
      <c r="BG597" s="103">
        <v>0.79947860091244849</v>
      </c>
      <c r="BH597" s="103">
        <v>4.87508146860743</v>
      </c>
      <c r="BI597" s="103">
        <v>19.495980882033457</v>
      </c>
      <c r="BJ597" s="103">
        <v>20.273734520964588</v>
      </c>
      <c r="BK597" s="103">
        <v>25.122746035194439</v>
      </c>
      <c r="BL597" s="103">
        <v>12.61351292635238</v>
      </c>
      <c r="BM597" s="103">
        <v>9.0506191614164671</v>
      </c>
      <c r="BN597" s="103">
        <v>4.2754725179230935</v>
      </c>
      <c r="BO597" s="103">
        <v>1.8248968064305888</v>
      </c>
      <c r="BQ597" s="110"/>
      <c r="BR597" s="46" t="s">
        <v>9</v>
      </c>
      <c r="BS597" s="103">
        <v>1.7740429505135387</v>
      </c>
      <c r="BT597" s="103">
        <v>2.3342670401493932</v>
      </c>
      <c r="BU597" s="103">
        <v>9.9906629318394025</v>
      </c>
      <c r="BV597" s="103">
        <v>24.089635854341736</v>
      </c>
      <c r="BW597" s="103">
        <v>20.07469654528478</v>
      </c>
      <c r="BX597" s="103">
        <v>20.915032679738562</v>
      </c>
      <c r="BY597" s="103">
        <v>9.4304388422035483</v>
      </c>
      <c r="BZ597" s="103">
        <v>6.2558356676003735</v>
      </c>
      <c r="CA597" s="103">
        <v>3.2679738562091507</v>
      </c>
      <c r="CB597" s="103">
        <v>1.8674136321195145</v>
      </c>
      <c r="CC597" s="42"/>
      <c r="CD597" s="110"/>
      <c r="CE597" s="46" t="s">
        <v>9</v>
      </c>
      <c r="CF597" s="103">
        <v>1.7541273584905661</v>
      </c>
      <c r="CG597" s="103">
        <v>0.96550707547169812</v>
      </c>
      <c r="CH597" s="103">
        <v>5.1997346698113205</v>
      </c>
      <c r="CI597" s="103">
        <v>20.09876179245283</v>
      </c>
      <c r="CJ597" s="103">
        <v>20.33092570754717</v>
      </c>
      <c r="CK597" s="103">
        <v>24.679392688679243</v>
      </c>
      <c r="CL597" s="103">
        <v>12.109375</v>
      </c>
      <c r="CM597" s="103">
        <v>8.9217275943396217</v>
      </c>
      <c r="CN597" s="103">
        <v>4.1863207547169807</v>
      </c>
      <c r="CO597" s="103">
        <v>1.7541273584905661</v>
      </c>
      <c r="CQ597" s="110"/>
      <c r="CR597" s="46" t="s">
        <v>9</v>
      </c>
      <c r="CS597" s="103">
        <v>1.7074296262113522</v>
      </c>
      <c r="CT597" s="103">
        <v>0.89986155976003701</v>
      </c>
      <c r="CU597" s="103">
        <v>4.5916012921089067</v>
      </c>
      <c r="CV597" s="103">
        <v>15.666820489155514</v>
      </c>
      <c r="CW597" s="103">
        <v>16.497461928934008</v>
      </c>
      <c r="CX597" s="103">
        <v>22.219658514074759</v>
      </c>
      <c r="CY597" s="103">
        <v>14.766958929395477</v>
      </c>
      <c r="CZ597" s="103">
        <v>12.80572219658514</v>
      </c>
      <c r="DA597" s="103">
        <v>6.9681587448084903</v>
      </c>
      <c r="DB597" s="103">
        <v>3.8763267189663129</v>
      </c>
      <c r="DC597" s="42"/>
      <c r="DD597" s="110"/>
      <c r="DE597" s="46" t="s">
        <v>9</v>
      </c>
      <c r="DF597" s="103">
        <v>1.7634985129644367</v>
      </c>
      <c r="DG597" s="103">
        <v>1.0388304779457964</v>
      </c>
      <c r="DH597" s="103">
        <v>5.5250701629455872</v>
      </c>
      <c r="DI597" s="103">
        <v>21.082394336698364</v>
      </c>
      <c r="DJ597" s="103">
        <v>21.015373015540568</v>
      </c>
      <c r="DK597" s="103">
        <v>24.957064466133289</v>
      </c>
      <c r="DL597" s="103">
        <v>11.506723076278641</v>
      </c>
      <c r="DM597" s="103">
        <v>8.0970133623759057</v>
      </c>
      <c r="DN597" s="103">
        <v>3.6400955053826496</v>
      </c>
      <c r="DO597" s="103">
        <v>1.3739370837347631</v>
      </c>
    </row>
    <row r="598" spans="2:119" ht="16.5" customHeight="1" x14ac:dyDescent="0.45">
      <c r="B598" s="99"/>
      <c r="C598" s="42"/>
      <c r="D598" s="110"/>
      <c r="E598" s="47" t="s">
        <v>10</v>
      </c>
      <c r="F598" s="103">
        <v>1.4435607832653878</v>
      </c>
      <c r="G598" s="103">
        <v>0.30408340573414422</v>
      </c>
      <c r="H598" s="103">
        <v>1.6407137606095035</v>
      </c>
      <c r="I598" s="103">
        <v>9.2996056940453116</v>
      </c>
      <c r="J598" s="103">
        <v>13.436476642384548</v>
      </c>
      <c r="K598" s="103">
        <v>21.63336229365769</v>
      </c>
      <c r="L598" s="103">
        <v>17.042037024660832</v>
      </c>
      <c r="M598" s="103">
        <v>17.98101984896077</v>
      </c>
      <c r="N598" s="103">
        <v>11.601951480318117</v>
      </c>
      <c r="O598" s="103">
        <v>5.6171890663636974</v>
      </c>
      <c r="P598" s="42"/>
      <c r="Q598" s="110"/>
      <c r="R598" s="46" t="s">
        <v>10</v>
      </c>
      <c r="S598" s="103">
        <v>1.013346515076619</v>
      </c>
      <c r="T598" s="103">
        <v>9.268413247652002E-2</v>
      </c>
      <c r="U598" s="103">
        <v>0.75383094414236285</v>
      </c>
      <c r="V598" s="103">
        <v>5.8020266930301529</v>
      </c>
      <c r="W598" s="103">
        <v>10.868759268413248</v>
      </c>
      <c r="X598" s="103">
        <v>20.33489866534849</v>
      </c>
      <c r="Y598" s="103">
        <v>18.641868512110726</v>
      </c>
      <c r="Z598" s="103">
        <v>21.131982204646565</v>
      </c>
      <c r="AA598" s="103">
        <v>14.3536826495304</v>
      </c>
      <c r="AB598" s="103">
        <v>7.006920415224914</v>
      </c>
      <c r="AC598" s="42"/>
      <c r="AD598" s="110"/>
      <c r="AE598" s="46" t="s">
        <v>10</v>
      </c>
      <c r="AF598" s="103">
        <v>1.9502255857953719</v>
      </c>
      <c r="AG598" s="103">
        <v>0.55304904671809052</v>
      </c>
      <c r="AH598" s="103">
        <v>2.6851986610391498</v>
      </c>
      <c r="AI598" s="103">
        <v>13.418716344054724</v>
      </c>
      <c r="AJ598" s="103">
        <v>16.460486101004221</v>
      </c>
      <c r="AK598" s="103">
        <v>23.162567311890555</v>
      </c>
      <c r="AL598" s="103">
        <v>15.157910056760295</v>
      </c>
      <c r="AM598" s="103">
        <v>14.270120797554942</v>
      </c>
      <c r="AN598" s="103">
        <v>8.3612283510406051</v>
      </c>
      <c r="AO598" s="103">
        <v>3.9804977441420459</v>
      </c>
      <c r="AP598" s="6"/>
      <c r="AQ598" s="110"/>
      <c r="AR598" s="46" t="s">
        <v>10</v>
      </c>
      <c r="AS598" s="103">
        <v>2.1400264200792605</v>
      </c>
      <c r="AT598" s="103">
        <v>0.87186261558784683</v>
      </c>
      <c r="AU598" s="103">
        <v>3.0647291941875823</v>
      </c>
      <c r="AV598" s="103">
        <v>13.342140026420079</v>
      </c>
      <c r="AW598" s="103">
        <v>17.173051519154559</v>
      </c>
      <c r="AX598" s="103">
        <v>21.505944517833552</v>
      </c>
      <c r="AY598" s="103">
        <v>15.217965653896961</v>
      </c>
      <c r="AZ598" s="103">
        <v>14.108322324966974</v>
      </c>
      <c r="BA598" s="103">
        <v>8.639365918097754</v>
      </c>
      <c r="BB598" s="103">
        <v>3.9365918097754289</v>
      </c>
      <c r="BC598" s="42"/>
      <c r="BD598" s="110"/>
      <c r="BE598" s="46" t="s">
        <v>10</v>
      </c>
      <c r="BF598" s="103">
        <v>1.3427183351822807</v>
      </c>
      <c r="BG598" s="103">
        <v>0.22187368501587543</v>
      </c>
      <c r="BH598" s="103">
        <v>1.4345281358785049</v>
      </c>
      <c r="BI598" s="103">
        <v>8.7142802494166247</v>
      </c>
      <c r="BJ598" s="103">
        <v>12.895451589457174</v>
      </c>
      <c r="BK598" s="103">
        <v>21.651811330859569</v>
      </c>
      <c r="BL598" s="103">
        <v>17.306147431238283</v>
      </c>
      <c r="BM598" s="103">
        <v>18.541754332274969</v>
      </c>
      <c r="BN598" s="103">
        <v>12.030909299567728</v>
      </c>
      <c r="BO598" s="103">
        <v>5.8605256111089865</v>
      </c>
      <c r="BQ598" s="110"/>
      <c r="BR598" s="46" t="s">
        <v>10</v>
      </c>
      <c r="BS598" s="103">
        <v>1.642935377875137</v>
      </c>
      <c r="BT598" s="103">
        <v>0.98576122672508226</v>
      </c>
      <c r="BU598" s="103">
        <v>3.3953997809419496</v>
      </c>
      <c r="BV598" s="103">
        <v>12.157721796276014</v>
      </c>
      <c r="BW598" s="103">
        <v>15.991237677984666</v>
      </c>
      <c r="BX598" s="103">
        <v>20.153340635268346</v>
      </c>
      <c r="BY598" s="103">
        <v>14.457831325301203</v>
      </c>
      <c r="BZ598" s="103">
        <v>14.129244249726177</v>
      </c>
      <c r="CA598" s="103">
        <v>10.952902519167578</v>
      </c>
      <c r="CB598" s="103">
        <v>6.1336254107338446</v>
      </c>
      <c r="CC598" s="42"/>
      <c r="CD598" s="110"/>
      <c r="CE598" s="46" t="s">
        <v>10</v>
      </c>
      <c r="CF598" s="103">
        <v>1.4372867335332435</v>
      </c>
      <c r="CG598" s="103">
        <v>0.28263192362044598</v>
      </c>
      <c r="CH598" s="103">
        <v>1.5854961568951849</v>
      </c>
      <c r="CI598" s="103">
        <v>9.2096646330955085</v>
      </c>
      <c r="CJ598" s="103">
        <v>13.356081756454003</v>
      </c>
      <c r="CK598" s="103">
        <v>21.679936580153726</v>
      </c>
      <c r="CL598" s="103">
        <v>17.123358494467997</v>
      </c>
      <c r="CM598" s="103">
        <v>18.102230034811981</v>
      </c>
      <c r="CN598" s="103">
        <v>11.622376176196877</v>
      </c>
      <c r="CO598" s="103">
        <v>5.6009375107710335</v>
      </c>
      <c r="CQ598" s="110"/>
      <c r="CR598" s="46" t="s">
        <v>10</v>
      </c>
      <c r="CS598" s="103">
        <v>1.1861534737351731</v>
      </c>
      <c r="CT598" s="103">
        <v>0.16945049624788189</v>
      </c>
      <c r="CU598" s="103">
        <v>1.1377390462357784</v>
      </c>
      <c r="CV598" s="103">
        <v>7.5768579036552888</v>
      </c>
      <c r="CW598" s="103">
        <v>10.626966836117163</v>
      </c>
      <c r="CX598" s="103">
        <v>18.784797869765193</v>
      </c>
      <c r="CY598" s="103">
        <v>16.775599128540307</v>
      </c>
      <c r="CZ598" s="103">
        <v>19.753086419753085</v>
      </c>
      <c r="DA598" s="103">
        <v>14.984265311062698</v>
      </c>
      <c r="DB598" s="103">
        <v>9.0050835148874366</v>
      </c>
      <c r="DC598" s="42"/>
      <c r="DD598" s="110"/>
      <c r="DE598" s="46" t="s">
        <v>10</v>
      </c>
      <c r="DF598" s="103">
        <v>1.4847838728435743</v>
      </c>
      <c r="DG598" s="103">
        <v>0.32564450474898232</v>
      </c>
      <c r="DH598" s="103">
        <v>1.7212638108160496</v>
      </c>
      <c r="DI598" s="103">
        <v>9.5754991277379347</v>
      </c>
      <c r="DJ598" s="103">
        <v>13.886412095367321</v>
      </c>
      <c r="DK598" s="103">
        <v>22.089552238805972</v>
      </c>
      <c r="DL598" s="103">
        <v>17.084706338437684</v>
      </c>
      <c r="DM598" s="103">
        <v>17.697228144989339</v>
      </c>
      <c r="DN598" s="103">
        <v>11.060283000581508</v>
      </c>
      <c r="DO598" s="103">
        <v>5.0746268656716413</v>
      </c>
    </row>
    <row r="599" spans="2:119" ht="16.5" customHeight="1" x14ac:dyDescent="0.45">
      <c r="B599" s="99"/>
      <c r="C599" s="42"/>
      <c r="D599" s="111"/>
      <c r="E599" s="47" t="s">
        <v>11</v>
      </c>
      <c r="F599" s="103">
        <v>0.3396354579418091</v>
      </c>
      <c r="G599" s="103">
        <v>5.6605909656968191E-2</v>
      </c>
      <c r="H599" s="103">
        <v>0.31699309407902182</v>
      </c>
      <c r="I599" s="103">
        <v>2.3661270236612704</v>
      </c>
      <c r="J599" s="103">
        <v>5.3435978716177965</v>
      </c>
      <c r="K599" s="103">
        <v>11.70610211706102</v>
      </c>
      <c r="L599" s="103">
        <v>14.536397599909431</v>
      </c>
      <c r="M599" s="103">
        <v>22.178195403600139</v>
      </c>
      <c r="N599" s="103">
        <v>23.366919506396471</v>
      </c>
      <c r="O599" s="103">
        <v>19.789426016076078</v>
      </c>
      <c r="P599" s="42"/>
      <c r="Q599" s="111"/>
      <c r="R599" s="46" t="s">
        <v>11</v>
      </c>
      <c r="S599" s="103">
        <v>0.42016806722689076</v>
      </c>
      <c r="T599" s="103">
        <v>0</v>
      </c>
      <c r="U599" s="103">
        <v>0.10504201680672269</v>
      </c>
      <c r="V599" s="103">
        <v>1.2605042016806722</v>
      </c>
      <c r="W599" s="103">
        <v>3.2352941176470593</v>
      </c>
      <c r="X599" s="103">
        <v>8.7815126050420158</v>
      </c>
      <c r="Y599" s="103">
        <v>13.571428571428571</v>
      </c>
      <c r="Z599" s="103">
        <v>21.869747899159663</v>
      </c>
      <c r="AA599" s="103">
        <v>26.974789915966387</v>
      </c>
      <c r="AB599" s="103">
        <v>23.781512605042014</v>
      </c>
      <c r="AC599" s="42"/>
      <c r="AD599" s="111"/>
      <c r="AE599" s="46" t="s">
        <v>11</v>
      </c>
      <c r="AF599" s="103">
        <v>0.24551927326295114</v>
      </c>
      <c r="AG599" s="103">
        <v>0.12275963663147557</v>
      </c>
      <c r="AH599" s="103">
        <v>0.56469432850478762</v>
      </c>
      <c r="AI599" s="103">
        <v>3.658237171617972</v>
      </c>
      <c r="AJ599" s="103">
        <v>7.8075128897618455</v>
      </c>
      <c r="AK599" s="103">
        <v>15.12398723299779</v>
      </c>
      <c r="AL599" s="103">
        <v>15.664129634176282</v>
      </c>
      <c r="AM599" s="103">
        <v>22.538669285538916</v>
      </c>
      <c r="AN599" s="103">
        <v>19.150503314510189</v>
      </c>
      <c r="AO599" s="103">
        <v>15.12398723299779</v>
      </c>
      <c r="AP599" s="6"/>
      <c r="AQ599" s="111"/>
      <c r="AR599" s="46" t="s">
        <v>11</v>
      </c>
      <c r="AS599" s="103">
        <v>1.0447761194029852</v>
      </c>
      <c r="AT599" s="103">
        <v>0.44776119402985076</v>
      </c>
      <c r="AU599" s="103">
        <v>1.6417910447761193</v>
      </c>
      <c r="AV599" s="103">
        <v>4.1791044776119408</v>
      </c>
      <c r="AW599" s="103">
        <v>7.611940298507462</v>
      </c>
      <c r="AX599" s="103">
        <v>14.776119402985074</v>
      </c>
      <c r="AY599" s="103">
        <v>19.701492537313435</v>
      </c>
      <c r="AZ599" s="103">
        <v>18.35820895522388</v>
      </c>
      <c r="BA599" s="103">
        <v>19.552238805970148</v>
      </c>
      <c r="BB599" s="103">
        <v>12.686567164179104</v>
      </c>
      <c r="BC599" s="42"/>
      <c r="BD599" s="111"/>
      <c r="BE599" s="46" t="s">
        <v>11</v>
      </c>
      <c r="BF599" s="103">
        <v>0.28175915717260808</v>
      </c>
      <c r="BG599" s="103">
        <v>2.4500796275878967E-2</v>
      </c>
      <c r="BH599" s="103">
        <v>0.20825676834497123</v>
      </c>
      <c r="BI599" s="103">
        <v>2.2173220629670465</v>
      </c>
      <c r="BJ599" s="103">
        <v>5.1574176160725225</v>
      </c>
      <c r="BK599" s="103">
        <v>11.454122258973417</v>
      </c>
      <c r="BL599" s="103">
        <v>14.112458654906284</v>
      </c>
      <c r="BM599" s="103">
        <v>22.49173098125689</v>
      </c>
      <c r="BN599" s="103">
        <v>23.680019600637021</v>
      </c>
      <c r="BO599" s="103">
        <v>20.372412103393362</v>
      </c>
      <c r="BQ599" s="111"/>
      <c r="BR599" s="46" t="s">
        <v>11</v>
      </c>
      <c r="BS599" s="103">
        <v>0.88105726872246704</v>
      </c>
      <c r="BT599" s="103">
        <v>0</v>
      </c>
      <c r="BU599" s="103">
        <v>0.88105726872246704</v>
      </c>
      <c r="BV599" s="103">
        <v>3.5242290748898681</v>
      </c>
      <c r="BW599" s="103">
        <v>7.0484581497797363</v>
      </c>
      <c r="BX599" s="103">
        <v>15.418502202643172</v>
      </c>
      <c r="BY599" s="103">
        <v>18.502202643171806</v>
      </c>
      <c r="BZ599" s="103">
        <v>16.740088105726873</v>
      </c>
      <c r="CA599" s="103">
        <v>23.348017621145374</v>
      </c>
      <c r="CB599" s="103">
        <v>13.656387665198238</v>
      </c>
      <c r="CC599" s="42"/>
      <c r="CD599" s="111"/>
      <c r="CE599" s="46" t="s">
        <v>11</v>
      </c>
      <c r="CF599" s="103">
        <v>0.32535440390425285</v>
      </c>
      <c r="CG599" s="103">
        <v>5.8099000697188007E-2</v>
      </c>
      <c r="CH599" s="103">
        <v>0.30211480362537763</v>
      </c>
      <c r="CI599" s="103">
        <v>2.3355798280269577</v>
      </c>
      <c r="CJ599" s="103">
        <v>5.2986288635835468</v>
      </c>
      <c r="CK599" s="103">
        <v>11.608180339298164</v>
      </c>
      <c r="CL599" s="103">
        <v>14.431791773181502</v>
      </c>
      <c r="CM599" s="103">
        <v>22.321636067859632</v>
      </c>
      <c r="CN599" s="103">
        <v>23.367418080409017</v>
      </c>
      <c r="CO599" s="103">
        <v>19.951196839414362</v>
      </c>
      <c r="CQ599" s="111"/>
      <c r="CR599" s="46" t="s">
        <v>11</v>
      </c>
      <c r="CS599" s="103">
        <v>0.19940179461615154</v>
      </c>
      <c r="CT599" s="103">
        <v>0</v>
      </c>
      <c r="CU599" s="103">
        <v>0.39880358923230308</v>
      </c>
      <c r="CV599" s="103">
        <v>2.4925224327018944</v>
      </c>
      <c r="CW599" s="103">
        <v>4.0877367896311068</v>
      </c>
      <c r="CX599" s="103">
        <v>10.16949152542373</v>
      </c>
      <c r="CY599" s="103">
        <v>12.761714855433699</v>
      </c>
      <c r="CZ599" s="103">
        <v>19.940179461615156</v>
      </c>
      <c r="DA599" s="103">
        <v>24.426719840478565</v>
      </c>
      <c r="DB599" s="103">
        <v>25.523429710867397</v>
      </c>
      <c r="DC599" s="42"/>
      <c r="DD599" s="111"/>
      <c r="DE599" s="46" t="s">
        <v>11</v>
      </c>
      <c r="DF599" s="103">
        <v>0.35759897828863346</v>
      </c>
      <c r="DG599" s="103">
        <v>6.3856960408684549E-2</v>
      </c>
      <c r="DH599" s="103">
        <v>0.30651340996168586</v>
      </c>
      <c r="DI599" s="103">
        <v>2.3499361430395913</v>
      </c>
      <c r="DJ599" s="103">
        <v>5.5044699872286076</v>
      </c>
      <c r="DK599" s="103">
        <v>11.9029374201788</v>
      </c>
      <c r="DL599" s="103">
        <v>14.763729246487866</v>
      </c>
      <c r="DM599" s="103">
        <v>22.464878671775224</v>
      </c>
      <c r="DN599" s="103">
        <v>23.231162196679438</v>
      </c>
      <c r="DO599" s="103">
        <v>19.054916985951468</v>
      </c>
    </row>
    <row r="600" spans="2:119" x14ac:dyDescent="0.45">
      <c r="B600" s="99"/>
      <c r="C600" s="42"/>
      <c r="D600" s="42"/>
      <c r="E600" s="42"/>
      <c r="F600" s="42"/>
      <c r="G600" s="42"/>
      <c r="H600" s="42"/>
      <c r="I600" s="42"/>
      <c r="J600" s="42"/>
      <c r="K600" s="42"/>
      <c r="L600" s="42"/>
      <c r="M600" s="42"/>
      <c r="N600" s="42"/>
      <c r="O600" s="42"/>
      <c r="P600" s="42"/>
      <c r="Q600" s="42"/>
      <c r="R600" s="42"/>
      <c r="S600" s="42"/>
      <c r="T600" s="42"/>
      <c r="U600" s="42"/>
      <c r="V600" s="42"/>
      <c r="W600" s="42"/>
      <c r="X600" s="42"/>
      <c r="Y600" s="42"/>
      <c r="Z600" s="42"/>
      <c r="AA600" s="42"/>
      <c r="AB600" s="42"/>
      <c r="AC600" s="42"/>
      <c r="AD600" s="42"/>
      <c r="AE600" s="42"/>
      <c r="AF600" s="42"/>
      <c r="AG600" s="42"/>
      <c r="AH600" s="42"/>
      <c r="AI600" s="42"/>
      <c r="AJ600" s="42"/>
      <c r="AK600" s="42"/>
      <c r="AL600" s="42"/>
      <c r="AM600" s="42"/>
      <c r="AN600" s="42"/>
      <c r="AO600" s="42"/>
      <c r="AQ600" s="42"/>
      <c r="AR600" s="42"/>
      <c r="AS600" s="42"/>
      <c r="AT600" s="42"/>
      <c r="AU600" s="42"/>
      <c r="AV600" s="42"/>
      <c r="AW600" s="42"/>
      <c r="AX600" s="42"/>
      <c r="AY600" s="42"/>
      <c r="AZ600" s="42"/>
      <c r="BA600" s="42"/>
      <c r="BB600" s="42"/>
      <c r="BC600" s="42"/>
      <c r="BD600" s="42"/>
      <c r="BE600" s="42"/>
      <c r="BF600" s="42"/>
      <c r="BG600" s="42"/>
      <c r="BH600" s="42"/>
      <c r="BI600" s="42"/>
      <c r="BJ600" s="42"/>
      <c r="BK600" s="42"/>
      <c r="BL600" s="42"/>
      <c r="BM600" s="42"/>
      <c r="BN600" s="42"/>
      <c r="BO600" s="42"/>
      <c r="BQ600" s="42"/>
      <c r="BR600" s="42"/>
      <c r="BS600" s="42"/>
      <c r="BT600" s="42"/>
      <c r="BU600" s="42"/>
      <c r="BV600" s="42"/>
      <c r="BW600" s="42"/>
      <c r="BX600" s="42"/>
      <c r="BY600" s="42"/>
      <c r="BZ600" s="42"/>
      <c r="CA600" s="42"/>
      <c r="CB600" s="42"/>
      <c r="CC600" s="42"/>
      <c r="CD600" s="42"/>
      <c r="CE600" s="42"/>
      <c r="CF600" s="42"/>
      <c r="CG600" s="42"/>
      <c r="CH600" s="42"/>
      <c r="CI600" s="42"/>
      <c r="CJ600" s="42"/>
      <c r="CK600" s="42"/>
      <c r="CL600" s="42"/>
      <c r="CM600" s="42"/>
      <c r="CN600" s="42"/>
      <c r="CO600" s="42"/>
      <c r="CQ600" s="42"/>
      <c r="CR600" s="42"/>
      <c r="CS600" s="42"/>
      <c r="CT600" s="42"/>
      <c r="CU600" s="42"/>
      <c r="CV600" s="42"/>
      <c r="CW600" s="42"/>
      <c r="CX600" s="42"/>
      <c r="CY600" s="42"/>
      <c r="CZ600" s="42"/>
      <c r="DA600" s="42"/>
      <c r="DB600" s="42"/>
      <c r="DC600" s="42"/>
      <c r="DD600" s="42"/>
      <c r="DE600" s="42"/>
      <c r="DF600" s="42"/>
      <c r="DG600" s="42"/>
      <c r="DH600" s="42"/>
      <c r="DI600" s="42"/>
      <c r="DJ600" s="42"/>
      <c r="DK600" s="42"/>
      <c r="DL600" s="42"/>
      <c r="DM600" s="42"/>
      <c r="DN600" s="42"/>
      <c r="DO600" s="42"/>
    </row>
    <row r="601" spans="2:119" x14ac:dyDescent="0.45">
      <c r="B601" s="99"/>
      <c r="C601" s="42"/>
      <c r="D601" s="42"/>
      <c r="E601" s="42"/>
      <c r="F601" s="42"/>
      <c r="G601" s="42"/>
      <c r="H601" s="42"/>
      <c r="I601" s="42"/>
      <c r="J601" s="42"/>
      <c r="K601" s="42"/>
      <c r="L601" s="42"/>
      <c r="M601" s="42"/>
      <c r="N601" s="42"/>
      <c r="O601" s="42"/>
      <c r="P601" s="42"/>
      <c r="Q601" s="42"/>
      <c r="R601" s="42"/>
      <c r="S601" s="42"/>
      <c r="T601" s="42"/>
      <c r="U601" s="42"/>
      <c r="V601" s="42"/>
      <c r="W601" s="42"/>
      <c r="X601" s="42"/>
      <c r="Y601" s="42"/>
      <c r="Z601" s="42"/>
      <c r="AA601" s="42"/>
      <c r="AB601" s="42"/>
      <c r="AC601" s="42"/>
      <c r="AD601" s="42"/>
      <c r="AE601" s="42"/>
      <c r="AF601" s="42"/>
      <c r="AG601" s="42"/>
      <c r="AH601" s="42"/>
      <c r="AI601" s="42"/>
      <c r="AJ601" s="42"/>
      <c r="AK601" s="42"/>
      <c r="AL601" s="42"/>
      <c r="AM601" s="42"/>
      <c r="AN601" s="42"/>
      <c r="AO601" s="42"/>
      <c r="AQ601" s="42"/>
      <c r="AR601" s="42"/>
      <c r="AS601" s="42"/>
      <c r="AT601" s="42"/>
      <c r="AU601" s="42"/>
      <c r="AV601" s="42"/>
      <c r="AW601" s="42"/>
      <c r="AX601" s="42"/>
      <c r="AY601" s="42"/>
      <c r="AZ601" s="42"/>
      <c r="BA601" s="42"/>
      <c r="BB601" s="42"/>
      <c r="BC601" s="42"/>
      <c r="BD601" s="42"/>
      <c r="BE601" s="42"/>
      <c r="BF601" s="42"/>
      <c r="BG601" s="42"/>
      <c r="BH601" s="42"/>
      <c r="BI601" s="42"/>
      <c r="BJ601" s="42"/>
      <c r="BK601" s="42"/>
      <c r="BL601" s="42"/>
      <c r="BM601" s="42"/>
      <c r="BN601" s="42"/>
      <c r="BO601" s="42"/>
      <c r="BQ601" s="42"/>
      <c r="BR601" s="42"/>
      <c r="BS601" s="42"/>
      <c r="BT601" s="42"/>
      <c r="BU601" s="42"/>
      <c r="BV601" s="42"/>
      <c r="BW601" s="42"/>
      <c r="BX601" s="42"/>
      <c r="BY601" s="42"/>
      <c r="BZ601" s="42"/>
      <c r="CA601" s="42"/>
      <c r="CB601" s="42"/>
      <c r="CC601" s="42"/>
      <c r="CD601" s="42"/>
      <c r="CE601" s="42"/>
      <c r="CF601" s="42"/>
      <c r="CG601" s="42"/>
      <c r="CH601" s="42"/>
      <c r="CI601" s="42"/>
      <c r="CJ601" s="42"/>
      <c r="CK601" s="42"/>
      <c r="CL601" s="42"/>
      <c r="CM601" s="42"/>
      <c r="CN601" s="42"/>
      <c r="CO601" s="42"/>
      <c r="CQ601" s="42"/>
      <c r="CR601" s="42"/>
      <c r="CS601" s="42"/>
      <c r="CT601" s="42"/>
      <c r="CU601" s="42"/>
      <c r="CV601" s="42"/>
      <c r="CW601" s="42"/>
      <c r="CX601" s="42"/>
      <c r="CY601" s="42"/>
      <c r="CZ601" s="42"/>
      <c r="DA601" s="42"/>
      <c r="DB601" s="42"/>
      <c r="DC601" s="42"/>
      <c r="DD601" s="42"/>
      <c r="DE601" s="42"/>
      <c r="DF601" s="42"/>
      <c r="DG601" s="42"/>
      <c r="DH601" s="42"/>
      <c r="DI601" s="42"/>
      <c r="DJ601" s="42"/>
      <c r="DK601" s="42"/>
      <c r="DL601" s="42"/>
      <c r="DM601" s="42"/>
      <c r="DN601" s="42"/>
      <c r="DO601" s="42"/>
    </row>
    <row r="602" spans="2:119" ht="18.75" customHeight="1" x14ac:dyDescent="0.55000000000000004">
      <c r="B602" s="99"/>
      <c r="C602" s="42"/>
      <c r="D602" s="112" t="s">
        <v>24</v>
      </c>
      <c r="E602" s="112"/>
      <c r="F602" s="45"/>
      <c r="G602" s="45"/>
      <c r="H602" s="45"/>
      <c r="I602" s="45"/>
      <c r="J602" s="45"/>
      <c r="K602" s="45"/>
      <c r="L602" s="45"/>
      <c r="M602" s="45"/>
      <c r="N602" s="45"/>
      <c r="O602" s="45"/>
      <c r="P602" s="42"/>
      <c r="Q602" s="112" t="s">
        <v>24</v>
      </c>
      <c r="R602" s="112"/>
      <c r="S602" s="45"/>
      <c r="T602" s="45"/>
      <c r="U602" s="45"/>
      <c r="V602" s="45"/>
      <c r="W602" s="45"/>
      <c r="X602" s="45"/>
      <c r="Y602" s="45"/>
      <c r="Z602" s="45"/>
      <c r="AA602" s="45"/>
      <c r="AB602" s="45"/>
      <c r="AC602" s="42"/>
      <c r="AD602" s="112" t="s">
        <v>24</v>
      </c>
      <c r="AE602" s="112"/>
      <c r="AF602" s="45"/>
      <c r="AG602" s="45"/>
      <c r="AH602" s="45"/>
      <c r="AI602" s="45"/>
      <c r="AJ602" s="45"/>
      <c r="AK602" s="45"/>
      <c r="AL602" s="45"/>
      <c r="AM602" s="45"/>
      <c r="AN602" s="45"/>
      <c r="AO602" s="45"/>
      <c r="AP602" s="6"/>
      <c r="AQ602" s="112" t="s">
        <v>24</v>
      </c>
      <c r="AR602" s="112"/>
      <c r="AS602" s="45"/>
      <c r="AT602" s="45"/>
      <c r="AU602" s="45"/>
      <c r="AV602" s="45"/>
      <c r="AW602" s="45"/>
      <c r="AX602" s="45"/>
      <c r="AY602" s="45"/>
      <c r="AZ602" s="45"/>
      <c r="BA602" s="45"/>
      <c r="BB602" s="45"/>
      <c r="BC602" s="42"/>
      <c r="BD602" s="112" t="s">
        <v>24</v>
      </c>
      <c r="BE602" s="112"/>
      <c r="BF602" s="45"/>
      <c r="BG602" s="45"/>
      <c r="BH602" s="45"/>
      <c r="BI602" s="45"/>
      <c r="BJ602" s="45"/>
      <c r="BK602" s="45"/>
      <c r="BL602" s="45"/>
      <c r="BM602" s="45"/>
      <c r="BN602" s="45"/>
      <c r="BO602" s="45"/>
      <c r="BQ602" s="112" t="s">
        <v>24</v>
      </c>
      <c r="BR602" s="112"/>
      <c r="BS602" s="45"/>
      <c r="BT602" s="45"/>
      <c r="BU602" s="45"/>
      <c r="BV602" s="45"/>
      <c r="BW602" s="45"/>
      <c r="BX602" s="45"/>
      <c r="BY602" s="45"/>
      <c r="BZ602" s="45"/>
      <c r="CA602" s="45"/>
      <c r="CB602" s="45"/>
      <c r="CC602" s="42"/>
      <c r="CD602" s="112" t="s">
        <v>24</v>
      </c>
      <c r="CE602" s="112"/>
      <c r="CF602" s="45"/>
      <c r="CG602" s="45"/>
      <c r="CH602" s="45"/>
      <c r="CI602" s="45"/>
      <c r="CJ602" s="45"/>
      <c r="CK602" s="45"/>
      <c r="CL602" s="45"/>
      <c r="CM602" s="45"/>
      <c r="CN602" s="45"/>
      <c r="CO602" s="45"/>
      <c r="CQ602" s="112" t="s">
        <v>24</v>
      </c>
      <c r="CR602" s="112"/>
      <c r="CS602" s="45"/>
      <c r="CT602" s="45"/>
      <c r="CU602" s="45"/>
      <c r="CV602" s="45"/>
      <c r="CW602" s="45"/>
      <c r="CX602" s="45"/>
      <c r="CY602" s="45"/>
      <c r="CZ602" s="45"/>
      <c r="DA602" s="45"/>
      <c r="DB602" s="45"/>
      <c r="DC602" s="42"/>
      <c r="DD602" s="112" t="s">
        <v>24</v>
      </c>
      <c r="DE602" s="112"/>
      <c r="DF602" s="45"/>
      <c r="DG602" s="45"/>
      <c r="DH602" s="45"/>
      <c r="DI602" s="45"/>
      <c r="DJ602" s="45"/>
      <c r="DK602" s="45"/>
      <c r="DL602" s="45"/>
      <c r="DM602" s="45"/>
      <c r="DN602" s="45"/>
      <c r="DO602" s="45"/>
    </row>
    <row r="603" spans="2:119" ht="28.9" customHeight="1" x14ac:dyDescent="0.45">
      <c r="B603" s="99"/>
      <c r="C603" s="42"/>
      <c r="D603" s="112"/>
      <c r="E603" s="112"/>
      <c r="F603" s="108" t="s">
        <v>12</v>
      </c>
      <c r="G603" s="108"/>
      <c r="H603" s="108"/>
      <c r="I603" s="108"/>
      <c r="J603" s="108"/>
      <c r="K603" s="108"/>
      <c r="L603" s="108"/>
      <c r="M603" s="108"/>
      <c r="N603" s="108"/>
      <c r="O603" s="108"/>
      <c r="P603" s="42"/>
      <c r="Q603" s="112"/>
      <c r="R603" s="112"/>
      <c r="S603" s="108" t="s">
        <v>12</v>
      </c>
      <c r="T603" s="108"/>
      <c r="U603" s="108"/>
      <c r="V603" s="108"/>
      <c r="W603" s="108"/>
      <c r="X603" s="108"/>
      <c r="Y603" s="108"/>
      <c r="Z603" s="108"/>
      <c r="AA603" s="108"/>
      <c r="AB603" s="108"/>
      <c r="AC603" s="42"/>
      <c r="AD603" s="112"/>
      <c r="AE603" s="112"/>
      <c r="AF603" s="108" t="s">
        <v>12</v>
      </c>
      <c r="AG603" s="108"/>
      <c r="AH603" s="108"/>
      <c r="AI603" s="108"/>
      <c r="AJ603" s="108"/>
      <c r="AK603" s="108"/>
      <c r="AL603" s="108"/>
      <c r="AM603" s="108"/>
      <c r="AN603" s="108"/>
      <c r="AO603" s="108"/>
      <c r="AP603" s="6"/>
      <c r="AQ603" s="112"/>
      <c r="AR603" s="112"/>
      <c r="AS603" s="108" t="s">
        <v>12</v>
      </c>
      <c r="AT603" s="108"/>
      <c r="AU603" s="108"/>
      <c r="AV603" s="108"/>
      <c r="AW603" s="108"/>
      <c r="AX603" s="108"/>
      <c r="AY603" s="108"/>
      <c r="AZ603" s="108"/>
      <c r="BA603" s="108"/>
      <c r="BB603" s="108"/>
      <c r="BC603" s="42"/>
      <c r="BD603" s="112"/>
      <c r="BE603" s="112"/>
      <c r="BF603" s="108" t="s">
        <v>12</v>
      </c>
      <c r="BG603" s="108"/>
      <c r="BH603" s="108"/>
      <c r="BI603" s="108"/>
      <c r="BJ603" s="108"/>
      <c r="BK603" s="108"/>
      <c r="BL603" s="108"/>
      <c r="BM603" s="108"/>
      <c r="BN603" s="108"/>
      <c r="BO603" s="108"/>
      <c r="BQ603" s="112"/>
      <c r="BR603" s="112"/>
      <c r="BS603" s="108" t="s">
        <v>12</v>
      </c>
      <c r="BT603" s="108"/>
      <c r="BU603" s="108"/>
      <c r="BV603" s="108"/>
      <c r="BW603" s="108"/>
      <c r="BX603" s="108"/>
      <c r="BY603" s="108"/>
      <c r="BZ603" s="108"/>
      <c r="CA603" s="108"/>
      <c r="CB603" s="108"/>
      <c r="CC603" s="42"/>
      <c r="CD603" s="112"/>
      <c r="CE603" s="112"/>
      <c r="CF603" s="108" t="s">
        <v>12</v>
      </c>
      <c r="CG603" s="108"/>
      <c r="CH603" s="108"/>
      <c r="CI603" s="108"/>
      <c r="CJ603" s="108"/>
      <c r="CK603" s="108"/>
      <c r="CL603" s="108"/>
      <c r="CM603" s="108"/>
      <c r="CN603" s="108"/>
      <c r="CO603" s="108"/>
      <c r="CQ603" s="112"/>
      <c r="CR603" s="112"/>
      <c r="CS603" s="108" t="s">
        <v>12</v>
      </c>
      <c r="CT603" s="108"/>
      <c r="CU603" s="108"/>
      <c r="CV603" s="108"/>
      <c r="CW603" s="108"/>
      <c r="CX603" s="108"/>
      <c r="CY603" s="108"/>
      <c r="CZ603" s="108"/>
      <c r="DA603" s="108"/>
      <c r="DB603" s="108"/>
      <c r="DC603" s="42"/>
      <c r="DD603" s="112"/>
      <c r="DE603" s="112"/>
      <c r="DF603" s="108" t="s">
        <v>12</v>
      </c>
      <c r="DG603" s="108"/>
      <c r="DH603" s="108"/>
      <c r="DI603" s="108"/>
      <c r="DJ603" s="108"/>
      <c r="DK603" s="108"/>
      <c r="DL603" s="108"/>
      <c r="DM603" s="108"/>
      <c r="DN603" s="108"/>
      <c r="DO603" s="108"/>
    </row>
    <row r="604" spans="2:119" ht="15" customHeight="1" x14ac:dyDescent="0.45">
      <c r="B604" s="99"/>
      <c r="C604" s="42"/>
      <c r="D604" s="113"/>
      <c r="E604" s="113"/>
      <c r="F604" s="9" t="s">
        <v>0</v>
      </c>
      <c r="G604" s="9">
        <v>1</v>
      </c>
      <c r="H604" s="9">
        <v>2</v>
      </c>
      <c r="I604" s="9">
        <v>3</v>
      </c>
      <c r="J604" s="9">
        <v>4</v>
      </c>
      <c r="K604" s="9">
        <v>5</v>
      </c>
      <c r="L604" s="9">
        <v>6</v>
      </c>
      <c r="M604" s="9">
        <v>7</v>
      </c>
      <c r="N604" s="9">
        <v>8</v>
      </c>
      <c r="O604" s="9">
        <v>9</v>
      </c>
      <c r="P604" s="42"/>
      <c r="Q604" s="113"/>
      <c r="R604" s="113"/>
      <c r="S604" s="9" t="s">
        <v>0</v>
      </c>
      <c r="T604" s="9">
        <v>1</v>
      </c>
      <c r="U604" s="9">
        <v>2</v>
      </c>
      <c r="V604" s="9">
        <v>3</v>
      </c>
      <c r="W604" s="9">
        <v>4</v>
      </c>
      <c r="X604" s="9">
        <v>5</v>
      </c>
      <c r="Y604" s="9">
        <v>6</v>
      </c>
      <c r="Z604" s="9">
        <v>7</v>
      </c>
      <c r="AA604" s="9">
        <v>8</v>
      </c>
      <c r="AB604" s="9">
        <v>9</v>
      </c>
      <c r="AC604" s="42"/>
      <c r="AD604" s="113"/>
      <c r="AE604" s="113"/>
      <c r="AF604" s="9" t="s">
        <v>0</v>
      </c>
      <c r="AG604" s="9">
        <v>1</v>
      </c>
      <c r="AH604" s="9">
        <v>2</v>
      </c>
      <c r="AI604" s="9">
        <v>3</v>
      </c>
      <c r="AJ604" s="9">
        <v>4</v>
      </c>
      <c r="AK604" s="9">
        <v>5</v>
      </c>
      <c r="AL604" s="9">
        <v>6</v>
      </c>
      <c r="AM604" s="9">
        <v>7</v>
      </c>
      <c r="AN604" s="9">
        <v>8</v>
      </c>
      <c r="AO604" s="9">
        <v>9</v>
      </c>
      <c r="AP604" s="6"/>
      <c r="AQ604" s="113"/>
      <c r="AR604" s="113"/>
      <c r="AS604" s="9" t="s">
        <v>0</v>
      </c>
      <c r="AT604" s="9">
        <v>1</v>
      </c>
      <c r="AU604" s="9">
        <v>2</v>
      </c>
      <c r="AV604" s="9">
        <v>3</v>
      </c>
      <c r="AW604" s="9">
        <v>4</v>
      </c>
      <c r="AX604" s="9">
        <v>5</v>
      </c>
      <c r="AY604" s="9">
        <v>6</v>
      </c>
      <c r="AZ604" s="9">
        <v>7</v>
      </c>
      <c r="BA604" s="9">
        <v>8</v>
      </c>
      <c r="BB604" s="9">
        <v>9</v>
      </c>
      <c r="BC604" s="42"/>
      <c r="BD604" s="113"/>
      <c r="BE604" s="113"/>
      <c r="BF604" s="9" t="s">
        <v>0</v>
      </c>
      <c r="BG604" s="9">
        <v>1</v>
      </c>
      <c r="BH604" s="9">
        <v>2</v>
      </c>
      <c r="BI604" s="9">
        <v>3</v>
      </c>
      <c r="BJ604" s="9">
        <v>4</v>
      </c>
      <c r="BK604" s="9">
        <v>5</v>
      </c>
      <c r="BL604" s="9">
        <v>6</v>
      </c>
      <c r="BM604" s="9">
        <v>7</v>
      </c>
      <c r="BN604" s="9">
        <v>8</v>
      </c>
      <c r="BO604" s="9">
        <v>9</v>
      </c>
      <c r="BQ604" s="113"/>
      <c r="BR604" s="113"/>
      <c r="BS604" s="9" t="s">
        <v>0</v>
      </c>
      <c r="BT604" s="9">
        <v>1</v>
      </c>
      <c r="BU604" s="9">
        <v>2</v>
      </c>
      <c r="BV604" s="9">
        <v>3</v>
      </c>
      <c r="BW604" s="9">
        <v>4</v>
      </c>
      <c r="BX604" s="9">
        <v>5</v>
      </c>
      <c r="BY604" s="9">
        <v>6</v>
      </c>
      <c r="BZ604" s="9">
        <v>7</v>
      </c>
      <c r="CA604" s="9">
        <v>8</v>
      </c>
      <c r="CB604" s="9">
        <v>9</v>
      </c>
      <c r="CC604" s="42"/>
      <c r="CD604" s="113"/>
      <c r="CE604" s="113"/>
      <c r="CF604" s="9" t="s">
        <v>0</v>
      </c>
      <c r="CG604" s="9">
        <v>1</v>
      </c>
      <c r="CH604" s="9">
        <v>2</v>
      </c>
      <c r="CI604" s="9">
        <v>3</v>
      </c>
      <c r="CJ604" s="9">
        <v>4</v>
      </c>
      <c r="CK604" s="9">
        <v>5</v>
      </c>
      <c r="CL604" s="9">
        <v>6</v>
      </c>
      <c r="CM604" s="9">
        <v>7</v>
      </c>
      <c r="CN604" s="9">
        <v>8</v>
      </c>
      <c r="CO604" s="9">
        <v>9</v>
      </c>
      <c r="CQ604" s="113"/>
      <c r="CR604" s="113"/>
      <c r="CS604" s="9" t="s">
        <v>0</v>
      </c>
      <c r="CT604" s="9">
        <v>1</v>
      </c>
      <c r="CU604" s="9">
        <v>2</v>
      </c>
      <c r="CV604" s="9">
        <v>3</v>
      </c>
      <c r="CW604" s="9">
        <v>4</v>
      </c>
      <c r="CX604" s="9">
        <v>5</v>
      </c>
      <c r="CY604" s="9">
        <v>6</v>
      </c>
      <c r="CZ604" s="9">
        <v>7</v>
      </c>
      <c r="DA604" s="9">
        <v>8</v>
      </c>
      <c r="DB604" s="9">
        <v>9</v>
      </c>
      <c r="DC604" s="42"/>
      <c r="DD604" s="113"/>
      <c r="DE604" s="113"/>
      <c r="DF604" s="9" t="s">
        <v>0</v>
      </c>
      <c r="DG604" s="9">
        <v>1</v>
      </c>
      <c r="DH604" s="9">
        <v>2</v>
      </c>
      <c r="DI604" s="9">
        <v>3</v>
      </c>
      <c r="DJ604" s="9">
        <v>4</v>
      </c>
      <c r="DK604" s="9">
        <v>5</v>
      </c>
      <c r="DL604" s="9">
        <v>6</v>
      </c>
      <c r="DM604" s="9">
        <v>7</v>
      </c>
      <c r="DN604" s="9">
        <v>8</v>
      </c>
      <c r="DO604" s="9">
        <v>9</v>
      </c>
    </row>
    <row r="605" spans="2:119" ht="16.5" customHeight="1" x14ac:dyDescent="0.45">
      <c r="B605" s="134" t="s">
        <v>38</v>
      </c>
      <c r="C605" s="42"/>
      <c r="D605" s="109" t="s">
        <v>13</v>
      </c>
      <c r="E605" s="46" t="s">
        <v>1</v>
      </c>
      <c r="F605" s="103">
        <v>0</v>
      </c>
      <c r="G605" s="103">
        <v>0</v>
      </c>
      <c r="H605" s="103">
        <v>0</v>
      </c>
      <c r="I605" s="103">
        <v>1</v>
      </c>
      <c r="J605" s="103">
        <v>0</v>
      </c>
      <c r="K605" s="103">
        <v>0</v>
      </c>
      <c r="L605" s="103">
        <v>0</v>
      </c>
      <c r="M605" s="103">
        <v>0</v>
      </c>
      <c r="N605" s="103">
        <v>0</v>
      </c>
      <c r="O605" s="17">
        <v>0</v>
      </c>
      <c r="P605" s="42"/>
      <c r="Q605" s="109" t="s">
        <v>13</v>
      </c>
      <c r="R605" s="46" t="s">
        <v>1</v>
      </c>
      <c r="S605" s="103">
        <v>0</v>
      </c>
      <c r="T605" s="103">
        <v>0</v>
      </c>
      <c r="U605" s="103">
        <v>0</v>
      </c>
      <c r="V605" s="103">
        <v>0</v>
      </c>
      <c r="W605" s="103">
        <v>0</v>
      </c>
      <c r="X605" s="103">
        <v>0</v>
      </c>
      <c r="Y605" s="103">
        <v>0</v>
      </c>
      <c r="Z605" s="103">
        <v>0</v>
      </c>
      <c r="AA605" s="103">
        <v>0</v>
      </c>
      <c r="AB605" s="17">
        <v>0</v>
      </c>
      <c r="AC605" s="42"/>
      <c r="AD605" s="109" t="s">
        <v>13</v>
      </c>
      <c r="AE605" s="46" t="s">
        <v>1</v>
      </c>
      <c r="AF605" s="103">
        <v>0</v>
      </c>
      <c r="AG605" s="103">
        <v>0</v>
      </c>
      <c r="AH605" s="103">
        <v>0</v>
      </c>
      <c r="AI605" s="103">
        <v>1</v>
      </c>
      <c r="AJ605" s="103">
        <v>0</v>
      </c>
      <c r="AK605" s="103">
        <v>0</v>
      </c>
      <c r="AL605" s="103">
        <v>0</v>
      </c>
      <c r="AM605" s="103">
        <v>0</v>
      </c>
      <c r="AN605" s="103">
        <v>0</v>
      </c>
      <c r="AO605" s="17">
        <v>0</v>
      </c>
      <c r="AP605" s="6"/>
      <c r="AQ605" s="109" t="s">
        <v>13</v>
      </c>
      <c r="AR605" s="46" t="s">
        <v>1</v>
      </c>
      <c r="AS605" s="103">
        <v>0</v>
      </c>
      <c r="AT605" s="103">
        <v>0</v>
      </c>
      <c r="AU605" s="103">
        <v>0</v>
      </c>
      <c r="AV605" s="103">
        <v>0</v>
      </c>
      <c r="AW605" s="103">
        <v>0</v>
      </c>
      <c r="AX605" s="103">
        <v>0</v>
      </c>
      <c r="AY605" s="103">
        <v>0</v>
      </c>
      <c r="AZ605" s="103">
        <v>0</v>
      </c>
      <c r="BA605" s="103">
        <v>0</v>
      </c>
      <c r="BB605" s="17">
        <v>0</v>
      </c>
      <c r="BC605" s="42"/>
      <c r="BD605" s="109" t="s">
        <v>13</v>
      </c>
      <c r="BE605" s="46" t="s">
        <v>1</v>
      </c>
      <c r="BF605" s="103">
        <v>0</v>
      </c>
      <c r="BG605" s="103">
        <v>0</v>
      </c>
      <c r="BH605" s="103">
        <v>0</v>
      </c>
      <c r="BI605" s="103">
        <v>1</v>
      </c>
      <c r="BJ605" s="103">
        <v>0</v>
      </c>
      <c r="BK605" s="103">
        <v>0</v>
      </c>
      <c r="BL605" s="103">
        <v>0</v>
      </c>
      <c r="BM605" s="103">
        <v>0</v>
      </c>
      <c r="BN605" s="103">
        <v>0</v>
      </c>
      <c r="BO605" s="17">
        <v>0</v>
      </c>
      <c r="BQ605" s="109" t="s">
        <v>13</v>
      </c>
      <c r="BR605" s="46" t="s">
        <v>1</v>
      </c>
      <c r="BS605" s="103">
        <v>0</v>
      </c>
      <c r="BT605" s="103">
        <v>0</v>
      </c>
      <c r="BU605" s="103">
        <v>0</v>
      </c>
      <c r="BV605" s="103">
        <v>1</v>
      </c>
      <c r="BW605" s="103">
        <v>0</v>
      </c>
      <c r="BX605" s="103">
        <v>0</v>
      </c>
      <c r="BY605" s="103">
        <v>0</v>
      </c>
      <c r="BZ605" s="103">
        <v>0</v>
      </c>
      <c r="CA605" s="103">
        <v>0</v>
      </c>
      <c r="CB605" s="17">
        <v>0</v>
      </c>
      <c r="CC605" s="42"/>
      <c r="CD605" s="109" t="s">
        <v>13</v>
      </c>
      <c r="CE605" s="46" t="s">
        <v>1</v>
      </c>
      <c r="CF605" s="103">
        <v>0</v>
      </c>
      <c r="CG605" s="103">
        <v>0</v>
      </c>
      <c r="CH605" s="103">
        <v>0</v>
      </c>
      <c r="CI605" s="103">
        <v>0</v>
      </c>
      <c r="CJ605" s="103">
        <v>0</v>
      </c>
      <c r="CK605" s="103">
        <v>0</v>
      </c>
      <c r="CL605" s="103">
        <v>0</v>
      </c>
      <c r="CM605" s="103">
        <v>0</v>
      </c>
      <c r="CN605" s="103">
        <v>0</v>
      </c>
      <c r="CO605" s="17">
        <v>0</v>
      </c>
      <c r="CQ605" s="109" t="s">
        <v>13</v>
      </c>
      <c r="CR605" s="46" t="s">
        <v>1</v>
      </c>
      <c r="CS605" s="103">
        <v>0</v>
      </c>
      <c r="CT605" s="103">
        <v>0</v>
      </c>
      <c r="CU605" s="103">
        <v>0</v>
      </c>
      <c r="CV605" s="103">
        <v>0</v>
      </c>
      <c r="CW605" s="103">
        <v>0</v>
      </c>
      <c r="CX605" s="103">
        <v>0</v>
      </c>
      <c r="CY605" s="103">
        <v>0</v>
      </c>
      <c r="CZ605" s="103">
        <v>0</v>
      </c>
      <c r="DA605" s="103">
        <v>0</v>
      </c>
      <c r="DB605" s="17">
        <v>0</v>
      </c>
      <c r="DC605" s="42"/>
      <c r="DD605" s="109" t="s">
        <v>13</v>
      </c>
      <c r="DE605" s="46" t="s">
        <v>1</v>
      </c>
      <c r="DF605" s="103">
        <v>0</v>
      </c>
      <c r="DG605" s="103">
        <v>0</v>
      </c>
      <c r="DH605" s="103">
        <v>0</v>
      </c>
      <c r="DI605" s="103">
        <v>1</v>
      </c>
      <c r="DJ605" s="103">
        <v>0</v>
      </c>
      <c r="DK605" s="103">
        <v>0</v>
      </c>
      <c r="DL605" s="103">
        <v>0</v>
      </c>
      <c r="DM605" s="103">
        <v>0</v>
      </c>
      <c r="DN605" s="103">
        <v>0</v>
      </c>
      <c r="DO605" s="17">
        <v>0</v>
      </c>
    </row>
    <row r="606" spans="2:119" ht="16.5" customHeight="1" x14ac:dyDescent="0.45">
      <c r="B606" s="134"/>
      <c r="C606" s="42"/>
      <c r="D606" s="110"/>
      <c r="E606" s="46">
        <v>1</v>
      </c>
      <c r="F606" s="103">
        <v>1</v>
      </c>
      <c r="G606" s="103">
        <v>0</v>
      </c>
      <c r="H606" s="103">
        <v>0</v>
      </c>
      <c r="I606" s="103">
        <v>0</v>
      </c>
      <c r="J606" s="103">
        <v>0</v>
      </c>
      <c r="K606" s="103">
        <v>0</v>
      </c>
      <c r="L606" s="103">
        <v>0</v>
      </c>
      <c r="M606" s="103">
        <v>0</v>
      </c>
      <c r="N606" s="103">
        <v>0</v>
      </c>
      <c r="O606" s="103">
        <v>0</v>
      </c>
      <c r="P606" s="42"/>
      <c r="Q606" s="110"/>
      <c r="R606" s="46">
        <v>1</v>
      </c>
      <c r="S606" s="103">
        <v>1</v>
      </c>
      <c r="T606" s="103">
        <v>0</v>
      </c>
      <c r="U606" s="103">
        <v>0</v>
      </c>
      <c r="V606" s="103">
        <v>0</v>
      </c>
      <c r="W606" s="103">
        <v>0</v>
      </c>
      <c r="X606" s="103">
        <v>0</v>
      </c>
      <c r="Y606" s="103">
        <v>0</v>
      </c>
      <c r="Z606" s="103">
        <v>0</v>
      </c>
      <c r="AA606" s="103">
        <v>0</v>
      </c>
      <c r="AB606" s="103">
        <v>0</v>
      </c>
      <c r="AC606" s="42"/>
      <c r="AD606" s="110"/>
      <c r="AE606" s="46">
        <v>1</v>
      </c>
      <c r="AF606" s="103">
        <v>0</v>
      </c>
      <c r="AG606" s="103">
        <v>0</v>
      </c>
      <c r="AH606" s="103">
        <v>0</v>
      </c>
      <c r="AI606" s="103">
        <v>0</v>
      </c>
      <c r="AJ606" s="103">
        <v>0</v>
      </c>
      <c r="AK606" s="103">
        <v>0</v>
      </c>
      <c r="AL606" s="103">
        <v>0</v>
      </c>
      <c r="AM606" s="103">
        <v>0</v>
      </c>
      <c r="AN606" s="103">
        <v>0</v>
      </c>
      <c r="AO606" s="103">
        <v>0</v>
      </c>
      <c r="AP606" s="6"/>
      <c r="AQ606" s="110"/>
      <c r="AR606" s="46">
        <v>1</v>
      </c>
      <c r="AS606" s="103">
        <v>0</v>
      </c>
      <c r="AT606" s="103">
        <v>0</v>
      </c>
      <c r="AU606" s="103">
        <v>0</v>
      </c>
      <c r="AV606" s="103">
        <v>0</v>
      </c>
      <c r="AW606" s="103">
        <v>0</v>
      </c>
      <c r="AX606" s="103">
        <v>0</v>
      </c>
      <c r="AY606" s="103">
        <v>0</v>
      </c>
      <c r="AZ606" s="103">
        <v>0</v>
      </c>
      <c r="BA606" s="103">
        <v>0</v>
      </c>
      <c r="BB606" s="103">
        <v>0</v>
      </c>
      <c r="BC606" s="42"/>
      <c r="BD606" s="110"/>
      <c r="BE606" s="46">
        <v>1</v>
      </c>
      <c r="BF606" s="103">
        <v>1</v>
      </c>
      <c r="BG606" s="103">
        <v>0</v>
      </c>
      <c r="BH606" s="103">
        <v>0</v>
      </c>
      <c r="BI606" s="103">
        <v>0</v>
      </c>
      <c r="BJ606" s="103">
        <v>0</v>
      </c>
      <c r="BK606" s="103">
        <v>0</v>
      </c>
      <c r="BL606" s="103">
        <v>0</v>
      </c>
      <c r="BM606" s="103">
        <v>0</v>
      </c>
      <c r="BN606" s="103">
        <v>0</v>
      </c>
      <c r="BO606" s="103">
        <v>0</v>
      </c>
      <c r="BQ606" s="110"/>
      <c r="BR606" s="46">
        <v>1</v>
      </c>
      <c r="BS606" s="103">
        <v>0</v>
      </c>
      <c r="BT606" s="103">
        <v>0</v>
      </c>
      <c r="BU606" s="103">
        <v>0</v>
      </c>
      <c r="BV606" s="103">
        <v>0</v>
      </c>
      <c r="BW606" s="103">
        <v>0</v>
      </c>
      <c r="BX606" s="103">
        <v>0</v>
      </c>
      <c r="BY606" s="103">
        <v>0</v>
      </c>
      <c r="BZ606" s="103">
        <v>0</v>
      </c>
      <c r="CA606" s="103">
        <v>0</v>
      </c>
      <c r="CB606" s="103">
        <v>0</v>
      </c>
      <c r="CC606" s="42"/>
      <c r="CD606" s="110"/>
      <c r="CE606" s="46">
        <v>1</v>
      </c>
      <c r="CF606" s="103">
        <v>1</v>
      </c>
      <c r="CG606" s="103">
        <v>0</v>
      </c>
      <c r="CH606" s="103">
        <v>0</v>
      </c>
      <c r="CI606" s="103">
        <v>0</v>
      </c>
      <c r="CJ606" s="103">
        <v>0</v>
      </c>
      <c r="CK606" s="103">
        <v>0</v>
      </c>
      <c r="CL606" s="103">
        <v>0</v>
      </c>
      <c r="CM606" s="103">
        <v>0</v>
      </c>
      <c r="CN606" s="103">
        <v>0</v>
      </c>
      <c r="CO606" s="103">
        <v>0</v>
      </c>
      <c r="CQ606" s="110"/>
      <c r="CR606" s="46">
        <v>1</v>
      </c>
      <c r="CS606" s="103">
        <v>1</v>
      </c>
      <c r="CT606" s="103">
        <v>0</v>
      </c>
      <c r="CU606" s="103">
        <v>0</v>
      </c>
      <c r="CV606" s="103">
        <v>0</v>
      </c>
      <c r="CW606" s="103">
        <v>0</v>
      </c>
      <c r="CX606" s="103">
        <v>0</v>
      </c>
      <c r="CY606" s="103">
        <v>0</v>
      </c>
      <c r="CZ606" s="103">
        <v>0</v>
      </c>
      <c r="DA606" s="103">
        <v>0</v>
      </c>
      <c r="DB606" s="103">
        <v>0</v>
      </c>
      <c r="DC606" s="42"/>
      <c r="DD606" s="110"/>
      <c r="DE606" s="46">
        <v>1</v>
      </c>
      <c r="DF606" s="103">
        <v>0</v>
      </c>
      <c r="DG606" s="103">
        <v>0</v>
      </c>
      <c r="DH606" s="103">
        <v>0</v>
      </c>
      <c r="DI606" s="103">
        <v>0</v>
      </c>
      <c r="DJ606" s="103">
        <v>0</v>
      </c>
      <c r="DK606" s="103">
        <v>0</v>
      </c>
      <c r="DL606" s="103">
        <v>0</v>
      </c>
      <c r="DM606" s="103">
        <v>0</v>
      </c>
      <c r="DN606" s="103">
        <v>0</v>
      </c>
      <c r="DO606" s="103">
        <v>0</v>
      </c>
    </row>
    <row r="607" spans="2:119" ht="16.5" customHeight="1" x14ac:dyDescent="0.45">
      <c r="B607" s="134"/>
      <c r="C607" s="42"/>
      <c r="D607" s="110"/>
      <c r="E607" s="46" t="s">
        <v>2</v>
      </c>
      <c r="F607" s="103">
        <v>3</v>
      </c>
      <c r="G607" s="103">
        <v>18</v>
      </c>
      <c r="H607" s="103">
        <v>21</v>
      </c>
      <c r="I607" s="103">
        <v>14</v>
      </c>
      <c r="J607" s="103">
        <v>6</v>
      </c>
      <c r="K607" s="103">
        <v>3</v>
      </c>
      <c r="L607" s="103">
        <v>4</v>
      </c>
      <c r="M607" s="103">
        <v>0</v>
      </c>
      <c r="N607" s="103">
        <v>0</v>
      </c>
      <c r="O607" s="103">
        <v>1</v>
      </c>
      <c r="P607" s="42"/>
      <c r="Q607" s="110"/>
      <c r="R607" s="46" t="s">
        <v>2</v>
      </c>
      <c r="S607" s="103">
        <v>1</v>
      </c>
      <c r="T607" s="103">
        <v>10</v>
      </c>
      <c r="U607" s="103">
        <v>15</v>
      </c>
      <c r="V607" s="103">
        <v>10</v>
      </c>
      <c r="W607" s="103">
        <v>3</v>
      </c>
      <c r="X607" s="103">
        <v>2</v>
      </c>
      <c r="Y607" s="103">
        <v>2</v>
      </c>
      <c r="Z607" s="103">
        <v>0</v>
      </c>
      <c r="AA607" s="103">
        <v>0</v>
      </c>
      <c r="AB607" s="103">
        <v>1</v>
      </c>
      <c r="AC607" s="42"/>
      <c r="AD607" s="110"/>
      <c r="AE607" s="46" t="s">
        <v>2</v>
      </c>
      <c r="AF607" s="103">
        <v>2</v>
      </c>
      <c r="AG607" s="103">
        <v>8</v>
      </c>
      <c r="AH607" s="103">
        <v>6</v>
      </c>
      <c r="AI607" s="103">
        <v>4</v>
      </c>
      <c r="AJ607" s="103">
        <v>3</v>
      </c>
      <c r="AK607" s="103">
        <v>1</v>
      </c>
      <c r="AL607" s="103">
        <v>2</v>
      </c>
      <c r="AM607" s="103">
        <v>0</v>
      </c>
      <c r="AN607" s="103">
        <v>0</v>
      </c>
      <c r="AO607" s="103">
        <v>0</v>
      </c>
      <c r="AP607" s="6"/>
      <c r="AQ607" s="110"/>
      <c r="AR607" s="46" t="s">
        <v>2</v>
      </c>
      <c r="AS607" s="103">
        <v>2</v>
      </c>
      <c r="AT607" s="103">
        <v>9</v>
      </c>
      <c r="AU607" s="103">
        <v>9</v>
      </c>
      <c r="AV607" s="103">
        <v>3</v>
      </c>
      <c r="AW607" s="103">
        <v>1</v>
      </c>
      <c r="AX607" s="103">
        <v>1</v>
      </c>
      <c r="AY607" s="103">
        <v>0</v>
      </c>
      <c r="AZ607" s="103">
        <v>0</v>
      </c>
      <c r="BA607" s="103">
        <v>0</v>
      </c>
      <c r="BB607" s="103">
        <v>0</v>
      </c>
      <c r="BC607" s="42"/>
      <c r="BD607" s="110"/>
      <c r="BE607" s="46" t="s">
        <v>2</v>
      </c>
      <c r="BF607" s="103">
        <v>1</v>
      </c>
      <c r="BG607" s="103">
        <v>9</v>
      </c>
      <c r="BH607" s="103">
        <v>12</v>
      </c>
      <c r="BI607" s="103">
        <v>11</v>
      </c>
      <c r="BJ607" s="103">
        <v>5</v>
      </c>
      <c r="BK607" s="103">
        <v>2</v>
      </c>
      <c r="BL607" s="103">
        <v>4</v>
      </c>
      <c r="BM607" s="103">
        <v>0</v>
      </c>
      <c r="BN607" s="103">
        <v>0</v>
      </c>
      <c r="BO607" s="103">
        <v>1</v>
      </c>
      <c r="BQ607" s="110"/>
      <c r="BR607" s="46" t="s">
        <v>2</v>
      </c>
      <c r="BS607" s="103">
        <v>2</v>
      </c>
      <c r="BT607" s="103">
        <v>12</v>
      </c>
      <c r="BU607" s="103">
        <v>10</v>
      </c>
      <c r="BV607" s="103">
        <v>8</v>
      </c>
      <c r="BW607" s="103">
        <v>3</v>
      </c>
      <c r="BX607" s="103">
        <v>0</v>
      </c>
      <c r="BY607" s="103">
        <v>1</v>
      </c>
      <c r="BZ607" s="103">
        <v>0</v>
      </c>
      <c r="CA607" s="103">
        <v>0</v>
      </c>
      <c r="CB607" s="103">
        <v>0</v>
      </c>
      <c r="CC607" s="42"/>
      <c r="CD607" s="110"/>
      <c r="CE607" s="46" t="s">
        <v>2</v>
      </c>
      <c r="CF607" s="103">
        <v>1</v>
      </c>
      <c r="CG607" s="103">
        <v>6</v>
      </c>
      <c r="CH607" s="103">
        <v>11</v>
      </c>
      <c r="CI607" s="103">
        <v>6</v>
      </c>
      <c r="CJ607" s="103">
        <v>3</v>
      </c>
      <c r="CK607" s="103">
        <v>3</v>
      </c>
      <c r="CL607" s="103">
        <v>3</v>
      </c>
      <c r="CM607" s="103">
        <v>0</v>
      </c>
      <c r="CN607" s="103">
        <v>0</v>
      </c>
      <c r="CO607" s="103">
        <v>1</v>
      </c>
      <c r="CQ607" s="110"/>
      <c r="CR607" s="46" t="s">
        <v>2</v>
      </c>
      <c r="CS607" s="103">
        <v>1</v>
      </c>
      <c r="CT607" s="103">
        <v>4</v>
      </c>
      <c r="CU607" s="103">
        <v>10</v>
      </c>
      <c r="CV607" s="103">
        <v>5</v>
      </c>
      <c r="CW607" s="103">
        <v>4</v>
      </c>
      <c r="CX607" s="103">
        <v>3</v>
      </c>
      <c r="CY607" s="103">
        <v>4</v>
      </c>
      <c r="CZ607" s="103">
        <v>0</v>
      </c>
      <c r="DA607" s="103">
        <v>0</v>
      </c>
      <c r="DB607" s="103">
        <v>1</v>
      </c>
      <c r="DC607" s="42"/>
      <c r="DD607" s="110"/>
      <c r="DE607" s="46" t="s">
        <v>2</v>
      </c>
      <c r="DF607" s="103">
        <v>2</v>
      </c>
      <c r="DG607" s="103">
        <v>14</v>
      </c>
      <c r="DH607" s="103">
        <v>11</v>
      </c>
      <c r="DI607" s="103">
        <v>9</v>
      </c>
      <c r="DJ607" s="103">
        <v>2</v>
      </c>
      <c r="DK607" s="103">
        <v>0</v>
      </c>
      <c r="DL607" s="103">
        <v>0</v>
      </c>
      <c r="DM607" s="103">
        <v>0</v>
      </c>
      <c r="DN607" s="103">
        <v>0</v>
      </c>
      <c r="DO607" s="103">
        <v>0</v>
      </c>
    </row>
    <row r="608" spans="2:119" ht="16.5" customHeight="1" x14ac:dyDescent="0.45">
      <c r="B608" s="134"/>
      <c r="C608" s="42"/>
      <c r="D608" s="110"/>
      <c r="E608" s="46" t="s">
        <v>3</v>
      </c>
      <c r="F608" s="103">
        <v>4</v>
      </c>
      <c r="G608" s="103">
        <v>18</v>
      </c>
      <c r="H608" s="103">
        <v>34</v>
      </c>
      <c r="I608" s="103">
        <v>16</v>
      </c>
      <c r="J608" s="103">
        <v>9</v>
      </c>
      <c r="K608" s="103">
        <v>4</v>
      </c>
      <c r="L608" s="103">
        <v>1</v>
      </c>
      <c r="M608" s="103">
        <v>1</v>
      </c>
      <c r="N608" s="103">
        <v>0</v>
      </c>
      <c r="O608" s="103">
        <v>0</v>
      </c>
      <c r="P608" s="42"/>
      <c r="Q608" s="110"/>
      <c r="R608" s="46" t="s">
        <v>3</v>
      </c>
      <c r="S608" s="103">
        <v>3</v>
      </c>
      <c r="T608" s="103">
        <v>8</v>
      </c>
      <c r="U608" s="103">
        <v>21</v>
      </c>
      <c r="V608" s="103">
        <v>8</v>
      </c>
      <c r="W608" s="103">
        <v>8</v>
      </c>
      <c r="X608" s="103">
        <v>1</v>
      </c>
      <c r="Y608" s="103">
        <v>1</v>
      </c>
      <c r="Z608" s="103">
        <v>1</v>
      </c>
      <c r="AA608" s="103">
        <v>0</v>
      </c>
      <c r="AB608" s="103">
        <v>0</v>
      </c>
      <c r="AC608" s="42"/>
      <c r="AD608" s="110"/>
      <c r="AE608" s="46" t="s">
        <v>3</v>
      </c>
      <c r="AF608" s="103">
        <v>1</v>
      </c>
      <c r="AG608" s="103">
        <v>10</v>
      </c>
      <c r="AH608" s="103">
        <v>13</v>
      </c>
      <c r="AI608" s="103">
        <v>8</v>
      </c>
      <c r="AJ608" s="103">
        <v>1</v>
      </c>
      <c r="AK608" s="103">
        <v>3</v>
      </c>
      <c r="AL608" s="103">
        <v>0</v>
      </c>
      <c r="AM608" s="103">
        <v>0</v>
      </c>
      <c r="AN608" s="103">
        <v>0</v>
      </c>
      <c r="AO608" s="103">
        <v>0</v>
      </c>
      <c r="AP608" s="6"/>
      <c r="AQ608" s="110"/>
      <c r="AR608" s="46" t="s">
        <v>3</v>
      </c>
      <c r="AS608" s="103">
        <v>3</v>
      </c>
      <c r="AT608" s="103">
        <v>6</v>
      </c>
      <c r="AU608" s="103">
        <v>11</v>
      </c>
      <c r="AV608" s="103">
        <v>3</v>
      </c>
      <c r="AW608" s="103">
        <v>1</v>
      </c>
      <c r="AX608" s="103">
        <v>2</v>
      </c>
      <c r="AY608" s="103">
        <v>0</v>
      </c>
      <c r="AZ608" s="103">
        <v>0</v>
      </c>
      <c r="BA608" s="103">
        <v>0</v>
      </c>
      <c r="BB608" s="103">
        <v>0</v>
      </c>
      <c r="BC608" s="42"/>
      <c r="BD608" s="110"/>
      <c r="BE608" s="46" t="s">
        <v>3</v>
      </c>
      <c r="BF608" s="103">
        <v>1</v>
      </c>
      <c r="BG608" s="103">
        <v>12</v>
      </c>
      <c r="BH608" s="103">
        <v>23</v>
      </c>
      <c r="BI608" s="103">
        <v>13</v>
      </c>
      <c r="BJ608" s="103">
        <v>8</v>
      </c>
      <c r="BK608" s="103">
        <v>2</v>
      </c>
      <c r="BL608" s="103">
        <v>1</v>
      </c>
      <c r="BM608" s="103">
        <v>1</v>
      </c>
      <c r="BN608" s="103">
        <v>0</v>
      </c>
      <c r="BO608" s="103">
        <v>0</v>
      </c>
      <c r="BQ608" s="110"/>
      <c r="BR608" s="46" t="s">
        <v>3</v>
      </c>
      <c r="BS608" s="103">
        <v>1</v>
      </c>
      <c r="BT608" s="103">
        <v>13</v>
      </c>
      <c r="BU608" s="103">
        <v>18</v>
      </c>
      <c r="BV608" s="103">
        <v>5</v>
      </c>
      <c r="BW608" s="103">
        <v>2</v>
      </c>
      <c r="BX608" s="103">
        <v>2</v>
      </c>
      <c r="BY608" s="103">
        <v>0</v>
      </c>
      <c r="BZ608" s="103">
        <v>0</v>
      </c>
      <c r="CA608" s="103">
        <v>0</v>
      </c>
      <c r="CB608" s="103">
        <v>0</v>
      </c>
      <c r="CC608" s="42"/>
      <c r="CD608" s="110"/>
      <c r="CE608" s="46" t="s">
        <v>3</v>
      </c>
      <c r="CF608" s="103">
        <v>3</v>
      </c>
      <c r="CG608" s="103">
        <v>5</v>
      </c>
      <c r="CH608" s="103">
        <v>16</v>
      </c>
      <c r="CI608" s="103">
        <v>11</v>
      </c>
      <c r="CJ608" s="103">
        <v>7</v>
      </c>
      <c r="CK608" s="103">
        <v>2</v>
      </c>
      <c r="CL608" s="103">
        <v>1</v>
      </c>
      <c r="CM608" s="103">
        <v>1</v>
      </c>
      <c r="CN608" s="103">
        <v>0</v>
      </c>
      <c r="CO608" s="103">
        <v>0</v>
      </c>
      <c r="CQ608" s="110"/>
      <c r="CR608" s="46" t="s">
        <v>3</v>
      </c>
      <c r="CS608" s="103">
        <v>0</v>
      </c>
      <c r="CT608" s="103">
        <v>2</v>
      </c>
      <c r="CU608" s="103">
        <v>9</v>
      </c>
      <c r="CV608" s="103">
        <v>9</v>
      </c>
      <c r="CW608" s="103">
        <v>5</v>
      </c>
      <c r="CX608" s="103">
        <v>4</v>
      </c>
      <c r="CY608" s="103">
        <v>1</v>
      </c>
      <c r="CZ608" s="103">
        <v>0</v>
      </c>
      <c r="DA608" s="103">
        <v>0</v>
      </c>
      <c r="DB608" s="103">
        <v>0</v>
      </c>
      <c r="DC608" s="42"/>
      <c r="DD608" s="110"/>
      <c r="DE608" s="46" t="s">
        <v>3</v>
      </c>
      <c r="DF608" s="103">
        <v>4</v>
      </c>
      <c r="DG608" s="103">
        <v>16</v>
      </c>
      <c r="DH608" s="103">
        <v>25</v>
      </c>
      <c r="DI608" s="103">
        <v>7</v>
      </c>
      <c r="DJ608" s="103">
        <v>4</v>
      </c>
      <c r="DK608" s="103">
        <v>0</v>
      </c>
      <c r="DL608" s="103">
        <v>0</v>
      </c>
      <c r="DM608" s="103">
        <v>1</v>
      </c>
      <c r="DN608" s="103">
        <v>0</v>
      </c>
      <c r="DO608" s="103">
        <v>0</v>
      </c>
    </row>
    <row r="609" spans="2:119" ht="16.5" customHeight="1" x14ac:dyDescent="0.45">
      <c r="B609" s="134"/>
      <c r="C609" s="42"/>
      <c r="D609" s="110"/>
      <c r="E609" s="46" t="s">
        <v>4</v>
      </c>
      <c r="F609" s="103">
        <v>1</v>
      </c>
      <c r="G609" s="103">
        <v>30</v>
      </c>
      <c r="H609" s="103">
        <v>43</v>
      </c>
      <c r="I609" s="103">
        <v>41</v>
      </c>
      <c r="J609" s="103">
        <v>16</v>
      </c>
      <c r="K609" s="103">
        <v>9</v>
      </c>
      <c r="L609" s="103">
        <v>1</v>
      </c>
      <c r="M609" s="103">
        <v>0</v>
      </c>
      <c r="N609" s="103">
        <v>6</v>
      </c>
      <c r="O609" s="103">
        <v>0</v>
      </c>
      <c r="P609" s="42"/>
      <c r="Q609" s="110"/>
      <c r="R609" s="46" t="s">
        <v>4</v>
      </c>
      <c r="S609" s="103">
        <v>1</v>
      </c>
      <c r="T609" s="103">
        <v>15</v>
      </c>
      <c r="U609" s="103">
        <v>27</v>
      </c>
      <c r="V609" s="103">
        <v>31</v>
      </c>
      <c r="W609" s="103">
        <v>10</v>
      </c>
      <c r="X609" s="103">
        <v>6</v>
      </c>
      <c r="Y609" s="103">
        <v>1</v>
      </c>
      <c r="Z609" s="103">
        <v>0</v>
      </c>
      <c r="AA609" s="103">
        <v>3</v>
      </c>
      <c r="AB609" s="103">
        <v>0</v>
      </c>
      <c r="AC609" s="42"/>
      <c r="AD609" s="110"/>
      <c r="AE609" s="46" t="s">
        <v>4</v>
      </c>
      <c r="AF609" s="103">
        <v>0</v>
      </c>
      <c r="AG609" s="103">
        <v>15</v>
      </c>
      <c r="AH609" s="103">
        <v>16</v>
      </c>
      <c r="AI609" s="103">
        <v>10</v>
      </c>
      <c r="AJ609" s="103">
        <v>6</v>
      </c>
      <c r="AK609" s="103">
        <v>3</v>
      </c>
      <c r="AL609" s="103">
        <v>0</v>
      </c>
      <c r="AM609" s="103">
        <v>0</v>
      </c>
      <c r="AN609" s="103">
        <v>3</v>
      </c>
      <c r="AO609" s="103">
        <v>0</v>
      </c>
      <c r="AP609" s="6"/>
      <c r="AQ609" s="110"/>
      <c r="AR609" s="46" t="s">
        <v>4</v>
      </c>
      <c r="AS609" s="103">
        <v>1</v>
      </c>
      <c r="AT609" s="103">
        <v>14</v>
      </c>
      <c r="AU609" s="103">
        <v>21</v>
      </c>
      <c r="AV609" s="103">
        <v>13</v>
      </c>
      <c r="AW609" s="103">
        <v>7</v>
      </c>
      <c r="AX609" s="103">
        <v>0</v>
      </c>
      <c r="AY609" s="103">
        <v>0</v>
      </c>
      <c r="AZ609" s="103">
        <v>0</v>
      </c>
      <c r="BA609" s="103">
        <v>3</v>
      </c>
      <c r="BB609" s="103">
        <v>0</v>
      </c>
      <c r="BC609" s="42"/>
      <c r="BD609" s="110"/>
      <c r="BE609" s="46" t="s">
        <v>4</v>
      </c>
      <c r="BF609" s="103">
        <v>0</v>
      </c>
      <c r="BG609" s="103">
        <v>16</v>
      </c>
      <c r="BH609" s="103">
        <v>22</v>
      </c>
      <c r="BI609" s="103">
        <v>28</v>
      </c>
      <c r="BJ609" s="103">
        <v>9</v>
      </c>
      <c r="BK609" s="103">
        <v>9</v>
      </c>
      <c r="BL609" s="103">
        <v>1</v>
      </c>
      <c r="BM609" s="103">
        <v>0</v>
      </c>
      <c r="BN609" s="103">
        <v>3</v>
      </c>
      <c r="BO609" s="103">
        <v>0</v>
      </c>
      <c r="BQ609" s="110"/>
      <c r="BR609" s="46" t="s">
        <v>4</v>
      </c>
      <c r="BS609" s="103">
        <v>0</v>
      </c>
      <c r="BT609" s="103">
        <v>13</v>
      </c>
      <c r="BU609" s="103">
        <v>8</v>
      </c>
      <c r="BV609" s="103">
        <v>13</v>
      </c>
      <c r="BW609" s="103">
        <v>1</v>
      </c>
      <c r="BX609" s="103">
        <v>0</v>
      </c>
      <c r="BY609" s="103">
        <v>0</v>
      </c>
      <c r="BZ609" s="103">
        <v>0</v>
      </c>
      <c r="CA609" s="103">
        <v>1</v>
      </c>
      <c r="CB609" s="103">
        <v>0</v>
      </c>
      <c r="CC609" s="42"/>
      <c r="CD609" s="110"/>
      <c r="CE609" s="46" t="s">
        <v>4</v>
      </c>
      <c r="CF609" s="103">
        <v>1</v>
      </c>
      <c r="CG609" s="103">
        <v>17</v>
      </c>
      <c r="CH609" s="103">
        <v>35</v>
      </c>
      <c r="CI609" s="103">
        <v>28</v>
      </c>
      <c r="CJ609" s="103">
        <v>15</v>
      </c>
      <c r="CK609" s="103">
        <v>9</v>
      </c>
      <c r="CL609" s="103">
        <v>1</v>
      </c>
      <c r="CM609" s="103">
        <v>0</v>
      </c>
      <c r="CN609" s="103">
        <v>5</v>
      </c>
      <c r="CO609" s="103">
        <v>0</v>
      </c>
      <c r="CQ609" s="110"/>
      <c r="CR609" s="46" t="s">
        <v>4</v>
      </c>
      <c r="CS609" s="103">
        <v>0</v>
      </c>
      <c r="CT609" s="103">
        <v>3</v>
      </c>
      <c r="CU609" s="103">
        <v>9</v>
      </c>
      <c r="CV609" s="103">
        <v>15</v>
      </c>
      <c r="CW609" s="103">
        <v>8</v>
      </c>
      <c r="CX609" s="103">
        <v>5</v>
      </c>
      <c r="CY609" s="103">
        <v>1</v>
      </c>
      <c r="CZ609" s="103">
        <v>0</v>
      </c>
      <c r="DA609" s="103">
        <v>5</v>
      </c>
      <c r="DB609" s="103">
        <v>0</v>
      </c>
      <c r="DC609" s="42"/>
      <c r="DD609" s="110"/>
      <c r="DE609" s="46" t="s">
        <v>4</v>
      </c>
      <c r="DF609" s="103">
        <v>1</v>
      </c>
      <c r="DG609" s="103">
        <v>27</v>
      </c>
      <c r="DH609" s="103">
        <v>34</v>
      </c>
      <c r="DI609" s="103">
        <v>26</v>
      </c>
      <c r="DJ609" s="103">
        <v>8</v>
      </c>
      <c r="DK609" s="103">
        <v>4</v>
      </c>
      <c r="DL609" s="103">
        <v>0</v>
      </c>
      <c r="DM609" s="103">
        <v>0</v>
      </c>
      <c r="DN609" s="103">
        <v>1</v>
      </c>
      <c r="DO609" s="103">
        <v>0</v>
      </c>
    </row>
    <row r="610" spans="2:119" ht="16.5" customHeight="1" x14ac:dyDescent="0.45">
      <c r="B610" s="134"/>
      <c r="C610" s="42"/>
      <c r="D610" s="110"/>
      <c r="E610" s="46" t="s">
        <v>5</v>
      </c>
      <c r="F610" s="103">
        <v>3</v>
      </c>
      <c r="G610" s="103">
        <v>54</v>
      </c>
      <c r="H610" s="103">
        <v>105</v>
      </c>
      <c r="I610" s="103">
        <v>131</v>
      </c>
      <c r="J610" s="103">
        <v>65</v>
      </c>
      <c r="K610" s="103">
        <v>24</v>
      </c>
      <c r="L610" s="103">
        <v>8</v>
      </c>
      <c r="M610" s="103">
        <v>5</v>
      </c>
      <c r="N610" s="103">
        <v>1</v>
      </c>
      <c r="O610" s="103">
        <v>0</v>
      </c>
      <c r="P610" s="42"/>
      <c r="Q610" s="110"/>
      <c r="R610" s="46" t="s">
        <v>5</v>
      </c>
      <c r="S610" s="103">
        <v>2</v>
      </c>
      <c r="T610" s="103">
        <v>23</v>
      </c>
      <c r="U610" s="103">
        <v>61</v>
      </c>
      <c r="V610" s="103">
        <v>88</v>
      </c>
      <c r="W610" s="103">
        <v>41</v>
      </c>
      <c r="X610" s="103">
        <v>14</v>
      </c>
      <c r="Y610" s="103">
        <v>4</v>
      </c>
      <c r="Z610" s="103">
        <v>3</v>
      </c>
      <c r="AA610" s="103">
        <v>1</v>
      </c>
      <c r="AB610" s="103">
        <v>0</v>
      </c>
      <c r="AC610" s="42"/>
      <c r="AD610" s="110"/>
      <c r="AE610" s="46" t="s">
        <v>5</v>
      </c>
      <c r="AF610" s="103">
        <v>1</v>
      </c>
      <c r="AG610" s="103">
        <v>31</v>
      </c>
      <c r="AH610" s="103">
        <v>44</v>
      </c>
      <c r="AI610" s="103">
        <v>43</v>
      </c>
      <c r="AJ610" s="103">
        <v>24</v>
      </c>
      <c r="AK610" s="103">
        <v>10</v>
      </c>
      <c r="AL610" s="103">
        <v>4</v>
      </c>
      <c r="AM610" s="103">
        <v>2</v>
      </c>
      <c r="AN610" s="103">
        <v>0</v>
      </c>
      <c r="AO610" s="103">
        <v>0</v>
      </c>
      <c r="AP610" s="6"/>
      <c r="AQ610" s="110"/>
      <c r="AR610" s="46" t="s">
        <v>5</v>
      </c>
      <c r="AS610" s="103">
        <v>2</v>
      </c>
      <c r="AT610" s="103">
        <v>21</v>
      </c>
      <c r="AU610" s="103">
        <v>33</v>
      </c>
      <c r="AV610" s="103">
        <v>32</v>
      </c>
      <c r="AW610" s="103">
        <v>10</v>
      </c>
      <c r="AX610" s="103">
        <v>8</v>
      </c>
      <c r="AY610" s="103">
        <v>2</v>
      </c>
      <c r="AZ610" s="103">
        <v>1</v>
      </c>
      <c r="BA610" s="103">
        <v>0</v>
      </c>
      <c r="BB610" s="103">
        <v>0</v>
      </c>
      <c r="BC610" s="42"/>
      <c r="BD610" s="110"/>
      <c r="BE610" s="46" t="s">
        <v>5</v>
      </c>
      <c r="BF610" s="103">
        <v>1</v>
      </c>
      <c r="BG610" s="103">
        <v>33</v>
      </c>
      <c r="BH610" s="103">
        <v>72</v>
      </c>
      <c r="BI610" s="103">
        <v>99</v>
      </c>
      <c r="BJ610" s="103">
        <v>55</v>
      </c>
      <c r="BK610" s="103">
        <v>16</v>
      </c>
      <c r="BL610" s="103">
        <v>6</v>
      </c>
      <c r="BM610" s="103">
        <v>4</v>
      </c>
      <c r="BN610" s="103">
        <v>1</v>
      </c>
      <c r="BO610" s="103">
        <v>0</v>
      </c>
      <c r="BQ610" s="110"/>
      <c r="BR610" s="46" t="s">
        <v>5</v>
      </c>
      <c r="BS610" s="103">
        <v>1</v>
      </c>
      <c r="BT610" s="103">
        <v>15</v>
      </c>
      <c r="BU610" s="103">
        <v>19</v>
      </c>
      <c r="BV610" s="103">
        <v>17</v>
      </c>
      <c r="BW610" s="103">
        <v>10</v>
      </c>
      <c r="BX610" s="103">
        <v>6</v>
      </c>
      <c r="BY610" s="103">
        <v>2</v>
      </c>
      <c r="BZ610" s="103">
        <v>2</v>
      </c>
      <c r="CA610" s="103">
        <v>1</v>
      </c>
      <c r="CB610" s="103">
        <v>0</v>
      </c>
      <c r="CC610" s="42"/>
      <c r="CD610" s="110"/>
      <c r="CE610" s="46" t="s">
        <v>5</v>
      </c>
      <c r="CF610" s="103">
        <v>2</v>
      </c>
      <c r="CG610" s="103">
        <v>39</v>
      </c>
      <c r="CH610" s="103">
        <v>86</v>
      </c>
      <c r="CI610" s="103">
        <v>114</v>
      </c>
      <c r="CJ610" s="103">
        <v>55</v>
      </c>
      <c r="CK610" s="103">
        <v>18</v>
      </c>
      <c r="CL610" s="103">
        <v>6</v>
      </c>
      <c r="CM610" s="103">
        <v>3</v>
      </c>
      <c r="CN610" s="103">
        <v>0</v>
      </c>
      <c r="CO610" s="103">
        <v>0</v>
      </c>
      <c r="CQ610" s="110"/>
      <c r="CR610" s="46" t="s">
        <v>5</v>
      </c>
      <c r="CS610" s="103">
        <v>0</v>
      </c>
      <c r="CT610" s="103">
        <v>7</v>
      </c>
      <c r="CU610" s="103">
        <v>16</v>
      </c>
      <c r="CV610" s="103">
        <v>26</v>
      </c>
      <c r="CW610" s="103">
        <v>20</v>
      </c>
      <c r="CX610" s="103">
        <v>8</v>
      </c>
      <c r="CY610" s="103">
        <v>4</v>
      </c>
      <c r="CZ610" s="103">
        <v>2</v>
      </c>
      <c r="DA610" s="103">
        <v>0</v>
      </c>
      <c r="DB610" s="103">
        <v>0</v>
      </c>
      <c r="DC610" s="42"/>
      <c r="DD610" s="110"/>
      <c r="DE610" s="46" t="s">
        <v>5</v>
      </c>
      <c r="DF610" s="103">
        <v>3</v>
      </c>
      <c r="DG610" s="103">
        <v>47</v>
      </c>
      <c r="DH610" s="103">
        <v>89</v>
      </c>
      <c r="DI610" s="103">
        <v>105</v>
      </c>
      <c r="DJ610" s="103">
        <v>45</v>
      </c>
      <c r="DK610" s="103">
        <v>16</v>
      </c>
      <c r="DL610" s="103">
        <v>4</v>
      </c>
      <c r="DM610" s="103">
        <v>3</v>
      </c>
      <c r="DN610" s="103">
        <v>1</v>
      </c>
      <c r="DO610" s="103">
        <v>0</v>
      </c>
    </row>
    <row r="611" spans="2:119" ht="16.5" customHeight="1" x14ac:dyDescent="0.45">
      <c r="B611" s="134"/>
      <c r="C611" s="42"/>
      <c r="D611" s="110"/>
      <c r="E611" s="46" t="s">
        <v>6</v>
      </c>
      <c r="F611" s="103">
        <v>19</v>
      </c>
      <c r="G611" s="103">
        <v>95</v>
      </c>
      <c r="H611" s="103">
        <v>250</v>
      </c>
      <c r="I611" s="103">
        <v>421</v>
      </c>
      <c r="J611" s="103">
        <v>221</v>
      </c>
      <c r="K611" s="103">
        <v>106</v>
      </c>
      <c r="L611" s="103">
        <v>31</v>
      </c>
      <c r="M611" s="103">
        <v>16</v>
      </c>
      <c r="N611" s="103">
        <v>8</v>
      </c>
      <c r="O611" s="103">
        <v>4</v>
      </c>
      <c r="P611" s="42"/>
      <c r="Q611" s="110"/>
      <c r="R611" s="46" t="s">
        <v>6</v>
      </c>
      <c r="S611" s="103">
        <v>7</v>
      </c>
      <c r="T611" s="103">
        <v>43</v>
      </c>
      <c r="U611" s="103">
        <v>128</v>
      </c>
      <c r="V611" s="103">
        <v>261</v>
      </c>
      <c r="W611" s="103">
        <v>154</v>
      </c>
      <c r="X611" s="103">
        <v>69</v>
      </c>
      <c r="Y611" s="103">
        <v>23</v>
      </c>
      <c r="Z611" s="103">
        <v>11</v>
      </c>
      <c r="AA611" s="103">
        <v>2</v>
      </c>
      <c r="AB611" s="103">
        <v>4</v>
      </c>
      <c r="AC611" s="42"/>
      <c r="AD611" s="110"/>
      <c r="AE611" s="46" t="s">
        <v>6</v>
      </c>
      <c r="AF611" s="103">
        <v>12</v>
      </c>
      <c r="AG611" s="103">
        <v>52</v>
      </c>
      <c r="AH611" s="103">
        <v>122</v>
      </c>
      <c r="AI611" s="103">
        <v>160</v>
      </c>
      <c r="AJ611" s="103">
        <v>67</v>
      </c>
      <c r="AK611" s="103">
        <v>37</v>
      </c>
      <c r="AL611" s="103">
        <v>8</v>
      </c>
      <c r="AM611" s="103">
        <v>5</v>
      </c>
      <c r="AN611" s="103">
        <v>6</v>
      </c>
      <c r="AO611" s="103">
        <v>0</v>
      </c>
      <c r="AP611" s="6"/>
      <c r="AQ611" s="110"/>
      <c r="AR611" s="46" t="s">
        <v>6</v>
      </c>
      <c r="AS611" s="103">
        <v>5</v>
      </c>
      <c r="AT611" s="103">
        <v>31</v>
      </c>
      <c r="AU611" s="103">
        <v>73</v>
      </c>
      <c r="AV611" s="103">
        <v>122</v>
      </c>
      <c r="AW611" s="103">
        <v>42</v>
      </c>
      <c r="AX611" s="103">
        <v>19</v>
      </c>
      <c r="AY611" s="103">
        <v>5</v>
      </c>
      <c r="AZ611" s="103">
        <v>2</v>
      </c>
      <c r="BA611" s="103">
        <v>3</v>
      </c>
      <c r="BB611" s="103">
        <v>1</v>
      </c>
      <c r="BC611" s="42"/>
      <c r="BD611" s="110"/>
      <c r="BE611" s="46" t="s">
        <v>6</v>
      </c>
      <c r="BF611" s="103">
        <v>14</v>
      </c>
      <c r="BG611" s="103">
        <v>64</v>
      </c>
      <c r="BH611" s="103">
        <v>177</v>
      </c>
      <c r="BI611" s="103">
        <v>299</v>
      </c>
      <c r="BJ611" s="103">
        <v>179</v>
      </c>
      <c r="BK611" s="103">
        <v>87</v>
      </c>
      <c r="BL611" s="103">
        <v>26</v>
      </c>
      <c r="BM611" s="103">
        <v>14</v>
      </c>
      <c r="BN611" s="103">
        <v>5</v>
      </c>
      <c r="BO611" s="103">
        <v>3</v>
      </c>
      <c r="BQ611" s="110"/>
      <c r="BR611" s="46" t="s">
        <v>6</v>
      </c>
      <c r="BS611" s="103">
        <v>3</v>
      </c>
      <c r="BT611" s="103">
        <v>20</v>
      </c>
      <c r="BU611" s="103">
        <v>31</v>
      </c>
      <c r="BV611" s="103">
        <v>40</v>
      </c>
      <c r="BW611" s="103">
        <v>22</v>
      </c>
      <c r="BX611" s="103">
        <v>6</v>
      </c>
      <c r="BY611" s="103">
        <v>5</v>
      </c>
      <c r="BZ611" s="103">
        <v>4</v>
      </c>
      <c r="CA611" s="103">
        <v>1</v>
      </c>
      <c r="CB611" s="103">
        <v>1</v>
      </c>
      <c r="CC611" s="42"/>
      <c r="CD611" s="110"/>
      <c r="CE611" s="46" t="s">
        <v>6</v>
      </c>
      <c r="CF611" s="103">
        <v>16</v>
      </c>
      <c r="CG611" s="103">
        <v>75</v>
      </c>
      <c r="CH611" s="103">
        <v>219</v>
      </c>
      <c r="CI611" s="103">
        <v>381</v>
      </c>
      <c r="CJ611" s="103">
        <v>199</v>
      </c>
      <c r="CK611" s="103">
        <v>100</v>
      </c>
      <c r="CL611" s="103">
        <v>26</v>
      </c>
      <c r="CM611" s="103">
        <v>12</v>
      </c>
      <c r="CN611" s="103">
        <v>7</v>
      </c>
      <c r="CO611" s="103">
        <v>3</v>
      </c>
      <c r="CQ611" s="110"/>
      <c r="CR611" s="46" t="s">
        <v>6</v>
      </c>
      <c r="CS611" s="103">
        <v>2</v>
      </c>
      <c r="CT611" s="103">
        <v>12</v>
      </c>
      <c r="CU611" s="103">
        <v>27</v>
      </c>
      <c r="CV611" s="103">
        <v>84</v>
      </c>
      <c r="CW611" s="103">
        <v>44</v>
      </c>
      <c r="CX611" s="103">
        <v>33</v>
      </c>
      <c r="CY611" s="103">
        <v>7</v>
      </c>
      <c r="CZ611" s="103">
        <v>7</v>
      </c>
      <c r="DA611" s="103">
        <v>5</v>
      </c>
      <c r="DB611" s="103">
        <v>2</v>
      </c>
      <c r="DC611" s="42"/>
      <c r="DD611" s="110"/>
      <c r="DE611" s="46" t="s">
        <v>6</v>
      </c>
      <c r="DF611" s="103">
        <v>17</v>
      </c>
      <c r="DG611" s="103">
        <v>83</v>
      </c>
      <c r="DH611" s="103">
        <v>223</v>
      </c>
      <c r="DI611" s="103">
        <v>337</v>
      </c>
      <c r="DJ611" s="103">
        <v>177</v>
      </c>
      <c r="DK611" s="103">
        <v>73</v>
      </c>
      <c r="DL611" s="103">
        <v>24</v>
      </c>
      <c r="DM611" s="103">
        <v>9</v>
      </c>
      <c r="DN611" s="103">
        <v>3</v>
      </c>
      <c r="DO611" s="103">
        <v>2</v>
      </c>
    </row>
    <row r="612" spans="2:119" ht="16.5" customHeight="1" x14ac:dyDescent="0.45">
      <c r="B612" s="134"/>
      <c r="C612" s="42"/>
      <c r="D612" s="110"/>
      <c r="E612" s="46" t="s">
        <v>7</v>
      </c>
      <c r="F612" s="103">
        <v>59</v>
      </c>
      <c r="G612" s="103">
        <v>153</v>
      </c>
      <c r="H612" s="103">
        <v>498</v>
      </c>
      <c r="I612" s="103">
        <v>1084</v>
      </c>
      <c r="J612" s="103">
        <v>665</v>
      </c>
      <c r="K612" s="103">
        <v>438</v>
      </c>
      <c r="L612" s="103">
        <v>105</v>
      </c>
      <c r="M612" s="103">
        <v>47</v>
      </c>
      <c r="N612" s="103">
        <v>23</v>
      </c>
      <c r="O612" s="103">
        <v>14</v>
      </c>
      <c r="P612" s="42"/>
      <c r="Q612" s="110"/>
      <c r="R612" s="46" t="s">
        <v>7</v>
      </c>
      <c r="S612" s="103">
        <v>35</v>
      </c>
      <c r="T612" s="103">
        <v>47</v>
      </c>
      <c r="U612" s="103">
        <v>218</v>
      </c>
      <c r="V612" s="103">
        <v>599</v>
      </c>
      <c r="W612" s="103">
        <v>444</v>
      </c>
      <c r="X612" s="103">
        <v>296</v>
      </c>
      <c r="Y612" s="103">
        <v>79</v>
      </c>
      <c r="Z612" s="103">
        <v>31</v>
      </c>
      <c r="AA612" s="103">
        <v>14</v>
      </c>
      <c r="AB612" s="103">
        <v>9</v>
      </c>
      <c r="AC612" s="42"/>
      <c r="AD612" s="110"/>
      <c r="AE612" s="46" t="s">
        <v>7</v>
      </c>
      <c r="AF612" s="103">
        <v>24</v>
      </c>
      <c r="AG612" s="103">
        <v>106</v>
      </c>
      <c r="AH612" s="103">
        <v>280</v>
      </c>
      <c r="AI612" s="103">
        <v>485</v>
      </c>
      <c r="AJ612" s="103">
        <v>221</v>
      </c>
      <c r="AK612" s="103">
        <v>142</v>
      </c>
      <c r="AL612" s="103">
        <v>26</v>
      </c>
      <c r="AM612" s="103">
        <v>16</v>
      </c>
      <c r="AN612" s="103">
        <v>9</v>
      </c>
      <c r="AO612" s="103">
        <v>5</v>
      </c>
      <c r="AP612" s="6"/>
      <c r="AQ612" s="110"/>
      <c r="AR612" s="46" t="s">
        <v>7</v>
      </c>
      <c r="AS612" s="103">
        <v>15</v>
      </c>
      <c r="AT612" s="103">
        <v>51</v>
      </c>
      <c r="AU612" s="103">
        <v>145</v>
      </c>
      <c r="AV612" s="103">
        <v>217</v>
      </c>
      <c r="AW612" s="103">
        <v>136</v>
      </c>
      <c r="AX612" s="103">
        <v>83</v>
      </c>
      <c r="AY612" s="103">
        <v>20</v>
      </c>
      <c r="AZ612" s="103">
        <v>13</v>
      </c>
      <c r="BA612" s="103">
        <v>4</v>
      </c>
      <c r="BB612" s="103">
        <v>2</v>
      </c>
      <c r="BC612" s="42"/>
      <c r="BD612" s="110"/>
      <c r="BE612" s="46" t="s">
        <v>7</v>
      </c>
      <c r="BF612" s="103">
        <v>44</v>
      </c>
      <c r="BG612" s="103">
        <v>102</v>
      </c>
      <c r="BH612" s="103">
        <v>353</v>
      </c>
      <c r="BI612" s="103">
        <v>867</v>
      </c>
      <c r="BJ612" s="103">
        <v>529</v>
      </c>
      <c r="BK612" s="103">
        <v>355</v>
      </c>
      <c r="BL612" s="103">
        <v>85</v>
      </c>
      <c r="BM612" s="103">
        <v>34</v>
      </c>
      <c r="BN612" s="103">
        <v>19</v>
      </c>
      <c r="BO612" s="103">
        <v>12</v>
      </c>
      <c r="BQ612" s="110"/>
      <c r="BR612" s="46" t="s">
        <v>7</v>
      </c>
      <c r="BS612" s="103">
        <v>4</v>
      </c>
      <c r="BT612" s="103">
        <v>24</v>
      </c>
      <c r="BU612" s="103">
        <v>53</v>
      </c>
      <c r="BV612" s="103">
        <v>85</v>
      </c>
      <c r="BW612" s="103">
        <v>31</v>
      </c>
      <c r="BX612" s="103">
        <v>18</v>
      </c>
      <c r="BY612" s="103">
        <v>3</v>
      </c>
      <c r="BZ612" s="103">
        <v>1</v>
      </c>
      <c r="CA612" s="103">
        <v>1</v>
      </c>
      <c r="CB612" s="103">
        <v>0</v>
      </c>
      <c r="CC612" s="42"/>
      <c r="CD612" s="110"/>
      <c r="CE612" s="46" t="s">
        <v>7</v>
      </c>
      <c r="CF612" s="103">
        <v>55</v>
      </c>
      <c r="CG612" s="103">
        <v>129</v>
      </c>
      <c r="CH612" s="103">
        <v>445</v>
      </c>
      <c r="CI612" s="103">
        <v>999</v>
      </c>
      <c r="CJ612" s="103">
        <v>634</v>
      </c>
      <c r="CK612" s="103">
        <v>420</v>
      </c>
      <c r="CL612" s="103">
        <v>102</v>
      </c>
      <c r="CM612" s="103">
        <v>46</v>
      </c>
      <c r="CN612" s="103">
        <v>22</v>
      </c>
      <c r="CO612" s="103">
        <v>14</v>
      </c>
      <c r="CQ612" s="110"/>
      <c r="CR612" s="46" t="s">
        <v>7</v>
      </c>
      <c r="CS612" s="103">
        <v>7</v>
      </c>
      <c r="CT612" s="103">
        <v>5</v>
      </c>
      <c r="CU612" s="103">
        <v>44</v>
      </c>
      <c r="CV612" s="103">
        <v>147</v>
      </c>
      <c r="CW612" s="103">
        <v>113</v>
      </c>
      <c r="CX612" s="103">
        <v>91</v>
      </c>
      <c r="CY612" s="103">
        <v>40</v>
      </c>
      <c r="CZ612" s="103">
        <v>19</v>
      </c>
      <c r="DA612" s="103">
        <v>12</v>
      </c>
      <c r="DB612" s="103">
        <v>7</v>
      </c>
      <c r="DC612" s="42"/>
      <c r="DD612" s="110"/>
      <c r="DE612" s="46" t="s">
        <v>7</v>
      </c>
      <c r="DF612" s="103">
        <v>52</v>
      </c>
      <c r="DG612" s="103">
        <v>148</v>
      </c>
      <c r="DH612" s="103">
        <v>454</v>
      </c>
      <c r="DI612" s="103">
        <v>937</v>
      </c>
      <c r="DJ612" s="103">
        <v>552</v>
      </c>
      <c r="DK612" s="103">
        <v>347</v>
      </c>
      <c r="DL612" s="103">
        <v>65</v>
      </c>
      <c r="DM612" s="103">
        <v>28</v>
      </c>
      <c r="DN612" s="103">
        <v>11</v>
      </c>
      <c r="DO612" s="103">
        <v>7</v>
      </c>
    </row>
    <row r="613" spans="2:119" ht="16.5" customHeight="1" x14ac:dyDescent="0.45">
      <c r="B613" s="134"/>
      <c r="C613" s="42"/>
      <c r="D613" s="110"/>
      <c r="E613" s="46" t="s">
        <v>8</v>
      </c>
      <c r="F613" s="103">
        <v>98</v>
      </c>
      <c r="G613" s="103">
        <v>142</v>
      </c>
      <c r="H613" s="103">
        <v>567</v>
      </c>
      <c r="I613" s="103">
        <v>1724</v>
      </c>
      <c r="J613" s="103">
        <v>1604</v>
      </c>
      <c r="K613" s="103">
        <v>1256</v>
      </c>
      <c r="L613" s="103">
        <v>435</v>
      </c>
      <c r="M613" s="103">
        <v>211</v>
      </c>
      <c r="N613" s="103">
        <v>70</v>
      </c>
      <c r="O613" s="103">
        <v>39</v>
      </c>
      <c r="P613" s="42"/>
      <c r="Q613" s="110"/>
      <c r="R613" s="46" t="s">
        <v>8</v>
      </c>
      <c r="S613" s="103">
        <v>51</v>
      </c>
      <c r="T613" s="103">
        <v>43</v>
      </c>
      <c r="U613" s="103">
        <v>212</v>
      </c>
      <c r="V613" s="103">
        <v>872</v>
      </c>
      <c r="W613" s="103">
        <v>960</v>
      </c>
      <c r="X613" s="103">
        <v>814</v>
      </c>
      <c r="Y613" s="103">
        <v>310</v>
      </c>
      <c r="Z613" s="103">
        <v>157</v>
      </c>
      <c r="AA613" s="103">
        <v>43</v>
      </c>
      <c r="AB613" s="103">
        <v>29</v>
      </c>
      <c r="AC613" s="42"/>
      <c r="AD613" s="110"/>
      <c r="AE613" s="46" t="s">
        <v>8</v>
      </c>
      <c r="AF613" s="103">
        <v>47</v>
      </c>
      <c r="AG613" s="103">
        <v>99</v>
      </c>
      <c r="AH613" s="103">
        <v>355</v>
      </c>
      <c r="AI613" s="103">
        <v>852</v>
      </c>
      <c r="AJ613" s="103">
        <v>644</v>
      </c>
      <c r="AK613" s="103">
        <v>442</v>
      </c>
      <c r="AL613" s="103">
        <v>125</v>
      </c>
      <c r="AM613" s="103">
        <v>54</v>
      </c>
      <c r="AN613" s="103">
        <v>27</v>
      </c>
      <c r="AO613" s="103">
        <v>10</v>
      </c>
      <c r="AP613" s="6"/>
      <c r="AQ613" s="110"/>
      <c r="AR613" s="46" t="s">
        <v>8</v>
      </c>
      <c r="AS613" s="103">
        <v>18</v>
      </c>
      <c r="AT613" s="103">
        <v>41</v>
      </c>
      <c r="AU613" s="103">
        <v>143</v>
      </c>
      <c r="AV613" s="103">
        <v>341</v>
      </c>
      <c r="AW613" s="103">
        <v>261</v>
      </c>
      <c r="AX613" s="103">
        <v>195</v>
      </c>
      <c r="AY613" s="103">
        <v>66</v>
      </c>
      <c r="AZ613" s="103">
        <v>24</v>
      </c>
      <c r="BA613" s="103">
        <v>8</v>
      </c>
      <c r="BB613" s="103">
        <v>9</v>
      </c>
      <c r="BC613" s="42"/>
      <c r="BD613" s="110"/>
      <c r="BE613" s="46" t="s">
        <v>8</v>
      </c>
      <c r="BF613" s="103">
        <v>80</v>
      </c>
      <c r="BG613" s="103">
        <v>101</v>
      </c>
      <c r="BH613" s="103">
        <v>424</v>
      </c>
      <c r="BI613" s="103">
        <v>1383</v>
      </c>
      <c r="BJ613" s="103">
        <v>1343</v>
      </c>
      <c r="BK613" s="103">
        <v>1061</v>
      </c>
      <c r="BL613" s="103">
        <v>369</v>
      </c>
      <c r="BM613" s="103">
        <v>187</v>
      </c>
      <c r="BN613" s="103">
        <v>62</v>
      </c>
      <c r="BO613" s="103">
        <v>30</v>
      </c>
      <c r="BQ613" s="110"/>
      <c r="BR613" s="46" t="s">
        <v>8</v>
      </c>
      <c r="BS613" s="103">
        <v>3</v>
      </c>
      <c r="BT613" s="103">
        <v>12</v>
      </c>
      <c r="BU613" s="103">
        <v>50</v>
      </c>
      <c r="BV613" s="103">
        <v>94</v>
      </c>
      <c r="BW613" s="103">
        <v>70</v>
      </c>
      <c r="BX613" s="103">
        <v>57</v>
      </c>
      <c r="BY613" s="103">
        <v>14</v>
      </c>
      <c r="BZ613" s="103">
        <v>16</v>
      </c>
      <c r="CA613" s="103">
        <v>7</v>
      </c>
      <c r="CB613" s="103">
        <v>3</v>
      </c>
      <c r="CC613" s="42"/>
      <c r="CD613" s="110"/>
      <c r="CE613" s="46" t="s">
        <v>8</v>
      </c>
      <c r="CF613" s="103">
        <v>95</v>
      </c>
      <c r="CG613" s="103">
        <v>130</v>
      </c>
      <c r="CH613" s="103">
        <v>517</v>
      </c>
      <c r="CI613" s="103">
        <v>1630</v>
      </c>
      <c r="CJ613" s="103">
        <v>1534</v>
      </c>
      <c r="CK613" s="103">
        <v>1199</v>
      </c>
      <c r="CL613" s="103">
        <v>421</v>
      </c>
      <c r="CM613" s="103">
        <v>195</v>
      </c>
      <c r="CN613" s="103">
        <v>63</v>
      </c>
      <c r="CO613" s="103">
        <v>36</v>
      </c>
      <c r="CQ613" s="110"/>
      <c r="CR613" s="46" t="s">
        <v>8</v>
      </c>
      <c r="CS613" s="103">
        <v>10</v>
      </c>
      <c r="CT613" s="103">
        <v>4</v>
      </c>
      <c r="CU613" s="103">
        <v>43</v>
      </c>
      <c r="CV613" s="103">
        <v>143</v>
      </c>
      <c r="CW613" s="103">
        <v>190</v>
      </c>
      <c r="CX613" s="103">
        <v>199</v>
      </c>
      <c r="CY613" s="103">
        <v>87</v>
      </c>
      <c r="CZ613" s="103">
        <v>50</v>
      </c>
      <c r="DA613" s="103">
        <v>18</v>
      </c>
      <c r="DB613" s="103">
        <v>12</v>
      </c>
      <c r="DC613" s="42"/>
      <c r="DD613" s="110"/>
      <c r="DE613" s="46" t="s">
        <v>8</v>
      </c>
      <c r="DF613" s="103">
        <v>88</v>
      </c>
      <c r="DG613" s="103">
        <v>138</v>
      </c>
      <c r="DH613" s="103">
        <v>524</v>
      </c>
      <c r="DI613" s="103">
        <v>1581</v>
      </c>
      <c r="DJ613" s="103">
        <v>1414</v>
      </c>
      <c r="DK613" s="103">
        <v>1057</v>
      </c>
      <c r="DL613" s="103">
        <v>348</v>
      </c>
      <c r="DM613" s="103">
        <v>161</v>
      </c>
      <c r="DN613" s="103">
        <v>52</v>
      </c>
      <c r="DO613" s="103">
        <v>27</v>
      </c>
    </row>
    <row r="614" spans="2:119" ht="16.5" customHeight="1" x14ac:dyDescent="0.45">
      <c r="B614" s="134"/>
      <c r="C614" s="42"/>
      <c r="D614" s="110"/>
      <c r="E614" s="46" t="s">
        <v>9</v>
      </c>
      <c r="F614" s="103">
        <v>161</v>
      </c>
      <c r="G614" s="103">
        <v>90</v>
      </c>
      <c r="H614" s="103">
        <v>475</v>
      </c>
      <c r="I614" s="103">
        <v>1764</v>
      </c>
      <c r="J614" s="103">
        <v>2217</v>
      </c>
      <c r="K614" s="103">
        <v>2348</v>
      </c>
      <c r="L614" s="103">
        <v>1297</v>
      </c>
      <c r="M614" s="103">
        <v>724</v>
      </c>
      <c r="N614" s="103">
        <v>316</v>
      </c>
      <c r="O614" s="103">
        <v>122</v>
      </c>
      <c r="P614" s="42"/>
      <c r="Q614" s="110"/>
      <c r="R614" s="46" t="s">
        <v>9</v>
      </c>
      <c r="S614" s="103">
        <v>68</v>
      </c>
      <c r="T614" s="103">
        <v>20</v>
      </c>
      <c r="U614" s="103">
        <v>136</v>
      </c>
      <c r="V614" s="103">
        <v>704</v>
      </c>
      <c r="W614" s="103">
        <v>1082</v>
      </c>
      <c r="X614" s="103">
        <v>1361</v>
      </c>
      <c r="Y614" s="103">
        <v>839</v>
      </c>
      <c r="Z614" s="103">
        <v>480</v>
      </c>
      <c r="AA614" s="103">
        <v>218</v>
      </c>
      <c r="AB614" s="103">
        <v>80</v>
      </c>
      <c r="AC614" s="42"/>
      <c r="AD614" s="110"/>
      <c r="AE614" s="46" t="s">
        <v>9</v>
      </c>
      <c r="AF614" s="103">
        <v>93</v>
      </c>
      <c r="AG614" s="103">
        <v>70</v>
      </c>
      <c r="AH614" s="103">
        <v>339</v>
      </c>
      <c r="AI614" s="103">
        <v>1060</v>
      </c>
      <c r="AJ614" s="103">
        <v>1135</v>
      </c>
      <c r="AK614" s="103">
        <v>987</v>
      </c>
      <c r="AL614" s="103">
        <v>458</v>
      </c>
      <c r="AM614" s="103">
        <v>244</v>
      </c>
      <c r="AN614" s="103">
        <v>98</v>
      </c>
      <c r="AO614" s="103">
        <v>42</v>
      </c>
      <c r="AP614" s="6"/>
      <c r="AQ614" s="110"/>
      <c r="AR614" s="46" t="s">
        <v>9</v>
      </c>
      <c r="AS614" s="103">
        <v>29</v>
      </c>
      <c r="AT614" s="103">
        <v>21</v>
      </c>
      <c r="AU614" s="103">
        <v>94</v>
      </c>
      <c r="AV614" s="103">
        <v>286</v>
      </c>
      <c r="AW614" s="103">
        <v>296</v>
      </c>
      <c r="AX614" s="103">
        <v>298</v>
      </c>
      <c r="AY614" s="103">
        <v>129</v>
      </c>
      <c r="AZ614" s="103">
        <v>85</v>
      </c>
      <c r="BA614" s="103">
        <v>33</v>
      </c>
      <c r="BB614" s="103">
        <v>13</v>
      </c>
      <c r="BC614" s="42"/>
      <c r="BD614" s="110"/>
      <c r="BE614" s="46" t="s">
        <v>9</v>
      </c>
      <c r="BF614" s="103">
        <v>132</v>
      </c>
      <c r="BG614" s="103">
        <v>69</v>
      </c>
      <c r="BH614" s="103">
        <v>381</v>
      </c>
      <c r="BI614" s="103">
        <v>1478</v>
      </c>
      <c r="BJ614" s="103">
        <v>1921</v>
      </c>
      <c r="BK614" s="103">
        <v>2050</v>
      </c>
      <c r="BL614" s="103">
        <v>1168</v>
      </c>
      <c r="BM614" s="103">
        <v>639</v>
      </c>
      <c r="BN614" s="103">
        <v>283</v>
      </c>
      <c r="BO614" s="103">
        <v>109</v>
      </c>
      <c r="BQ614" s="110"/>
      <c r="BR614" s="46" t="s">
        <v>9</v>
      </c>
      <c r="BS614" s="103">
        <v>8</v>
      </c>
      <c r="BT614" s="103">
        <v>5</v>
      </c>
      <c r="BU614" s="103">
        <v>33</v>
      </c>
      <c r="BV614" s="103">
        <v>83</v>
      </c>
      <c r="BW614" s="103">
        <v>90</v>
      </c>
      <c r="BX614" s="103">
        <v>85</v>
      </c>
      <c r="BY614" s="103">
        <v>37</v>
      </c>
      <c r="BZ614" s="103">
        <v>20</v>
      </c>
      <c r="CA614" s="103">
        <v>9</v>
      </c>
      <c r="CB614" s="103">
        <v>4</v>
      </c>
      <c r="CC614" s="42"/>
      <c r="CD614" s="110"/>
      <c r="CE614" s="46" t="s">
        <v>9</v>
      </c>
      <c r="CF614" s="103">
        <v>153</v>
      </c>
      <c r="CG614" s="103">
        <v>85</v>
      </c>
      <c r="CH614" s="103">
        <v>442</v>
      </c>
      <c r="CI614" s="103">
        <v>1681</v>
      </c>
      <c r="CJ614" s="103">
        <v>2127</v>
      </c>
      <c r="CK614" s="103">
        <v>2263</v>
      </c>
      <c r="CL614" s="103">
        <v>1260</v>
      </c>
      <c r="CM614" s="103">
        <v>704</v>
      </c>
      <c r="CN614" s="103">
        <v>307</v>
      </c>
      <c r="CO614" s="103">
        <v>118</v>
      </c>
      <c r="CQ614" s="110"/>
      <c r="CR614" s="46" t="s">
        <v>9</v>
      </c>
      <c r="CS614" s="103">
        <v>20</v>
      </c>
      <c r="CT614" s="103">
        <v>2</v>
      </c>
      <c r="CU614" s="103">
        <v>34</v>
      </c>
      <c r="CV614" s="103">
        <v>112</v>
      </c>
      <c r="CW614" s="103">
        <v>210</v>
      </c>
      <c r="CX614" s="103">
        <v>250</v>
      </c>
      <c r="CY614" s="103">
        <v>174</v>
      </c>
      <c r="CZ614" s="103">
        <v>143</v>
      </c>
      <c r="DA614" s="103">
        <v>65</v>
      </c>
      <c r="DB614" s="103">
        <v>43</v>
      </c>
      <c r="DC614" s="42"/>
      <c r="DD614" s="110"/>
      <c r="DE614" s="46" t="s">
        <v>9</v>
      </c>
      <c r="DF614" s="103">
        <v>141</v>
      </c>
      <c r="DG614" s="103">
        <v>88</v>
      </c>
      <c r="DH614" s="103">
        <v>441</v>
      </c>
      <c r="DI614" s="103">
        <v>1652</v>
      </c>
      <c r="DJ614" s="103">
        <v>2007</v>
      </c>
      <c r="DK614" s="103">
        <v>2098</v>
      </c>
      <c r="DL614" s="103">
        <v>1123</v>
      </c>
      <c r="DM614" s="103">
        <v>581</v>
      </c>
      <c r="DN614" s="103">
        <v>251</v>
      </c>
      <c r="DO614" s="103">
        <v>79</v>
      </c>
    </row>
    <row r="615" spans="2:119" ht="16.5" customHeight="1" x14ac:dyDescent="0.45">
      <c r="B615" s="134"/>
      <c r="C615" s="42"/>
      <c r="D615" s="110"/>
      <c r="E615" s="46" t="s">
        <v>10</v>
      </c>
      <c r="F615" s="103">
        <v>118</v>
      </c>
      <c r="G615" s="103">
        <v>31</v>
      </c>
      <c r="H615" s="103">
        <v>152</v>
      </c>
      <c r="I615" s="103">
        <v>941</v>
      </c>
      <c r="J615" s="103">
        <v>1986</v>
      </c>
      <c r="K615" s="103">
        <v>2801</v>
      </c>
      <c r="L615" s="103">
        <v>2566</v>
      </c>
      <c r="M615" s="103">
        <v>2017</v>
      </c>
      <c r="N615" s="103">
        <v>1144</v>
      </c>
      <c r="O615" s="103">
        <v>596</v>
      </c>
      <c r="P615" s="42"/>
      <c r="Q615" s="110"/>
      <c r="R615" s="46" t="s">
        <v>10</v>
      </c>
      <c r="S615" s="103">
        <v>34</v>
      </c>
      <c r="T615" s="103">
        <v>7</v>
      </c>
      <c r="U615" s="103">
        <v>26</v>
      </c>
      <c r="V615" s="103">
        <v>231</v>
      </c>
      <c r="W615" s="103">
        <v>738</v>
      </c>
      <c r="X615" s="103">
        <v>1217</v>
      </c>
      <c r="Y615" s="103">
        <v>1361</v>
      </c>
      <c r="Z615" s="103">
        <v>1114</v>
      </c>
      <c r="AA615" s="103">
        <v>713</v>
      </c>
      <c r="AB615" s="103">
        <v>328</v>
      </c>
      <c r="AC615" s="42"/>
      <c r="AD615" s="110"/>
      <c r="AE615" s="46" t="s">
        <v>10</v>
      </c>
      <c r="AF615" s="103">
        <v>84</v>
      </c>
      <c r="AG615" s="103">
        <v>24</v>
      </c>
      <c r="AH615" s="103">
        <v>126</v>
      </c>
      <c r="AI615" s="103">
        <v>710</v>
      </c>
      <c r="AJ615" s="103">
        <v>1248</v>
      </c>
      <c r="AK615" s="103">
        <v>1584</v>
      </c>
      <c r="AL615" s="103">
        <v>1205</v>
      </c>
      <c r="AM615" s="103">
        <v>903</v>
      </c>
      <c r="AN615" s="103">
        <v>431</v>
      </c>
      <c r="AO615" s="103">
        <v>268</v>
      </c>
      <c r="AP615" s="6"/>
      <c r="AQ615" s="110"/>
      <c r="AR615" s="46" t="s">
        <v>10</v>
      </c>
      <c r="AS615" s="103">
        <v>13</v>
      </c>
      <c r="AT615" s="103">
        <v>7</v>
      </c>
      <c r="AU615" s="103">
        <v>31</v>
      </c>
      <c r="AV615" s="103">
        <v>123</v>
      </c>
      <c r="AW615" s="103">
        <v>221</v>
      </c>
      <c r="AX615" s="103">
        <v>244</v>
      </c>
      <c r="AY615" s="103">
        <v>223</v>
      </c>
      <c r="AZ615" s="103">
        <v>141</v>
      </c>
      <c r="BA615" s="103">
        <v>59</v>
      </c>
      <c r="BB615" s="103">
        <v>29</v>
      </c>
      <c r="BC615" s="42"/>
      <c r="BD615" s="110"/>
      <c r="BE615" s="46" t="s">
        <v>10</v>
      </c>
      <c r="BF615" s="103">
        <v>105</v>
      </c>
      <c r="BG615" s="103">
        <v>24</v>
      </c>
      <c r="BH615" s="103">
        <v>121</v>
      </c>
      <c r="BI615" s="103">
        <v>818</v>
      </c>
      <c r="BJ615" s="103">
        <v>1765</v>
      </c>
      <c r="BK615" s="103">
        <v>2557</v>
      </c>
      <c r="BL615" s="103">
        <v>2343</v>
      </c>
      <c r="BM615" s="103">
        <v>1876</v>
      </c>
      <c r="BN615" s="103">
        <v>1085</v>
      </c>
      <c r="BO615" s="103">
        <v>567</v>
      </c>
      <c r="BQ615" s="110"/>
      <c r="BR615" s="46" t="s">
        <v>10</v>
      </c>
      <c r="BS615" s="103">
        <v>2</v>
      </c>
      <c r="BT615" s="103">
        <v>1</v>
      </c>
      <c r="BU615" s="103">
        <v>10</v>
      </c>
      <c r="BV615" s="103">
        <v>47</v>
      </c>
      <c r="BW615" s="103">
        <v>82</v>
      </c>
      <c r="BX615" s="103">
        <v>95</v>
      </c>
      <c r="BY615" s="103">
        <v>66</v>
      </c>
      <c r="BZ615" s="103">
        <v>70</v>
      </c>
      <c r="CA615" s="103">
        <v>37</v>
      </c>
      <c r="CB615" s="103">
        <v>13</v>
      </c>
      <c r="CC615" s="42"/>
      <c r="CD615" s="110"/>
      <c r="CE615" s="46" t="s">
        <v>10</v>
      </c>
      <c r="CF615" s="103">
        <v>116</v>
      </c>
      <c r="CG615" s="103">
        <v>30</v>
      </c>
      <c r="CH615" s="103">
        <v>142</v>
      </c>
      <c r="CI615" s="103">
        <v>894</v>
      </c>
      <c r="CJ615" s="103">
        <v>1904</v>
      </c>
      <c r="CK615" s="103">
        <v>2706</v>
      </c>
      <c r="CL615" s="103">
        <v>2500</v>
      </c>
      <c r="CM615" s="103">
        <v>1947</v>
      </c>
      <c r="CN615" s="103">
        <v>1107</v>
      </c>
      <c r="CO615" s="103">
        <v>583</v>
      </c>
      <c r="CQ615" s="110"/>
      <c r="CR615" s="46" t="s">
        <v>10</v>
      </c>
      <c r="CS615" s="103">
        <v>15</v>
      </c>
      <c r="CT615" s="103">
        <v>0</v>
      </c>
      <c r="CU615" s="103">
        <v>4</v>
      </c>
      <c r="CV615" s="103">
        <v>59</v>
      </c>
      <c r="CW615" s="103">
        <v>159</v>
      </c>
      <c r="CX615" s="103">
        <v>267</v>
      </c>
      <c r="CY615" s="103">
        <v>316</v>
      </c>
      <c r="CZ615" s="103">
        <v>271</v>
      </c>
      <c r="DA615" s="103">
        <v>204</v>
      </c>
      <c r="DB615" s="103">
        <v>150</v>
      </c>
      <c r="DC615" s="42"/>
      <c r="DD615" s="110"/>
      <c r="DE615" s="46" t="s">
        <v>10</v>
      </c>
      <c r="DF615" s="103">
        <v>103</v>
      </c>
      <c r="DG615" s="103">
        <v>31</v>
      </c>
      <c r="DH615" s="103">
        <v>148</v>
      </c>
      <c r="DI615" s="103">
        <v>882</v>
      </c>
      <c r="DJ615" s="103">
        <v>1827</v>
      </c>
      <c r="DK615" s="103">
        <v>2534</v>
      </c>
      <c r="DL615" s="103">
        <v>2250</v>
      </c>
      <c r="DM615" s="103">
        <v>1746</v>
      </c>
      <c r="DN615" s="103">
        <v>940</v>
      </c>
      <c r="DO615" s="103">
        <v>446</v>
      </c>
    </row>
    <row r="616" spans="2:119" ht="16.5" customHeight="1" x14ac:dyDescent="0.45">
      <c r="B616" s="134"/>
      <c r="C616" s="42"/>
      <c r="D616" s="111"/>
      <c r="E616" s="46" t="s">
        <v>11</v>
      </c>
      <c r="F616" s="103">
        <v>20</v>
      </c>
      <c r="G616" s="103">
        <v>1</v>
      </c>
      <c r="H616" s="103">
        <v>7</v>
      </c>
      <c r="I616" s="103">
        <v>105</v>
      </c>
      <c r="J616" s="103">
        <v>255</v>
      </c>
      <c r="K616" s="103">
        <v>574</v>
      </c>
      <c r="L616" s="103">
        <v>875</v>
      </c>
      <c r="M616" s="103">
        <v>948</v>
      </c>
      <c r="N616" s="103">
        <v>858</v>
      </c>
      <c r="O616" s="103">
        <v>739</v>
      </c>
      <c r="P616" s="42"/>
      <c r="Q616" s="111"/>
      <c r="R616" s="46" t="s">
        <v>11</v>
      </c>
      <c r="S616" s="103">
        <v>7</v>
      </c>
      <c r="T616" s="103">
        <v>0</v>
      </c>
      <c r="U616" s="103">
        <v>1</v>
      </c>
      <c r="V616" s="103">
        <v>22</v>
      </c>
      <c r="W616" s="103">
        <v>75</v>
      </c>
      <c r="X616" s="103">
        <v>201</v>
      </c>
      <c r="Y616" s="103">
        <v>366</v>
      </c>
      <c r="Z616" s="103">
        <v>456</v>
      </c>
      <c r="AA616" s="103">
        <v>464</v>
      </c>
      <c r="AB616" s="103">
        <v>421</v>
      </c>
      <c r="AC616" s="42"/>
      <c r="AD616" s="111"/>
      <c r="AE616" s="46" t="s">
        <v>11</v>
      </c>
      <c r="AF616" s="103">
        <v>13</v>
      </c>
      <c r="AG616" s="103">
        <v>1</v>
      </c>
      <c r="AH616" s="103">
        <v>6</v>
      </c>
      <c r="AI616" s="103">
        <v>83</v>
      </c>
      <c r="AJ616" s="103">
        <v>180</v>
      </c>
      <c r="AK616" s="103">
        <v>373</v>
      </c>
      <c r="AL616" s="103">
        <v>509</v>
      </c>
      <c r="AM616" s="103">
        <v>492</v>
      </c>
      <c r="AN616" s="103">
        <v>394</v>
      </c>
      <c r="AO616" s="103">
        <v>318</v>
      </c>
      <c r="AP616" s="6"/>
      <c r="AQ616" s="111"/>
      <c r="AR616" s="46" t="s">
        <v>11</v>
      </c>
      <c r="AS616" s="103">
        <v>2</v>
      </c>
      <c r="AT616" s="103">
        <v>0</v>
      </c>
      <c r="AU616" s="103">
        <v>1</v>
      </c>
      <c r="AV616" s="103">
        <v>8</v>
      </c>
      <c r="AW616" s="103">
        <v>19</v>
      </c>
      <c r="AX616" s="103">
        <v>36</v>
      </c>
      <c r="AY616" s="103">
        <v>60</v>
      </c>
      <c r="AZ616" s="103">
        <v>43</v>
      </c>
      <c r="BA616" s="103">
        <v>40</v>
      </c>
      <c r="BB616" s="103">
        <v>29</v>
      </c>
      <c r="BC616" s="42"/>
      <c r="BD616" s="111"/>
      <c r="BE616" s="46" t="s">
        <v>11</v>
      </c>
      <c r="BF616" s="103">
        <v>18</v>
      </c>
      <c r="BG616" s="103">
        <v>1</v>
      </c>
      <c r="BH616" s="103">
        <v>6</v>
      </c>
      <c r="BI616" s="103">
        <v>97</v>
      </c>
      <c r="BJ616" s="103">
        <v>236</v>
      </c>
      <c r="BK616" s="103">
        <v>538</v>
      </c>
      <c r="BL616" s="103">
        <v>815</v>
      </c>
      <c r="BM616" s="103">
        <v>905</v>
      </c>
      <c r="BN616" s="103">
        <v>818</v>
      </c>
      <c r="BO616" s="103">
        <v>710</v>
      </c>
      <c r="BQ616" s="111"/>
      <c r="BR616" s="46" t="s">
        <v>11</v>
      </c>
      <c r="BS616" s="103">
        <v>2</v>
      </c>
      <c r="BT616" s="103">
        <v>0</v>
      </c>
      <c r="BU616" s="103">
        <v>0</v>
      </c>
      <c r="BV616" s="103">
        <v>7</v>
      </c>
      <c r="BW616" s="103">
        <v>8</v>
      </c>
      <c r="BX616" s="103">
        <v>21</v>
      </c>
      <c r="BY616" s="103">
        <v>21</v>
      </c>
      <c r="BZ616" s="103">
        <v>23</v>
      </c>
      <c r="CA616" s="103">
        <v>12</v>
      </c>
      <c r="CB616" s="103">
        <v>18</v>
      </c>
      <c r="CC616" s="42"/>
      <c r="CD616" s="111"/>
      <c r="CE616" s="46" t="s">
        <v>11</v>
      </c>
      <c r="CF616" s="103">
        <v>18</v>
      </c>
      <c r="CG616" s="103">
        <v>1</v>
      </c>
      <c r="CH616" s="103">
        <v>7</v>
      </c>
      <c r="CI616" s="103">
        <v>98</v>
      </c>
      <c r="CJ616" s="103">
        <v>247</v>
      </c>
      <c r="CK616" s="103">
        <v>553</v>
      </c>
      <c r="CL616" s="103">
        <v>854</v>
      </c>
      <c r="CM616" s="103">
        <v>925</v>
      </c>
      <c r="CN616" s="103">
        <v>846</v>
      </c>
      <c r="CO616" s="103">
        <v>721</v>
      </c>
      <c r="CQ616" s="111"/>
      <c r="CR616" s="46" t="s">
        <v>11</v>
      </c>
      <c r="CS616" s="103">
        <v>0</v>
      </c>
      <c r="CT616" s="103">
        <v>0</v>
      </c>
      <c r="CU616" s="103">
        <v>0</v>
      </c>
      <c r="CV616" s="103">
        <v>4</v>
      </c>
      <c r="CW616" s="103">
        <v>16</v>
      </c>
      <c r="CX616" s="103">
        <v>45</v>
      </c>
      <c r="CY616" s="103">
        <v>95</v>
      </c>
      <c r="CZ616" s="103">
        <v>114</v>
      </c>
      <c r="DA616" s="103">
        <v>125</v>
      </c>
      <c r="DB616" s="103">
        <v>140</v>
      </c>
      <c r="DC616" s="42"/>
      <c r="DD616" s="111"/>
      <c r="DE616" s="46" t="s">
        <v>11</v>
      </c>
      <c r="DF616" s="103">
        <v>20</v>
      </c>
      <c r="DG616" s="103">
        <v>1</v>
      </c>
      <c r="DH616" s="103">
        <v>7</v>
      </c>
      <c r="DI616" s="103">
        <v>101</v>
      </c>
      <c r="DJ616" s="103">
        <v>239</v>
      </c>
      <c r="DK616" s="103">
        <v>529</v>
      </c>
      <c r="DL616" s="103">
        <v>780</v>
      </c>
      <c r="DM616" s="103">
        <v>834</v>
      </c>
      <c r="DN616" s="103">
        <v>733</v>
      </c>
      <c r="DO616" s="103">
        <v>599</v>
      </c>
    </row>
    <row r="617" spans="2:119" ht="16.5" customHeight="1" x14ac:dyDescent="0.45">
      <c r="B617" s="99"/>
      <c r="C617" s="42"/>
      <c r="D617" s="42"/>
      <c r="E617" s="42"/>
      <c r="F617" s="42"/>
      <c r="G617" s="42"/>
      <c r="H617" s="42"/>
      <c r="I617" s="42"/>
      <c r="J617" s="42"/>
      <c r="K617" s="42"/>
      <c r="L617" s="42"/>
      <c r="M617" s="42"/>
      <c r="N617" s="42"/>
      <c r="O617" s="42"/>
      <c r="P617" s="42"/>
      <c r="Q617" s="42"/>
      <c r="R617" s="42"/>
      <c r="S617" s="42"/>
      <c r="T617" s="42"/>
      <c r="U617" s="42"/>
      <c r="V617" s="42"/>
      <c r="W617" s="42"/>
      <c r="X617" s="42"/>
      <c r="Y617" s="42"/>
      <c r="Z617" s="42"/>
      <c r="AA617" s="42"/>
      <c r="AB617" s="42"/>
      <c r="AC617" s="42"/>
      <c r="AD617" s="42"/>
      <c r="AE617" s="42"/>
      <c r="AF617" s="42"/>
      <c r="AG617" s="42"/>
      <c r="AH617" s="42"/>
      <c r="AI617" s="42"/>
      <c r="AJ617" s="42"/>
      <c r="AK617" s="42"/>
      <c r="AL617" s="42"/>
      <c r="AM617" s="42"/>
      <c r="AN617" s="42"/>
      <c r="AO617" s="42"/>
      <c r="AP617" s="6"/>
      <c r="AQ617" s="42"/>
      <c r="AR617" s="42"/>
      <c r="AS617" s="42"/>
      <c r="AT617" s="42"/>
      <c r="AU617" s="42"/>
      <c r="AV617" s="42"/>
      <c r="AW617" s="42"/>
      <c r="AX617" s="42"/>
      <c r="AY617" s="42"/>
      <c r="AZ617" s="42"/>
      <c r="BA617" s="42"/>
      <c r="BB617" s="42"/>
      <c r="BC617" s="42"/>
      <c r="BD617" s="42"/>
      <c r="BE617" s="42"/>
      <c r="BF617" s="42"/>
      <c r="BG617" s="42"/>
      <c r="BH617" s="42"/>
      <c r="BI617" s="42"/>
      <c r="BJ617" s="42"/>
      <c r="BK617" s="42"/>
      <c r="BL617" s="42"/>
      <c r="BM617" s="42"/>
      <c r="BN617" s="42"/>
      <c r="BO617" s="42"/>
      <c r="BQ617" s="42"/>
      <c r="BR617" s="42"/>
      <c r="BS617" s="42"/>
      <c r="BT617" s="42"/>
      <c r="BU617" s="42"/>
      <c r="BV617" s="42"/>
      <c r="BW617" s="42"/>
      <c r="BX617" s="42"/>
      <c r="BY617" s="42"/>
      <c r="BZ617" s="42"/>
      <c r="CA617" s="42"/>
      <c r="CB617" s="42"/>
      <c r="CC617" s="42"/>
      <c r="CD617" s="42"/>
      <c r="CE617" s="42"/>
      <c r="CF617" s="42"/>
      <c r="CG617" s="42"/>
      <c r="CH617" s="42"/>
      <c r="CI617" s="42"/>
      <c r="CJ617" s="42"/>
      <c r="CK617" s="42"/>
      <c r="CL617" s="42"/>
      <c r="CM617" s="42"/>
      <c r="CN617" s="42"/>
      <c r="CO617" s="42"/>
      <c r="CQ617" s="42"/>
      <c r="CR617" s="42"/>
      <c r="CS617" s="42"/>
      <c r="CT617" s="42"/>
      <c r="CU617" s="42"/>
      <c r="CV617" s="42"/>
      <c r="CW617" s="42"/>
      <c r="CX617" s="42"/>
      <c r="CY617" s="42"/>
      <c r="CZ617" s="42"/>
      <c r="DA617" s="42"/>
      <c r="DB617" s="42"/>
      <c r="DC617" s="42"/>
      <c r="DD617" s="42"/>
      <c r="DE617" s="42"/>
      <c r="DF617" s="42"/>
      <c r="DG617" s="42"/>
      <c r="DH617" s="42"/>
      <c r="DI617" s="42"/>
      <c r="DJ617" s="42"/>
      <c r="DK617" s="42"/>
      <c r="DL617" s="42"/>
      <c r="DM617" s="42"/>
      <c r="DN617" s="42"/>
      <c r="DO617" s="42"/>
    </row>
    <row r="618" spans="2:119" ht="16.5" customHeight="1" x14ac:dyDescent="0.55000000000000004">
      <c r="B618" s="99"/>
      <c r="C618" s="42"/>
      <c r="D618" s="112" t="s">
        <v>16</v>
      </c>
      <c r="E618" s="112"/>
      <c r="F618" s="45"/>
      <c r="G618" s="45"/>
      <c r="H618" s="45"/>
      <c r="I618" s="45"/>
      <c r="J618" s="45"/>
      <c r="K618" s="45"/>
      <c r="L618" s="45"/>
      <c r="M618" s="45"/>
      <c r="N618" s="45"/>
      <c r="O618" s="45"/>
      <c r="P618" s="42"/>
      <c r="Q618" s="112" t="s">
        <v>16</v>
      </c>
      <c r="R618" s="112"/>
      <c r="S618" s="45"/>
      <c r="T618" s="45"/>
      <c r="U618" s="45"/>
      <c r="V618" s="45"/>
      <c r="W618" s="45"/>
      <c r="X618" s="45"/>
      <c r="Y618" s="45"/>
      <c r="Z618" s="45"/>
      <c r="AA618" s="45"/>
      <c r="AB618" s="45"/>
      <c r="AC618" s="42"/>
      <c r="AD618" s="112" t="s">
        <v>16</v>
      </c>
      <c r="AE618" s="112"/>
      <c r="AF618" s="45"/>
      <c r="AG618" s="45"/>
      <c r="AH618" s="45"/>
      <c r="AI618" s="45"/>
      <c r="AJ618" s="45"/>
      <c r="AK618" s="45"/>
      <c r="AL618" s="45"/>
      <c r="AM618" s="45"/>
      <c r="AN618" s="45"/>
      <c r="AO618" s="45"/>
      <c r="AP618" s="6"/>
      <c r="AQ618" s="112" t="s">
        <v>16</v>
      </c>
      <c r="AR618" s="112"/>
      <c r="AS618" s="45"/>
      <c r="AT618" s="45"/>
      <c r="AU618" s="45"/>
      <c r="AV618" s="45"/>
      <c r="AW618" s="45"/>
      <c r="AX618" s="45"/>
      <c r="AY618" s="45"/>
      <c r="AZ618" s="45"/>
      <c r="BA618" s="45"/>
      <c r="BB618" s="45"/>
      <c r="BC618" s="42"/>
      <c r="BD618" s="112" t="s">
        <v>16</v>
      </c>
      <c r="BE618" s="112"/>
      <c r="BF618" s="45"/>
      <c r="BG618" s="45"/>
      <c r="BH618" s="45"/>
      <c r="BI618" s="45"/>
      <c r="BJ618" s="45"/>
      <c r="BK618" s="45"/>
      <c r="BL618" s="45"/>
      <c r="BM618" s="45"/>
      <c r="BN618" s="45"/>
      <c r="BO618" s="45"/>
      <c r="BQ618" s="112" t="s">
        <v>16</v>
      </c>
      <c r="BR618" s="112"/>
      <c r="BS618" s="45"/>
      <c r="BT618" s="45"/>
      <c r="BU618" s="45"/>
      <c r="BV618" s="45"/>
      <c r="BW618" s="45"/>
      <c r="BX618" s="45"/>
      <c r="BY618" s="45"/>
      <c r="BZ618" s="45"/>
      <c r="CA618" s="45"/>
      <c r="CB618" s="45"/>
      <c r="CC618" s="42"/>
      <c r="CD618" s="112" t="s">
        <v>16</v>
      </c>
      <c r="CE618" s="112"/>
      <c r="CF618" s="45"/>
      <c r="CG618" s="45"/>
      <c r="CH618" s="45"/>
      <c r="CI618" s="45"/>
      <c r="CJ618" s="45"/>
      <c r="CK618" s="45"/>
      <c r="CL618" s="45"/>
      <c r="CM618" s="45"/>
      <c r="CN618" s="45"/>
      <c r="CO618" s="45"/>
      <c r="CQ618" s="112" t="s">
        <v>16</v>
      </c>
      <c r="CR618" s="112"/>
      <c r="CS618" s="45"/>
      <c r="CT618" s="45"/>
      <c r="CU618" s="45"/>
      <c r="CV618" s="45"/>
      <c r="CW618" s="45"/>
      <c r="CX618" s="45"/>
      <c r="CY618" s="45"/>
      <c r="CZ618" s="45"/>
      <c r="DA618" s="45"/>
      <c r="DB618" s="45"/>
      <c r="DC618" s="42"/>
      <c r="DD618" s="112" t="s">
        <v>16</v>
      </c>
      <c r="DE618" s="112"/>
      <c r="DF618" s="45"/>
      <c r="DG618" s="45"/>
      <c r="DH618" s="45"/>
      <c r="DI618" s="45"/>
      <c r="DJ618" s="45"/>
      <c r="DK618" s="45"/>
      <c r="DL618" s="45"/>
      <c r="DM618" s="45"/>
      <c r="DN618" s="45"/>
      <c r="DO618" s="45"/>
    </row>
    <row r="619" spans="2:119" ht="28.9" customHeight="1" x14ac:dyDescent="0.45">
      <c r="B619" s="99"/>
      <c r="C619" s="42"/>
      <c r="D619" s="112"/>
      <c r="E619" s="112"/>
      <c r="F619" s="108" t="s">
        <v>12</v>
      </c>
      <c r="G619" s="108"/>
      <c r="H619" s="108"/>
      <c r="I619" s="108"/>
      <c r="J619" s="108"/>
      <c r="K619" s="108"/>
      <c r="L619" s="108"/>
      <c r="M619" s="108"/>
      <c r="N619" s="108"/>
      <c r="O619" s="108"/>
      <c r="P619" s="42"/>
      <c r="Q619" s="112"/>
      <c r="R619" s="112"/>
      <c r="S619" s="108" t="s">
        <v>12</v>
      </c>
      <c r="T619" s="108"/>
      <c r="U619" s="108"/>
      <c r="V619" s="108"/>
      <c r="W619" s="108"/>
      <c r="X619" s="108"/>
      <c r="Y619" s="108"/>
      <c r="Z619" s="108"/>
      <c r="AA619" s="108"/>
      <c r="AB619" s="108"/>
      <c r="AC619" s="42"/>
      <c r="AD619" s="112"/>
      <c r="AE619" s="112"/>
      <c r="AF619" s="131" t="s">
        <v>12</v>
      </c>
      <c r="AG619" s="132"/>
      <c r="AH619" s="132"/>
      <c r="AI619" s="132"/>
      <c r="AJ619" s="132"/>
      <c r="AK619" s="132"/>
      <c r="AL619" s="132"/>
      <c r="AM619" s="132"/>
      <c r="AN619" s="132"/>
      <c r="AO619" s="133"/>
      <c r="AP619" s="6"/>
      <c r="AQ619" s="112"/>
      <c r="AR619" s="112"/>
      <c r="AS619" s="108" t="s">
        <v>12</v>
      </c>
      <c r="AT619" s="108"/>
      <c r="AU619" s="108"/>
      <c r="AV619" s="108"/>
      <c r="AW619" s="108"/>
      <c r="AX619" s="108"/>
      <c r="AY619" s="108"/>
      <c r="AZ619" s="108"/>
      <c r="BA619" s="108"/>
      <c r="BB619" s="108"/>
      <c r="BC619" s="42"/>
      <c r="BD619" s="112"/>
      <c r="BE619" s="112"/>
      <c r="BF619" s="108" t="s">
        <v>12</v>
      </c>
      <c r="BG619" s="108"/>
      <c r="BH619" s="108"/>
      <c r="BI619" s="108"/>
      <c r="BJ619" s="108"/>
      <c r="BK619" s="108"/>
      <c r="BL619" s="108"/>
      <c r="BM619" s="108"/>
      <c r="BN619" s="108"/>
      <c r="BO619" s="108"/>
      <c r="BQ619" s="112"/>
      <c r="BR619" s="112"/>
      <c r="BS619" s="108" t="s">
        <v>12</v>
      </c>
      <c r="BT619" s="108"/>
      <c r="BU619" s="108"/>
      <c r="BV619" s="108"/>
      <c r="BW619" s="108"/>
      <c r="BX619" s="108"/>
      <c r="BY619" s="108"/>
      <c r="BZ619" s="108"/>
      <c r="CA619" s="108"/>
      <c r="CB619" s="108"/>
      <c r="CC619" s="42"/>
      <c r="CD619" s="112"/>
      <c r="CE619" s="112"/>
      <c r="CF619" s="108" t="s">
        <v>12</v>
      </c>
      <c r="CG619" s="108"/>
      <c r="CH619" s="108"/>
      <c r="CI619" s="108"/>
      <c r="CJ619" s="108"/>
      <c r="CK619" s="108"/>
      <c r="CL619" s="108"/>
      <c r="CM619" s="108"/>
      <c r="CN619" s="108"/>
      <c r="CO619" s="108"/>
      <c r="CQ619" s="112"/>
      <c r="CR619" s="112"/>
      <c r="CS619" s="108" t="s">
        <v>12</v>
      </c>
      <c r="CT619" s="108"/>
      <c r="CU619" s="108"/>
      <c r="CV619" s="108"/>
      <c r="CW619" s="108"/>
      <c r="CX619" s="108"/>
      <c r="CY619" s="108"/>
      <c r="CZ619" s="108"/>
      <c r="DA619" s="108"/>
      <c r="DB619" s="108"/>
      <c r="DC619" s="42"/>
      <c r="DD619" s="112"/>
      <c r="DE619" s="112"/>
      <c r="DF619" s="108" t="s">
        <v>12</v>
      </c>
      <c r="DG619" s="108"/>
      <c r="DH619" s="108"/>
      <c r="DI619" s="108"/>
      <c r="DJ619" s="108"/>
      <c r="DK619" s="108"/>
      <c r="DL619" s="108"/>
      <c r="DM619" s="108"/>
      <c r="DN619" s="108"/>
      <c r="DO619" s="108"/>
    </row>
    <row r="620" spans="2:119" ht="15" customHeight="1" x14ac:dyDescent="0.45">
      <c r="B620" s="99"/>
      <c r="C620" s="42"/>
      <c r="D620" s="113"/>
      <c r="E620" s="113"/>
      <c r="F620" s="9" t="s">
        <v>0</v>
      </c>
      <c r="G620" s="9">
        <v>1</v>
      </c>
      <c r="H620" s="9">
        <v>2</v>
      </c>
      <c r="I620" s="9">
        <v>3</v>
      </c>
      <c r="J620" s="9">
        <v>4</v>
      </c>
      <c r="K620" s="9">
        <v>5</v>
      </c>
      <c r="L620" s="9">
        <v>6</v>
      </c>
      <c r="M620" s="9">
        <v>7</v>
      </c>
      <c r="N620" s="9">
        <v>8</v>
      </c>
      <c r="O620" s="9">
        <v>9</v>
      </c>
      <c r="P620" s="42"/>
      <c r="Q620" s="113"/>
      <c r="R620" s="113"/>
      <c r="S620" s="9" t="s">
        <v>0</v>
      </c>
      <c r="T620" s="9">
        <v>1</v>
      </c>
      <c r="U620" s="9">
        <v>2</v>
      </c>
      <c r="V620" s="9">
        <v>3</v>
      </c>
      <c r="W620" s="9">
        <v>4</v>
      </c>
      <c r="X620" s="9">
        <v>5</v>
      </c>
      <c r="Y620" s="9">
        <v>6</v>
      </c>
      <c r="Z620" s="9">
        <v>7</v>
      </c>
      <c r="AA620" s="9">
        <v>8</v>
      </c>
      <c r="AB620" s="9">
        <v>9</v>
      </c>
      <c r="AC620" s="42"/>
      <c r="AD620" s="113"/>
      <c r="AE620" s="113"/>
      <c r="AF620" s="9" t="s">
        <v>0</v>
      </c>
      <c r="AG620" s="9">
        <v>1</v>
      </c>
      <c r="AH620" s="9">
        <v>2</v>
      </c>
      <c r="AI620" s="9">
        <v>3</v>
      </c>
      <c r="AJ620" s="9">
        <v>4</v>
      </c>
      <c r="AK620" s="9">
        <v>5</v>
      </c>
      <c r="AL620" s="9">
        <v>6</v>
      </c>
      <c r="AM620" s="9">
        <v>7</v>
      </c>
      <c r="AN620" s="9">
        <v>8</v>
      </c>
      <c r="AO620" s="9">
        <v>9</v>
      </c>
      <c r="AP620" s="6"/>
      <c r="AQ620" s="113"/>
      <c r="AR620" s="113"/>
      <c r="AS620" s="9" t="s">
        <v>0</v>
      </c>
      <c r="AT620" s="9">
        <v>1</v>
      </c>
      <c r="AU620" s="9">
        <v>2</v>
      </c>
      <c r="AV620" s="9">
        <v>3</v>
      </c>
      <c r="AW620" s="9">
        <v>4</v>
      </c>
      <c r="AX620" s="9">
        <v>5</v>
      </c>
      <c r="AY620" s="9">
        <v>6</v>
      </c>
      <c r="AZ620" s="9">
        <v>7</v>
      </c>
      <c r="BA620" s="9">
        <v>8</v>
      </c>
      <c r="BB620" s="9">
        <v>9</v>
      </c>
      <c r="BC620" s="42"/>
      <c r="BD620" s="113"/>
      <c r="BE620" s="113"/>
      <c r="BF620" s="9" t="s">
        <v>0</v>
      </c>
      <c r="BG620" s="9">
        <v>1</v>
      </c>
      <c r="BH620" s="9">
        <v>2</v>
      </c>
      <c r="BI620" s="9">
        <v>3</v>
      </c>
      <c r="BJ620" s="9">
        <v>4</v>
      </c>
      <c r="BK620" s="9">
        <v>5</v>
      </c>
      <c r="BL620" s="9">
        <v>6</v>
      </c>
      <c r="BM620" s="9">
        <v>7</v>
      </c>
      <c r="BN620" s="9">
        <v>8</v>
      </c>
      <c r="BO620" s="9">
        <v>9</v>
      </c>
      <c r="BQ620" s="113"/>
      <c r="BR620" s="113"/>
      <c r="BS620" s="9" t="s">
        <v>0</v>
      </c>
      <c r="BT620" s="9">
        <v>1</v>
      </c>
      <c r="BU620" s="9">
        <v>2</v>
      </c>
      <c r="BV620" s="9">
        <v>3</v>
      </c>
      <c r="BW620" s="9">
        <v>4</v>
      </c>
      <c r="BX620" s="9">
        <v>5</v>
      </c>
      <c r="BY620" s="9">
        <v>6</v>
      </c>
      <c r="BZ620" s="9">
        <v>7</v>
      </c>
      <c r="CA620" s="9">
        <v>8</v>
      </c>
      <c r="CB620" s="9">
        <v>9</v>
      </c>
      <c r="CC620" s="42"/>
      <c r="CD620" s="113"/>
      <c r="CE620" s="113"/>
      <c r="CF620" s="9" t="s">
        <v>0</v>
      </c>
      <c r="CG620" s="9">
        <v>1</v>
      </c>
      <c r="CH620" s="9">
        <v>2</v>
      </c>
      <c r="CI620" s="9">
        <v>3</v>
      </c>
      <c r="CJ620" s="9">
        <v>4</v>
      </c>
      <c r="CK620" s="9">
        <v>5</v>
      </c>
      <c r="CL620" s="9">
        <v>6</v>
      </c>
      <c r="CM620" s="9">
        <v>7</v>
      </c>
      <c r="CN620" s="9">
        <v>8</v>
      </c>
      <c r="CO620" s="9">
        <v>9</v>
      </c>
      <c r="CQ620" s="113"/>
      <c r="CR620" s="113"/>
      <c r="CS620" s="9" t="s">
        <v>0</v>
      </c>
      <c r="CT620" s="9">
        <v>1</v>
      </c>
      <c r="CU620" s="9">
        <v>2</v>
      </c>
      <c r="CV620" s="9">
        <v>3</v>
      </c>
      <c r="CW620" s="9">
        <v>4</v>
      </c>
      <c r="CX620" s="9">
        <v>5</v>
      </c>
      <c r="CY620" s="9">
        <v>6</v>
      </c>
      <c r="CZ620" s="9">
        <v>7</v>
      </c>
      <c r="DA620" s="9">
        <v>8</v>
      </c>
      <c r="DB620" s="9">
        <v>9</v>
      </c>
      <c r="DC620" s="42"/>
      <c r="DD620" s="113"/>
      <c r="DE620" s="113"/>
      <c r="DF620" s="9" t="s">
        <v>0</v>
      </c>
      <c r="DG620" s="9">
        <v>1</v>
      </c>
      <c r="DH620" s="9">
        <v>2</v>
      </c>
      <c r="DI620" s="9">
        <v>3</v>
      </c>
      <c r="DJ620" s="9">
        <v>4</v>
      </c>
      <c r="DK620" s="9">
        <v>5</v>
      </c>
      <c r="DL620" s="9">
        <v>6</v>
      </c>
      <c r="DM620" s="9">
        <v>7</v>
      </c>
      <c r="DN620" s="9">
        <v>8</v>
      </c>
      <c r="DO620" s="9">
        <v>9</v>
      </c>
    </row>
    <row r="621" spans="2:119" ht="16.5" customHeight="1" x14ac:dyDescent="0.45">
      <c r="B621" s="99"/>
      <c r="C621" s="42"/>
      <c r="D621" s="109" t="s">
        <v>13</v>
      </c>
      <c r="E621" s="47" t="s">
        <v>1</v>
      </c>
      <c r="F621" s="103">
        <v>0</v>
      </c>
      <c r="G621" s="103">
        <v>0</v>
      </c>
      <c r="H621" s="103">
        <v>0</v>
      </c>
      <c r="I621" s="103">
        <v>100</v>
      </c>
      <c r="J621" s="103">
        <v>0</v>
      </c>
      <c r="K621" s="103">
        <v>0</v>
      </c>
      <c r="L621" s="103">
        <v>0</v>
      </c>
      <c r="M621" s="103">
        <v>0</v>
      </c>
      <c r="N621" s="103">
        <v>0</v>
      </c>
      <c r="O621" s="17">
        <v>0</v>
      </c>
      <c r="P621" s="42"/>
      <c r="Q621" s="109" t="s">
        <v>13</v>
      </c>
      <c r="R621" s="46" t="s">
        <v>1</v>
      </c>
      <c r="S621" s="103" t="s">
        <v>128</v>
      </c>
      <c r="T621" s="103" t="s">
        <v>128</v>
      </c>
      <c r="U621" s="103" t="s">
        <v>128</v>
      </c>
      <c r="V621" s="103" t="s">
        <v>128</v>
      </c>
      <c r="W621" s="103" t="s">
        <v>128</v>
      </c>
      <c r="X621" s="103" t="s">
        <v>128</v>
      </c>
      <c r="Y621" s="103" t="s">
        <v>128</v>
      </c>
      <c r="Z621" s="103" t="s">
        <v>128</v>
      </c>
      <c r="AA621" s="103" t="s">
        <v>128</v>
      </c>
      <c r="AB621" s="17" t="s">
        <v>128</v>
      </c>
      <c r="AC621" s="42"/>
      <c r="AD621" s="109" t="s">
        <v>13</v>
      </c>
      <c r="AE621" s="46" t="s">
        <v>1</v>
      </c>
      <c r="AF621" s="103">
        <v>0</v>
      </c>
      <c r="AG621" s="103">
        <v>0</v>
      </c>
      <c r="AH621" s="103">
        <v>0</v>
      </c>
      <c r="AI621" s="103">
        <v>100</v>
      </c>
      <c r="AJ621" s="103">
        <v>0</v>
      </c>
      <c r="AK621" s="103">
        <v>0</v>
      </c>
      <c r="AL621" s="103">
        <v>0</v>
      </c>
      <c r="AM621" s="103">
        <v>0</v>
      </c>
      <c r="AN621" s="103">
        <v>0</v>
      </c>
      <c r="AO621" s="17">
        <v>0</v>
      </c>
      <c r="AP621" s="6"/>
      <c r="AQ621" s="109" t="s">
        <v>13</v>
      </c>
      <c r="AR621" s="46" t="s">
        <v>1</v>
      </c>
      <c r="AS621" s="103" t="s">
        <v>128</v>
      </c>
      <c r="AT621" s="103" t="s">
        <v>128</v>
      </c>
      <c r="AU621" s="103" t="s">
        <v>128</v>
      </c>
      <c r="AV621" s="103" t="s">
        <v>128</v>
      </c>
      <c r="AW621" s="103" t="s">
        <v>128</v>
      </c>
      <c r="AX621" s="103" t="s">
        <v>128</v>
      </c>
      <c r="AY621" s="103" t="s">
        <v>128</v>
      </c>
      <c r="AZ621" s="103" t="s">
        <v>128</v>
      </c>
      <c r="BA621" s="103" t="s">
        <v>128</v>
      </c>
      <c r="BB621" s="17" t="s">
        <v>128</v>
      </c>
      <c r="BC621" s="42"/>
      <c r="BD621" s="109" t="s">
        <v>13</v>
      </c>
      <c r="BE621" s="46" t="s">
        <v>1</v>
      </c>
      <c r="BF621" s="103">
        <v>0</v>
      </c>
      <c r="BG621" s="103">
        <v>0</v>
      </c>
      <c r="BH621" s="103">
        <v>0</v>
      </c>
      <c r="BI621" s="103">
        <v>100</v>
      </c>
      <c r="BJ621" s="103">
        <v>0</v>
      </c>
      <c r="BK621" s="103">
        <v>0</v>
      </c>
      <c r="BL621" s="103">
        <v>0</v>
      </c>
      <c r="BM621" s="103">
        <v>0</v>
      </c>
      <c r="BN621" s="103">
        <v>0</v>
      </c>
      <c r="BO621" s="17">
        <v>0</v>
      </c>
      <c r="BQ621" s="109" t="s">
        <v>13</v>
      </c>
      <c r="BR621" s="46" t="s">
        <v>1</v>
      </c>
      <c r="BS621" s="103">
        <v>0</v>
      </c>
      <c r="BT621" s="103">
        <v>0</v>
      </c>
      <c r="BU621" s="103">
        <v>0</v>
      </c>
      <c r="BV621" s="103">
        <v>100</v>
      </c>
      <c r="BW621" s="103">
        <v>0</v>
      </c>
      <c r="BX621" s="103">
        <v>0</v>
      </c>
      <c r="BY621" s="103">
        <v>0</v>
      </c>
      <c r="BZ621" s="103">
        <v>0</v>
      </c>
      <c r="CA621" s="103">
        <v>0</v>
      </c>
      <c r="CB621" s="17">
        <v>0</v>
      </c>
      <c r="CC621" s="42"/>
      <c r="CD621" s="109" t="s">
        <v>13</v>
      </c>
      <c r="CE621" s="46" t="s">
        <v>1</v>
      </c>
      <c r="CF621" s="103" t="s">
        <v>128</v>
      </c>
      <c r="CG621" s="103" t="s">
        <v>128</v>
      </c>
      <c r="CH621" s="103" t="s">
        <v>128</v>
      </c>
      <c r="CI621" s="103" t="s">
        <v>128</v>
      </c>
      <c r="CJ621" s="103" t="s">
        <v>128</v>
      </c>
      <c r="CK621" s="103" t="s">
        <v>128</v>
      </c>
      <c r="CL621" s="103" t="s">
        <v>128</v>
      </c>
      <c r="CM621" s="103" t="s">
        <v>128</v>
      </c>
      <c r="CN621" s="103" t="s">
        <v>128</v>
      </c>
      <c r="CO621" s="17" t="s">
        <v>128</v>
      </c>
      <c r="CQ621" s="109" t="s">
        <v>13</v>
      </c>
      <c r="CR621" s="46" t="s">
        <v>1</v>
      </c>
      <c r="CS621" s="103" t="s">
        <v>128</v>
      </c>
      <c r="CT621" s="103" t="s">
        <v>128</v>
      </c>
      <c r="CU621" s="103" t="s">
        <v>128</v>
      </c>
      <c r="CV621" s="103" t="s">
        <v>128</v>
      </c>
      <c r="CW621" s="103" t="s">
        <v>128</v>
      </c>
      <c r="CX621" s="103" t="s">
        <v>128</v>
      </c>
      <c r="CY621" s="103" t="s">
        <v>128</v>
      </c>
      <c r="CZ621" s="103" t="s">
        <v>128</v>
      </c>
      <c r="DA621" s="103" t="s">
        <v>128</v>
      </c>
      <c r="DB621" s="17" t="s">
        <v>128</v>
      </c>
      <c r="DC621" s="42"/>
      <c r="DD621" s="109" t="s">
        <v>13</v>
      </c>
      <c r="DE621" s="46" t="s">
        <v>1</v>
      </c>
      <c r="DF621" s="103">
        <v>0</v>
      </c>
      <c r="DG621" s="103">
        <v>0</v>
      </c>
      <c r="DH621" s="103">
        <v>0</v>
      </c>
      <c r="DI621" s="103">
        <v>100</v>
      </c>
      <c r="DJ621" s="103">
        <v>0</v>
      </c>
      <c r="DK621" s="103">
        <v>0</v>
      </c>
      <c r="DL621" s="103">
        <v>0</v>
      </c>
      <c r="DM621" s="103">
        <v>0</v>
      </c>
      <c r="DN621" s="103">
        <v>0</v>
      </c>
      <c r="DO621" s="17">
        <v>0</v>
      </c>
    </row>
    <row r="622" spans="2:119" ht="16.5" customHeight="1" x14ac:dyDescent="0.45">
      <c r="B622" s="99"/>
      <c r="C622" s="42"/>
      <c r="D622" s="110"/>
      <c r="E622" s="47">
        <v>1</v>
      </c>
      <c r="F622" s="103">
        <v>100</v>
      </c>
      <c r="G622" s="103">
        <v>0</v>
      </c>
      <c r="H622" s="103">
        <v>0</v>
      </c>
      <c r="I622" s="103">
        <v>0</v>
      </c>
      <c r="J622" s="103">
        <v>0</v>
      </c>
      <c r="K622" s="103">
        <v>0</v>
      </c>
      <c r="L622" s="103">
        <v>0</v>
      </c>
      <c r="M622" s="103">
        <v>0</v>
      </c>
      <c r="N622" s="103">
        <v>0</v>
      </c>
      <c r="O622" s="103">
        <v>0</v>
      </c>
      <c r="P622" s="42"/>
      <c r="Q622" s="110"/>
      <c r="R622" s="46">
        <v>1</v>
      </c>
      <c r="S622" s="103">
        <v>100</v>
      </c>
      <c r="T622" s="103">
        <v>0</v>
      </c>
      <c r="U622" s="103">
        <v>0</v>
      </c>
      <c r="V622" s="103">
        <v>0</v>
      </c>
      <c r="W622" s="103">
        <v>0</v>
      </c>
      <c r="X622" s="103">
        <v>0</v>
      </c>
      <c r="Y622" s="103">
        <v>0</v>
      </c>
      <c r="Z622" s="103">
        <v>0</v>
      </c>
      <c r="AA622" s="103">
        <v>0</v>
      </c>
      <c r="AB622" s="103">
        <v>0</v>
      </c>
      <c r="AC622" s="42"/>
      <c r="AD622" s="110"/>
      <c r="AE622" s="46">
        <v>1</v>
      </c>
      <c r="AF622" s="103" t="s">
        <v>128</v>
      </c>
      <c r="AG622" s="103" t="s">
        <v>128</v>
      </c>
      <c r="AH622" s="103" t="s">
        <v>128</v>
      </c>
      <c r="AI622" s="103" t="s">
        <v>128</v>
      </c>
      <c r="AJ622" s="103" t="s">
        <v>128</v>
      </c>
      <c r="AK622" s="103" t="s">
        <v>128</v>
      </c>
      <c r="AL622" s="103" t="s">
        <v>128</v>
      </c>
      <c r="AM622" s="103" t="s">
        <v>128</v>
      </c>
      <c r="AN622" s="103" t="s">
        <v>128</v>
      </c>
      <c r="AO622" s="103" t="s">
        <v>128</v>
      </c>
      <c r="AP622" s="6"/>
      <c r="AQ622" s="110"/>
      <c r="AR622" s="46">
        <v>1</v>
      </c>
      <c r="AS622" s="103" t="s">
        <v>128</v>
      </c>
      <c r="AT622" s="103" t="s">
        <v>128</v>
      </c>
      <c r="AU622" s="103" t="s">
        <v>128</v>
      </c>
      <c r="AV622" s="103" t="s">
        <v>128</v>
      </c>
      <c r="AW622" s="103" t="s">
        <v>128</v>
      </c>
      <c r="AX622" s="103" t="s">
        <v>128</v>
      </c>
      <c r="AY622" s="103" t="s">
        <v>128</v>
      </c>
      <c r="AZ622" s="103" t="s">
        <v>128</v>
      </c>
      <c r="BA622" s="103" t="s">
        <v>128</v>
      </c>
      <c r="BB622" s="103" t="s">
        <v>128</v>
      </c>
      <c r="BC622" s="42"/>
      <c r="BD622" s="110"/>
      <c r="BE622" s="46">
        <v>1</v>
      </c>
      <c r="BF622" s="103">
        <v>100</v>
      </c>
      <c r="BG622" s="103">
        <v>0</v>
      </c>
      <c r="BH622" s="103">
        <v>0</v>
      </c>
      <c r="BI622" s="103">
        <v>0</v>
      </c>
      <c r="BJ622" s="103">
        <v>0</v>
      </c>
      <c r="BK622" s="103">
        <v>0</v>
      </c>
      <c r="BL622" s="103">
        <v>0</v>
      </c>
      <c r="BM622" s="103">
        <v>0</v>
      </c>
      <c r="BN622" s="103">
        <v>0</v>
      </c>
      <c r="BO622" s="103">
        <v>0</v>
      </c>
      <c r="BQ622" s="110"/>
      <c r="BR622" s="46">
        <v>1</v>
      </c>
      <c r="BS622" s="103" t="s">
        <v>128</v>
      </c>
      <c r="BT622" s="103" t="s">
        <v>128</v>
      </c>
      <c r="BU622" s="103" t="s">
        <v>128</v>
      </c>
      <c r="BV622" s="103" t="s">
        <v>128</v>
      </c>
      <c r="BW622" s="103" t="s">
        <v>128</v>
      </c>
      <c r="BX622" s="103" t="s">
        <v>128</v>
      </c>
      <c r="BY622" s="103" t="s">
        <v>128</v>
      </c>
      <c r="BZ622" s="103" t="s">
        <v>128</v>
      </c>
      <c r="CA622" s="103" t="s">
        <v>128</v>
      </c>
      <c r="CB622" s="103" t="s">
        <v>128</v>
      </c>
      <c r="CC622" s="42"/>
      <c r="CD622" s="110"/>
      <c r="CE622" s="46">
        <v>1</v>
      </c>
      <c r="CF622" s="103">
        <v>100</v>
      </c>
      <c r="CG622" s="103">
        <v>0</v>
      </c>
      <c r="CH622" s="103">
        <v>0</v>
      </c>
      <c r="CI622" s="103">
        <v>0</v>
      </c>
      <c r="CJ622" s="103">
        <v>0</v>
      </c>
      <c r="CK622" s="103">
        <v>0</v>
      </c>
      <c r="CL622" s="103">
        <v>0</v>
      </c>
      <c r="CM622" s="103">
        <v>0</v>
      </c>
      <c r="CN622" s="103">
        <v>0</v>
      </c>
      <c r="CO622" s="103">
        <v>0</v>
      </c>
      <c r="CQ622" s="110"/>
      <c r="CR622" s="46">
        <v>1</v>
      </c>
      <c r="CS622" s="103">
        <v>100</v>
      </c>
      <c r="CT622" s="103">
        <v>0</v>
      </c>
      <c r="CU622" s="103">
        <v>0</v>
      </c>
      <c r="CV622" s="103">
        <v>0</v>
      </c>
      <c r="CW622" s="103">
        <v>0</v>
      </c>
      <c r="CX622" s="103">
        <v>0</v>
      </c>
      <c r="CY622" s="103">
        <v>0</v>
      </c>
      <c r="CZ622" s="103">
        <v>0</v>
      </c>
      <c r="DA622" s="103">
        <v>0</v>
      </c>
      <c r="DB622" s="103">
        <v>0</v>
      </c>
      <c r="DC622" s="42"/>
      <c r="DD622" s="110"/>
      <c r="DE622" s="46">
        <v>1</v>
      </c>
      <c r="DF622" s="103" t="s">
        <v>128</v>
      </c>
      <c r="DG622" s="103" t="s">
        <v>128</v>
      </c>
      <c r="DH622" s="103" t="s">
        <v>128</v>
      </c>
      <c r="DI622" s="103" t="s">
        <v>128</v>
      </c>
      <c r="DJ622" s="103" t="s">
        <v>128</v>
      </c>
      <c r="DK622" s="103" t="s">
        <v>128</v>
      </c>
      <c r="DL622" s="103" t="s">
        <v>128</v>
      </c>
      <c r="DM622" s="103" t="s">
        <v>128</v>
      </c>
      <c r="DN622" s="103" t="s">
        <v>128</v>
      </c>
      <c r="DO622" s="103" t="s">
        <v>128</v>
      </c>
    </row>
    <row r="623" spans="2:119" ht="16.5" customHeight="1" x14ac:dyDescent="0.45">
      <c r="B623" s="99"/>
      <c r="C623" s="42"/>
      <c r="D623" s="110"/>
      <c r="E623" s="47" t="s">
        <v>2</v>
      </c>
      <c r="F623" s="103">
        <v>4.2857142857142856</v>
      </c>
      <c r="G623" s="103">
        <v>25.714285714285712</v>
      </c>
      <c r="H623" s="103">
        <v>30</v>
      </c>
      <c r="I623" s="103">
        <v>20</v>
      </c>
      <c r="J623" s="103">
        <v>8.5714285714285712</v>
      </c>
      <c r="K623" s="103">
        <v>4.2857142857142856</v>
      </c>
      <c r="L623" s="103">
        <v>5.7142857142857144</v>
      </c>
      <c r="M623" s="103">
        <v>0</v>
      </c>
      <c r="N623" s="103">
        <v>0</v>
      </c>
      <c r="O623" s="103">
        <v>1.4285714285714286</v>
      </c>
      <c r="P623" s="42"/>
      <c r="Q623" s="110"/>
      <c r="R623" s="46" t="s">
        <v>2</v>
      </c>
      <c r="S623" s="103">
        <v>2.2727272727272729</v>
      </c>
      <c r="T623" s="103">
        <v>22.727272727272727</v>
      </c>
      <c r="U623" s="103">
        <v>34.090909090909086</v>
      </c>
      <c r="V623" s="103">
        <v>22.727272727272727</v>
      </c>
      <c r="W623" s="103">
        <v>6.8181818181818175</v>
      </c>
      <c r="X623" s="103">
        <v>4.5454545454545459</v>
      </c>
      <c r="Y623" s="103">
        <v>4.5454545454545459</v>
      </c>
      <c r="Z623" s="103">
        <v>0</v>
      </c>
      <c r="AA623" s="103">
        <v>0</v>
      </c>
      <c r="AB623" s="103">
        <v>2.2727272727272729</v>
      </c>
      <c r="AC623" s="42"/>
      <c r="AD623" s="110"/>
      <c r="AE623" s="46" t="s">
        <v>2</v>
      </c>
      <c r="AF623" s="103">
        <v>7.6923076923076925</v>
      </c>
      <c r="AG623" s="103">
        <v>30.76923076923077</v>
      </c>
      <c r="AH623" s="103">
        <v>23.076923076923077</v>
      </c>
      <c r="AI623" s="103">
        <v>15.384615384615385</v>
      </c>
      <c r="AJ623" s="103">
        <v>11.538461538461538</v>
      </c>
      <c r="AK623" s="103">
        <v>3.8461538461538463</v>
      </c>
      <c r="AL623" s="103">
        <v>7.6923076923076925</v>
      </c>
      <c r="AM623" s="103">
        <v>0</v>
      </c>
      <c r="AN623" s="103">
        <v>0</v>
      </c>
      <c r="AO623" s="103">
        <v>0</v>
      </c>
      <c r="AP623" s="6"/>
      <c r="AQ623" s="110"/>
      <c r="AR623" s="46" t="s">
        <v>2</v>
      </c>
      <c r="AS623" s="103">
        <v>8</v>
      </c>
      <c r="AT623" s="103">
        <v>36</v>
      </c>
      <c r="AU623" s="103">
        <v>36</v>
      </c>
      <c r="AV623" s="103">
        <v>12</v>
      </c>
      <c r="AW623" s="103">
        <v>4</v>
      </c>
      <c r="AX623" s="103">
        <v>4</v>
      </c>
      <c r="AY623" s="103">
        <v>0</v>
      </c>
      <c r="AZ623" s="103">
        <v>0</v>
      </c>
      <c r="BA623" s="103">
        <v>0</v>
      </c>
      <c r="BB623" s="103">
        <v>0</v>
      </c>
      <c r="BC623" s="42"/>
      <c r="BD623" s="110"/>
      <c r="BE623" s="46" t="s">
        <v>2</v>
      </c>
      <c r="BF623" s="103">
        <v>2.2222222222222223</v>
      </c>
      <c r="BG623" s="103">
        <v>20</v>
      </c>
      <c r="BH623" s="103">
        <v>26.666666666666668</v>
      </c>
      <c r="BI623" s="103">
        <v>24.444444444444443</v>
      </c>
      <c r="BJ623" s="103">
        <v>11.111111111111111</v>
      </c>
      <c r="BK623" s="103">
        <v>4.4444444444444446</v>
      </c>
      <c r="BL623" s="103">
        <v>8.8888888888888893</v>
      </c>
      <c r="BM623" s="103">
        <v>0</v>
      </c>
      <c r="BN623" s="103">
        <v>0</v>
      </c>
      <c r="BO623" s="103">
        <v>2.2222222222222223</v>
      </c>
      <c r="BQ623" s="110"/>
      <c r="BR623" s="46" t="s">
        <v>2</v>
      </c>
      <c r="BS623" s="103">
        <v>5.5555555555555554</v>
      </c>
      <c r="BT623" s="103">
        <v>33.333333333333329</v>
      </c>
      <c r="BU623" s="103">
        <v>27.777777777777779</v>
      </c>
      <c r="BV623" s="103">
        <v>22.222222222222221</v>
      </c>
      <c r="BW623" s="103">
        <v>8.3333333333333321</v>
      </c>
      <c r="BX623" s="103">
        <v>0</v>
      </c>
      <c r="BY623" s="103">
        <v>2.7777777777777777</v>
      </c>
      <c r="BZ623" s="103">
        <v>0</v>
      </c>
      <c r="CA623" s="103">
        <v>0</v>
      </c>
      <c r="CB623" s="103">
        <v>0</v>
      </c>
      <c r="CC623" s="42"/>
      <c r="CD623" s="110"/>
      <c r="CE623" s="46" t="s">
        <v>2</v>
      </c>
      <c r="CF623" s="103">
        <v>2.9411764705882351</v>
      </c>
      <c r="CG623" s="103">
        <v>17.647058823529413</v>
      </c>
      <c r="CH623" s="103">
        <v>32.352941176470587</v>
      </c>
      <c r="CI623" s="103">
        <v>17.647058823529413</v>
      </c>
      <c r="CJ623" s="103">
        <v>8.8235294117647065</v>
      </c>
      <c r="CK623" s="103">
        <v>8.8235294117647065</v>
      </c>
      <c r="CL623" s="103">
        <v>8.8235294117647065</v>
      </c>
      <c r="CM623" s="103">
        <v>0</v>
      </c>
      <c r="CN623" s="103">
        <v>0</v>
      </c>
      <c r="CO623" s="103">
        <v>2.9411764705882351</v>
      </c>
      <c r="CQ623" s="110"/>
      <c r="CR623" s="46" t="s">
        <v>2</v>
      </c>
      <c r="CS623" s="103">
        <v>3.125</v>
      </c>
      <c r="CT623" s="103">
        <v>12.5</v>
      </c>
      <c r="CU623" s="103">
        <v>31.25</v>
      </c>
      <c r="CV623" s="103">
        <v>15.625</v>
      </c>
      <c r="CW623" s="103">
        <v>12.5</v>
      </c>
      <c r="CX623" s="103">
        <v>9.375</v>
      </c>
      <c r="CY623" s="103">
        <v>12.5</v>
      </c>
      <c r="CZ623" s="103">
        <v>0</v>
      </c>
      <c r="DA623" s="103">
        <v>0</v>
      </c>
      <c r="DB623" s="103">
        <v>3.125</v>
      </c>
      <c r="DC623" s="42"/>
      <c r="DD623" s="110"/>
      <c r="DE623" s="46" t="s">
        <v>2</v>
      </c>
      <c r="DF623" s="103">
        <v>5.2631578947368416</v>
      </c>
      <c r="DG623" s="103">
        <v>36.84210526315789</v>
      </c>
      <c r="DH623" s="103">
        <v>28.947368421052634</v>
      </c>
      <c r="DI623" s="103">
        <v>23.684210526315788</v>
      </c>
      <c r="DJ623" s="103">
        <v>5.2631578947368416</v>
      </c>
      <c r="DK623" s="103">
        <v>0</v>
      </c>
      <c r="DL623" s="103">
        <v>0</v>
      </c>
      <c r="DM623" s="103">
        <v>0</v>
      </c>
      <c r="DN623" s="103">
        <v>0</v>
      </c>
      <c r="DO623" s="103">
        <v>0</v>
      </c>
    </row>
    <row r="624" spans="2:119" ht="16.5" customHeight="1" x14ac:dyDescent="0.45">
      <c r="B624" s="99"/>
      <c r="C624" s="42"/>
      <c r="D624" s="110"/>
      <c r="E624" s="47" t="s">
        <v>3</v>
      </c>
      <c r="F624" s="103">
        <v>4.5977011494252871</v>
      </c>
      <c r="G624" s="103">
        <v>20.689655172413794</v>
      </c>
      <c r="H624" s="103">
        <v>39.080459770114942</v>
      </c>
      <c r="I624" s="103">
        <v>18.390804597701148</v>
      </c>
      <c r="J624" s="103">
        <v>10.344827586206897</v>
      </c>
      <c r="K624" s="103">
        <v>4.5977011494252871</v>
      </c>
      <c r="L624" s="103">
        <v>1.1494252873563218</v>
      </c>
      <c r="M624" s="103">
        <v>1.1494252873563218</v>
      </c>
      <c r="N624" s="103">
        <v>0</v>
      </c>
      <c r="O624" s="103">
        <v>0</v>
      </c>
      <c r="P624" s="42"/>
      <c r="Q624" s="110"/>
      <c r="R624" s="46" t="s">
        <v>3</v>
      </c>
      <c r="S624" s="103">
        <v>5.8823529411764701</v>
      </c>
      <c r="T624" s="103">
        <v>15.686274509803921</v>
      </c>
      <c r="U624" s="103">
        <v>41.17647058823529</v>
      </c>
      <c r="V624" s="103">
        <v>15.686274509803921</v>
      </c>
      <c r="W624" s="103">
        <v>15.686274509803921</v>
      </c>
      <c r="X624" s="103">
        <v>1.9607843137254901</v>
      </c>
      <c r="Y624" s="103">
        <v>1.9607843137254901</v>
      </c>
      <c r="Z624" s="103">
        <v>1.9607843137254901</v>
      </c>
      <c r="AA624" s="103">
        <v>0</v>
      </c>
      <c r="AB624" s="103">
        <v>0</v>
      </c>
      <c r="AC624" s="42"/>
      <c r="AD624" s="110"/>
      <c r="AE624" s="46" t="s">
        <v>3</v>
      </c>
      <c r="AF624" s="103">
        <v>2.7777777777777777</v>
      </c>
      <c r="AG624" s="103">
        <v>27.777777777777779</v>
      </c>
      <c r="AH624" s="103">
        <v>36.111111111111107</v>
      </c>
      <c r="AI624" s="103">
        <v>22.222222222222221</v>
      </c>
      <c r="AJ624" s="103">
        <v>2.7777777777777777</v>
      </c>
      <c r="AK624" s="103">
        <v>8.3333333333333321</v>
      </c>
      <c r="AL624" s="103">
        <v>0</v>
      </c>
      <c r="AM624" s="103">
        <v>0</v>
      </c>
      <c r="AN624" s="103">
        <v>0</v>
      </c>
      <c r="AO624" s="103">
        <v>0</v>
      </c>
      <c r="AP624" s="6"/>
      <c r="AQ624" s="110"/>
      <c r="AR624" s="46" t="s">
        <v>3</v>
      </c>
      <c r="AS624" s="103">
        <v>11.538461538461538</v>
      </c>
      <c r="AT624" s="103">
        <v>23.076923076923077</v>
      </c>
      <c r="AU624" s="103">
        <v>42.307692307692307</v>
      </c>
      <c r="AV624" s="103">
        <v>11.538461538461538</v>
      </c>
      <c r="AW624" s="103">
        <v>3.8461538461538463</v>
      </c>
      <c r="AX624" s="103">
        <v>7.6923076923076925</v>
      </c>
      <c r="AY624" s="103">
        <v>0</v>
      </c>
      <c r="AZ624" s="103">
        <v>0</v>
      </c>
      <c r="BA624" s="103">
        <v>0</v>
      </c>
      <c r="BB624" s="103">
        <v>0</v>
      </c>
      <c r="BC624" s="42"/>
      <c r="BD624" s="110"/>
      <c r="BE624" s="46" t="s">
        <v>3</v>
      </c>
      <c r="BF624" s="103">
        <v>1.639344262295082</v>
      </c>
      <c r="BG624" s="103">
        <v>19.672131147540984</v>
      </c>
      <c r="BH624" s="103">
        <v>37.704918032786885</v>
      </c>
      <c r="BI624" s="103">
        <v>21.311475409836063</v>
      </c>
      <c r="BJ624" s="103">
        <v>13.114754098360656</v>
      </c>
      <c r="BK624" s="103">
        <v>3.278688524590164</v>
      </c>
      <c r="BL624" s="103">
        <v>1.639344262295082</v>
      </c>
      <c r="BM624" s="103">
        <v>1.639344262295082</v>
      </c>
      <c r="BN624" s="103">
        <v>0</v>
      </c>
      <c r="BO624" s="103">
        <v>0</v>
      </c>
      <c r="BQ624" s="110"/>
      <c r="BR624" s="46" t="s">
        <v>3</v>
      </c>
      <c r="BS624" s="103">
        <v>2.4390243902439024</v>
      </c>
      <c r="BT624" s="103">
        <v>31.707317073170731</v>
      </c>
      <c r="BU624" s="103">
        <v>43.902439024390247</v>
      </c>
      <c r="BV624" s="103">
        <v>12.195121951219512</v>
      </c>
      <c r="BW624" s="103">
        <v>4.8780487804878048</v>
      </c>
      <c r="BX624" s="103">
        <v>4.8780487804878048</v>
      </c>
      <c r="BY624" s="103">
        <v>0</v>
      </c>
      <c r="BZ624" s="103">
        <v>0</v>
      </c>
      <c r="CA624" s="103">
        <v>0</v>
      </c>
      <c r="CB624" s="103">
        <v>0</v>
      </c>
      <c r="CC624" s="42"/>
      <c r="CD624" s="110"/>
      <c r="CE624" s="46" t="s">
        <v>3</v>
      </c>
      <c r="CF624" s="103">
        <v>6.5217391304347823</v>
      </c>
      <c r="CG624" s="103">
        <v>10.869565217391305</v>
      </c>
      <c r="CH624" s="103">
        <v>34.782608695652172</v>
      </c>
      <c r="CI624" s="103">
        <v>23.913043478260871</v>
      </c>
      <c r="CJ624" s="103">
        <v>15.217391304347828</v>
      </c>
      <c r="CK624" s="103">
        <v>4.3478260869565215</v>
      </c>
      <c r="CL624" s="103">
        <v>2.1739130434782608</v>
      </c>
      <c r="CM624" s="103">
        <v>2.1739130434782608</v>
      </c>
      <c r="CN624" s="103">
        <v>0</v>
      </c>
      <c r="CO624" s="103">
        <v>0</v>
      </c>
      <c r="CQ624" s="110"/>
      <c r="CR624" s="46" t="s">
        <v>3</v>
      </c>
      <c r="CS624" s="103">
        <v>0</v>
      </c>
      <c r="CT624" s="103">
        <v>6.666666666666667</v>
      </c>
      <c r="CU624" s="103">
        <v>30</v>
      </c>
      <c r="CV624" s="103">
        <v>30</v>
      </c>
      <c r="CW624" s="103">
        <v>16.666666666666664</v>
      </c>
      <c r="CX624" s="103">
        <v>13.333333333333334</v>
      </c>
      <c r="CY624" s="103">
        <v>3.3333333333333335</v>
      </c>
      <c r="CZ624" s="103">
        <v>0</v>
      </c>
      <c r="DA624" s="103">
        <v>0</v>
      </c>
      <c r="DB624" s="103">
        <v>0</v>
      </c>
      <c r="DC624" s="42"/>
      <c r="DD624" s="110"/>
      <c r="DE624" s="46" t="s">
        <v>3</v>
      </c>
      <c r="DF624" s="103">
        <v>7.0175438596491224</v>
      </c>
      <c r="DG624" s="103">
        <v>28.07017543859649</v>
      </c>
      <c r="DH624" s="103">
        <v>43.859649122807014</v>
      </c>
      <c r="DI624" s="103">
        <v>12.280701754385964</v>
      </c>
      <c r="DJ624" s="103">
        <v>7.0175438596491224</v>
      </c>
      <c r="DK624" s="103">
        <v>0</v>
      </c>
      <c r="DL624" s="103">
        <v>0</v>
      </c>
      <c r="DM624" s="103">
        <v>1.7543859649122806</v>
      </c>
      <c r="DN624" s="103">
        <v>0</v>
      </c>
      <c r="DO624" s="103">
        <v>0</v>
      </c>
    </row>
    <row r="625" spans="2:119" ht="16.5" customHeight="1" x14ac:dyDescent="0.45">
      <c r="B625" s="99"/>
      <c r="C625" s="42"/>
      <c r="D625" s="110"/>
      <c r="E625" s="47" t="s">
        <v>4</v>
      </c>
      <c r="F625" s="103">
        <v>0.68027210884353739</v>
      </c>
      <c r="G625" s="103">
        <v>20.408163265306122</v>
      </c>
      <c r="H625" s="103">
        <v>29.251700680272108</v>
      </c>
      <c r="I625" s="103">
        <v>27.89115646258503</v>
      </c>
      <c r="J625" s="103">
        <v>10.884353741496598</v>
      </c>
      <c r="K625" s="103">
        <v>6.1224489795918364</v>
      </c>
      <c r="L625" s="103">
        <v>0.68027210884353739</v>
      </c>
      <c r="M625" s="103">
        <v>0</v>
      </c>
      <c r="N625" s="103">
        <v>4.0816326530612246</v>
      </c>
      <c r="O625" s="103">
        <v>0</v>
      </c>
      <c r="P625" s="42"/>
      <c r="Q625" s="110"/>
      <c r="R625" s="46" t="s">
        <v>4</v>
      </c>
      <c r="S625" s="103">
        <v>1.0638297872340425</v>
      </c>
      <c r="T625" s="103">
        <v>15.957446808510639</v>
      </c>
      <c r="U625" s="103">
        <v>28.723404255319153</v>
      </c>
      <c r="V625" s="103">
        <v>32.978723404255319</v>
      </c>
      <c r="W625" s="103">
        <v>10.638297872340425</v>
      </c>
      <c r="X625" s="103">
        <v>6.3829787234042552</v>
      </c>
      <c r="Y625" s="103">
        <v>1.0638297872340425</v>
      </c>
      <c r="Z625" s="103">
        <v>0</v>
      </c>
      <c r="AA625" s="103">
        <v>3.1914893617021276</v>
      </c>
      <c r="AB625" s="103">
        <v>0</v>
      </c>
      <c r="AC625" s="42"/>
      <c r="AD625" s="110"/>
      <c r="AE625" s="46" t="s">
        <v>4</v>
      </c>
      <c r="AF625" s="103">
        <v>0</v>
      </c>
      <c r="AG625" s="103">
        <v>28.30188679245283</v>
      </c>
      <c r="AH625" s="103">
        <v>30.188679245283019</v>
      </c>
      <c r="AI625" s="103">
        <v>18.867924528301888</v>
      </c>
      <c r="AJ625" s="103">
        <v>11.320754716981133</v>
      </c>
      <c r="AK625" s="103">
        <v>5.6603773584905666</v>
      </c>
      <c r="AL625" s="103">
        <v>0</v>
      </c>
      <c r="AM625" s="103">
        <v>0</v>
      </c>
      <c r="AN625" s="103">
        <v>5.6603773584905666</v>
      </c>
      <c r="AO625" s="103">
        <v>0</v>
      </c>
      <c r="AP625" s="6"/>
      <c r="AQ625" s="110"/>
      <c r="AR625" s="46" t="s">
        <v>4</v>
      </c>
      <c r="AS625" s="103">
        <v>1.6949152542372881</v>
      </c>
      <c r="AT625" s="103">
        <v>23.728813559322035</v>
      </c>
      <c r="AU625" s="103">
        <v>35.593220338983052</v>
      </c>
      <c r="AV625" s="103">
        <v>22.033898305084744</v>
      </c>
      <c r="AW625" s="103">
        <v>11.864406779661017</v>
      </c>
      <c r="AX625" s="103">
        <v>0</v>
      </c>
      <c r="AY625" s="103">
        <v>0</v>
      </c>
      <c r="AZ625" s="103">
        <v>0</v>
      </c>
      <c r="BA625" s="103">
        <v>5.0847457627118651</v>
      </c>
      <c r="BB625" s="103">
        <v>0</v>
      </c>
      <c r="BC625" s="42"/>
      <c r="BD625" s="110"/>
      <c r="BE625" s="46" t="s">
        <v>4</v>
      </c>
      <c r="BF625" s="103">
        <v>0</v>
      </c>
      <c r="BG625" s="103">
        <v>18.181818181818183</v>
      </c>
      <c r="BH625" s="103">
        <v>25</v>
      </c>
      <c r="BI625" s="103">
        <v>31.818181818181817</v>
      </c>
      <c r="BJ625" s="103">
        <v>10.227272727272728</v>
      </c>
      <c r="BK625" s="103">
        <v>10.227272727272728</v>
      </c>
      <c r="BL625" s="103">
        <v>1.1363636363636365</v>
      </c>
      <c r="BM625" s="103">
        <v>0</v>
      </c>
      <c r="BN625" s="103">
        <v>3.4090909090909087</v>
      </c>
      <c r="BO625" s="103">
        <v>0</v>
      </c>
      <c r="BQ625" s="110"/>
      <c r="BR625" s="46" t="s">
        <v>4</v>
      </c>
      <c r="BS625" s="103">
        <v>0</v>
      </c>
      <c r="BT625" s="103">
        <v>36.111111111111107</v>
      </c>
      <c r="BU625" s="103">
        <v>22.222222222222221</v>
      </c>
      <c r="BV625" s="103">
        <v>36.111111111111107</v>
      </c>
      <c r="BW625" s="103">
        <v>2.7777777777777777</v>
      </c>
      <c r="BX625" s="103">
        <v>0</v>
      </c>
      <c r="BY625" s="103">
        <v>0</v>
      </c>
      <c r="BZ625" s="103">
        <v>0</v>
      </c>
      <c r="CA625" s="103">
        <v>2.7777777777777777</v>
      </c>
      <c r="CB625" s="103">
        <v>0</v>
      </c>
      <c r="CC625" s="42"/>
      <c r="CD625" s="110"/>
      <c r="CE625" s="46" t="s">
        <v>4</v>
      </c>
      <c r="CF625" s="103">
        <v>0.90090090090090091</v>
      </c>
      <c r="CG625" s="103">
        <v>15.315315315315313</v>
      </c>
      <c r="CH625" s="103">
        <v>31.531531531531531</v>
      </c>
      <c r="CI625" s="103">
        <v>25.225225225225223</v>
      </c>
      <c r="CJ625" s="103">
        <v>13.513513513513514</v>
      </c>
      <c r="CK625" s="103">
        <v>8.1081081081081088</v>
      </c>
      <c r="CL625" s="103">
        <v>0.90090090090090091</v>
      </c>
      <c r="CM625" s="103">
        <v>0</v>
      </c>
      <c r="CN625" s="103">
        <v>4.5045045045045047</v>
      </c>
      <c r="CO625" s="103">
        <v>0</v>
      </c>
      <c r="CQ625" s="110"/>
      <c r="CR625" s="46" t="s">
        <v>4</v>
      </c>
      <c r="CS625" s="103">
        <v>0</v>
      </c>
      <c r="CT625" s="103">
        <v>6.5217391304347823</v>
      </c>
      <c r="CU625" s="103">
        <v>19.565217391304348</v>
      </c>
      <c r="CV625" s="103">
        <v>32.608695652173914</v>
      </c>
      <c r="CW625" s="103">
        <v>17.391304347826086</v>
      </c>
      <c r="CX625" s="103">
        <v>10.869565217391305</v>
      </c>
      <c r="CY625" s="103">
        <v>2.1739130434782608</v>
      </c>
      <c r="CZ625" s="103">
        <v>0</v>
      </c>
      <c r="DA625" s="103">
        <v>10.869565217391305</v>
      </c>
      <c r="DB625" s="103">
        <v>0</v>
      </c>
      <c r="DC625" s="42"/>
      <c r="DD625" s="110"/>
      <c r="DE625" s="46" t="s">
        <v>4</v>
      </c>
      <c r="DF625" s="103">
        <v>0.99009900990099009</v>
      </c>
      <c r="DG625" s="103">
        <v>26.732673267326735</v>
      </c>
      <c r="DH625" s="103">
        <v>33.663366336633665</v>
      </c>
      <c r="DI625" s="103">
        <v>25.742574257425744</v>
      </c>
      <c r="DJ625" s="103">
        <v>7.9207920792079207</v>
      </c>
      <c r="DK625" s="103">
        <v>3.9603960396039604</v>
      </c>
      <c r="DL625" s="103">
        <v>0</v>
      </c>
      <c r="DM625" s="103">
        <v>0</v>
      </c>
      <c r="DN625" s="103">
        <v>0.99009900990099009</v>
      </c>
      <c r="DO625" s="103">
        <v>0</v>
      </c>
    </row>
    <row r="626" spans="2:119" ht="16.5" customHeight="1" x14ac:dyDescent="0.45">
      <c r="B626" s="99"/>
      <c r="C626" s="42"/>
      <c r="D626" s="110"/>
      <c r="E626" s="47" t="s">
        <v>5</v>
      </c>
      <c r="F626" s="103">
        <v>0.75757575757575757</v>
      </c>
      <c r="G626" s="103">
        <v>13.636363636363635</v>
      </c>
      <c r="H626" s="103">
        <v>26.515151515151516</v>
      </c>
      <c r="I626" s="103">
        <v>33.080808080808083</v>
      </c>
      <c r="J626" s="103">
        <v>16.414141414141415</v>
      </c>
      <c r="K626" s="103">
        <v>6.0606060606060606</v>
      </c>
      <c r="L626" s="103">
        <v>2.0202020202020203</v>
      </c>
      <c r="M626" s="103">
        <v>1.2626262626262625</v>
      </c>
      <c r="N626" s="103">
        <v>0.25252525252525254</v>
      </c>
      <c r="O626" s="103">
        <v>0</v>
      </c>
      <c r="P626" s="42"/>
      <c r="Q626" s="110"/>
      <c r="R626" s="46" t="s">
        <v>5</v>
      </c>
      <c r="S626" s="103">
        <v>0.8438818565400843</v>
      </c>
      <c r="T626" s="103">
        <v>9.7046413502109701</v>
      </c>
      <c r="U626" s="103">
        <v>25.738396624472575</v>
      </c>
      <c r="V626" s="103">
        <v>37.130801687763714</v>
      </c>
      <c r="W626" s="103">
        <v>17.299578059071731</v>
      </c>
      <c r="X626" s="103">
        <v>5.9071729957805905</v>
      </c>
      <c r="Y626" s="103">
        <v>1.6877637130801686</v>
      </c>
      <c r="Z626" s="103">
        <v>1.2658227848101267</v>
      </c>
      <c r="AA626" s="103">
        <v>0.42194092827004215</v>
      </c>
      <c r="AB626" s="103">
        <v>0</v>
      </c>
      <c r="AC626" s="42"/>
      <c r="AD626" s="110"/>
      <c r="AE626" s="46" t="s">
        <v>5</v>
      </c>
      <c r="AF626" s="103">
        <v>0.62893081761006298</v>
      </c>
      <c r="AG626" s="103">
        <v>19.49685534591195</v>
      </c>
      <c r="AH626" s="103">
        <v>27.672955974842768</v>
      </c>
      <c r="AI626" s="103">
        <v>27.044025157232703</v>
      </c>
      <c r="AJ626" s="103">
        <v>15.09433962264151</v>
      </c>
      <c r="AK626" s="103">
        <v>6.2893081761006293</v>
      </c>
      <c r="AL626" s="103">
        <v>2.5157232704402519</v>
      </c>
      <c r="AM626" s="103">
        <v>1.257861635220126</v>
      </c>
      <c r="AN626" s="103">
        <v>0</v>
      </c>
      <c r="AO626" s="103">
        <v>0</v>
      </c>
      <c r="AP626" s="6"/>
      <c r="AQ626" s="110"/>
      <c r="AR626" s="46" t="s">
        <v>5</v>
      </c>
      <c r="AS626" s="103">
        <v>1.834862385321101</v>
      </c>
      <c r="AT626" s="103">
        <v>19.26605504587156</v>
      </c>
      <c r="AU626" s="103">
        <v>30.275229357798167</v>
      </c>
      <c r="AV626" s="103">
        <v>29.357798165137616</v>
      </c>
      <c r="AW626" s="103">
        <v>9.1743119266055047</v>
      </c>
      <c r="AX626" s="103">
        <v>7.3394495412844041</v>
      </c>
      <c r="AY626" s="103">
        <v>1.834862385321101</v>
      </c>
      <c r="AZ626" s="103">
        <v>0.91743119266055051</v>
      </c>
      <c r="BA626" s="103">
        <v>0</v>
      </c>
      <c r="BB626" s="103">
        <v>0</v>
      </c>
      <c r="BC626" s="42"/>
      <c r="BD626" s="110"/>
      <c r="BE626" s="46" t="s">
        <v>5</v>
      </c>
      <c r="BF626" s="103">
        <v>0.34843205574912894</v>
      </c>
      <c r="BG626" s="103">
        <v>11.498257839721255</v>
      </c>
      <c r="BH626" s="103">
        <v>25.087108013937282</v>
      </c>
      <c r="BI626" s="103">
        <v>34.494773519163765</v>
      </c>
      <c r="BJ626" s="103">
        <v>19.16376306620209</v>
      </c>
      <c r="BK626" s="103">
        <v>5.5749128919860631</v>
      </c>
      <c r="BL626" s="103">
        <v>2.0905923344947737</v>
      </c>
      <c r="BM626" s="103">
        <v>1.3937282229965158</v>
      </c>
      <c r="BN626" s="103">
        <v>0.34843205574912894</v>
      </c>
      <c r="BO626" s="103">
        <v>0</v>
      </c>
      <c r="BQ626" s="110"/>
      <c r="BR626" s="46" t="s">
        <v>5</v>
      </c>
      <c r="BS626" s="103">
        <v>1.3698630136986301</v>
      </c>
      <c r="BT626" s="103">
        <v>20.547945205479451</v>
      </c>
      <c r="BU626" s="103">
        <v>26.027397260273972</v>
      </c>
      <c r="BV626" s="103">
        <v>23.287671232876711</v>
      </c>
      <c r="BW626" s="103">
        <v>13.698630136986301</v>
      </c>
      <c r="BX626" s="103">
        <v>8.2191780821917799</v>
      </c>
      <c r="BY626" s="103">
        <v>2.7397260273972601</v>
      </c>
      <c r="BZ626" s="103">
        <v>2.7397260273972601</v>
      </c>
      <c r="CA626" s="103">
        <v>1.3698630136986301</v>
      </c>
      <c r="CB626" s="103">
        <v>0</v>
      </c>
      <c r="CC626" s="42"/>
      <c r="CD626" s="110"/>
      <c r="CE626" s="46" t="s">
        <v>5</v>
      </c>
      <c r="CF626" s="103">
        <v>0.61919504643962853</v>
      </c>
      <c r="CG626" s="103">
        <v>12.074303405572756</v>
      </c>
      <c r="CH626" s="103">
        <v>26.625386996904027</v>
      </c>
      <c r="CI626" s="103">
        <v>35.294117647058826</v>
      </c>
      <c r="CJ626" s="103">
        <v>17.027863777089784</v>
      </c>
      <c r="CK626" s="103">
        <v>5.5727554179566559</v>
      </c>
      <c r="CL626" s="103">
        <v>1.8575851393188854</v>
      </c>
      <c r="CM626" s="103">
        <v>0.92879256965944268</v>
      </c>
      <c r="CN626" s="103">
        <v>0</v>
      </c>
      <c r="CO626" s="103">
        <v>0</v>
      </c>
      <c r="CQ626" s="110"/>
      <c r="CR626" s="46" t="s">
        <v>5</v>
      </c>
      <c r="CS626" s="103">
        <v>0</v>
      </c>
      <c r="CT626" s="103">
        <v>8.4337349397590362</v>
      </c>
      <c r="CU626" s="103">
        <v>19.277108433734941</v>
      </c>
      <c r="CV626" s="103">
        <v>31.325301204819279</v>
      </c>
      <c r="CW626" s="103">
        <v>24.096385542168676</v>
      </c>
      <c r="CX626" s="103">
        <v>9.6385542168674707</v>
      </c>
      <c r="CY626" s="103">
        <v>4.8192771084337354</v>
      </c>
      <c r="CZ626" s="103">
        <v>2.4096385542168677</v>
      </c>
      <c r="DA626" s="103">
        <v>0</v>
      </c>
      <c r="DB626" s="103">
        <v>0</v>
      </c>
      <c r="DC626" s="42"/>
      <c r="DD626" s="110"/>
      <c r="DE626" s="46" t="s">
        <v>5</v>
      </c>
      <c r="DF626" s="103">
        <v>0.95846645367412142</v>
      </c>
      <c r="DG626" s="103">
        <v>15.015974440894569</v>
      </c>
      <c r="DH626" s="103">
        <v>28.434504792332266</v>
      </c>
      <c r="DI626" s="103">
        <v>33.546325878594253</v>
      </c>
      <c r="DJ626" s="103">
        <v>14.376996805111823</v>
      </c>
      <c r="DK626" s="103">
        <v>5.1118210862619806</v>
      </c>
      <c r="DL626" s="103">
        <v>1.2779552715654952</v>
      </c>
      <c r="DM626" s="103">
        <v>0.95846645367412142</v>
      </c>
      <c r="DN626" s="103">
        <v>0.31948881789137379</v>
      </c>
      <c r="DO626" s="103">
        <v>0</v>
      </c>
    </row>
    <row r="627" spans="2:119" ht="16.5" customHeight="1" x14ac:dyDescent="0.45">
      <c r="B627" s="99"/>
      <c r="C627" s="42"/>
      <c r="D627" s="110"/>
      <c r="E627" s="47" t="s">
        <v>6</v>
      </c>
      <c r="F627" s="103">
        <v>1.6225448334756618</v>
      </c>
      <c r="G627" s="103">
        <v>8.1127241673783086</v>
      </c>
      <c r="H627" s="103">
        <v>21.349274124679759</v>
      </c>
      <c r="I627" s="103">
        <v>35.952177625960715</v>
      </c>
      <c r="J627" s="103">
        <v>18.872758326216911</v>
      </c>
      <c r="K627" s="103">
        <v>9.0520922288642183</v>
      </c>
      <c r="L627" s="103">
        <v>2.6473099914602902</v>
      </c>
      <c r="M627" s="103">
        <v>1.3663535439795047</v>
      </c>
      <c r="N627" s="103">
        <v>0.68317677198975235</v>
      </c>
      <c r="O627" s="103">
        <v>0.34158838599487618</v>
      </c>
      <c r="P627" s="42"/>
      <c r="Q627" s="110"/>
      <c r="R627" s="46" t="s">
        <v>6</v>
      </c>
      <c r="S627" s="103">
        <v>0.99715099715099709</v>
      </c>
      <c r="T627" s="103">
        <v>6.1253561253561255</v>
      </c>
      <c r="U627" s="103">
        <v>18.233618233618234</v>
      </c>
      <c r="V627" s="103">
        <v>37.179487179487182</v>
      </c>
      <c r="W627" s="103">
        <v>21.937321937321936</v>
      </c>
      <c r="X627" s="103">
        <v>9.8290598290598297</v>
      </c>
      <c r="Y627" s="103">
        <v>3.2763532763532761</v>
      </c>
      <c r="Z627" s="103">
        <v>1.566951566951567</v>
      </c>
      <c r="AA627" s="103">
        <v>0.28490028490028491</v>
      </c>
      <c r="AB627" s="103">
        <v>0.56980056980056981</v>
      </c>
      <c r="AC627" s="42"/>
      <c r="AD627" s="110"/>
      <c r="AE627" s="46" t="s">
        <v>6</v>
      </c>
      <c r="AF627" s="103">
        <v>2.5586353944562901</v>
      </c>
      <c r="AG627" s="103">
        <v>11.087420042643924</v>
      </c>
      <c r="AH627" s="103">
        <v>26.012793176972281</v>
      </c>
      <c r="AI627" s="103">
        <v>34.115138592750533</v>
      </c>
      <c r="AJ627" s="103">
        <v>14.285714285714285</v>
      </c>
      <c r="AK627" s="103">
        <v>7.8891257995735611</v>
      </c>
      <c r="AL627" s="103">
        <v>1.7057569296375266</v>
      </c>
      <c r="AM627" s="103">
        <v>1.0660980810234542</v>
      </c>
      <c r="AN627" s="103">
        <v>1.279317697228145</v>
      </c>
      <c r="AO627" s="103">
        <v>0</v>
      </c>
      <c r="AP627" s="6"/>
      <c r="AQ627" s="110"/>
      <c r="AR627" s="46" t="s">
        <v>6</v>
      </c>
      <c r="AS627" s="103">
        <v>1.6501650165016499</v>
      </c>
      <c r="AT627" s="103">
        <v>10.231023102310232</v>
      </c>
      <c r="AU627" s="103">
        <v>24.092409240924091</v>
      </c>
      <c r="AV627" s="103">
        <v>40.264026402640262</v>
      </c>
      <c r="AW627" s="103">
        <v>13.861386138613863</v>
      </c>
      <c r="AX627" s="103">
        <v>6.2706270627062706</v>
      </c>
      <c r="AY627" s="103">
        <v>1.6501650165016499</v>
      </c>
      <c r="AZ627" s="103">
        <v>0.66006600660066006</v>
      </c>
      <c r="BA627" s="103">
        <v>0.99009900990099009</v>
      </c>
      <c r="BB627" s="103">
        <v>0.33003300330033003</v>
      </c>
      <c r="BC627" s="42"/>
      <c r="BD627" s="110"/>
      <c r="BE627" s="46" t="s">
        <v>6</v>
      </c>
      <c r="BF627" s="103">
        <v>1.6129032258064515</v>
      </c>
      <c r="BG627" s="103">
        <v>7.3732718894009217</v>
      </c>
      <c r="BH627" s="103">
        <v>20.391705069124423</v>
      </c>
      <c r="BI627" s="103">
        <v>34.447004608294932</v>
      </c>
      <c r="BJ627" s="103">
        <v>20.622119815668203</v>
      </c>
      <c r="BK627" s="103">
        <v>10.023041474654377</v>
      </c>
      <c r="BL627" s="103">
        <v>2.9953917050691241</v>
      </c>
      <c r="BM627" s="103">
        <v>1.6129032258064515</v>
      </c>
      <c r="BN627" s="103">
        <v>0.57603686635944706</v>
      </c>
      <c r="BO627" s="103">
        <v>0.34562211981566821</v>
      </c>
      <c r="BQ627" s="110"/>
      <c r="BR627" s="46" t="s">
        <v>6</v>
      </c>
      <c r="BS627" s="103">
        <v>2.2556390977443606</v>
      </c>
      <c r="BT627" s="103">
        <v>15.037593984962406</v>
      </c>
      <c r="BU627" s="103">
        <v>23.308270676691727</v>
      </c>
      <c r="BV627" s="103">
        <v>30.075187969924812</v>
      </c>
      <c r="BW627" s="103">
        <v>16.541353383458645</v>
      </c>
      <c r="BX627" s="103">
        <v>4.5112781954887211</v>
      </c>
      <c r="BY627" s="103">
        <v>3.7593984962406015</v>
      </c>
      <c r="BZ627" s="103">
        <v>3.007518796992481</v>
      </c>
      <c r="CA627" s="103">
        <v>0.75187969924812026</v>
      </c>
      <c r="CB627" s="103">
        <v>0.75187969924812026</v>
      </c>
      <c r="CC627" s="42"/>
      <c r="CD627" s="110"/>
      <c r="CE627" s="46" t="s">
        <v>6</v>
      </c>
      <c r="CF627" s="103">
        <v>1.5414258188824663</v>
      </c>
      <c r="CG627" s="103">
        <v>7.2254335260115612</v>
      </c>
      <c r="CH627" s="103">
        <v>21.098265895953759</v>
      </c>
      <c r="CI627" s="103">
        <v>36.705202312138731</v>
      </c>
      <c r="CJ627" s="103">
        <v>19.171483622350674</v>
      </c>
      <c r="CK627" s="103">
        <v>9.6339113680154149</v>
      </c>
      <c r="CL627" s="103">
        <v>2.5048169556840074</v>
      </c>
      <c r="CM627" s="103">
        <v>1.1560693641618496</v>
      </c>
      <c r="CN627" s="103">
        <v>0.67437379576107903</v>
      </c>
      <c r="CO627" s="103">
        <v>0.28901734104046239</v>
      </c>
      <c r="CQ627" s="110"/>
      <c r="CR627" s="46" t="s">
        <v>6</v>
      </c>
      <c r="CS627" s="103">
        <v>0.89686098654708524</v>
      </c>
      <c r="CT627" s="103">
        <v>5.3811659192825116</v>
      </c>
      <c r="CU627" s="103">
        <v>12.107623318385651</v>
      </c>
      <c r="CV627" s="103">
        <v>37.668161434977577</v>
      </c>
      <c r="CW627" s="103">
        <v>19.730941704035875</v>
      </c>
      <c r="CX627" s="103">
        <v>14.798206278026907</v>
      </c>
      <c r="CY627" s="103">
        <v>3.1390134529147984</v>
      </c>
      <c r="CZ627" s="103">
        <v>3.1390134529147984</v>
      </c>
      <c r="DA627" s="103">
        <v>2.2421524663677128</v>
      </c>
      <c r="DB627" s="103">
        <v>0.89686098654708524</v>
      </c>
      <c r="DC627" s="42"/>
      <c r="DD627" s="110"/>
      <c r="DE627" s="46" t="s">
        <v>6</v>
      </c>
      <c r="DF627" s="103">
        <v>1.7932489451476792</v>
      </c>
      <c r="DG627" s="103">
        <v>8.7552742616033754</v>
      </c>
      <c r="DH627" s="103">
        <v>23.523206751054854</v>
      </c>
      <c r="DI627" s="103">
        <v>35.548523206751057</v>
      </c>
      <c r="DJ627" s="103">
        <v>18.670886075949365</v>
      </c>
      <c r="DK627" s="103">
        <v>7.7004219409282708</v>
      </c>
      <c r="DL627" s="103">
        <v>2.5316455696202533</v>
      </c>
      <c r="DM627" s="103">
        <v>0.949367088607595</v>
      </c>
      <c r="DN627" s="103">
        <v>0.31645569620253167</v>
      </c>
      <c r="DO627" s="103">
        <v>0.21097046413502107</v>
      </c>
    </row>
    <row r="628" spans="2:119" ht="16.5" customHeight="1" x14ac:dyDescent="0.45">
      <c r="B628" s="99"/>
      <c r="C628" s="42"/>
      <c r="D628" s="110"/>
      <c r="E628" s="47" t="s">
        <v>7</v>
      </c>
      <c r="F628" s="103">
        <v>1.9118600129617629</v>
      </c>
      <c r="G628" s="103">
        <v>4.9578742709008425</v>
      </c>
      <c r="H628" s="103">
        <v>16.137394685677254</v>
      </c>
      <c r="I628" s="103">
        <v>35.126377187297479</v>
      </c>
      <c r="J628" s="103">
        <v>21.54893065456902</v>
      </c>
      <c r="K628" s="103">
        <v>14.193130265716135</v>
      </c>
      <c r="L628" s="103">
        <v>3.4024627349319507</v>
      </c>
      <c r="M628" s="103">
        <v>1.5230071289695399</v>
      </c>
      <c r="N628" s="103">
        <v>0.74530136098509392</v>
      </c>
      <c r="O628" s="103">
        <v>0.45366169799092676</v>
      </c>
      <c r="P628" s="42"/>
      <c r="Q628" s="110"/>
      <c r="R628" s="46" t="s">
        <v>7</v>
      </c>
      <c r="S628" s="103">
        <v>1.9751693002257338</v>
      </c>
      <c r="T628" s="103">
        <v>2.6523702031602712</v>
      </c>
      <c r="U628" s="103">
        <v>12.302483069977427</v>
      </c>
      <c r="V628" s="103">
        <v>33.803611738148987</v>
      </c>
      <c r="W628" s="103">
        <v>25.056433408577877</v>
      </c>
      <c r="X628" s="103">
        <v>16.704288939051921</v>
      </c>
      <c r="Y628" s="103">
        <v>4.4582392776523703</v>
      </c>
      <c r="Z628" s="103">
        <v>1.7494356659142212</v>
      </c>
      <c r="AA628" s="103">
        <v>0.79006772009029347</v>
      </c>
      <c r="AB628" s="103">
        <v>0.50790067720090293</v>
      </c>
      <c r="AC628" s="42"/>
      <c r="AD628" s="110"/>
      <c r="AE628" s="46" t="s">
        <v>7</v>
      </c>
      <c r="AF628" s="103">
        <v>1.8264840182648401</v>
      </c>
      <c r="AG628" s="103">
        <v>8.0669710806697097</v>
      </c>
      <c r="AH628" s="103">
        <v>21.3089802130898</v>
      </c>
      <c r="AI628" s="103">
        <v>36.910197869101978</v>
      </c>
      <c r="AJ628" s="103">
        <v>16.818873668188736</v>
      </c>
      <c r="AK628" s="103">
        <v>10.80669710806697</v>
      </c>
      <c r="AL628" s="103">
        <v>1.9786910197869101</v>
      </c>
      <c r="AM628" s="103">
        <v>1.2176560121765601</v>
      </c>
      <c r="AN628" s="103">
        <v>0.68493150684931503</v>
      </c>
      <c r="AO628" s="103">
        <v>0.38051750380517502</v>
      </c>
      <c r="AP628" s="6"/>
      <c r="AQ628" s="110"/>
      <c r="AR628" s="46" t="s">
        <v>7</v>
      </c>
      <c r="AS628" s="103">
        <v>2.1865889212827989</v>
      </c>
      <c r="AT628" s="103">
        <v>7.4344023323615156</v>
      </c>
      <c r="AU628" s="103">
        <v>21.137026239067055</v>
      </c>
      <c r="AV628" s="103">
        <v>31.632653061224492</v>
      </c>
      <c r="AW628" s="103">
        <v>19.825072886297377</v>
      </c>
      <c r="AX628" s="103">
        <v>12.099125364431487</v>
      </c>
      <c r="AY628" s="103">
        <v>2.9154518950437316</v>
      </c>
      <c r="AZ628" s="103">
        <v>1.8950437317784257</v>
      </c>
      <c r="BA628" s="103">
        <v>0.58309037900874638</v>
      </c>
      <c r="BB628" s="103">
        <v>0.29154518950437319</v>
      </c>
      <c r="BC628" s="42"/>
      <c r="BD628" s="110"/>
      <c r="BE628" s="46" t="s">
        <v>7</v>
      </c>
      <c r="BF628" s="103">
        <v>1.8333333333333333</v>
      </c>
      <c r="BG628" s="103">
        <v>4.25</v>
      </c>
      <c r="BH628" s="103">
        <v>14.708333333333334</v>
      </c>
      <c r="BI628" s="103">
        <v>36.125</v>
      </c>
      <c r="BJ628" s="103">
        <v>22.041666666666668</v>
      </c>
      <c r="BK628" s="103">
        <v>14.791666666666666</v>
      </c>
      <c r="BL628" s="103">
        <v>3.5416666666666665</v>
      </c>
      <c r="BM628" s="103">
        <v>1.4166666666666665</v>
      </c>
      <c r="BN628" s="103">
        <v>0.79166666666666674</v>
      </c>
      <c r="BO628" s="103">
        <v>0.5</v>
      </c>
      <c r="BQ628" s="110"/>
      <c r="BR628" s="46" t="s">
        <v>7</v>
      </c>
      <c r="BS628" s="103">
        <v>1.8181818181818181</v>
      </c>
      <c r="BT628" s="103">
        <v>10.909090909090908</v>
      </c>
      <c r="BU628" s="103">
        <v>24.09090909090909</v>
      </c>
      <c r="BV628" s="103">
        <v>38.636363636363633</v>
      </c>
      <c r="BW628" s="103">
        <v>14.09090909090909</v>
      </c>
      <c r="BX628" s="103">
        <v>8.1818181818181817</v>
      </c>
      <c r="BY628" s="103">
        <v>1.3636363636363635</v>
      </c>
      <c r="BZ628" s="103">
        <v>0.45454545454545453</v>
      </c>
      <c r="CA628" s="103">
        <v>0.45454545454545453</v>
      </c>
      <c r="CB628" s="103">
        <v>0</v>
      </c>
      <c r="CC628" s="42"/>
      <c r="CD628" s="110"/>
      <c r="CE628" s="46" t="s">
        <v>7</v>
      </c>
      <c r="CF628" s="103">
        <v>1.9190509420795536</v>
      </c>
      <c r="CG628" s="103">
        <v>4.5010467550593161</v>
      </c>
      <c r="CH628" s="103">
        <v>15.526866713189113</v>
      </c>
      <c r="CI628" s="103">
        <v>34.856943475226799</v>
      </c>
      <c r="CJ628" s="103">
        <v>22.12142358688067</v>
      </c>
      <c r="CK628" s="103">
        <v>14.654570830425682</v>
      </c>
      <c r="CL628" s="103">
        <v>3.558967201674808</v>
      </c>
      <c r="CM628" s="103">
        <v>1.6050244242847174</v>
      </c>
      <c r="CN628" s="103">
        <v>0.76762037683182127</v>
      </c>
      <c r="CO628" s="103">
        <v>0.48848569434752265</v>
      </c>
      <c r="CQ628" s="110"/>
      <c r="CR628" s="46" t="s">
        <v>7</v>
      </c>
      <c r="CS628" s="103">
        <v>1.4432989690721649</v>
      </c>
      <c r="CT628" s="103">
        <v>1.0309278350515463</v>
      </c>
      <c r="CU628" s="103">
        <v>9.072164948453608</v>
      </c>
      <c r="CV628" s="103">
        <v>30.309278350515463</v>
      </c>
      <c r="CW628" s="103">
        <v>23.298969072164947</v>
      </c>
      <c r="CX628" s="103">
        <v>18.762886597938145</v>
      </c>
      <c r="CY628" s="103">
        <v>8.2474226804123703</v>
      </c>
      <c r="CZ628" s="103">
        <v>3.9175257731958761</v>
      </c>
      <c r="DA628" s="103">
        <v>2.4742268041237114</v>
      </c>
      <c r="DB628" s="103">
        <v>1.4432989690721649</v>
      </c>
      <c r="DC628" s="42"/>
      <c r="DD628" s="110"/>
      <c r="DE628" s="46" t="s">
        <v>7</v>
      </c>
      <c r="DF628" s="103">
        <v>1.9992310649750096</v>
      </c>
      <c r="DG628" s="103">
        <v>5.6901191849288733</v>
      </c>
      <c r="DH628" s="103">
        <v>17.454825067281813</v>
      </c>
      <c r="DI628" s="103">
        <v>36.024605920799694</v>
      </c>
      <c r="DJ628" s="103">
        <v>21.222606689734718</v>
      </c>
      <c r="DK628" s="103">
        <v>13.341022683583237</v>
      </c>
      <c r="DL628" s="103">
        <v>2.4990388312187624</v>
      </c>
      <c r="DM628" s="103">
        <v>1.0765090349865436</v>
      </c>
      <c r="DN628" s="103">
        <v>0.42291426374471358</v>
      </c>
      <c r="DO628" s="103">
        <v>0.2691272587466359</v>
      </c>
    </row>
    <row r="629" spans="2:119" ht="16.5" customHeight="1" x14ac:dyDescent="0.45">
      <c r="B629" s="99"/>
      <c r="C629" s="42"/>
      <c r="D629" s="110"/>
      <c r="E629" s="47" t="s">
        <v>8</v>
      </c>
      <c r="F629" s="103">
        <v>1.5945330296127564</v>
      </c>
      <c r="G629" s="103">
        <v>2.3104458184184837</v>
      </c>
      <c r="H629" s="103">
        <v>9.2255125284738053</v>
      </c>
      <c r="I629" s="103">
        <v>28.050764725024408</v>
      </c>
      <c r="J629" s="103">
        <v>26.09827530100879</v>
      </c>
      <c r="K629" s="103">
        <v>20.436055971363487</v>
      </c>
      <c r="L629" s="103">
        <v>7.077774162056623</v>
      </c>
      <c r="M629" s="103">
        <v>3.433127237227465</v>
      </c>
      <c r="N629" s="103">
        <v>1.1389521640091116</v>
      </c>
      <c r="O629" s="103">
        <v>0.63455906280507646</v>
      </c>
      <c r="P629" s="42"/>
      <c r="Q629" s="110"/>
      <c r="R629" s="46" t="s">
        <v>8</v>
      </c>
      <c r="S629" s="103">
        <v>1.4608994557433399</v>
      </c>
      <c r="T629" s="103">
        <v>1.2317387568032083</v>
      </c>
      <c r="U629" s="103">
        <v>6.0727585219134923</v>
      </c>
      <c r="V629" s="103">
        <v>24.978516184474362</v>
      </c>
      <c r="W629" s="103">
        <v>27.499283872815809</v>
      </c>
      <c r="X629" s="103">
        <v>23.317101117158405</v>
      </c>
      <c r="Y629" s="103">
        <v>8.8799770839301058</v>
      </c>
      <c r="Z629" s="103">
        <v>4.4972787167000856</v>
      </c>
      <c r="AA629" s="103">
        <v>1.2317387568032083</v>
      </c>
      <c r="AB629" s="103">
        <v>0.83070753365797767</v>
      </c>
      <c r="AC629" s="42"/>
      <c r="AD629" s="110"/>
      <c r="AE629" s="46" t="s">
        <v>8</v>
      </c>
      <c r="AF629" s="103">
        <v>1.770244821092279</v>
      </c>
      <c r="AG629" s="103">
        <v>3.7288135593220342</v>
      </c>
      <c r="AH629" s="103">
        <v>13.370998116760829</v>
      </c>
      <c r="AI629" s="103">
        <v>32.090395480225986</v>
      </c>
      <c r="AJ629" s="103">
        <v>24.256120527306969</v>
      </c>
      <c r="AK629" s="103">
        <v>16.64783427495292</v>
      </c>
      <c r="AL629" s="103">
        <v>4.7080979284369118</v>
      </c>
      <c r="AM629" s="103">
        <v>2.0338983050847457</v>
      </c>
      <c r="AN629" s="103">
        <v>1.0169491525423728</v>
      </c>
      <c r="AO629" s="103">
        <v>0.37664783427495291</v>
      </c>
      <c r="AP629" s="6"/>
      <c r="AQ629" s="110"/>
      <c r="AR629" s="46" t="s">
        <v>8</v>
      </c>
      <c r="AS629" s="103">
        <v>1.62748643761302</v>
      </c>
      <c r="AT629" s="103">
        <v>3.7070524412296564</v>
      </c>
      <c r="AU629" s="103">
        <v>12.929475587703434</v>
      </c>
      <c r="AV629" s="103">
        <v>30.831826401446655</v>
      </c>
      <c r="AW629" s="103">
        <v>23.59855334538879</v>
      </c>
      <c r="AX629" s="103">
        <v>17.631103074141048</v>
      </c>
      <c r="AY629" s="103">
        <v>5.9674502712477393</v>
      </c>
      <c r="AZ629" s="103">
        <v>2.1699819168173597</v>
      </c>
      <c r="BA629" s="103">
        <v>0.72332730560578662</v>
      </c>
      <c r="BB629" s="103">
        <v>0.81374321880651002</v>
      </c>
      <c r="BC629" s="42"/>
      <c r="BD629" s="110"/>
      <c r="BE629" s="46" t="s">
        <v>8</v>
      </c>
      <c r="BF629" s="103">
        <v>1.5873015873015872</v>
      </c>
      <c r="BG629" s="103">
        <v>2.003968253968254</v>
      </c>
      <c r="BH629" s="103">
        <v>8.412698412698413</v>
      </c>
      <c r="BI629" s="103">
        <v>27.440476190476193</v>
      </c>
      <c r="BJ629" s="103">
        <v>26.646825396825395</v>
      </c>
      <c r="BK629" s="103">
        <v>21.051587301587301</v>
      </c>
      <c r="BL629" s="103">
        <v>7.3214285714285721</v>
      </c>
      <c r="BM629" s="103">
        <v>3.7103174603174605</v>
      </c>
      <c r="BN629" s="103">
        <v>1.2301587301587302</v>
      </c>
      <c r="BO629" s="103">
        <v>0.59523809523809523</v>
      </c>
      <c r="BQ629" s="110"/>
      <c r="BR629" s="46" t="s">
        <v>8</v>
      </c>
      <c r="BS629" s="103">
        <v>0.92024539877300615</v>
      </c>
      <c r="BT629" s="103">
        <v>3.6809815950920246</v>
      </c>
      <c r="BU629" s="103">
        <v>15.337423312883436</v>
      </c>
      <c r="BV629" s="103">
        <v>28.834355828220858</v>
      </c>
      <c r="BW629" s="103">
        <v>21.472392638036812</v>
      </c>
      <c r="BX629" s="103">
        <v>17.484662576687114</v>
      </c>
      <c r="BY629" s="103">
        <v>4.294478527607362</v>
      </c>
      <c r="BZ629" s="103">
        <v>4.9079754601226995</v>
      </c>
      <c r="CA629" s="103">
        <v>2.147239263803681</v>
      </c>
      <c r="CB629" s="103">
        <v>0.92024539877300615</v>
      </c>
      <c r="CC629" s="42"/>
      <c r="CD629" s="110"/>
      <c r="CE629" s="46" t="s">
        <v>8</v>
      </c>
      <c r="CF629" s="103">
        <v>1.632302405498282</v>
      </c>
      <c r="CG629" s="103">
        <v>2.2336769759450172</v>
      </c>
      <c r="CH629" s="103">
        <v>8.8831615120274918</v>
      </c>
      <c r="CI629" s="103">
        <v>28.006872852233677</v>
      </c>
      <c r="CJ629" s="103">
        <v>26.357388316151205</v>
      </c>
      <c r="CK629" s="103">
        <v>20.601374570446733</v>
      </c>
      <c r="CL629" s="103">
        <v>7.2336769759450181</v>
      </c>
      <c r="CM629" s="103">
        <v>3.3505154639175259</v>
      </c>
      <c r="CN629" s="103">
        <v>1.0824742268041236</v>
      </c>
      <c r="CO629" s="103">
        <v>0.61855670103092786</v>
      </c>
      <c r="CQ629" s="110"/>
      <c r="CR629" s="46" t="s">
        <v>8</v>
      </c>
      <c r="CS629" s="103">
        <v>1.3227513227513228</v>
      </c>
      <c r="CT629" s="103">
        <v>0.52910052910052907</v>
      </c>
      <c r="CU629" s="103">
        <v>5.6878306878306875</v>
      </c>
      <c r="CV629" s="103">
        <v>18.915343915343914</v>
      </c>
      <c r="CW629" s="103">
        <v>25.132275132275133</v>
      </c>
      <c r="CX629" s="103">
        <v>26.322751322751326</v>
      </c>
      <c r="CY629" s="103">
        <v>11.507936507936508</v>
      </c>
      <c r="CZ629" s="103">
        <v>6.6137566137566131</v>
      </c>
      <c r="DA629" s="103">
        <v>2.3809523809523809</v>
      </c>
      <c r="DB629" s="103">
        <v>1.5873015873015872</v>
      </c>
      <c r="DC629" s="42"/>
      <c r="DD629" s="110"/>
      <c r="DE629" s="46" t="s">
        <v>8</v>
      </c>
      <c r="DF629" s="103">
        <v>1.6326530612244898</v>
      </c>
      <c r="DG629" s="103">
        <v>2.5602968460111319</v>
      </c>
      <c r="DH629" s="103">
        <v>9.7217068645640072</v>
      </c>
      <c r="DI629" s="103">
        <v>29.332096474953616</v>
      </c>
      <c r="DJ629" s="103">
        <v>26.233766233766232</v>
      </c>
      <c r="DK629" s="103">
        <v>19.61038961038961</v>
      </c>
      <c r="DL629" s="103">
        <v>6.4564007421150276</v>
      </c>
      <c r="DM629" s="103">
        <v>2.9870129870129869</v>
      </c>
      <c r="DN629" s="103">
        <v>0.96474953617810766</v>
      </c>
      <c r="DO629" s="103">
        <v>0.5009276437847866</v>
      </c>
    </row>
    <row r="630" spans="2:119" ht="16.5" customHeight="1" x14ac:dyDescent="0.45">
      <c r="B630" s="99"/>
      <c r="C630" s="42"/>
      <c r="D630" s="110"/>
      <c r="E630" s="47" t="s">
        <v>9</v>
      </c>
      <c r="F630" s="103">
        <v>1.6922430103006096</v>
      </c>
      <c r="G630" s="103">
        <v>0.94597435358419169</v>
      </c>
      <c r="H630" s="103">
        <v>4.9926424216943452</v>
      </c>
      <c r="I630" s="103">
        <v>18.54109733025016</v>
      </c>
      <c r="J630" s="103">
        <v>23.302501576623921</v>
      </c>
      <c r="K630" s="103">
        <v>24.679419802396467</v>
      </c>
      <c r="L630" s="103">
        <v>13.632541517763297</v>
      </c>
      <c r="M630" s="103">
        <v>7.6098381332772762</v>
      </c>
      <c r="N630" s="103">
        <v>3.3214210636956065</v>
      </c>
      <c r="O630" s="103">
        <v>1.2823207904141265</v>
      </c>
      <c r="P630" s="42"/>
      <c r="Q630" s="110"/>
      <c r="R630" s="46" t="s">
        <v>9</v>
      </c>
      <c r="S630" s="103">
        <v>1.36327185244587</v>
      </c>
      <c r="T630" s="103">
        <v>0.40096230954290296</v>
      </c>
      <c r="U630" s="103">
        <v>2.72654370489174</v>
      </c>
      <c r="V630" s="103">
        <v>14.113873295910185</v>
      </c>
      <c r="W630" s="103">
        <v>21.692060946271049</v>
      </c>
      <c r="X630" s="103">
        <v>27.285485164394547</v>
      </c>
      <c r="Y630" s="103">
        <v>16.820368885324779</v>
      </c>
      <c r="Z630" s="103">
        <v>9.6230954290296715</v>
      </c>
      <c r="AA630" s="103">
        <v>4.3704891740176421</v>
      </c>
      <c r="AB630" s="103">
        <v>1.6038492381716118</v>
      </c>
      <c r="AC630" s="42"/>
      <c r="AD630" s="110"/>
      <c r="AE630" s="46" t="s">
        <v>9</v>
      </c>
      <c r="AF630" s="103">
        <v>2.054794520547945</v>
      </c>
      <c r="AG630" s="103">
        <v>1.5466195315952276</v>
      </c>
      <c r="AH630" s="103">
        <v>7.4900574458683158</v>
      </c>
      <c r="AI630" s="103">
        <v>23.420238621299163</v>
      </c>
      <c r="AJ630" s="103">
        <v>25.077330976579759</v>
      </c>
      <c r="AK630" s="103">
        <v>21.807335395492707</v>
      </c>
      <c r="AL630" s="103">
        <v>10.119310649580203</v>
      </c>
      <c r="AM630" s="103">
        <v>5.3910737958462223</v>
      </c>
      <c r="AN630" s="103">
        <v>2.1652673442333183</v>
      </c>
      <c r="AO630" s="103">
        <v>0.92797171895713659</v>
      </c>
      <c r="AP630" s="6"/>
      <c r="AQ630" s="110"/>
      <c r="AR630" s="46" t="s">
        <v>9</v>
      </c>
      <c r="AS630" s="103">
        <v>2.2585669781931461</v>
      </c>
      <c r="AT630" s="103">
        <v>1.6355140186915886</v>
      </c>
      <c r="AU630" s="103">
        <v>7.3208722741433014</v>
      </c>
      <c r="AV630" s="103">
        <v>22.274143302180686</v>
      </c>
      <c r="AW630" s="103">
        <v>23.052959501557631</v>
      </c>
      <c r="AX630" s="103">
        <v>23.208722741433021</v>
      </c>
      <c r="AY630" s="103">
        <v>10.046728971962617</v>
      </c>
      <c r="AZ630" s="103">
        <v>6.6199376947040491</v>
      </c>
      <c r="BA630" s="103">
        <v>2.570093457943925</v>
      </c>
      <c r="BB630" s="103">
        <v>1.0124610591900312</v>
      </c>
      <c r="BC630" s="42"/>
      <c r="BD630" s="110"/>
      <c r="BE630" s="46" t="s">
        <v>9</v>
      </c>
      <c r="BF630" s="103">
        <v>1.6038882138517618</v>
      </c>
      <c r="BG630" s="103">
        <v>0.83839611178614815</v>
      </c>
      <c r="BH630" s="103">
        <v>4.6294046172539485</v>
      </c>
      <c r="BI630" s="103">
        <v>17.958687727825033</v>
      </c>
      <c r="BJ630" s="103">
        <v>23.341433778857837</v>
      </c>
      <c r="BK630" s="103">
        <v>24.908869987849332</v>
      </c>
      <c r="BL630" s="103">
        <v>14.191980558930743</v>
      </c>
      <c r="BM630" s="103">
        <v>7.7642770352369386</v>
      </c>
      <c r="BN630" s="103">
        <v>3.4386391251518837</v>
      </c>
      <c r="BO630" s="103">
        <v>1.3244228432563792</v>
      </c>
      <c r="BQ630" s="110"/>
      <c r="BR630" s="46" t="s">
        <v>9</v>
      </c>
      <c r="BS630" s="103">
        <v>2.1390374331550799</v>
      </c>
      <c r="BT630" s="103">
        <v>1.3368983957219251</v>
      </c>
      <c r="BU630" s="103">
        <v>8.8235294117647065</v>
      </c>
      <c r="BV630" s="103">
        <v>22.192513368983956</v>
      </c>
      <c r="BW630" s="103">
        <v>24.064171122994651</v>
      </c>
      <c r="BX630" s="103">
        <v>22.727272727272727</v>
      </c>
      <c r="BY630" s="103">
        <v>9.8930481283422473</v>
      </c>
      <c r="BZ630" s="103">
        <v>5.3475935828877006</v>
      </c>
      <c r="CA630" s="103">
        <v>2.4064171122994651</v>
      </c>
      <c r="CB630" s="103">
        <v>1.0695187165775399</v>
      </c>
      <c r="CC630" s="42"/>
      <c r="CD630" s="110"/>
      <c r="CE630" s="46" t="s">
        <v>9</v>
      </c>
      <c r="CF630" s="103">
        <v>1.6739606126914659</v>
      </c>
      <c r="CG630" s="103">
        <v>0.92997811816192566</v>
      </c>
      <c r="CH630" s="103">
        <v>4.8358862144420129</v>
      </c>
      <c r="CI630" s="103">
        <v>18.391684901531729</v>
      </c>
      <c r="CJ630" s="103">
        <v>23.271334792122538</v>
      </c>
      <c r="CK630" s="103">
        <v>24.759299781181618</v>
      </c>
      <c r="CL630" s="103">
        <v>13.785557986870897</v>
      </c>
      <c r="CM630" s="103">
        <v>7.7024070021881847</v>
      </c>
      <c r="CN630" s="103">
        <v>3.3588621444201312</v>
      </c>
      <c r="CO630" s="103">
        <v>1.2910284463894968</v>
      </c>
      <c r="CQ630" s="110"/>
      <c r="CR630" s="46" t="s">
        <v>9</v>
      </c>
      <c r="CS630" s="103">
        <v>1.899335232668566</v>
      </c>
      <c r="CT630" s="103">
        <v>0.18993352326685661</v>
      </c>
      <c r="CU630" s="103">
        <v>3.2288698955365627</v>
      </c>
      <c r="CV630" s="103">
        <v>10.63627730294397</v>
      </c>
      <c r="CW630" s="103">
        <v>19.943019943019944</v>
      </c>
      <c r="CX630" s="103">
        <v>23.741690408357073</v>
      </c>
      <c r="CY630" s="103">
        <v>16.524216524216524</v>
      </c>
      <c r="CZ630" s="103">
        <v>13.580246913580247</v>
      </c>
      <c r="DA630" s="103">
        <v>6.1728395061728394</v>
      </c>
      <c r="DB630" s="103">
        <v>4.083570750237417</v>
      </c>
      <c r="DC630" s="42"/>
      <c r="DD630" s="110"/>
      <c r="DE630" s="46" t="s">
        <v>9</v>
      </c>
      <c r="DF630" s="103">
        <v>1.666469684434464</v>
      </c>
      <c r="DG630" s="103">
        <v>1.0400661860300202</v>
      </c>
      <c r="DH630" s="103">
        <v>5.2121498640822601</v>
      </c>
      <c r="DI630" s="103">
        <v>19.524878855927195</v>
      </c>
      <c r="DJ630" s="103">
        <v>23.720600401843754</v>
      </c>
      <c r="DK630" s="103">
        <v>24.796123389670253</v>
      </c>
      <c r="DL630" s="103">
        <v>13.272662805814917</v>
      </c>
      <c r="DM630" s="103">
        <v>6.8668006145845641</v>
      </c>
      <c r="DN630" s="103">
        <v>2.966552416971989</v>
      </c>
      <c r="DO630" s="103">
        <v>0.93369578064058623</v>
      </c>
    </row>
    <row r="631" spans="2:119" ht="16.5" customHeight="1" x14ac:dyDescent="0.45">
      <c r="B631" s="99"/>
      <c r="C631" s="42"/>
      <c r="D631" s="110"/>
      <c r="E631" s="47" t="s">
        <v>10</v>
      </c>
      <c r="F631" s="103">
        <v>0.9553108808290155</v>
      </c>
      <c r="G631" s="103">
        <v>0.25097150259067358</v>
      </c>
      <c r="H631" s="103">
        <v>1.2305699481865284</v>
      </c>
      <c r="I631" s="103">
        <v>7.6181994818652843</v>
      </c>
      <c r="J631" s="103">
        <v>16.078367875647668</v>
      </c>
      <c r="K631" s="103">
        <v>22.6764896373057</v>
      </c>
      <c r="L631" s="103">
        <v>20.773963730569946</v>
      </c>
      <c r="M631" s="103">
        <v>16.329339378238341</v>
      </c>
      <c r="N631" s="103">
        <v>9.2616580310880821</v>
      </c>
      <c r="O631" s="103">
        <v>4.8251295336787559</v>
      </c>
      <c r="P631" s="42"/>
      <c r="Q631" s="110"/>
      <c r="R631" s="46" t="s">
        <v>10</v>
      </c>
      <c r="S631" s="103">
        <v>0.58935690760963766</v>
      </c>
      <c r="T631" s="103">
        <v>0.12133818686080777</v>
      </c>
      <c r="U631" s="103">
        <v>0.45068469405442885</v>
      </c>
      <c r="V631" s="103">
        <v>4.0041601664066562</v>
      </c>
      <c r="W631" s="103">
        <v>12.792511700468017</v>
      </c>
      <c r="X631" s="103">
        <v>21.095510487086148</v>
      </c>
      <c r="Y631" s="103">
        <v>23.591610331079909</v>
      </c>
      <c r="Z631" s="103">
        <v>19.310105737562836</v>
      </c>
      <c r="AA631" s="103">
        <v>12.359161033107991</v>
      </c>
      <c r="AB631" s="103">
        <v>5.6855607557635643</v>
      </c>
      <c r="AC631" s="42"/>
      <c r="AD631" s="110"/>
      <c r="AE631" s="46" t="s">
        <v>10</v>
      </c>
      <c r="AF631" s="103">
        <v>1.276013975391159</v>
      </c>
      <c r="AG631" s="103">
        <v>0.36457542154033118</v>
      </c>
      <c r="AH631" s="103">
        <v>1.9140209630867384</v>
      </c>
      <c r="AI631" s="103">
        <v>10.785356220568131</v>
      </c>
      <c r="AJ631" s="103">
        <v>18.95792192009722</v>
      </c>
      <c r="AK631" s="103">
        <v>24.061977821661856</v>
      </c>
      <c r="AL631" s="103">
        <v>18.304724289837459</v>
      </c>
      <c r="AM631" s="103">
        <v>13.717150235454959</v>
      </c>
      <c r="AN631" s="103">
        <v>6.5471669451617807</v>
      </c>
      <c r="AO631" s="103">
        <v>4.0710922072003646</v>
      </c>
      <c r="AP631" s="6"/>
      <c r="AQ631" s="110"/>
      <c r="AR631" s="46" t="s">
        <v>10</v>
      </c>
      <c r="AS631" s="103">
        <v>1.1915673693858846</v>
      </c>
      <c r="AT631" s="103">
        <v>0.64161319890009172</v>
      </c>
      <c r="AU631" s="103">
        <v>2.841429880843263</v>
      </c>
      <c r="AV631" s="103">
        <v>11.274060494958754</v>
      </c>
      <c r="AW631" s="103">
        <v>20.256645279560036</v>
      </c>
      <c r="AX631" s="103">
        <v>22.36480293308891</v>
      </c>
      <c r="AY631" s="103">
        <v>20.439963336388633</v>
      </c>
      <c r="AZ631" s="103">
        <v>12.923923006416132</v>
      </c>
      <c r="BA631" s="103">
        <v>5.4078826764436299</v>
      </c>
      <c r="BB631" s="103">
        <v>2.6581118240146653</v>
      </c>
      <c r="BC631" s="42"/>
      <c r="BD631" s="110"/>
      <c r="BE631" s="46" t="s">
        <v>10</v>
      </c>
      <c r="BF631" s="103">
        <v>0.93242163218186669</v>
      </c>
      <c r="BG631" s="103">
        <v>0.21312494449871236</v>
      </c>
      <c r="BH631" s="103">
        <v>1.0745049285143415</v>
      </c>
      <c r="BI631" s="103">
        <v>7.2640085249977799</v>
      </c>
      <c r="BJ631" s="103">
        <v>15.67356362667614</v>
      </c>
      <c r="BK631" s="103">
        <v>22.706686795133646</v>
      </c>
      <c r="BL631" s="103">
        <v>20.806322706686796</v>
      </c>
      <c r="BM631" s="103">
        <v>16.659266494982681</v>
      </c>
      <c r="BN631" s="103">
        <v>9.6350235325459561</v>
      </c>
      <c r="BO631" s="103">
        <v>5.0350768137820801</v>
      </c>
      <c r="BQ631" s="110"/>
      <c r="BR631" s="46" t="s">
        <v>10</v>
      </c>
      <c r="BS631" s="103">
        <v>0.4728132387706856</v>
      </c>
      <c r="BT631" s="103">
        <v>0.2364066193853428</v>
      </c>
      <c r="BU631" s="103">
        <v>2.3640661938534278</v>
      </c>
      <c r="BV631" s="103">
        <v>11.111111111111111</v>
      </c>
      <c r="BW631" s="103">
        <v>19.385342789598109</v>
      </c>
      <c r="BX631" s="103">
        <v>22.458628841607563</v>
      </c>
      <c r="BY631" s="103">
        <v>15.602836879432624</v>
      </c>
      <c r="BZ631" s="103">
        <v>16.548463356973993</v>
      </c>
      <c r="CA631" s="103">
        <v>8.7470449172576838</v>
      </c>
      <c r="CB631" s="103">
        <v>3.0732860520094563</v>
      </c>
      <c r="CC631" s="42"/>
      <c r="CD631" s="110"/>
      <c r="CE631" s="46" t="s">
        <v>10</v>
      </c>
      <c r="CF631" s="103">
        <v>0.97242015256936887</v>
      </c>
      <c r="CG631" s="103">
        <v>0.25148797049207811</v>
      </c>
      <c r="CH631" s="103">
        <v>1.1903763936625031</v>
      </c>
      <c r="CI631" s="103">
        <v>7.4943415206639292</v>
      </c>
      <c r="CJ631" s="103">
        <v>15.961103193897225</v>
      </c>
      <c r="CK631" s="103">
        <v>22.684214938385448</v>
      </c>
      <c r="CL631" s="103">
        <v>20.957330874339846</v>
      </c>
      <c r="CM631" s="103">
        <v>16.321569284935872</v>
      </c>
      <c r="CN631" s="103">
        <v>9.2799061111576826</v>
      </c>
      <c r="CO631" s="103">
        <v>4.8872495598960519</v>
      </c>
      <c r="CQ631" s="110"/>
      <c r="CR631" s="46" t="s">
        <v>10</v>
      </c>
      <c r="CS631" s="103">
        <v>1.0380622837370241</v>
      </c>
      <c r="CT631" s="103">
        <v>0</v>
      </c>
      <c r="CU631" s="103">
        <v>0.27681660899653976</v>
      </c>
      <c r="CV631" s="103">
        <v>4.0830449826989623</v>
      </c>
      <c r="CW631" s="103">
        <v>11.003460207612457</v>
      </c>
      <c r="CX631" s="103">
        <v>18.477508650519031</v>
      </c>
      <c r="CY631" s="103">
        <v>21.868512110726641</v>
      </c>
      <c r="CZ631" s="103">
        <v>18.754325259515568</v>
      </c>
      <c r="DA631" s="103">
        <v>14.117647058823529</v>
      </c>
      <c r="DB631" s="103">
        <v>10.380622837370241</v>
      </c>
      <c r="DC631" s="42"/>
      <c r="DD631" s="110"/>
      <c r="DE631" s="46" t="s">
        <v>10</v>
      </c>
      <c r="DF631" s="103">
        <v>0.94434766663610525</v>
      </c>
      <c r="DG631" s="103">
        <v>0.2842211423856239</v>
      </c>
      <c r="DH631" s="103">
        <v>1.356926744292656</v>
      </c>
      <c r="DI631" s="103">
        <v>8.0865499220683965</v>
      </c>
      <c r="DJ631" s="103">
        <v>16.750710552855963</v>
      </c>
      <c r="DK631" s="103">
        <v>23.232786284037772</v>
      </c>
      <c r="DL631" s="103">
        <v>20.628953882827542</v>
      </c>
      <c r="DM631" s="103">
        <v>16.008068213074171</v>
      </c>
      <c r="DN631" s="103">
        <v>8.618318511047951</v>
      </c>
      <c r="DO631" s="103">
        <v>4.0891170807738151</v>
      </c>
    </row>
    <row r="632" spans="2:119" ht="16.5" customHeight="1" x14ac:dyDescent="0.45">
      <c r="B632" s="99"/>
      <c r="C632" s="42"/>
      <c r="D632" s="111"/>
      <c r="E632" s="47" t="s">
        <v>11</v>
      </c>
      <c r="F632" s="103">
        <v>0.45641259698767689</v>
      </c>
      <c r="G632" s="103">
        <v>2.2820629849383843E-2</v>
      </c>
      <c r="H632" s="103">
        <v>0.15974440894568689</v>
      </c>
      <c r="I632" s="103">
        <v>2.3961661341853033</v>
      </c>
      <c r="J632" s="103">
        <v>5.8192606115928802</v>
      </c>
      <c r="K632" s="103">
        <v>13.099041533546327</v>
      </c>
      <c r="L632" s="103">
        <v>19.968051118210862</v>
      </c>
      <c r="M632" s="103">
        <v>21.633957097215884</v>
      </c>
      <c r="N632" s="103">
        <v>19.580100410771337</v>
      </c>
      <c r="O632" s="103">
        <v>16.864445458694661</v>
      </c>
      <c r="P632" s="42"/>
      <c r="Q632" s="111"/>
      <c r="R632" s="46" t="s">
        <v>11</v>
      </c>
      <c r="S632" s="103">
        <v>0.34773969200198707</v>
      </c>
      <c r="T632" s="103">
        <v>0</v>
      </c>
      <c r="U632" s="103">
        <v>4.967709885742673E-2</v>
      </c>
      <c r="V632" s="103">
        <v>1.0928961748633881</v>
      </c>
      <c r="W632" s="103">
        <v>3.7257824143070044</v>
      </c>
      <c r="X632" s="103">
        <v>9.9850968703427725</v>
      </c>
      <c r="Y632" s="103">
        <v>18.181818181818183</v>
      </c>
      <c r="Z632" s="103">
        <v>22.652757078986589</v>
      </c>
      <c r="AA632" s="103">
        <v>23.050173869846002</v>
      </c>
      <c r="AB632" s="103">
        <v>20.914058618976654</v>
      </c>
      <c r="AC632" s="42"/>
      <c r="AD632" s="111"/>
      <c r="AE632" s="46" t="s">
        <v>11</v>
      </c>
      <c r="AF632" s="103">
        <v>0.54875474883917263</v>
      </c>
      <c r="AG632" s="103">
        <v>4.2211903756859431E-2</v>
      </c>
      <c r="AH632" s="103">
        <v>0.25327142254115659</v>
      </c>
      <c r="AI632" s="103">
        <v>3.5035880118193328</v>
      </c>
      <c r="AJ632" s="103">
        <v>7.5981426762346977</v>
      </c>
      <c r="AK632" s="103">
        <v>15.745040101308568</v>
      </c>
      <c r="AL632" s="103">
        <v>21.485859012241452</v>
      </c>
      <c r="AM632" s="103">
        <v>20.768256648374841</v>
      </c>
      <c r="AN632" s="103">
        <v>16.631490080202617</v>
      </c>
      <c r="AO632" s="103">
        <v>13.423385394681301</v>
      </c>
      <c r="AP632" s="6"/>
      <c r="AQ632" s="111"/>
      <c r="AR632" s="46" t="s">
        <v>11</v>
      </c>
      <c r="AS632" s="103">
        <v>0.84033613445378152</v>
      </c>
      <c r="AT632" s="103">
        <v>0</v>
      </c>
      <c r="AU632" s="103">
        <v>0.42016806722689076</v>
      </c>
      <c r="AV632" s="103">
        <v>3.3613445378151261</v>
      </c>
      <c r="AW632" s="103">
        <v>7.9831932773109235</v>
      </c>
      <c r="AX632" s="103">
        <v>15.126050420168067</v>
      </c>
      <c r="AY632" s="103">
        <v>25.210084033613445</v>
      </c>
      <c r="AZ632" s="103">
        <v>18.067226890756302</v>
      </c>
      <c r="BA632" s="103">
        <v>16.806722689075631</v>
      </c>
      <c r="BB632" s="103">
        <v>12.184873949579831</v>
      </c>
      <c r="BC632" s="42"/>
      <c r="BD632" s="111"/>
      <c r="BE632" s="46" t="s">
        <v>11</v>
      </c>
      <c r="BF632" s="103">
        <v>0.43436293436293438</v>
      </c>
      <c r="BG632" s="103">
        <v>2.4131274131274132E-2</v>
      </c>
      <c r="BH632" s="103">
        <v>0.14478764478764478</v>
      </c>
      <c r="BI632" s="103">
        <v>2.3407335907335907</v>
      </c>
      <c r="BJ632" s="103">
        <v>5.6949806949806945</v>
      </c>
      <c r="BK632" s="103">
        <v>12.982625482625481</v>
      </c>
      <c r="BL632" s="103">
        <v>19.666988416988417</v>
      </c>
      <c r="BM632" s="103">
        <v>21.83880308880309</v>
      </c>
      <c r="BN632" s="103">
        <v>19.739382239382238</v>
      </c>
      <c r="BO632" s="103">
        <v>17.133204633204631</v>
      </c>
      <c r="BQ632" s="111"/>
      <c r="BR632" s="46" t="s">
        <v>11</v>
      </c>
      <c r="BS632" s="103">
        <v>1.7857142857142856</v>
      </c>
      <c r="BT632" s="103">
        <v>0</v>
      </c>
      <c r="BU632" s="103">
        <v>0</v>
      </c>
      <c r="BV632" s="103">
        <v>6.25</v>
      </c>
      <c r="BW632" s="103">
        <v>7.1428571428571423</v>
      </c>
      <c r="BX632" s="103">
        <v>18.75</v>
      </c>
      <c r="BY632" s="103">
        <v>18.75</v>
      </c>
      <c r="BZ632" s="103">
        <v>20.535714285714285</v>
      </c>
      <c r="CA632" s="103">
        <v>10.714285714285714</v>
      </c>
      <c r="CB632" s="103">
        <v>16.071428571428573</v>
      </c>
      <c r="CC632" s="42"/>
      <c r="CD632" s="111"/>
      <c r="CE632" s="46" t="s">
        <v>11</v>
      </c>
      <c r="CF632" s="103">
        <v>0.42154566744730682</v>
      </c>
      <c r="CG632" s="103">
        <v>2.3419203747072598E-2</v>
      </c>
      <c r="CH632" s="103">
        <v>0.16393442622950818</v>
      </c>
      <c r="CI632" s="103">
        <v>2.2950819672131146</v>
      </c>
      <c r="CJ632" s="103">
        <v>5.7845433255269318</v>
      </c>
      <c r="CK632" s="103">
        <v>12.950819672131148</v>
      </c>
      <c r="CL632" s="103">
        <v>20</v>
      </c>
      <c r="CM632" s="103">
        <v>21.662763466042154</v>
      </c>
      <c r="CN632" s="103">
        <v>19.812646370023419</v>
      </c>
      <c r="CO632" s="103">
        <v>16.885245901639344</v>
      </c>
      <c r="CQ632" s="111"/>
      <c r="CR632" s="46" t="s">
        <v>11</v>
      </c>
      <c r="CS632" s="103">
        <v>0</v>
      </c>
      <c r="CT632" s="103">
        <v>0</v>
      </c>
      <c r="CU632" s="103">
        <v>0</v>
      </c>
      <c r="CV632" s="103">
        <v>0.7421150278293136</v>
      </c>
      <c r="CW632" s="103">
        <v>2.9684601113172544</v>
      </c>
      <c r="CX632" s="103">
        <v>8.3487940630797777</v>
      </c>
      <c r="CY632" s="103">
        <v>17.625231910946194</v>
      </c>
      <c r="CZ632" s="103">
        <v>21.150278293135436</v>
      </c>
      <c r="DA632" s="103">
        <v>23.191094619666046</v>
      </c>
      <c r="DB632" s="103">
        <v>25.97402597402597</v>
      </c>
      <c r="DC632" s="42"/>
      <c r="DD632" s="111"/>
      <c r="DE632" s="46" t="s">
        <v>11</v>
      </c>
      <c r="DF632" s="103">
        <v>0.52042674993494664</v>
      </c>
      <c r="DG632" s="103">
        <v>2.6021337496747333E-2</v>
      </c>
      <c r="DH632" s="103">
        <v>0.18214936247723132</v>
      </c>
      <c r="DI632" s="103">
        <v>2.6281550871714807</v>
      </c>
      <c r="DJ632" s="103">
        <v>6.2190996617226126</v>
      </c>
      <c r="DK632" s="103">
        <v>13.765287535779338</v>
      </c>
      <c r="DL632" s="103">
        <v>20.296643247462921</v>
      </c>
      <c r="DM632" s="103">
        <v>21.701795472287273</v>
      </c>
      <c r="DN632" s="103">
        <v>19.073640385115795</v>
      </c>
      <c r="DO632" s="103">
        <v>15.586781160551652</v>
      </c>
    </row>
    <row r="633" spans="2:119" x14ac:dyDescent="0.45">
      <c r="B633" s="99"/>
      <c r="C633" s="42"/>
      <c r="D633" s="42"/>
      <c r="E633" s="42"/>
      <c r="F633" s="42"/>
      <c r="G633" s="42"/>
      <c r="H633" s="42"/>
      <c r="I633" s="42"/>
      <c r="J633" s="42"/>
      <c r="K633" s="42"/>
      <c r="L633" s="42"/>
      <c r="M633" s="42"/>
      <c r="N633" s="42"/>
      <c r="O633" s="42"/>
      <c r="P633" s="42"/>
      <c r="Q633" s="42"/>
      <c r="R633" s="42"/>
      <c r="S633" s="42"/>
      <c r="T633" s="42"/>
      <c r="U633" s="42"/>
      <c r="V633" s="42"/>
      <c r="W633" s="42"/>
      <c r="X633" s="42"/>
      <c r="Y633" s="42"/>
      <c r="Z633" s="42"/>
      <c r="AA633" s="42"/>
      <c r="AB633" s="42"/>
      <c r="AC633" s="42"/>
      <c r="AD633" s="42"/>
      <c r="AE633" s="42"/>
      <c r="AF633" s="42"/>
      <c r="AG633" s="42"/>
      <c r="AH633" s="42"/>
      <c r="AI633" s="42"/>
      <c r="AJ633" s="42"/>
      <c r="AK633" s="42"/>
      <c r="AL633" s="42"/>
      <c r="AM633" s="42"/>
      <c r="AN633" s="42"/>
      <c r="AO633" s="42"/>
      <c r="AQ633" s="42"/>
      <c r="AR633" s="42"/>
      <c r="AS633" s="42"/>
      <c r="AT633" s="42"/>
      <c r="AU633" s="42"/>
      <c r="AV633" s="42"/>
      <c r="AW633" s="42"/>
      <c r="AX633" s="42"/>
      <c r="AY633" s="42"/>
      <c r="AZ633" s="42"/>
      <c r="BA633" s="42"/>
      <c r="BB633" s="42"/>
      <c r="BC633" s="42"/>
      <c r="BD633" s="42"/>
      <c r="BE633" s="42"/>
      <c r="BF633" s="42"/>
      <c r="BG633" s="42"/>
      <c r="BH633" s="42"/>
      <c r="BI633" s="42"/>
      <c r="BJ633" s="42"/>
      <c r="BK633" s="42"/>
      <c r="BL633" s="42"/>
      <c r="BM633" s="42"/>
      <c r="BN633" s="42"/>
      <c r="BO633" s="42"/>
      <c r="BQ633" s="42"/>
      <c r="BR633" s="42"/>
      <c r="BS633" s="42"/>
      <c r="BT633" s="42"/>
      <c r="BU633" s="42"/>
      <c r="BV633" s="42"/>
      <c r="BW633" s="42"/>
      <c r="BX633" s="42"/>
      <c r="BY633" s="42"/>
      <c r="BZ633" s="42"/>
      <c r="CA633" s="42"/>
      <c r="CB633" s="42"/>
      <c r="CC633" s="42"/>
      <c r="CD633" s="42"/>
      <c r="CE633" s="42"/>
      <c r="CF633" s="42"/>
      <c r="CG633" s="42"/>
      <c r="CH633" s="42"/>
      <c r="CI633" s="42"/>
      <c r="CJ633" s="42"/>
      <c r="CK633" s="42"/>
      <c r="CL633" s="42"/>
      <c r="CM633" s="42"/>
      <c r="CN633" s="42"/>
      <c r="CO633" s="42"/>
      <c r="CQ633" s="42"/>
      <c r="CR633" s="42"/>
      <c r="CS633" s="42"/>
      <c r="CT633" s="42"/>
      <c r="CU633" s="42"/>
      <c r="CV633" s="42"/>
      <c r="CW633" s="42"/>
      <c r="CX633" s="42"/>
      <c r="CY633" s="42"/>
      <c r="CZ633" s="42"/>
      <c r="DA633" s="42"/>
      <c r="DB633" s="42"/>
      <c r="DC633" s="42"/>
      <c r="DD633" s="42"/>
      <c r="DE633" s="42"/>
      <c r="DF633" s="42"/>
      <c r="DG633" s="42"/>
      <c r="DH633" s="42"/>
      <c r="DI633" s="42"/>
      <c r="DJ633" s="42"/>
      <c r="DK633" s="42"/>
      <c r="DL633" s="42"/>
      <c r="DM633" s="42"/>
      <c r="DN633" s="42"/>
      <c r="DO633" s="42"/>
    </row>
    <row r="634" spans="2:119" x14ac:dyDescent="0.45">
      <c r="B634" s="99"/>
      <c r="C634" s="42"/>
      <c r="D634" s="42"/>
      <c r="E634" s="42"/>
      <c r="F634" s="42"/>
      <c r="G634" s="42"/>
      <c r="H634" s="42"/>
      <c r="I634" s="42"/>
      <c r="J634" s="42"/>
      <c r="K634" s="42"/>
      <c r="L634" s="42"/>
      <c r="M634" s="42"/>
      <c r="N634" s="42"/>
      <c r="O634" s="42"/>
      <c r="P634" s="42"/>
      <c r="Q634" s="42"/>
      <c r="R634" s="42"/>
      <c r="S634" s="42"/>
      <c r="T634" s="42"/>
      <c r="U634" s="42"/>
      <c r="V634" s="42"/>
      <c r="W634" s="42"/>
      <c r="X634" s="42"/>
      <c r="Y634" s="42"/>
      <c r="Z634" s="42"/>
      <c r="AA634" s="42"/>
      <c r="AB634" s="42"/>
      <c r="AC634" s="42"/>
      <c r="AD634" s="42"/>
      <c r="AE634" s="42"/>
      <c r="AF634" s="42"/>
      <c r="AG634" s="42"/>
      <c r="AH634" s="42"/>
      <c r="AI634" s="42"/>
      <c r="AJ634" s="42"/>
      <c r="AK634" s="42"/>
      <c r="AL634" s="42"/>
      <c r="AM634" s="42"/>
      <c r="AN634" s="42"/>
      <c r="AO634" s="42"/>
      <c r="AQ634" s="42"/>
      <c r="AR634" s="42"/>
      <c r="AS634" s="42"/>
      <c r="AT634" s="42"/>
      <c r="AU634" s="42"/>
      <c r="AV634" s="42"/>
      <c r="AW634" s="42"/>
      <c r="AX634" s="42"/>
      <c r="AY634" s="42"/>
      <c r="AZ634" s="42"/>
      <c r="BA634" s="42"/>
      <c r="BB634" s="42"/>
      <c r="BC634" s="42"/>
      <c r="BD634" s="42"/>
      <c r="BE634" s="42"/>
      <c r="BF634" s="42"/>
      <c r="BG634" s="42"/>
      <c r="BH634" s="42"/>
      <c r="BI634" s="42"/>
      <c r="BJ634" s="42"/>
      <c r="BK634" s="42"/>
      <c r="BL634" s="42"/>
      <c r="BM634" s="42"/>
      <c r="BN634" s="42"/>
      <c r="BO634" s="42"/>
      <c r="BQ634" s="42"/>
      <c r="BR634" s="42"/>
      <c r="BS634" s="42"/>
      <c r="BT634" s="42"/>
      <c r="BU634" s="42"/>
      <c r="BV634" s="42"/>
      <c r="BW634" s="42"/>
      <c r="BX634" s="42"/>
      <c r="BY634" s="42"/>
      <c r="BZ634" s="42"/>
      <c r="CA634" s="42"/>
      <c r="CB634" s="42"/>
      <c r="CC634" s="42"/>
      <c r="CD634" s="42"/>
      <c r="CE634" s="42"/>
      <c r="CF634" s="42"/>
      <c r="CG634" s="42"/>
      <c r="CH634" s="42"/>
      <c r="CI634" s="42"/>
      <c r="CJ634" s="42"/>
      <c r="CK634" s="42"/>
      <c r="CL634" s="42"/>
      <c r="CM634" s="42"/>
      <c r="CN634" s="42"/>
      <c r="CO634" s="42"/>
      <c r="CQ634" s="42"/>
      <c r="CR634" s="42"/>
      <c r="CS634" s="42"/>
      <c r="CT634" s="42"/>
      <c r="CU634" s="42"/>
      <c r="CV634" s="42"/>
      <c r="CW634" s="42"/>
      <c r="CX634" s="42"/>
      <c r="CY634" s="42"/>
      <c r="CZ634" s="42"/>
      <c r="DA634" s="42"/>
      <c r="DB634" s="42"/>
      <c r="DC634" s="42"/>
      <c r="DD634" s="42"/>
      <c r="DE634" s="42"/>
      <c r="DF634" s="42"/>
      <c r="DG634" s="42"/>
      <c r="DH634" s="42"/>
      <c r="DI634" s="42"/>
      <c r="DJ634" s="42"/>
      <c r="DK634" s="42"/>
      <c r="DL634" s="42"/>
      <c r="DM634" s="42"/>
      <c r="DN634" s="42"/>
      <c r="DO634" s="42"/>
    </row>
    <row r="635" spans="2:119" ht="18.75" customHeight="1" x14ac:dyDescent="0.55000000000000004">
      <c r="B635" s="99"/>
      <c r="C635" s="42"/>
      <c r="D635" s="112" t="s">
        <v>24</v>
      </c>
      <c r="E635" s="112"/>
      <c r="F635" s="45"/>
      <c r="G635" s="45"/>
      <c r="H635" s="45"/>
      <c r="I635" s="45"/>
      <c r="J635" s="45"/>
      <c r="K635" s="45"/>
      <c r="L635" s="45"/>
      <c r="M635" s="45"/>
      <c r="N635" s="45"/>
      <c r="O635" s="45"/>
      <c r="P635" s="42"/>
      <c r="Q635" s="112" t="s">
        <v>24</v>
      </c>
      <c r="R635" s="112"/>
      <c r="S635" s="45"/>
      <c r="T635" s="45"/>
      <c r="U635" s="45"/>
      <c r="V635" s="45"/>
      <c r="W635" s="45"/>
      <c r="X635" s="45"/>
      <c r="Y635" s="45"/>
      <c r="Z635" s="45"/>
      <c r="AA635" s="45"/>
      <c r="AB635" s="45"/>
      <c r="AC635" s="42"/>
      <c r="AD635" s="112" t="s">
        <v>24</v>
      </c>
      <c r="AE635" s="112"/>
      <c r="AF635" s="45"/>
      <c r="AG635" s="45"/>
      <c r="AH635" s="45"/>
      <c r="AI635" s="45"/>
      <c r="AJ635" s="45"/>
      <c r="AK635" s="45"/>
      <c r="AL635" s="45"/>
      <c r="AM635" s="45"/>
      <c r="AN635" s="45"/>
      <c r="AO635" s="45"/>
      <c r="AP635" s="6"/>
      <c r="AQ635" s="112" t="s">
        <v>24</v>
      </c>
      <c r="AR635" s="112"/>
      <c r="AS635" s="45"/>
      <c r="AT635" s="45"/>
      <c r="AU635" s="45"/>
      <c r="AV635" s="45"/>
      <c r="AW635" s="45"/>
      <c r="AX635" s="45"/>
      <c r="AY635" s="45"/>
      <c r="AZ635" s="45"/>
      <c r="BA635" s="45"/>
      <c r="BB635" s="45"/>
      <c r="BC635" s="42"/>
      <c r="BD635" s="112" t="s">
        <v>24</v>
      </c>
      <c r="BE635" s="112"/>
      <c r="BF635" s="45"/>
      <c r="BG635" s="45"/>
      <c r="BH635" s="45"/>
      <c r="BI635" s="45"/>
      <c r="BJ635" s="45"/>
      <c r="BK635" s="45"/>
      <c r="BL635" s="45"/>
      <c r="BM635" s="45"/>
      <c r="BN635" s="45"/>
      <c r="BO635" s="45"/>
      <c r="BQ635" s="112" t="s">
        <v>24</v>
      </c>
      <c r="BR635" s="112"/>
      <c r="BS635" s="45"/>
      <c r="BT635" s="45"/>
      <c r="BU635" s="45"/>
      <c r="BV635" s="45"/>
      <c r="BW635" s="45"/>
      <c r="BX635" s="45"/>
      <c r="BY635" s="45"/>
      <c r="BZ635" s="45"/>
      <c r="CA635" s="45"/>
      <c r="CB635" s="45"/>
      <c r="CC635" s="42"/>
      <c r="CD635" s="112" t="s">
        <v>24</v>
      </c>
      <c r="CE635" s="112"/>
      <c r="CF635" s="45"/>
      <c r="CG635" s="45"/>
      <c r="CH635" s="45"/>
      <c r="CI635" s="45"/>
      <c r="CJ635" s="45"/>
      <c r="CK635" s="45"/>
      <c r="CL635" s="45"/>
      <c r="CM635" s="45"/>
      <c r="CN635" s="45"/>
      <c r="CO635" s="45"/>
      <c r="CQ635" s="112" t="s">
        <v>24</v>
      </c>
      <c r="CR635" s="112"/>
      <c r="CS635" s="45"/>
      <c r="CT635" s="45"/>
      <c r="CU635" s="45"/>
      <c r="CV635" s="45"/>
      <c r="CW635" s="45"/>
      <c r="CX635" s="45"/>
      <c r="CY635" s="45"/>
      <c r="CZ635" s="45"/>
      <c r="DA635" s="45"/>
      <c r="DB635" s="45"/>
      <c r="DC635" s="42"/>
      <c r="DD635" s="112" t="s">
        <v>24</v>
      </c>
      <c r="DE635" s="112"/>
      <c r="DF635" s="45"/>
      <c r="DG635" s="45"/>
      <c r="DH635" s="45"/>
      <c r="DI635" s="45"/>
      <c r="DJ635" s="45"/>
      <c r="DK635" s="45"/>
      <c r="DL635" s="45"/>
      <c r="DM635" s="45"/>
      <c r="DN635" s="45"/>
      <c r="DO635" s="45"/>
    </row>
    <row r="636" spans="2:119" ht="28.9" customHeight="1" x14ac:dyDescent="0.45">
      <c r="B636" s="99"/>
      <c r="C636" s="42"/>
      <c r="D636" s="112"/>
      <c r="E636" s="112"/>
      <c r="F636" s="108" t="s">
        <v>12</v>
      </c>
      <c r="G636" s="108"/>
      <c r="H636" s="108"/>
      <c r="I636" s="108"/>
      <c r="J636" s="108"/>
      <c r="K636" s="108"/>
      <c r="L636" s="108"/>
      <c r="M636" s="108"/>
      <c r="N636" s="108"/>
      <c r="O636" s="108"/>
      <c r="P636" s="42"/>
      <c r="Q636" s="112"/>
      <c r="R636" s="112"/>
      <c r="S636" s="108" t="s">
        <v>12</v>
      </c>
      <c r="T636" s="108"/>
      <c r="U636" s="108"/>
      <c r="V636" s="108"/>
      <c r="W636" s="108"/>
      <c r="X636" s="108"/>
      <c r="Y636" s="108"/>
      <c r="Z636" s="108"/>
      <c r="AA636" s="108"/>
      <c r="AB636" s="108"/>
      <c r="AC636" s="42"/>
      <c r="AD636" s="112"/>
      <c r="AE636" s="112"/>
      <c r="AF636" s="108" t="s">
        <v>12</v>
      </c>
      <c r="AG636" s="108"/>
      <c r="AH636" s="108"/>
      <c r="AI636" s="108"/>
      <c r="AJ636" s="108"/>
      <c r="AK636" s="108"/>
      <c r="AL636" s="108"/>
      <c r="AM636" s="108"/>
      <c r="AN636" s="108"/>
      <c r="AO636" s="108"/>
      <c r="AP636" s="6"/>
      <c r="AQ636" s="112"/>
      <c r="AR636" s="112"/>
      <c r="AS636" s="108" t="s">
        <v>12</v>
      </c>
      <c r="AT636" s="108"/>
      <c r="AU636" s="108"/>
      <c r="AV636" s="108"/>
      <c r="AW636" s="108"/>
      <c r="AX636" s="108"/>
      <c r="AY636" s="108"/>
      <c r="AZ636" s="108"/>
      <c r="BA636" s="108"/>
      <c r="BB636" s="108"/>
      <c r="BC636" s="42"/>
      <c r="BD636" s="112"/>
      <c r="BE636" s="112"/>
      <c r="BF636" s="108" t="s">
        <v>12</v>
      </c>
      <c r="BG636" s="108"/>
      <c r="BH636" s="108"/>
      <c r="BI636" s="108"/>
      <c r="BJ636" s="108"/>
      <c r="BK636" s="108"/>
      <c r="BL636" s="108"/>
      <c r="BM636" s="108"/>
      <c r="BN636" s="108"/>
      <c r="BO636" s="108"/>
      <c r="BQ636" s="112"/>
      <c r="BR636" s="112"/>
      <c r="BS636" s="108" t="s">
        <v>12</v>
      </c>
      <c r="BT636" s="108"/>
      <c r="BU636" s="108"/>
      <c r="BV636" s="108"/>
      <c r="BW636" s="108"/>
      <c r="BX636" s="108"/>
      <c r="BY636" s="108"/>
      <c r="BZ636" s="108"/>
      <c r="CA636" s="108"/>
      <c r="CB636" s="108"/>
      <c r="CC636" s="42"/>
      <c r="CD636" s="112"/>
      <c r="CE636" s="112"/>
      <c r="CF636" s="108" t="s">
        <v>12</v>
      </c>
      <c r="CG636" s="108"/>
      <c r="CH636" s="108"/>
      <c r="CI636" s="108"/>
      <c r="CJ636" s="108"/>
      <c r="CK636" s="108"/>
      <c r="CL636" s="108"/>
      <c r="CM636" s="108"/>
      <c r="CN636" s="108"/>
      <c r="CO636" s="108"/>
      <c r="CQ636" s="112"/>
      <c r="CR636" s="112"/>
      <c r="CS636" s="108" t="s">
        <v>12</v>
      </c>
      <c r="CT636" s="108"/>
      <c r="CU636" s="108"/>
      <c r="CV636" s="108"/>
      <c r="CW636" s="108"/>
      <c r="CX636" s="108"/>
      <c r="CY636" s="108"/>
      <c r="CZ636" s="108"/>
      <c r="DA636" s="108"/>
      <c r="DB636" s="108"/>
      <c r="DC636" s="42"/>
      <c r="DD636" s="112"/>
      <c r="DE636" s="112"/>
      <c r="DF636" s="108" t="s">
        <v>12</v>
      </c>
      <c r="DG636" s="108"/>
      <c r="DH636" s="108"/>
      <c r="DI636" s="108"/>
      <c r="DJ636" s="108"/>
      <c r="DK636" s="108"/>
      <c r="DL636" s="108"/>
      <c r="DM636" s="108"/>
      <c r="DN636" s="108"/>
      <c r="DO636" s="108"/>
    </row>
    <row r="637" spans="2:119" ht="15" customHeight="1" x14ac:dyDescent="0.45">
      <c r="B637" s="99"/>
      <c r="C637" s="42"/>
      <c r="D637" s="113"/>
      <c r="E637" s="113"/>
      <c r="F637" s="9" t="s">
        <v>0</v>
      </c>
      <c r="G637" s="9">
        <v>1</v>
      </c>
      <c r="H637" s="9">
        <v>2</v>
      </c>
      <c r="I637" s="9">
        <v>3</v>
      </c>
      <c r="J637" s="9">
        <v>4</v>
      </c>
      <c r="K637" s="9">
        <v>5</v>
      </c>
      <c r="L637" s="9">
        <v>6</v>
      </c>
      <c r="M637" s="9">
        <v>7</v>
      </c>
      <c r="N637" s="9">
        <v>8</v>
      </c>
      <c r="O637" s="9">
        <v>9</v>
      </c>
      <c r="P637" s="42"/>
      <c r="Q637" s="113"/>
      <c r="R637" s="113"/>
      <c r="S637" s="9" t="s">
        <v>0</v>
      </c>
      <c r="T637" s="9">
        <v>1</v>
      </c>
      <c r="U637" s="9">
        <v>2</v>
      </c>
      <c r="V637" s="9">
        <v>3</v>
      </c>
      <c r="W637" s="9">
        <v>4</v>
      </c>
      <c r="X637" s="9">
        <v>5</v>
      </c>
      <c r="Y637" s="9">
        <v>6</v>
      </c>
      <c r="Z637" s="9">
        <v>7</v>
      </c>
      <c r="AA637" s="9">
        <v>8</v>
      </c>
      <c r="AB637" s="9">
        <v>9</v>
      </c>
      <c r="AC637" s="42"/>
      <c r="AD637" s="113"/>
      <c r="AE637" s="113"/>
      <c r="AF637" s="9" t="s">
        <v>0</v>
      </c>
      <c r="AG637" s="9">
        <v>1</v>
      </c>
      <c r="AH637" s="9">
        <v>2</v>
      </c>
      <c r="AI637" s="9">
        <v>3</v>
      </c>
      <c r="AJ637" s="9">
        <v>4</v>
      </c>
      <c r="AK637" s="9">
        <v>5</v>
      </c>
      <c r="AL637" s="9">
        <v>6</v>
      </c>
      <c r="AM637" s="9">
        <v>7</v>
      </c>
      <c r="AN637" s="9">
        <v>8</v>
      </c>
      <c r="AO637" s="9">
        <v>9</v>
      </c>
      <c r="AP637" s="6"/>
      <c r="AQ637" s="113"/>
      <c r="AR637" s="113"/>
      <c r="AS637" s="9" t="s">
        <v>0</v>
      </c>
      <c r="AT637" s="9">
        <v>1</v>
      </c>
      <c r="AU637" s="9">
        <v>2</v>
      </c>
      <c r="AV637" s="9">
        <v>3</v>
      </c>
      <c r="AW637" s="9">
        <v>4</v>
      </c>
      <c r="AX637" s="9">
        <v>5</v>
      </c>
      <c r="AY637" s="9">
        <v>6</v>
      </c>
      <c r="AZ637" s="9">
        <v>7</v>
      </c>
      <c r="BA637" s="9">
        <v>8</v>
      </c>
      <c r="BB637" s="9">
        <v>9</v>
      </c>
      <c r="BC637" s="42"/>
      <c r="BD637" s="113"/>
      <c r="BE637" s="113"/>
      <c r="BF637" s="9" t="s">
        <v>0</v>
      </c>
      <c r="BG637" s="9">
        <v>1</v>
      </c>
      <c r="BH637" s="9">
        <v>2</v>
      </c>
      <c r="BI637" s="9">
        <v>3</v>
      </c>
      <c r="BJ637" s="9">
        <v>4</v>
      </c>
      <c r="BK637" s="9">
        <v>5</v>
      </c>
      <c r="BL637" s="9">
        <v>6</v>
      </c>
      <c r="BM637" s="9">
        <v>7</v>
      </c>
      <c r="BN637" s="9">
        <v>8</v>
      </c>
      <c r="BO637" s="9">
        <v>9</v>
      </c>
      <c r="BQ637" s="113"/>
      <c r="BR637" s="113"/>
      <c r="BS637" s="9" t="s">
        <v>0</v>
      </c>
      <c r="BT637" s="9">
        <v>1</v>
      </c>
      <c r="BU637" s="9">
        <v>2</v>
      </c>
      <c r="BV637" s="9">
        <v>3</v>
      </c>
      <c r="BW637" s="9">
        <v>4</v>
      </c>
      <c r="BX637" s="9">
        <v>5</v>
      </c>
      <c r="BY637" s="9">
        <v>6</v>
      </c>
      <c r="BZ637" s="9">
        <v>7</v>
      </c>
      <c r="CA637" s="9">
        <v>8</v>
      </c>
      <c r="CB637" s="9">
        <v>9</v>
      </c>
      <c r="CC637" s="42"/>
      <c r="CD637" s="113"/>
      <c r="CE637" s="113"/>
      <c r="CF637" s="9" t="s">
        <v>0</v>
      </c>
      <c r="CG637" s="9">
        <v>1</v>
      </c>
      <c r="CH637" s="9">
        <v>2</v>
      </c>
      <c r="CI637" s="9">
        <v>3</v>
      </c>
      <c r="CJ637" s="9">
        <v>4</v>
      </c>
      <c r="CK637" s="9">
        <v>5</v>
      </c>
      <c r="CL637" s="9">
        <v>6</v>
      </c>
      <c r="CM637" s="9">
        <v>7</v>
      </c>
      <c r="CN637" s="9">
        <v>8</v>
      </c>
      <c r="CO637" s="9">
        <v>9</v>
      </c>
      <c r="CQ637" s="113"/>
      <c r="CR637" s="113"/>
      <c r="CS637" s="9" t="s">
        <v>0</v>
      </c>
      <c r="CT637" s="9">
        <v>1</v>
      </c>
      <c r="CU637" s="9">
        <v>2</v>
      </c>
      <c r="CV637" s="9">
        <v>3</v>
      </c>
      <c r="CW637" s="9">
        <v>4</v>
      </c>
      <c r="CX637" s="9">
        <v>5</v>
      </c>
      <c r="CY637" s="9">
        <v>6</v>
      </c>
      <c r="CZ637" s="9">
        <v>7</v>
      </c>
      <c r="DA637" s="9">
        <v>8</v>
      </c>
      <c r="DB637" s="9">
        <v>9</v>
      </c>
      <c r="DC637" s="42"/>
      <c r="DD637" s="113"/>
      <c r="DE637" s="113"/>
      <c r="DF637" s="9" t="s">
        <v>0</v>
      </c>
      <c r="DG637" s="9">
        <v>1</v>
      </c>
      <c r="DH637" s="9">
        <v>2</v>
      </c>
      <c r="DI637" s="9">
        <v>3</v>
      </c>
      <c r="DJ637" s="9">
        <v>4</v>
      </c>
      <c r="DK637" s="9">
        <v>5</v>
      </c>
      <c r="DL637" s="9">
        <v>6</v>
      </c>
      <c r="DM637" s="9">
        <v>7</v>
      </c>
      <c r="DN637" s="9">
        <v>8</v>
      </c>
      <c r="DO637" s="9">
        <v>9</v>
      </c>
    </row>
    <row r="638" spans="2:119" ht="16.5" customHeight="1" x14ac:dyDescent="0.45">
      <c r="B638" s="134" t="s">
        <v>14</v>
      </c>
      <c r="C638" s="42"/>
      <c r="D638" s="109" t="s">
        <v>13</v>
      </c>
      <c r="E638" s="46" t="s">
        <v>1</v>
      </c>
      <c r="F638" s="103">
        <v>0</v>
      </c>
      <c r="G638" s="103">
        <v>1</v>
      </c>
      <c r="H638" s="103">
        <v>3</v>
      </c>
      <c r="I638" s="103">
        <v>3</v>
      </c>
      <c r="J638" s="103">
        <v>1</v>
      </c>
      <c r="K638" s="103">
        <v>0</v>
      </c>
      <c r="L638" s="103">
        <v>3</v>
      </c>
      <c r="M638" s="103">
        <v>4</v>
      </c>
      <c r="N638" s="103">
        <v>1</v>
      </c>
      <c r="O638" s="17">
        <v>4</v>
      </c>
      <c r="P638" s="42"/>
      <c r="Q638" s="109" t="s">
        <v>13</v>
      </c>
      <c r="R638" s="46" t="s">
        <v>1</v>
      </c>
      <c r="S638" s="103">
        <v>0</v>
      </c>
      <c r="T638" s="103">
        <v>1</v>
      </c>
      <c r="U638" s="103">
        <v>1</v>
      </c>
      <c r="V638" s="103">
        <v>1</v>
      </c>
      <c r="W638" s="103">
        <v>1</v>
      </c>
      <c r="X638" s="103">
        <v>0</v>
      </c>
      <c r="Y638" s="103">
        <v>2</v>
      </c>
      <c r="Z638" s="103">
        <v>2</v>
      </c>
      <c r="AA638" s="103">
        <v>1</v>
      </c>
      <c r="AB638" s="17">
        <v>3</v>
      </c>
      <c r="AC638" s="42"/>
      <c r="AD638" s="109" t="s">
        <v>13</v>
      </c>
      <c r="AE638" s="46" t="s">
        <v>1</v>
      </c>
      <c r="AF638" s="103">
        <v>0</v>
      </c>
      <c r="AG638" s="103">
        <v>0</v>
      </c>
      <c r="AH638" s="103">
        <v>2</v>
      </c>
      <c r="AI638" s="103">
        <v>2</v>
      </c>
      <c r="AJ638" s="103">
        <v>0</v>
      </c>
      <c r="AK638" s="103">
        <v>0</v>
      </c>
      <c r="AL638" s="103">
        <v>1</v>
      </c>
      <c r="AM638" s="103">
        <v>2</v>
      </c>
      <c r="AN638" s="103">
        <v>0</v>
      </c>
      <c r="AO638" s="17">
        <v>1</v>
      </c>
      <c r="AP638" s="6"/>
      <c r="AQ638" s="109" t="s">
        <v>13</v>
      </c>
      <c r="AR638" s="46" t="s">
        <v>1</v>
      </c>
      <c r="AS638" s="103">
        <v>0</v>
      </c>
      <c r="AT638" s="103">
        <v>0</v>
      </c>
      <c r="AU638" s="103">
        <v>1</v>
      </c>
      <c r="AV638" s="103">
        <v>2</v>
      </c>
      <c r="AW638" s="103">
        <v>0</v>
      </c>
      <c r="AX638" s="103">
        <v>0</v>
      </c>
      <c r="AY638" s="103">
        <v>0</v>
      </c>
      <c r="AZ638" s="103">
        <v>2</v>
      </c>
      <c r="BA638" s="103">
        <v>1</v>
      </c>
      <c r="BB638" s="17">
        <v>4</v>
      </c>
      <c r="BC638" s="42"/>
      <c r="BD638" s="109" t="s">
        <v>13</v>
      </c>
      <c r="BE638" s="46" t="s">
        <v>1</v>
      </c>
      <c r="BF638" s="103">
        <v>0</v>
      </c>
      <c r="BG638" s="103">
        <v>1</v>
      </c>
      <c r="BH638" s="103">
        <v>2</v>
      </c>
      <c r="BI638" s="103">
        <v>1</v>
      </c>
      <c r="BJ638" s="103">
        <v>1</v>
      </c>
      <c r="BK638" s="103">
        <v>0</v>
      </c>
      <c r="BL638" s="103">
        <v>3</v>
      </c>
      <c r="BM638" s="103">
        <v>2</v>
      </c>
      <c r="BN638" s="103">
        <v>0</v>
      </c>
      <c r="BO638" s="17">
        <v>0</v>
      </c>
      <c r="BQ638" s="109" t="s">
        <v>13</v>
      </c>
      <c r="BR638" s="46" t="s">
        <v>1</v>
      </c>
      <c r="BS638" s="103">
        <v>0</v>
      </c>
      <c r="BT638" s="103">
        <v>1</v>
      </c>
      <c r="BU638" s="103">
        <v>0</v>
      </c>
      <c r="BV638" s="103">
        <v>1</v>
      </c>
      <c r="BW638" s="103">
        <v>0</v>
      </c>
      <c r="BX638" s="103">
        <v>0</v>
      </c>
      <c r="BY638" s="103">
        <v>1</v>
      </c>
      <c r="BZ638" s="103">
        <v>0</v>
      </c>
      <c r="CA638" s="103">
        <v>0</v>
      </c>
      <c r="CB638" s="17">
        <v>1</v>
      </c>
      <c r="CC638" s="42"/>
      <c r="CD638" s="109" t="s">
        <v>13</v>
      </c>
      <c r="CE638" s="46" t="s">
        <v>1</v>
      </c>
      <c r="CF638" s="103">
        <v>0</v>
      </c>
      <c r="CG638" s="103">
        <v>0</v>
      </c>
      <c r="CH638" s="103">
        <v>3</v>
      </c>
      <c r="CI638" s="103">
        <v>2</v>
      </c>
      <c r="CJ638" s="103">
        <v>1</v>
      </c>
      <c r="CK638" s="103">
        <v>0</v>
      </c>
      <c r="CL638" s="103">
        <v>2</v>
      </c>
      <c r="CM638" s="103">
        <v>4</v>
      </c>
      <c r="CN638" s="103">
        <v>1</v>
      </c>
      <c r="CO638" s="17">
        <v>3</v>
      </c>
      <c r="CQ638" s="109" t="s">
        <v>13</v>
      </c>
      <c r="CR638" s="46" t="s">
        <v>1</v>
      </c>
      <c r="CS638" s="103">
        <v>0</v>
      </c>
      <c r="CT638" s="103">
        <v>1</v>
      </c>
      <c r="CU638" s="103">
        <v>3</v>
      </c>
      <c r="CV638" s="103">
        <v>1</v>
      </c>
      <c r="CW638" s="103">
        <v>1</v>
      </c>
      <c r="CX638" s="103">
        <v>0</v>
      </c>
      <c r="CY638" s="103">
        <v>3</v>
      </c>
      <c r="CZ638" s="103">
        <v>4</v>
      </c>
      <c r="DA638" s="103">
        <v>1</v>
      </c>
      <c r="DB638" s="17">
        <v>3</v>
      </c>
      <c r="DC638" s="42"/>
      <c r="DD638" s="109" t="s">
        <v>13</v>
      </c>
      <c r="DE638" s="46" t="s">
        <v>1</v>
      </c>
      <c r="DF638" s="103">
        <v>0</v>
      </c>
      <c r="DG638" s="103">
        <v>0</v>
      </c>
      <c r="DH638" s="103">
        <v>0</v>
      </c>
      <c r="DI638" s="103">
        <v>2</v>
      </c>
      <c r="DJ638" s="103">
        <v>0</v>
      </c>
      <c r="DK638" s="103">
        <v>0</v>
      </c>
      <c r="DL638" s="103">
        <v>0</v>
      </c>
      <c r="DM638" s="103">
        <v>0</v>
      </c>
      <c r="DN638" s="103">
        <v>0</v>
      </c>
      <c r="DO638" s="17">
        <v>1</v>
      </c>
    </row>
    <row r="639" spans="2:119" ht="16.5" customHeight="1" x14ac:dyDescent="0.45">
      <c r="B639" s="134"/>
      <c r="C639" s="42"/>
      <c r="D639" s="110"/>
      <c r="E639" s="46">
        <v>1</v>
      </c>
      <c r="F639" s="103">
        <v>0</v>
      </c>
      <c r="G639" s="103">
        <v>4</v>
      </c>
      <c r="H639" s="103">
        <v>3</v>
      </c>
      <c r="I639" s="103">
        <v>4</v>
      </c>
      <c r="J639" s="103">
        <v>3</v>
      </c>
      <c r="K639" s="103">
        <v>1</v>
      </c>
      <c r="L639" s="103">
        <v>2</v>
      </c>
      <c r="M639" s="103">
        <v>5</v>
      </c>
      <c r="N639" s="103">
        <v>4</v>
      </c>
      <c r="O639" s="103">
        <v>2</v>
      </c>
      <c r="P639" s="42"/>
      <c r="Q639" s="110"/>
      <c r="R639" s="46">
        <v>1</v>
      </c>
      <c r="S639" s="103">
        <v>0</v>
      </c>
      <c r="T639" s="103">
        <v>1</v>
      </c>
      <c r="U639" s="103">
        <v>1</v>
      </c>
      <c r="V639" s="103">
        <v>3</v>
      </c>
      <c r="W639" s="103">
        <v>2</v>
      </c>
      <c r="X639" s="103">
        <v>1</v>
      </c>
      <c r="Y639" s="103">
        <v>0</v>
      </c>
      <c r="Z639" s="103">
        <v>4</v>
      </c>
      <c r="AA639" s="103">
        <v>3</v>
      </c>
      <c r="AB639" s="103">
        <v>2</v>
      </c>
      <c r="AC639" s="42"/>
      <c r="AD639" s="110"/>
      <c r="AE639" s="46">
        <v>1</v>
      </c>
      <c r="AF639" s="103">
        <v>0</v>
      </c>
      <c r="AG639" s="103">
        <v>3</v>
      </c>
      <c r="AH639" s="103">
        <v>2</v>
      </c>
      <c r="AI639" s="103">
        <v>1</v>
      </c>
      <c r="AJ639" s="103">
        <v>1</v>
      </c>
      <c r="AK639" s="103">
        <v>0</v>
      </c>
      <c r="AL639" s="103">
        <v>2</v>
      </c>
      <c r="AM639" s="103">
        <v>1</v>
      </c>
      <c r="AN639" s="103">
        <v>1</v>
      </c>
      <c r="AO639" s="103">
        <v>0</v>
      </c>
      <c r="AP639" s="6"/>
      <c r="AQ639" s="110"/>
      <c r="AR639" s="46">
        <v>1</v>
      </c>
      <c r="AS639" s="103">
        <v>0</v>
      </c>
      <c r="AT639" s="103">
        <v>2</v>
      </c>
      <c r="AU639" s="103">
        <v>2</v>
      </c>
      <c r="AV639" s="103">
        <v>3</v>
      </c>
      <c r="AW639" s="103">
        <v>1</v>
      </c>
      <c r="AX639" s="103">
        <v>0</v>
      </c>
      <c r="AY639" s="103">
        <v>2</v>
      </c>
      <c r="AZ639" s="103">
        <v>2</v>
      </c>
      <c r="BA639" s="103">
        <v>1</v>
      </c>
      <c r="BB639" s="103">
        <v>1</v>
      </c>
      <c r="BC639" s="42"/>
      <c r="BD639" s="110"/>
      <c r="BE639" s="46">
        <v>1</v>
      </c>
      <c r="BF639" s="103">
        <v>0</v>
      </c>
      <c r="BG639" s="103">
        <v>2</v>
      </c>
      <c r="BH639" s="103">
        <v>1</v>
      </c>
      <c r="BI639" s="103">
        <v>1</v>
      </c>
      <c r="BJ639" s="103">
        <v>2</v>
      </c>
      <c r="BK639" s="103">
        <v>1</v>
      </c>
      <c r="BL639" s="103">
        <v>0</v>
      </c>
      <c r="BM639" s="103">
        <v>3</v>
      </c>
      <c r="BN639" s="103">
        <v>3</v>
      </c>
      <c r="BO639" s="103">
        <v>1</v>
      </c>
      <c r="BQ639" s="110"/>
      <c r="BR639" s="46">
        <v>1</v>
      </c>
      <c r="BS639" s="103">
        <v>0</v>
      </c>
      <c r="BT639" s="103">
        <v>1</v>
      </c>
      <c r="BU639" s="103">
        <v>0</v>
      </c>
      <c r="BV639" s="103">
        <v>3</v>
      </c>
      <c r="BW639" s="103">
        <v>1</v>
      </c>
      <c r="BX639" s="103">
        <v>0</v>
      </c>
      <c r="BY639" s="103">
        <v>0</v>
      </c>
      <c r="BZ639" s="103">
        <v>0</v>
      </c>
      <c r="CA639" s="103">
        <v>0</v>
      </c>
      <c r="CB639" s="103">
        <v>0</v>
      </c>
      <c r="CC639" s="42"/>
      <c r="CD639" s="110"/>
      <c r="CE639" s="46">
        <v>1</v>
      </c>
      <c r="CF639" s="103">
        <v>0</v>
      </c>
      <c r="CG639" s="103">
        <v>3</v>
      </c>
      <c r="CH639" s="103">
        <v>3</v>
      </c>
      <c r="CI639" s="103">
        <v>1</v>
      </c>
      <c r="CJ639" s="103">
        <v>2</v>
      </c>
      <c r="CK639" s="103">
        <v>1</v>
      </c>
      <c r="CL639" s="103">
        <v>2</v>
      </c>
      <c r="CM639" s="103">
        <v>5</v>
      </c>
      <c r="CN639" s="103">
        <v>4</v>
      </c>
      <c r="CO639" s="103">
        <v>2</v>
      </c>
      <c r="CQ639" s="110"/>
      <c r="CR639" s="46">
        <v>1</v>
      </c>
      <c r="CS639" s="103">
        <v>0</v>
      </c>
      <c r="CT639" s="103">
        <v>4</v>
      </c>
      <c r="CU639" s="103">
        <v>3</v>
      </c>
      <c r="CV639" s="103">
        <v>4</v>
      </c>
      <c r="CW639" s="103">
        <v>3</v>
      </c>
      <c r="CX639" s="103">
        <v>1</v>
      </c>
      <c r="CY639" s="103">
        <v>2</v>
      </c>
      <c r="CZ639" s="103">
        <v>4</v>
      </c>
      <c r="DA639" s="103">
        <v>4</v>
      </c>
      <c r="DB639" s="103">
        <v>2</v>
      </c>
      <c r="DC639" s="42"/>
      <c r="DD639" s="110"/>
      <c r="DE639" s="46">
        <v>1</v>
      </c>
      <c r="DF639" s="103">
        <v>0</v>
      </c>
      <c r="DG639" s="103">
        <v>0</v>
      </c>
      <c r="DH639" s="103">
        <v>0</v>
      </c>
      <c r="DI639" s="103">
        <v>0</v>
      </c>
      <c r="DJ639" s="103">
        <v>0</v>
      </c>
      <c r="DK639" s="103">
        <v>0</v>
      </c>
      <c r="DL639" s="103">
        <v>0</v>
      </c>
      <c r="DM639" s="103">
        <v>1</v>
      </c>
      <c r="DN639" s="103">
        <v>0</v>
      </c>
      <c r="DO639" s="103">
        <v>0</v>
      </c>
    </row>
    <row r="640" spans="2:119" ht="16.5" customHeight="1" x14ac:dyDescent="0.45">
      <c r="B640" s="134"/>
      <c r="C640" s="42"/>
      <c r="D640" s="110"/>
      <c r="E640" s="46" t="s">
        <v>2</v>
      </c>
      <c r="F640" s="103">
        <v>17</v>
      </c>
      <c r="G640" s="103">
        <v>104</v>
      </c>
      <c r="H640" s="103">
        <v>132</v>
      </c>
      <c r="I640" s="103">
        <v>79</v>
      </c>
      <c r="J640" s="103">
        <v>31</v>
      </c>
      <c r="K640" s="103">
        <v>47</v>
      </c>
      <c r="L640" s="103">
        <v>24</v>
      </c>
      <c r="M640" s="103">
        <v>30</v>
      </c>
      <c r="N640" s="103">
        <v>45</v>
      </c>
      <c r="O640" s="103">
        <v>33</v>
      </c>
      <c r="P640" s="42"/>
      <c r="Q640" s="110"/>
      <c r="R640" s="46" t="s">
        <v>2</v>
      </c>
      <c r="S640" s="103">
        <v>10</v>
      </c>
      <c r="T640" s="103">
        <v>54</v>
      </c>
      <c r="U640" s="103">
        <v>76</v>
      </c>
      <c r="V640" s="103">
        <v>53</v>
      </c>
      <c r="W640" s="103">
        <v>25</v>
      </c>
      <c r="X640" s="103">
        <v>32</v>
      </c>
      <c r="Y640" s="103">
        <v>13</v>
      </c>
      <c r="Z640" s="103">
        <v>16</v>
      </c>
      <c r="AA640" s="103">
        <v>25</v>
      </c>
      <c r="AB640" s="103">
        <v>20</v>
      </c>
      <c r="AC640" s="42"/>
      <c r="AD640" s="110"/>
      <c r="AE640" s="46" t="s">
        <v>2</v>
      </c>
      <c r="AF640" s="103">
        <v>7</v>
      </c>
      <c r="AG640" s="103">
        <v>50</v>
      </c>
      <c r="AH640" s="103">
        <v>56</v>
      </c>
      <c r="AI640" s="103">
        <v>26</v>
      </c>
      <c r="AJ640" s="103">
        <v>6</v>
      </c>
      <c r="AK640" s="103">
        <v>15</v>
      </c>
      <c r="AL640" s="103">
        <v>11</v>
      </c>
      <c r="AM640" s="103">
        <v>14</v>
      </c>
      <c r="AN640" s="103">
        <v>20</v>
      </c>
      <c r="AO640" s="103">
        <v>13</v>
      </c>
      <c r="AP640" s="6"/>
      <c r="AQ640" s="110"/>
      <c r="AR640" s="46" t="s">
        <v>2</v>
      </c>
      <c r="AS640" s="103">
        <v>11</v>
      </c>
      <c r="AT640" s="103">
        <v>63</v>
      </c>
      <c r="AU640" s="103">
        <v>69</v>
      </c>
      <c r="AV640" s="103">
        <v>33</v>
      </c>
      <c r="AW640" s="103">
        <v>6</v>
      </c>
      <c r="AX640" s="103">
        <v>22</v>
      </c>
      <c r="AY640" s="103">
        <v>11</v>
      </c>
      <c r="AZ640" s="103">
        <v>10</v>
      </c>
      <c r="BA640" s="103">
        <v>16</v>
      </c>
      <c r="BB640" s="103">
        <v>9</v>
      </c>
      <c r="BC640" s="42"/>
      <c r="BD640" s="110"/>
      <c r="BE640" s="46" t="s">
        <v>2</v>
      </c>
      <c r="BF640" s="103">
        <v>6</v>
      </c>
      <c r="BG640" s="103">
        <v>41</v>
      </c>
      <c r="BH640" s="103">
        <v>63</v>
      </c>
      <c r="BI640" s="103">
        <v>46</v>
      </c>
      <c r="BJ640" s="103">
        <v>25</v>
      </c>
      <c r="BK640" s="103">
        <v>25</v>
      </c>
      <c r="BL640" s="103">
        <v>13</v>
      </c>
      <c r="BM640" s="103">
        <v>20</v>
      </c>
      <c r="BN640" s="103">
        <v>29</v>
      </c>
      <c r="BO640" s="103">
        <v>24</v>
      </c>
      <c r="BQ640" s="110"/>
      <c r="BR640" s="46" t="s">
        <v>2</v>
      </c>
      <c r="BS640" s="103">
        <v>8</v>
      </c>
      <c r="BT640" s="103">
        <v>62</v>
      </c>
      <c r="BU640" s="103">
        <v>77</v>
      </c>
      <c r="BV640" s="103">
        <v>26</v>
      </c>
      <c r="BW640" s="103">
        <v>9</v>
      </c>
      <c r="BX640" s="103">
        <v>16</v>
      </c>
      <c r="BY640" s="103">
        <v>2</v>
      </c>
      <c r="BZ640" s="103">
        <v>6</v>
      </c>
      <c r="CA640" s="103">
        <v>6</v>
      </c>
      <c r="CB640" s="103">
        <v>2</v>
      </c>
      <c r="CC640" s="42"/>
      <c r="CD640" s="110"/>
      <c r="CE640" s="46" t="s">
        <v>2</v>
      </c>
      <c r="CF640" s="103">
        <v>9</v>
      </c>
      <c r="CG640" s="103">
        <v>42</v>
      </c>
      <c r="CH640" s="103">
        <v>55</v>
      </c>
      <c r="CI640" s="103">
        <v>53</v>
      </c>
      <c r="CJ640" s="103">
        <v>22</v>
      </c>
      <c r="CK640" s="103">
        <v>31</v>
      </c>
      <c r="CL640" s="103">
        <v>22</v>
      </c>
      <c r="CM640" s="103">
        <v>24</v>
      </c>
      <c r="CN640" s="103">
        <v>39</v>
      </c>
      <c r="CO640" s="103">
        <v>31</v>
      </c>
      <c r="CQ640" s="110"/>
      <c r="CR640" s="46" t="s">
        <v>2</v>
      </c>
      <c r="CS640" s="103">
        <v>6</v>
      </c>
      <c r="CT640" s="103">
        <v>48</v>
      </c>
      <c r="CU640" s="103">
        <v>79</v>
      </c>
      <c r="CV640" s="103">
        <v>63</v>
      </c>
      <c r="CW640" s="103">
        <v>23</v>
      </c>
      <c r="CX640" s="103">
        <v>40</v>
      </c>
      <c r="CY640" s="103">
        <v>22</v>
      </c>
      <c r="CZ640" s="103">
        <v>28</v>
      </c>
      <c r="DA640" s="103">
        <v>43</v>
      </c>
      <c r="DB640" s="103">
        <v>32</v>
      </c>
      <c r="DC640" s="42"/>
      <c r="DD640" s="110"/>
      <c r="DE640" s="46" t="s">
        <v>2</v>
      </c>
      <c r="DF640" s="103">
        <v>11</v>
      </c>
      <c r="DG640" s="103">
        <v>56</v>
      </c>
      <c r="DH640" s="103">
        <v>53</v>
      </c>
      <c r="DI640" s="103">
        <v>16</v>
      </c>
      <c r="DJ640" s="103">
        <v>8</v>
      </c>
      <c r="DK640" s="103">
        <v>7</v>
      </c>
      <c r="DL640" s="103">
        <v>2</v>
      </c>
      <c r="DM640" s="103">
        <v>2</v>
      </c>
      <c r="DN640" s="103">
        <v>2</v>
      </c>
      <c r="DO640" s="103">
        <v>1</v>
      </c>
    </row>
    <row r="641" spans="2:119" ht="16.5" customHeight="1" x14ac:dyDescent="0.45">
      <c r="B641" s="134"/>
      <c r="C641" s="42"/>
      <c r="D641" s="110"/>
      <c r="E641" s="46" t="s">
        <v>3</v>
      </c>
      <c r="F641" s="103">
        <v>5</v>
      </c>
      <c r="G641" s="103">
        <v>61</v>
      </c>
      <c r="H641" s="103">
        <v>101</v>
      </c>
      <c r="I641" s="103">
        <v>79</v>
      </c>
      <c r="J641" s="103">
        <v>24</v>
      </c>
      <c r="K641" s="103">
        <v>32</v>
      </c>
      <c r="L641" s="103">
        <v>10</v>
      </c>
      <c r="M641" s="103">
        <v>7</v>
      </c>
      <c r="N641" s="103">
        <v>21</v>
      </c>
      <c r="O641" s="103">
        <v>12</v>
      </c>
      <c r="P641" s="42"/>
      <c r="Q641" s="110"/>
      <c r="R641" s="46" t="s">
        <v>3</v>
      </c>
      <c r="S641" s="103">
        <v>3</v>
      </c>
      <c r="T641" s="103">
        <v>39</v>
      </c>
      <c r="U641" s="103">
        <v>59</v>
      </c>
      <c r="V641" s="103">
        <v>55</v>
      </c>
      <c r="W641" s="103">
        <v>19</v>
      </c>
      <c r="X641" s="103">
        <v>21</v>
      </c>
      <c r="Y641" s="103">
        <v>6</v>
      </c>
      <c r="Z641" s="103">
        <v>3</v>
      </c>
      <c r="AA641" s="103">
        <v>13</v>
      </c>
      <c r="AB641" s="103">
        <v>6</v>
      </c>
      <c r="AC641" s="42"/>
      <c r="AD641" s="110"/>
      <c r="AE641" s="46" t="s">
        <v>3</v>
      </c>
      <c r="AF641" s="103">
        <v>2</v>
      </c>
      <c r="AG641" s="103">
        <v>22</v>
      </c>
      <c r="AH641" s="103">
        <v>42</v>
      </c>
      <c r="AI641" s="103">
        <v>24</v>
      </c>
      <c r="AJ641" s="103">
        <v>5</v>
      </c>
      <c r="AK641" s="103">
        <v>11</v>
      </c>
      <c r="AL641" s="103">
        <v>4</v>
      </c>
      <c r="AM641" s="103">
        <v>4</v>
      </c>
      <c r="AN641" s="103">
        <v>8</v>
      </c>
      <c r="AO641" s="103">
        <v>6</v>
      </c>
      <c r="AP641" s="6"/>
      <c r="AQ641" s="110"/>
      <c r="AR641" s="46" t="s">
        <v>3</v>
      </c>
      <c r="AS641" s="103">
        <v>4</v>
      </c>
      <c r="AT641" s="103">
        <v>34</v>
      </c>
      <c r="AU641" s="103">
        <v>48</v>
      </c>
      <c r="AV641" s="103">
        <v>28</v>
      </c>
      <c r="AW641" s="103">
        <v>8</v>
      </c>
      <c r="AX641" s="103">
        <v>10</v>
      </c>
      <c r="AY641" s="103">
        <v>3</v>
      </c>
      <c r="AZ641" s="103">
        <v>4</v>
      </c>
      <c r="BA641" s="103">
        <v>7</v>
      </c>
      <c r="BB641" s="103">
        <v>2</v>
      </c>
      <c r="BC641" s="42"/>
      <c r="BD641" s="110"/>
      <c r="BE641" s="46" t="s">
        <v>3</v>
      </c>
      <c r="BF641" s="103">
        <v>1</v>
      </c>
      <c r="BG641" s="103">
        <v>27</v>
      </c>
      <c r="BH641" s="103">
        <v>53</v>
      </c>
      <c r="BI641" s="103">
        <v>51</v>
      </c>
      <c r="BJ641" s="103">
        <v>16</v>
      </c>
      <c r="BK641" s="103">
        <v>22</v>
      </c>
      <c r="BL641" s="103">
        <v>7</v>
      </c>
      <c r="BM641" s="103">
        <v>3</v>
      </c>
      <c r="BN641" s="103">
        <v>14</v>
      </c>
      <c r="BO641" s="103">
        <v>10</v>
      </c>
      <c r="BQ641" s="110"/>
      <c r="BR641" s="46" t="s">
        <v>3</v>
      </c>
      <c r="BS641" s="103">
        <v>1</v>
      </c>
      <c r="BT641" s="103">
        <v>31</v>
      </c>
      <c r="BU641" s="103">
        <v>57</v>
      </c>
      <c r="BV641" s="103">
        <v>28</v>
      </c>
      <c r="BW641" s="103">
        <v>7</v>
      </c>
      <c r="BX641" s="103">
        <v>11</v>
      </c>
      <c r="BY641" s="103">
        <v>2</v>
      </c>
      <c r="BZ641" s="103">
        <v>2</v>
      </c>
      <c r="CA641" s="103">
        <v>6</v>
      </c>
      <c r="CB641" s="103">
        <v>4</v>
      </c>
      <c r="CC641" s="42"/>
      <c r="CD641" s="110"/>
      <c r="CE641" s="46" t="s">
        <v>3</v>
      </c>
      <c r="CF641" s="103">
        <v>4</v>
      </c>
      <c r="CG641" s="103">
        <v>30</v>
      </c>
      <c r="CH641" s="103">
        <v>44</v>
      </c>
      <c r="CI641" s="103">
        <v>51</v>
      </c>
      <c r="CJ641" s="103">
        <v>17</v>
      </c>
      <c r="CK641" s="103">
        <v>21</v>
      </c>
      <c r="CL641" s="103">
        <v>8</v>
      </c>
      <c r="CM641" s="103">
        <v>5</v>
      </c>
      <c r="CN641" s="103">
        <v>15</v>
      </c>
      <c r="CO641" s="103">
        <v>8</v>
      </c>
      <c r="CQ641" s="110"/>
      <c r="CR641" s="46" t="s">
        <v>3</v>
      </c>
      <c r="CS641" s="103">
        <v>3</v>
      </c>
      <c r="CT641" s="103">
        <v>12</v>
      </c>
      <c r="CU641" s="103">
        <v>26</v>
      </c>
      <c r="CV641" s="103">
        <v>40</v>
      </c>
      <c r="CW641" s="103">
        <v>17</v>
      </c>
      <c r="CX641" s="103">
        <v>25</v>
      </c>
      <c r="CY641" s="103">
        <v>8</v>
      </c>
      <c r="CZ641" s="103">
        <v>6</v>
      </c>
      <c r="DA641" s="103">
        <v>20</v>
      </c>
      <c r="DB641" s="103">
        <v>12</v>
      </c>
      <c r="DC641" s="42"/>
      <c r="DD641" s="110"/>
      <c r="DE641" s="46" t="s">
        <v>3</v>
      </c>
      <c r="DF641" s="103">
        <v>2</v>
      </c>
      <c r="DG641" s="103">
        <v>49</v>
      </c>
      <c r="DH641" s="103">
        <v>75</v>
      </c>
      <c r="DI641" s="103">
        <v>39</v>
      </c>
      <c r="DJ641" s="103">
        <v>7</v>
      </c>
      <c r="DK641" s="103">
        <v>7</v>
      </c>
      <c r="DL641" s="103">
        <v>2</v>
      </c>
      <c r="DM641" s="103">
        <v>1</v>
      </c>
      <c r="DN641" s="103">
        <v>1</v>
      </c>
      <c r="DO641" s="103">
        <v>0</v>
      </c>
    </row>
    <row r="642" spans="2:119" ht="16.5" customHeight="1" x14ac:dyDescent="0.45">
      <c r="B642" s="134"/>
      <c r="C642" s="42"/>
      <c r="D642" s="110"/>
      <c r="E642" s="46" t="s">
        <v>4</v>
      </c>
      <c r="F642" s="103">
        <v>11</v>
      </c>
      <c r="G642" s="103">
        <v>119</v>
      </c>
      <c r="H642" s="103">
        <v>200</v>
      </c>
      <c r="I642" s="103">
        <v>177</v>
      </c>
      <c r="J642" s="103">
        <v>77</v>
      </c>
      <c r="K642" s="103">
        <v>57</v>
      </c>
      <c r="L642" s="103">
        <v>16</v>
      </c>
      <c r="M642" s="103">
        <v>20</v>
      </c>
      <c r="N642" s="103">
        <v>21</v>
      </c>
      <c r="O642" s="103">
        <v>29</v>
      </c>
      <c r="P642" s="42"/>
      <c r="Q642" s="110"/>
      <c r="R642" s="46" t="s">
        <v>4</v>
      </c>
      <c r="S642" s="103">
        <v>6</v>
      </c>
      <c r="T642" s="103">
        <v>56</v>
      </c>
      <c r="U642" s="103">
        <v>135</v>
      </c>
      <c r="V642" s="103">
        <v>117</v>
      </c>
      <c r="W642" s="103">
        <v>58</v>
      </c>
      <c r="X642" s="103">
        <v>41</v>
      </c>
      <c r="Y642" s="103">
        <v>13</v>
      </c>
      <c r="Z642" s="103">
        <v>14</v>
      </c>
      <c r="AA642" s="103">
        <v>15</v>
      </c>
      <c r="AB642" s="103">
        <v>15</v>
      </c>
      <c r="AC642" s="42"/>
      <c r="AD642" s="110"/>
      <c r="AE642" s="46" t="s">
        <v>4</v>
      </c>
      <c r="AF642" s="103">
        <v>5</v>
      </c>
      <c r="AG642" s="103">
        <v>63</v>
      </c>
      <c r="AH642" s="103">
        <v>65</v>
      </c>
      <c r="AI642" s="103">
        <v>60</v>
      </c>
      <c r="AJ642" s="103">
        <v>19</v>
      </c>
      <c r="AK642" s="103">
        <v>16</v>
      </c>
      <c r="AL642" s="103">
        <v>3</v>
      </c>
      <c r="AM642" s="103">
        <v>6</v>
      </c>
      <c r="AN642" s="103">
        <v>6</v>
      </c>
      <c r="AO642" s="103">
        <v>14</v>
      </c>
      <c r="AP642" s="6"/>
      <c r="AQ642" s="110"/>
      <c r="AR642" s="46" t="s">
        <v>4</v>
      </c>
      <c r="AS642" s="103">
        <v>5</v>
      </c>
      <c r="AT642" s="103">
        <v>60</v>
      </c>
      <c r="AU642" s="103">
        <v>89</v>
      </c>
      <c r="AV642" s="103">
        <v>59</v>
      </c>
      <c r="AW642" s="103">
        <v>33</v>
      </c>
      <c r="AX642" s="103">
        <v>22</v>
      </c>
      <c r="AY642" s="103">
        <v>9</v>
      </c>
      <c r="AZ642" s="103">
        <v>7</v>
      </c>
      <c r="BA642" s="103">
        <v>9</v>
      </c>
      <c r="BB642" s="103">
        <v>13</v>
      </c>
      <c r="BC642" s="42"/>
      <c r="BD642" s="110"/>
      <c r="BE642" s="46" t="s">
        <v>4</v>
      </c>
      <c r="BF642" s="103">
        <v>6</v>
      </c>
      <c r="BG642" s="103">
        <v>59</v>
      </c>
      <c r="BH642" s="103">
        <v>111</v>
      </c>
      <c r="BI642" s="103">
        <v>118</v>
      </c>
      <c r="BJ642" s="103">
        <v>44</v>
      </c>
      <c r="BK642" s="103">
        <v>35</v>
      </c>
      <c r="BL642" s="103">
        <v>7</v>
      </c>
      <c r="BM642" s="103">
        <v>13</v>
      </c>
      <c r="BN642" s="103">
        <v>12</v>
      </c>
      <c r="BO642" s="103">
        <v>16</v>
      </c>
      <c r="BQ642" s="110"/>
      <c r="BR642" s="46" t="s">
        <v>4</v>
      </c>
      <c r="BS642" s="103">
        <v>4</v>
      </c>
      <c r="BT642" s="103">
        <v>40</v>
      </c>
      <c r="BU642" s="103">
        <v>74</v>
      </c>
      <c r="BV642" s="103">
        <v>51</v>
      </c>
      <c r="BW642" s="103">
        <v>17</v>
      </c>
      <c r="BX642" s="103">
        <v>12</v>
      </c>
      <c r="BY642" s="103">
        <v>3</v>
      </c>
      <c r="BZ642" s="103">
        <v>2</v>
      </c>
      <c r="CA642" s="103">
        <v>4</v>
      </c>
      <c r="CB642" s="103">
        <v>0</v>
      </c>
      <c r="CC642" s="42"/>
      <c r="CD642" s="110"/>
      <c r="CE642" s="46" t="s">
        <v>4</v>
      </c>
      <c r="CF642" s="103">
        <v>7</v>
      </c>
      <c r="CG642" s="103">
        <v>79</v>
      </c>
      <c r="CH642" s="103">
        <v>126</v>
      </c>
      <c r="CI642" s="103">
        <v>126</v>
      </c>
      <c r="CJ642" s="103">
        <v>60</v>
      </c>
      <c r="CK642" s="103">
        <v>45</v>
      </c>
      <c r="CL642" s="103">
        <v>13</v>
      </c>
      <c r="CM642" s="103">
        <v>18</v>
      </c>
      <c r="CN642" s="103">
        <v>17</v>
      </c>
      <c r="CO642" s="103">
        <v>29</v>
      </c>
      <c r="CQ642" s="110"/>
      <c r="CR642" s="46" t="s">
        <v>4</v>
      </c>
      <c r="CS642" s="103">
        <v>5</v>
      </c>
      <c r="CT642" s="103">
        <v>29</v>
      </c>
      <c r="CU642" s="103">
        <v>58</v>
      </c>
      <c r="CV642" s="103">
        <v>75</v>
      </c>
      <c r="CW642" s="103">
        <v>47</v>
      </c>
      <c r="CX642" s="103">
        <v>40</v>
      </c>
      <c r="CY642" s="103">
        <v>15</v>
      </c>
      <c r="CZ642" s="103">
        <v>17</v>
      </c>
      <c r="DA642" s="103">
        <v>18</v>
      </c>
      <c r="DB642" s="103">
        <v>28</v>
      </c>
      <c r="DC642" s="42"/>
      <c r="DD642" s="110"/>
      <c r="DE642" s="46" t="s">
        <v>4</v>
      </c>
      <c r="DF642" s="103">
        <v>6</v>
      </c>
      <c r="DG642" s="103">
        <v>90</v>
      </c>
      <c r="DH642" s="103">
        <v>142</v>
      </c>
      <c r="DI642" s="103">
        <v>102</v>
      </c>
      <c r="DJ642" s="103">
        <v>30</v>
      </c>
      <c r="DK642" s="103">
        <v>17</v>
      </c>
      <c r="DL642" s="103">
        <v>1</v>
      </c>
      <c r="DM642" s="103">
        <v>3</v>
      </c>
      <c r="DN642" s="103">
        <v>3</v>
      </c>
      <c r="DO642" s="103">
        <v>1</v>
      </c>
    </row>
    <row r="643" spans="2:119" ht="16.5" customHeight="1" x14ac:dyDescent="0.45">
      <c r="B643" s="134"/>
      <c r="C643" s="42"/>
      <c r="D643" s="110"/>
      <c r="E643" s="46" t="s">
        <v>5</v>
      </c>
      <c r="F643" s="103">
        <v>37</v>
      </c>
      <c r="G643" s="103">
        <v>159</v>
      </c>
      <c r="H643" s="103">
        <v>404</v>
      </c>
      <c r="I643" s="103">
        <v>450</v>
      </c>
      <c r="J643" s="103">
        <v>170</v>
      </c>
      <c r="K643" s="103">
        <v>102</v>
      </c>
      <c r="L643" s="103">
        <v>34</v>
      </c>
      <c r="M643" s="103">
        <v>43</v>
      </c>
      <c r="N643" s="103">
        <v>35</v>
      </c>
      <c r="O643" s="103">
        <v>31</v>
      </c>
      <c r="P643" s="42"/>
      <c r="Q643" s="110"/>
      <c r="R643" s="46" t="s">
        <v>5</v>
      </c>
      <c r="S643" s="103">
        <v>13</v>
      </c>
      <c r="T643" s="103">
        <v>70</v>
      </c>
      <c r="U643" s="103">
        <v>251</v>
      </c>
      <c r="V643" s="103">
        <v>300</v>
      </c>
      <c r="W643" s="103">
        <v>118</v>
      </c>
      <c r="X643" s="103">
        <v>75</v>
      </c>
      <c r="Y643" s="103">
        <v>23</v>
      </c>
      <c r="Z643" s="103">
        <v>22</v>
      </c>
      <c r="AA643" s="103">
        <v>28</v>
      </c>
      <c r="AB643" s="103">
        <v>20</v>
      </c>
      <c r="AC643" s="42"/>
      <c r="AD643" s="110"/>
      <c r="AE643" s="46" t="s">
        <v>5</v>
      </c>
      <c r="AF643" s="103">
        <v>24</v>
      </c>
      <c r="AG643" s="103">
        <v>89</v>
      </c>
      <c r="AH643" s="103">
        <v>153</v>
      </c>
      <c r="AI643" s="103">
        <v>150</v>
      </c>
      <c r="AJ643" s="103">
        <v>52</v>
      </c>
      <c r="AK643" s="103">
        <v>27</v>
      </c>
      <c r="AL643" s="103">
        <v>11</v>
      </c>
      <c r="AM643" s="103">
        <v>21</v>
      </c>
      <c r="AN643" s="103">
        <v>7</v>
      </c>
      <c r="AO643" s="103">
        <v>11</v>
      </c>
      <c r="AP643" s="6"/>
      <c r="AQ643" s="110"/>
      <c r="AR643" s="46" t="s">
        <v>5</v>
      </c>
      <c r="AS643" s="103">
        <v>17</v>
      </c>
      <c r="AT643" s="103">
        <v>64</v>
      </c>
      <c r="AU643" s="103">
        <v>173</v>
      </c>
      <c r="AV643" s="103">
        <v>138</v>
      </c>
      <c r="AW643" s="103">
        <v>59</v>
      </c>
      <c r="AX643" s="103">
        <v>31</v>
      </c>
      <c r="AY643" s="103">
        <v>13</v>
      </c>
      <c r="AZ643" s="103">
        <v>11</v>
      </c>
      <c r="BA643" s="103">
        <v>14</v>
      </c>
      <c r="BB643" s="103">
        <v>13</v>
      </c>
      <c r="BC643" s="42"/>
      <c r="BD643" s="110"/>
      <c r="BE643" s="46" t="s">
        <v>5</v>
      </c>
      <c r="BF643" s="103">
        <v>20</v>
      </c>
      <c r="BG643" s="103">
        <v>95</v>
      </c>
      <c r="BH643" s="103">
        <v>231</v>
      </c>
      <c r="BI643" s="103">
        <v>312</v>
      </c>
      <c r="BJ643" s="103">
        <v>111</v>
      </c>
      <c r="BK643" s="103">
        <v>71</v>
      </c>
      <c r="BL643" s="103">
        <v>21</v>
      </c>
      <c r="BM643" s="103">
        <v>32</v>
      </c>
      <c r="BN643" s="103">
        <v>21</v>
      </c>
      <c r="BO643" s="103">
        <v>18</v>
      </c>
      <c r="BQ643" s="110"/>
      <c r="BR643" s="46" t="s">
        <v>5</v>
      </c>
      <c r="BS643" s="103">
        <v>11</v>
      </c>
      <c r="BT643" s="103">
        <v>49</v>
      </c>
      <c r="BU643" s="103">
        <v>92</v>
      </c>
      <c r="BV643" s="103">
        <v>71</v>
      </c>
      <c r="BW643" s="103">
        <v>27</v>
      </c>
      <c r="BX643" s="103">
        <v>19</v>
      </c>
      <c r="BY643" s="103">
        <v>4</v>
      </c>
      <c r="BZ643" s="103">
        <v>6</v>
      </c>
      <c r="CA643" s="103">
        <v>6</v>
      </c>
      <c r="CB643" s="103">
        <v>2</v>
      </c>
      <c r="CC643" s="42"/>
      <c r="CD643" s="110"/>
      <c r="CE643" s="46" t="s">
        <v>5</v>
      </c>
      <c r="CF643" s="103">
        <v>26</v>
      </c>
      <c r="CG643" s="103">
        <v>110</v>
      </c>
      <c r="CH643" s="103">
        <v>312</v>
      </c>
      <c r="CI643" s="103">
        <v>379</v>
      </c>
      <c r="CJ643" s="103">
        <v>143</v>
      </c>
      <c r="CK643" s="103">
        <v>83</v>
      </c>
      <c r="CL643" s="103">
        <v>30</v>
      </c>
      <c r="CM643" s="103">
        <v>37</v>
      </c>
      <c r="CN643" s="103">
        <v>29</v>
      </c>
      <c r="CO643" s="103">
        <v>29</v>
      </c>
      <c r="CQ643" s="110"/>
      <c r="CR643" s="46" t="s">
        <v>5</v>
      </c>
      <c r="CS643" s="103">
        <v>11</v>
      </c>
      <c r="CT643" s="103">
        <v>22</v>
      </c>
      <c r="CU643" s="103">
        <v>94</v>
      </c>
      <c r="CV643" s="103">
        <v>120</v>
      </c>
      <c r="CW643" s="103">
        <v>74</v>
      </c>
      <c r="CX643" s="103">
        <v>58</v>
      </c>
      <c r="CY643" s="103">
        <v>21</v>
      </c>
      <c r="CZ643" s="103">
        <v>37</v>
      </c>
      <c r="DA643" s="103">
        <v>30</v>
      </c>
      <c r="DB643" s="103">
        <v>29</v>
      </c>
      <c r="DC643" s="42"/>
      <c r="DD643" s="110"/>
      <c r="DE643" s="46" t="s">
        <v>5</v>
      </c>
      <c r="DF643" s="103">
        <v>26</v>
      </c>
      <c r="DG643" s="103">
        <v>137</v>
      </c>
      <c r="DH643" s="103">
        <v>310</v>
      </c>
      <c r="DI643" s="103">
        <v>330</v>
      </c>
      <c r="DJ643" s="103">
        <v>96</v>
      </c>
      <c r="DK643" s="103">
        <v>44</v>
      </c>
      <c r="DL643" s="103">
        <v>13</v>
      </c>
      <c r="DM643" s="103">
        <v>6</v>
      </c>
      <c r="DN643" s="103">
        <v>5</v>
      </c>
      <c r="DO643" s="103">
        <v>2</v>
      </c>
    </row>
    <row r="644" spans="2:119" ht="16.5" customHeight="1" x14ac:dyDescent="0.45">
      <c r="B644" s="134"/>
      <c r="C644" s="42"/>
      <c r="D644" s="110"/>
      <c r="E644" s="46" t="s">
        <v>6</v>
      </c>
      <c r="F644" s="103">
        <v>70</v>
      </c>
      <c r="G644" s="103">
        <v>342</v>
      </c>
      <c r="H644" s="103">
        <v>934</v>
      </c>
      <c r="I644" s="103">
        <v>1265</v>
      </c>
      <c r="J644" s="103">
        <v>561</v>
      </c>
      <c r="K644" s="103">
        <v>415</v>
      </c>
      <c r="L644" s="103">
        <v>90</v>
      </c>
      <c r="M644" s="103">
        <v>101</v>
      </c>
      <c r="N644" s="103">
        <v>87</v>
      </c>
      <c r="O644" s="103">
        <v>77</v>
      </c>
      <c r="P644" s="42"/>
      <c r="Q644" s="110"/>
      <c r="R644" s="46" t="s">
        <v>6</v>
      </c>
      <c r="S644" s="103">
        <v>39</v>
      </c>
      <c r="T644" s="103">
        <v>146</v>
      </c>
      <c r="U644" s="103">
        <v>527</v>
      </c>
      <c r="V644" s="103">
        <v>840</v>
      </c>
      <c r="W644" s="103">
        <v>413</v>
      </c>
      <c r="X644" s="103">
        <v>310</v>
      </c>
      <c r="Y644" s="103">
        <v>72</v>
      </c>
      <c r="Z644" s="103">
        <v>65</v>
      </c>
      <c r="AA644" s="103">
        <v>62</v>
      </c>
      <c r="AB644" s="103">
        <v>51</v>
      </c>
      <c r="AC644" s="42"/>
      <c r="AD644" s="110"/>
      <c r="AE644" s="46" t="s">
        <v>6</v>
      </c>
      <c r="AF644" s="103">
        <v>31</v>
      </c>
      <c r="AG644" s="103">
        <v>196</v>
      </c>
      <c r="AH644" s="103">
        <v>407</v>
      </c>
      <c r="AI644" s="103">
        <v>425</v>
      </c>
      <c r="AJ644" s="103">
        <v>148</v>
      </c>
      <c r="AK644" s="103">
        <v>105</v>
      </c>
      <c r="AL644" s="103">
        <v>18</v>
      </c>
      <c r="AM644" s="103">
        <v>36</v>
      </c>
      <c r="AN644" s="103">
        <v>25</v>
      </c>
      <c r="AO644" s="103">
        <v>26</v>
      </c>
      <c r="AP644" s="6"/>
      <c r="AQ644" s="110"/>
      <c r="AR644" s="46" t="s">
        <v>6</v>
      </c>
      <c r="AS644" s="103">
        <v>35</v>
      </c>
      <c r="AT644" s="103">
        <v>149</v>
      </c>
      <c r="AU644" s="103">
        <v>362</v>
      </c>
      <c r="AV644" s="103">
        <v>394</v>
      </c>
      <c r="AW644" s="103">
        <v>168</v>
      </c>
      <c r="AX644" s="103">
        <v>118</v>
      </c>
      <c r="AY644" s="103">
        <v>33</v>
      </c>
      <c r="AZ644" s="103">
        <v>37</v>
      </c>
      <c r="BA644" s="103">
        <v>28</v>
      </c>
      <c r="BB644" s="103">
        <v>31</v>
      </c>
      <c r="BC644" s="42"/>
      <c r="BD644" s="110"/>
      <c r="BE644" s="46" t="s">
        <v>6</v>
      </c>
      <c r="BF644" s="103">
        <v>35</v>
      </c>
      <c r="BG644" s="103">
        <v>193</v>
      </c>
      <c r="BH644" s="103">
        <v>572</v>
      </c>
      <c r="BI644" s="103">
        <v>871</v>
      </c>
      <c r="BJ644" s="103">
        <v>393</v>
      </c>
      <c r="BK644" s="103">
        <v>297</v>
      </c>
      <c r="BL644" s="103">
        <v>57</v>
      </c>
      <c r="BM644" s="103">
        <v>64</v>
      </c>
      <c r="BN644" s="103">
        <v>59</v>
      </c>
      <c r="BO644" s="103">
        <v>46</v>
      </c>
      <c r="BQ644" s="110"/>
      <c r="BR644" s="46" t="s">
        <v>6</v>
      </c>
      <c r="BS644" s="103">
        <v>9</v>
      </c>
      <c r="BT644" s="103">
        <v>76</v>
      </c>
      <c r="BU644" s="103">
        <v>147</v>
      </c>
      <c r="BV644" s="103">
        <v>134</v>
      </c>
      <c r="BW644" s="103">
        <v>50</v>
      </c>
      <c r="BX644" s="103">
        <v>35</v>
      </c>
      <c r="BY644" s="103">
        <v>6</v>
      </c>
      <c r="BZ644" s="103">
        <v>11</v>
      </c>
      <c r="CA644" s="103">
        <v>13</v>
      </c>
      <c r="CB644" s="103">
        <v>2</v>
      </c>
      <c r="CC644" s="42"/>
      <c r="CD644" s="110"/>
      <c r="CE644" s="46" t="s">
        <v>6</v>
      </c>
      <c r="CF644" s="103">
        <v>61</v>
      </c>
      <c r="CG644" s="103">
        <v>266</v>
      </c>
      <c r="CH644" s="103">
        <v>787</v>
      </c>
      <c r="CI644" s="103">
        <v>1131</v>
      </c>
      <c r="CJ644" s="103">
        <v>511</v>
      </c>
      <c r="CK644" s="103">
        <v>380</v>
      </c>
      <c r="CL644" s="103">
        <v>84</v>
      </c>
      <c r="CM644" s="103">
        <v>90</v>
      </c>
      <c r="CN644" s="103">
        <v>74</v>
      </c>
      <c r="CO644" s="103">
        <v>75</v>
      </c>
      <c r="CQ644" s="110"/>
      <c r="CR644" s="46" t="s">
        <v>6</v>
      </c>
      <c r="CS644" s="103">
        <v>22</v>
      </c>
      <c r="CT644" s="103">
        <v>53</v>
      </c>
      <c r="CU644" s="103">
        <v>191</v>
      </c>
      <c r="CV644" s="103">
        <v>279</v>
      </c>
      <c r="CW644" s="103">
        <v>175</v>
      </c>
      <c r="CX644" s="103">
        <v>166</v>
      </c>
      <c r="CY644" s="103">
        <v>48</v>
      </c>
      <c r="CZ644" s="103">
        <v>69</v>
      </c>
      <c r="DA644" s="103">
        <v>66</v>
      </c>
      <c r="DB644" s="103">
        <v>66</v>
      </c>
      <c r="DC644" s="42"/>
      <c r="DD644" s="110"/>
      <c r="DE644" s="46" t="s">
        <v>6</v>
      </c>
      <c r="DF644" s="103">
        <v>48</v>
      </c>
      <c r="DG644" s="103">
        <v>289</v>
      </c>
      <c r="DH644" s="103">
        <v>743</v>
      </c>
      <c r="DI644" s="103">
        <v>986</v>
      </c>
      <c r="DJ644" s="103">
        <v>386</v>
      </c>
      <c r="DK644" s="103">
        <v>249</v>
      </c>
      <c r="DL644" s="103">
        <v>42</v>
      </c>
      <c r="DM644" s="103">
        <v>32</v>
      </c>
      <c r="DN644" s="103">
        <v>21</v>
      </c>
      <c r="DO644" s="103">
        <v>11</v>
      </c>
    </row>
    <row r="645" spans="2:119" ht="16.5" customHeight="1" x14ac:dyDescent="0.45">
      <c r="B645" s="134"/>
      <c r="C645" s="42"/>
      <c r="D645" s="110"/>
      <c r="E645" s="46" t="s">
        <v>7</v>
      </c>
      <c r="F645" s="103">
        <v>213</v>
      </c>
      <c r="G645" s="103">
        <v>567</v>
      </c>
      <c r="H645" s="103">
        <v>1759</v>
      </c>
      <c r="I645" s="103">
        <v>3073</v>
      </c>
      <c r="J645" s="103">
        <v>1717</v>
      </c>
      <c r="K645" s="103">
        <v>1358</v>
      </c>
      <c r="L645" s="103">
        <v>398</v>
      </c>
      <c r="M645" s="103">
        <v>321</v>
      </c>
      <c r="N645" s="103">
        <v>214</v>
      </c>
      <c r="O645" s="103">
        <v>149</v>
      </c>
      <c r="P645" s="42"/>
      <c r="Q645" s="110"/>
      <c r="R645" s="46" t="s">
        <v>7</v>
      </c>
      <c r="S645" s="103">
        <v>130</v>
      </c>
      <c r="T645" s="103">
        <v>231</v>
      </c>
      <c r="U645" s="103">
        <v>872</v>
      </c>
      <c r="V645" s="103">
        <v>1948</v>
      </c>
      <c r="W645" s="103">
        <v>1191</v>
      </c>
      <c r="X645" s="103">
        <v>961</v>
      </c>
      <c r="Y645" s="103">
        <v>310</v>
      </c>
      <c r="Z645" s="103">
        <v>247</v>
      </c>
      <c r="AA645" s="103">
        <v>149</v>
      </c>
      <c r="AB645" s="103">
        <v>105</v>
      </c>
      <c r="AC645" s="42"/>
      <c r="AD645" s="110"/>
      <c r="AE645" s="46" t="s">
        <v>7</v>
      </c>
      <c r="AF645" s="103">
        <v>83</v>
      </c>
      <c r="AG645" s="103">
        <v>336</v>
      </c>
      <c r="AH645" s="103">
        <v>887</v>
      </c>
      <c r="AI645" s="103">
        <v>1125</v>
      </c>
      <c r="AJ645" s="103">
        <v>526</v>
      </c>
      <c r="AK645" s="103">
        <v>397</v>
      </c>
      <c r="AL645" s="103">
        <v>88</v>
      </c>
      <c r="AM645" s="103">
        <v>74</v>
      </c>
      <c r="AN645" s="103">
        <v>65</v>
      </c>
      <c r="AO645" s="103">
        <v>44</v>
      </c>
      <c r="AP645" s="6"/>
      <c r="AQ645" s="110"/>
      <c r="AR645" s="46" t="s">
        <v>7</v>
      </c>
      <c r="AS645" s="103">
        <v>73</v>
      </c>
      <c r="AT645" s="103">
        <v>237</v>
      </c>
      <c r="AU645" s="103">
        <v>577</v>
      </c>
      <c r="AV645" s="103">
        <v>879</v>
      </c>
      <c r="AW645" s="103">
        <v>438</v>
      </c>
      <c r="AX645" s="103">
        <v>326</v>
      </c>
      <c r="AY645" s="103">
        <v>98</v>
      </c>
      <c r="AZ645" s="103">
        <v>93</v>
      </c>
      <c r="BA645" s="103">
        <v>67</v>
      </c>
      <c r="BB645" s="103">
        <v>49</v>
      </c>
      <c r="BC645" s="42"/>
      <c r="BD645" s="110"/>
      <c r="BE645" s="46" t="s">
        <v>7</v>
      </c>
      <c r="BF645" s="103">
        <v>140</v>
      </c>
      <c r="BG645" s="103">
        <v>330</v>
      </c>
      <c r="BH645" s="103">
        <v>1182</v>
      </c>
      <c r="BI645" s="103">
        <v>2194</v>
      </c>
      <c r="BJ645" s="103">
        <v>1279</v>
      </c>
      <c r="BK645" s="103">
        <v>1032</v>
      </c>
      <c r="BL645" s="103">
        <v>300</v>
      </c>
      <c r="BM645" s="103">
        <v>228</v>
      </c>
      <c r="BN645" s="103">
        <v>147</v>
      </c>
      <c r="BO645" s="103">
        <v>100</v>
      </c>
      <c r="BQ645" s="110"/>
      <c r="BR645" s="46" t="s">
        <v>7</v>
      </c>
      <c r="BS645" s="103">
        <v>18</v>
      </c>
      <c r="BT645" s="103">
        <v>77</v>
      </c>
      <c r="BU645" s="103">
        <v>178</v>
      </c>
      <c r="BV645" s="103">
        <v>229</v>
      </c>
      <c r="BW645" s="103">
        <v>93</v>
      </c>
      <c r="BX645" s="103">
        <v>75</v>
      </c>
      <c r="BY645" s="103">
        <v>23</v>
      </c>
      <c r="BZ645" s="103">
        <v>17</v>
      </c>
      <c r="CA645" s="103">
        <v>13</v>
      </c>
      <c r="CB645" s="103">
        <v>13</v>
      </c>
      <c r="CC645" s="42"/>
      <c r="CD645" s="110"/>
      <c r="CE645" s="46" t="s">
        <v>7</v>
      </c>
      <c r="CF645" s="103">
        <v>195</v>
      </c>
      <c r="CG645" s="103">
        <v>490</v>
      </c>
      <c r="CH645" s="103">
        <v>1581</v>
      </c>
      <c r="CI645" s="103">
        <v>2844</v>
      </c>
      <c r="CJ645" s="103">
        <v>1624</v>
      </c>
      <c r="CK645" s="103">
        <v>1283</v>
      </c>
      <c r="CL645" s="103">
        <v>375</v>
      </c>
      <c r="CM645" s="103">
        <v>304</v>
      </c>
      <c r="CN645" s="103">
        <v>201</v>
      </c>
      <c r="CO645" s="103">
        <v>136</v>
      </c>
      <c r="CQ645" s="110"/>
      <c r="CR645" s="46" t="s">
        <v>7</v>
      </c>
      <c r="CS645" s="103">
        <v>63</v>
      </c>
      <c r="CT645" s="103">
        <v>91</v>
      </c>
      <c r="CU645" s="103">
        <v>277</v>
      </c>
      <c r="CV645" s="103">
        <v>600</v>
      </c>
      <c r="CW645" s="103">
        <v>379</v>
      </c>
      <c r="CX645" s="103">
        <v>377</v>
      </c>
      <c r="CY645" s="103">
        <v>157</v>
      </c>
      <c r="CZ645" s="103">
        <v>166</v>
      </c>
      <c r="DA645" s="103">
        <v>154</v>
      </c>
      <c r="DB645" s="103">
        <v>113</v>
      </c>
      <c r="DC645" s="42"/>
      <c r="DD645" s="110"/>
      <c r="DE645" s="46" t="s">
        <v>7</v>
      </c>
      <c r="DF645" s="103">
        <v>150</v>
      </c>
      <c r="DG645" s="103">
        <v>476</v>
      </c>
      <c r="DH645" s="103">
        <v>1482</v>
      </c>
      <c r="DI645" s="103">
        <v>2473</v>
      </c>
      <c r="DJ645" s="103">
        <v>1338</v>
      </c>
      <c r="DK645" s="103">
        <v>981</v>
      </c>
      <c r="DL645" s="103">
        <v>241</v>
      </c>
      <c r="DM645" s="103">
        <v>155</v>
      </c>
      <c r="DN645" s="103">
        <v>60</v>
      </c>
      <c r="DO645" s="103">
        <v>36</v>
      </c>
    </row>
    <row r="646" spans="2:119" ht="16.5" customHeight="1" x14ac:dyDescent="0.45">
      <c r="B646" s="134"/>
      <c r="C646" s="42"/>
      <c r="D646" s="110"/>
      <c r="E646" s="46" t="s">
        <v>8</v>
      </c>
      <c r="F646" s="103">
        <v>343</v>
      </c>
      <c r="G646" s="103">
        <v>459</v>
      </c>
      <c r="H646" s="103">
        <v>1973</v>
      </c>
      <c r="I646" s="103">
        <v>4600</v>
      </c>
      <c r="J646" s="103">
        <v>3247</v>
      </c>
      <c r="K646" s="103">
        <v>3178</v>
      </c>
      <c r="L646" s="103">
        <v>1188</v>
      </c>
      <c r="M646" s="103">
        <v>900</v>
      </c>
      <c r="N646" s="103">
        <v>460</v>
      </c>
      <c r="O646" s="103">
        <v>275</v>
      </c>
      <c r="P646" s="42"/>
      <c r="Q646" s="110"/>
      <c r="R646" s="46" t="s">
        <v>8</v>
      </c>
      <c r="S646" s="103">
        <v>207</v>
      </c>
      <c r="T646" s="103">
        <v>147</v>
      </c>
      <c r="U646" s="103">
        <v>876</v>
      </c>
      <c r="V646" s="103">
        <v>2493</v>
      </c>
      <c r="W646" s="103">
        <v>2081</v>
      </c>
      <c r="X646" s="103">
        <v>2268</v>
      </c>
      <c r="Y646" s="103">
        <v>909</v>
      </c>
      <c r="Z646" s="103">
        <v>667</v>
      </c>
      <c r="AA646" s="103">
        <v>320</v>
      </c>
      <c r="AB646" s="103">
        <v>186</v>
      </c>
      <c r="AC646" s="42"/>
      <c r="AD646" s="110"/>
      <c r="AE646" s="46" t="s">
        <v>8</v>
      </c>
      <c r="AF646" s="103">
        <v>136</v>
      </c>
      <c r="AG646" s="103">
        <v>312</v>
      </c>
      <c r="AH646" s="103">
        <v>1097</v>
      </c>
      <c r="AI646" s="103">
        <v>2107</v>
      </c>
      <c r="AJ646" s="103">
        <v>1166</v>
      </c>
      <c r="AK646" s="103">
        <v>910</v>
      </c>
      <c r="AL646" s="103">
        <v>279</v>
      </c>
      <c r="AM646" s="103">
        <v>233</v>
      </c>
      <c r="AN646" s="103">
        <v>140</v>
      </c>
      <c r="AO646" s="103">
        <v>89</v>
      </c>
      <c r="AP646" s="6"/>
      <c r="AQ646" s="110"/>
      <c r="AR646" s="46" t="s">
        <v>8</v>
      </c>
      <c r="AS646" s="103">
        <v>95</v>
      </c>
      <c r="AT646" s="103">
        <v>164</v>
      </c>
      <c r="AU646" s="103">
        <v>626</v>
      </c>
      <c r="AV646" s="103">
        <v>1143</v>
      </c>
      <c r="AW646" s="103">
        <v>742</v>
      </c>
      <c r="AX646" s="103">
        <v>646</v>
      </c>
      <c r="AY646" s="103">
        <v>233</v>
      </c>
      <c r="AZ646" s="103">
        <v>182</v>
      </c>
      <c r="BA646" s="103">
        <v>118</v>
      </c>
      <c r="BB646" s="103">
        <v>74</v>
      </c>
      <c r="BC646" s="42"/>
      <c r="BD646" s="110"/>
      <c r="BE646" s="46" t="s">
        <v>8</v>
      </c>
      <c r="BF646" s="103">
        <v>248</v>
      </c>
      <c r="BG646" s="103">
        <v>295</v>
      </c>
      <c r="BH646" s="103">
        <v>1347</v>
      </c>
      <c r="BI646" s="103">
        <v>3457</v>
      </c>
      <c r="BJ646" s="103">
        <v>2505</v>
      </c>
      <c r="BK646" s="103">
        <v>2532</v>
      </c>
      <c r="BL646" s="103">
        <v>955</v>
      </c>
      <c r="BM646" s="103">
        <v>718</v>
      </c>
      <c r="BN646" s="103">
        <v>342</v>
      </c>
      <c r="BO646" s="103">
        <v>201</v>
      </c>
      <c r="BQ646" s="110"/>
      <c r="BR646" s="46" t="s">
        <v>8</v>
      </c>
      <c r="BS646" s="103">
        <v>16</v>
      </c>
      <c r="BT646" s="103">
        <v>60</v>
      </c>
      <c r="BU646" s="103">
        <v>158</v>
      </c>
      <c r="BV646" s="103">
        <v>243</v>
      </c>
      <c r="BW646" s="103">
        <v>146</v>
      </c>
      <c r="BX646" s="103">
        <v>129</v>
      </c>
      <c r="BY646" s="103">
        <v>48</v>
      </c>
      <c r="BZ646" s="103">
        <v>35</v>
      </c>
      <c r="CA646" s="103">
        <v>24</v>
      </c>
      <c r="CB646" s="103">
        <v>7</v>
      </c>
      <c r="CC646" s="42"/>
      <c r="CD646" s="110"/>
      <c r="CE646" s="46" t="s">
        <v>8</v>
      </c>
      <c r="CF646" s="103">
        <v>327</v>
      </c>
      <c r="CG646" s="103">
        <v>399</v>
      </c>
      <c r="CH646" s="103">
        <v>1815</v>
      </c>
      <c r="CI646" s="103">
        <v>4357</v>
      </c>
      <c r="CJ646" s="103">
        <v>3101</v>
      </c>
      <c r="CK646" s="103">
        <v>3049</v>
      </c>
      <c r="CL646" s="103">
        <v>1140</v>
      </c>
      <c r="CM646" s="103">
        <v>865</v>
      </c>
      <c r="CN646" s="103">
        <v>436</v>
      </c>
      <c r="CO646" s="103">
        <v>268</v>
      </c>
      <c r="CQ646" s="110"/>
      <c r="CR646" s="46" t="s">
        <v>8</v>
      </c>
      <c r="CS646" s="103">
        <v>62</v>
      </c>
      <c r="CT646" s="103">
        <v>49</v>
      </c>
      <c r="CU646" s="103">
        <v>263</v>
      </c>
      <c r="CV646" s="103">
        <v>680</v>
      </c>
      <c r="CW646" s="103">
        <v>558</v>
      </c>
      <c r="CX646" s="103">
        <v>599</v>
      </c>
      <c r="CY646" s="103">
        <v>326</v>
      </c>
      <c r="CZ646" s="103">
        <v>328</v>
      </c>
      <c r="DA646" s="103">
        <v>207</v>
      </c>
      <c r="DB646" s="103">
        <v>165</v>
      </c>
      <c r="DC646" s="42"/>
      <c r="DD646" s="110"/>
      <c r="DE646" s="46" t="s">
        <v>8</v>
      </c>
      <c r="DF646" s="103">
        <v>281</v>
      </c>
      <c r="DG646" s="103">
        <v>410</v>
      </c>
      <c r="DH646" s="103">
        <v>1710</v>
      </c>
      <c r="DI646" s="103">
        <v>3920</v>
      </c>
      <c r="DJ646" s="103">
        <v>2689</v>
      </c>
      <c r="DK646" s="103">
        <v>2579</v>
      </c>
      <c r="DL646" s="103">
        <v>862</v>
      </c>
      <c r="DM646" s="103">
        <v>572</v>
      </c>
      <c r="DN646" s="103">
        <v>253</v>
      </c>
      <c r="DO646" s="103">
        <v>110</v>
      </c>
    </row>
    <row r="647" spans="2:119" ht="16.5" customHeight="1" x14ac:dyDescent="0.45">
      <c r="B647" s="134"/>
      <c r="C647" s="42"/>
      <c r="D647" s="110"/>
      <c r="E647" s="46" t="s">
        <v>9</v>
      </c>
      <c r="F647" s="103">
        <v>523</v>
      </c>
      <c r="G647" s="103">
        <v>277</v>
      </c>
      <c r="H647" s="103">
        <v>1342</v>
      </c>
      <c r="I647" s="103">
        <v>4425</v>
      </c>
      <c r="J647" s="103">
        <v>4166</v>
      </c>
      <c r="K647" s="103">
        <v>4867</v>
      </c>
      <c r="L647" s="103">
        <v>2622</v>
      </c>
      <c r="M647" s="103">
        <v>2311</v>
      </c>
      <c r="N647" s="103">
        <v>1181</v>
      </c>
      <c r="O647" s="103">
        <v>567</v>
      </c>
      <c r="P647" s="42"/>
      <c r="Q647" s="110"/>
      <c r="R647" s="46" t="s">
        <v>9</v>
      </c>
      <c r="S647" s="103">
        <v>270</v>
      </c>
      <c r="T647" s="103">
        <v>73</v>
      </c>
      <c r="U647" s="103">
        <v>457</v>
      </c>
      <c r="V647" s="103">
        <v>1948</v>
      </c>
      <c r="W647" s="103">
        <v>2297</v>
      </c>
      <c r="X647" s="103">
        <v>2976</v>
      </c>
      <c r="Y647" s="103">
        <v>1800</v>
      </c>
      <c r="Z647" s="103">
        <v>1679</v>
      </c>
      <c r="AA647" s="103">
        <v>874</v>
      </c>
      <c r="AB647" s="103">
        <v>370</v>
      </c>
      <c r="AC647" s="42"/>
      <c r="AD647" s="110"/>
      <c r="AE647" s="46" t="s">
        <v>9</v>
      </c>
      <c r="AF647" s="103">
        <v>253</v>
      </c>
      <c r="AG647" s="103">
        <v>204</v>
      </c>
      <c r="AH647" s="103">
        <v>885</v>
      </c>
      <c r="AI647" s="103">
        <v>2477</v>
      </c>
      <c r="AJ647" s="103">
        <v>1869</v>
      </c>
      <c r="AK647" s="103">
        <v>1891</v>
      </c>
      <c r="AL647" s="103">
        <v>822</v>
      </c>
      <c r="AM647" s="103">
        <v>632</v>
      </c>
      <c r="AN647" s="103">
        <v>307</v>
      </c>
      <c r="AO647" s="103">
        <v>197</v>
      </c>
      <c r="AP647" s="6"/>
      <c r="AQ647" s="110"/>
      <c r="AR647" s="46" t="s">
        <v>9</v>
      </c>
      <c r="AS647" s="103">
        <v>109</v>
      </c>
      <c r="AT647" s="103">
        <v>93</v>
      </c>
      <c r="AU647" s="103">
        <v>364</v>
      </c>
      <c r="AV647" s="103">
        <v>941</v>
      </c>
      <c r="AW647" s="103">
        <v>732</v>
      </c>
      <c r="AX647" s="103">
        <v>859</v>
      </c>
      <c r="AY647" s="103">
        <v>428</v>
      </c>
      <c r="AZ647" s="103">
        <v>379</v>
      </c>
      <c r="BA647" s="103">
        <v>180</v>
      </c>
      <c r="BB647" s="103">
        <v>112</v>
      </c>
      <c r="BC647" s="42"/>
      <c r="BD647" s="110"/>
      <c r="BE647" s="46" t="s">
        <v>9</v>
      </c>
      <c r="BF647" s="103">
        <v>414</v>
      </c>
      <c r="BG647" s="103">
        <v>184</v>
      </c>
      <c r="BH647" s="103">
        <v>978</v>
      </c>
      <c r="BI647" s="103">
        <v>3484</v>
      </c>
      <c r="BJ647" s="103">
        <v>3434</v>
      </c>
      <c r="BK647" s="103">
        <v>4008</v>
      </c>
      <c r="BL647" s="103">
        <v>2194</v>
      </c>
      <c r="BM647" s="103">
        <v>1932</v>
      </c>
      <c r="BN647" s="103">
        <v>1001</v>
      </c>
      <c r="BO647" s="103">
        <v>455</v>
      </c>
      <c r="BQ647" s="110"/>
      <c r="BR647" s="46" t="s">
        <v>9</v>
      </c>
      <c r="BS647" s="103">
        <v>22</v>
      </c>
      <c r="BT647" s="103">
        <v>24</v>
      </c>
      <c r="BU647" s="103">
        <v>90</v>
      </c>
      <c r="BV647" s="103">
        <v>200</v>
      </c>
      <c r="BW647" s="103">
        <v>151</v>
      </c>
      <c r="BX647" s="103">
        <v>169</v>
      </c>
      <c r="BY647" s="103">
        <v>90</v>
      </c>
      <c r="BZ647" s="103">
        <v>66</v>
      </c>
      <c r="CA647" s="103">
        <v>35</v>
      </c>
      <c r="CB647" s="103">
        <v>11</v>
      </c>
      <c r="CC647" s="42"/>
      <c r="CD647" s="110"/>
      <c r="CE647" s="46" t="s">
        <v>9</v>
      </c>
      <c r="CF647" s="103">
        <v>501</v>
      </c>
      <c r="CG647" s="103">
        <v>253</v>
      </c>
      <c r="CH647" s="103">
        <v>1252</v>
      </c>
      <c r="CI647" s="103">
        <v>4225</v>
      </c>
      <c r="CJ647" s="103">
        <v>4015</v>
      </c>
      <c r="CK647" s="103">
        <v>4698</v>
      </c>
      <c r="CL647" s="103">
        <v>2532</v>
      </c>
      <c r="CM647" s="103">
        <v>2245</v>
      </c>
      <c r="CN647" s="103">
        <v>1146</v>
      </c>
      <c r="CO647" s="103">
        <v>556</v>
      </c>
      <c r="CQ647" s="110"/>
      <c r="CR647" s="46" t="s">
        <v>9</v>
      </c>
      <c r="CS647" s="103">
        <v>81</v>
      </c>
      <c r="CT647" s="103">
        <v>25</v>
      </c>
      <c r="CU647" s="103">
        <v>163</v>
      </c>
      <c r="CV647" s="103">
        <v>493</v>
      </c>
      <c r="CW647" s="103">
        <v>540</v>
      </c>
      <c r="CX647" s="103">
        <v>694</v>
      </c>
      <c r="CY647" s="103">
        <v>487</v>
      </c>
      <c r="CZ647" s="103">
        <v>510</v>
      </c>
      <c r="DA647" s="103">
        <v>352</v>
      </c>
      <c r="DB647" s="103">
        <v>276</v>
      </c>
      <c r="DC647" s="42"/>
      <c r="DD647" s="110"/>
      <c r="DE647" s="46" t="s">
        <v>9</v>
      </c>
      <c r="DF647" s="103">
        <v>442</v>
      </c>
      <c r="DG647" s="103">
        <v>252</v>
      </c>
      <c r="DH647" s="103">
        <v>1179</v>
      </c>
      <c r="DI647" s="103">
        <v>3932</v>
      </c>
      <c r="DJ647" s="103">
        <v>3626</v>
      </c>
      <c r="DK647" s="103">
        <v>4173</v>
      </c>
      <c r="DL647" s="103">
        <v>2135</v>
      </c>
      <c r="DM647" s="103">
        <v>1801</v>
      </c>
      <c r="DN647" s="103">
        <v>829</v>
      </c>
      <c r="DO647" s="103">
        <v>291</v>
      </c>
    </row>
    <row r="648" spans="2:119" ht="16.5" customHeight="1" x14ac:dyDescent="0.45">
      <c r="B648" s="134"/>
      <c r="C648" s="42"/>
      <c r="D648" s="110"/>
      <c r="E648" s="46" t="s">
        <v>10</v>
      </c>
      <c r="F648" s="103">
        <v>341</v>
      </c>
      <c r="G648" s="103">
        <v>78</v>
      </c>
      <c r="H648" s="103">
        <v>508</v>
      </c>
      <c r="I648" s="103">
        <v>2250</v>
      </c>
      <c r="J648" s="103">
        <v>3226</v>
      </c>
      <c r="K648" s="103">
        <v>4725</v>
      </c>
      <c r="L648" s="103">
        <v>3921</v>
      </c>
      <c r="M648" s="103">
        <v>4213</v>
      </c>
      <c r="N648" s="103">
        <v>2693</v>
      </c>
      <c r="O648" s="103">
        <v>1496</v>
      </c>
      <c r="P648" s="42"/>
      <c r="Q648" s="110"/>
      <c r="R648" s="46" t="s">
        <v>10</v>
      </c>
      <c r="S648" s="103">
        <v>128</v>
      </c>
      <c r="T648" s="103">
        <v>9</v>
      </c>
      <c r="U648" s="103">
        <v>114</v>
      </c>
      <c r="V648" s="103">
        <v>775</v>
      </c>
      <c r="W648" s="103">
        <v>1372</v>
      </c>
      <c r="X648" s="103">
        <v>2342</v>
      </c>
      <c r="Y648" s="103">
        <v>2243</v>
      </c>
      <c r="Z648" s="103">
        <v>2631</v>
      </c>
      <c r="AA648" s="103">
        <v>1838</v>
      </c>
      <c r="AB648" s="103">
        <v>972</v>
      </c>
      <c r="AC648" s="42"/>
      <c r="AD648" s="110"/>
      <c r="AE648" s="46" t="s">
        <v>10</v>
      </c>
      <c r="AF648" s="103">
        <v>213</v>
      </c>
      <c r="AG648" s="103">
        <v>69</v>
      </c>
      <c r="AH648" s="103">
        <v>394</v>
      </c>
      <c r="AI648" s="103">
        <v>1475</v>
      </c>
      <c r="AJ648" s="103">
        <v>1854</v>
      </c>
      <c r="AK648" s="103">
        <v>2383</v>
      </c>
      <c r="AL648" s="103">
        <v>1678</v>
      </c>
      <c r="AM648" s="103">
        <v>1582</v>
      </c>
      <c r="AN648" s="103">
        <v>855</v>
      </c>
      <c r="AO648" s="103">
        <v>524</v>
      </c>
      <c r="AP648" s="6"/>
      <c r="AQ648" s="110"/>
      <c r="AR648" s="46" t="s">
        <v>10</v>
      </c>
      <c r="AS648" s="103">
        <v>59</v>
      </c>
      <c r="AT648" s="103">
        <v>26</v>
      </c>
      <c r="AU648" s="103">
        <v>132</v>
      </c>
      <c r="AV648" s="103">
        <v>449</v>
      </c>
      <c r="AW648" s="103">
        <v>524</v>
      </c>
      <c r="AX648" s="103">
        <v>640</v>
      </c>
      <c r="AY648" s="103">
        <v>463</v>
      </c>
      <c r="AZ648" s="103">
        <v>486</v>
      </c>
      <c r="BA648" s="103">
        <v>292</v>
      </c>
      <c r="BB648" s="103">
        <v>141</v>
      </c>
      <c r="BC648" s="42"/>
      <c r="BD648" s="110"/>
      <c r="BE648" s="46" t="s">
        <v>10</v>
      </c>
      <c r="BF648" s="103">
        <v>282</v>
      </c>
      <c r="BG648" s="103">
        <v>52</v>
      </c>
      <c r="BH648" s="103">
        <v>376</v>
      </c>
      <c r="BI648" s="103">
        <v>1801</v>
      </c>
      <c r="BJ648" s="103">
        <v>2702</v>
      </c>
      <c r="BK648" s="103">
        <v>4085</v>
      </c>
      <c r="BL648" s="103">
        <v>3458</v>
      </c>
      <c r="BM648" s="103">
        <v>3727</v>
      </c>
      <c r="BN648" s="103">
        <v>2401</v>
      </c>
      <c r="BO648" s="103">
        <v>1355</v>
      </c>
      <c r="BQ648" s="110"/>
      <c r="BR648" s="46" t="s">
        <v>10</v>
      </c>
      <c r="BS648" s="103">
        <v>16</v>
      </c>
      <c r="BT648" s="103">
        <v>6</v>
      </c>
      <c r="BU648" s="103">
        <v>33</v>
      </c>
      <c r="BV648" s="103">
        <v>101</v>
      </c>
      <c r="BW648" s="103">
        <v>121</v>
      </c>
      <c r="BX648" s="103">
        <v>159</v>
      </c>
      <c r="BY648" s="103">
        <v>110</v>
      </c>
      <c r="BZ648" s="103">
        <v>98</v>
      </c>
      <c r="CA648" s="103">
        <v>70</v>
      </c>
      <c r="CB648" s="103">
        <v>42</v>
      </c>
      <c r="CC648" s="42"/>
      <c r="CD648" s="110"/>
      <c r="CE648" s="46" t="s">
        <v>10</v>
      </c>
      <c r="CF648" s="103">
        <v>325</v>
      </c>
      <c r="CG648" s="103">
        <v>72</v>
      </c>
      <c r="CH648" s="103">
        <v>475</v>
      </c>
      <c r="CI648" s="103">
        <v>2149</v>
      </c>
      <c r="CJ648" s="103">
        <v>3105</v>
      </c>
      <c r="CK648" s="103">
        <v>4566</v>
      </c>
      <c r="CL648" s="103">
        <v>3811</v>
      </c>
      <c r="CM648" s="103">
        <v>4115</v>
      </c>
      <c r="CN648" s="103">
        <v>2623</v>
      </c>
      <c r="CO648" s="103">
        <v>1454</v>
      </c>
      <c r="CQ648" s="110"/>
      <c r="CR648" s="46" t="s">
        <v>10</v>
      </c>
      <c r="CS648" s="103">
        <v>28</v>
      </c>
      <c r="CT648" s="103">
        <v>6</v>
      </c>
      <c r="CU648" s="103">
        <v>55</v>
      </c>
      <c r="CV648" s="103">
        <v>254</v>
      </c>
      <c r="CW648" s="103">
        <v>334</v>
      </c>
      <c r="CX648" s="103">
        <v>528</v>
      </c>
      <c r="CY648" s="103">
        <v>549</v>
      </c>
      <c r="CZ648" s="103">
        <v>659</v>
      </c>
      <c r="DA648" s="103">
        <v>503</v>
      </c>
      <c r="DB648" s="103">
        <v>400</v>
      </c>
      <c r="DC648" s="42"/>
      <c r="DD648" s="110"/>
      <c r="DE648" s="46" t="s">
        <v>10</v>
      </c>
      <c r="DF648" s="103">
        <v>313</v>
      </c>
      <c r="DG648" s="103">
        <v>72</v>
      </c>
      <c r="DH648" s="103">
        <v>453</v>
      </c>
      <c r="DI648" s="103">
        <v>1996</v>
      </c>
      <c r="DJ648" s="103">
        <v>2892</v>
      </c>
      <c r="DK648" s="103">
        <v>4197</v>
      </c>
      <c r="DL648" s="103">
        <v>3372</v>
      </c>
      <c r="DM648" s="103">
        <v>3554</v>
      </c>
      <c r="DN648" s="103">
        <v>2190</v>
      </c>
      <c r="DO648" s="103">
        <v>1096</v>
      </c>
    </row>
    <row r="649" spans="2:119" ht="16.5" customHeight="1" x14ac:dyDescent="0.45">
      <c r="B649" s="134"/>
      <c r="C649" s="42"/>
      <c r="D649" s="111"/>
      <c r="E649" s="46" t="s">
        <v>11</v>
      </c>
      <c r="F649" s="103">
        <v>30</v>
      </c>
      <c r="G649" s="103">
        <v>2</v>
      </c>
      <c r="H649" s="103">
        <v>24</v>
      </c>
      <c r="I649" s="103">
        <v>168</v>
      </c>
      <c r="J649" s="103">
        <v>359</v>
      </c>
      <c r="K649" s="103">
        <v>714</v>
      </c>
      <c r="L649" s="103">
        <v>898</v>
      </c>
      <c r="M649" s="103">
        <v>1394</v>
      </c>
      <c r="N649" s="103">
        <v>1377</v>
      </c>
      <c r="O649" s="103">
        <v>1194</v>
      </c>
      <c r="P649" s="42"/>
      <c r="Q649" s="111"/>
      <c r="R649" s="46" t="s">
        <v>11</v>
      </c>
      <c r="S649" s="103">
        <v>12</v>
      </c>
      <c r="T649" s="103">
        <v>0</v>
      </c>
      <c r="U649" s="103">
        <v>4</v>
      </c>
      <c r="V649" s="103">
        <v>53</v>
      </c>
      <c r="W649" s="103">
        <v>131</v>
      </c>
      <c r="X649" s="103">
        <v>289</v>
      </c>
      <c r="Y649" s="103">
        <v>403</v>
      </c>
      <c r="Z649" s="103">
        <v>731</v>
      </c>
      <c r="AA649" s="103">
        <v>843</v>
      </c>
      <c r="AB649" s="103">
        <v>806</v>
      </c>
      <c r="AC649" s="42"/>
      <c r="AD649" s="111"/>
      <c r="AE649" s="46" t="s">
        <v>11</v>
      </c>
      <c r="AF649" s="103">
        <v>18</v>
      </c>
      <c r="AG649" s="103">
        <v>2</v>
      </c>
      <c r="AH649" s="103">
        <v>20</v>
      </c>
      <c r="AI649" s="103">
        <v>115</v>
      </c>
      <c r="AJ649" s="103">
        <v>228</v>
      </c>
      <c r="AK649" s="103">
        <v>425</v>
      </c>
      <c r="AL649" s="103">
        <v>495</v>
      </c>
      <c r="AM649" s="103">
        <v>663</v>
      </c>
      <c r="AN649" s="103">
        <v>534</v>
      </c>
      <c r="AO649" s="103">
        <v>388</v>
      </c>
      <c r="AP649" s="6"/>
      <c r="AQ649" s="111"/>
      <c r="AR649" s="46" t="s">
        <v>11</v>
      </c>
      <c r="AS649" s="103">
        <v>3</v>
      </c>
      <c r="AT649" s="103">
        <v>0</v>
      </c>
      <c r="AU649" s="103">
        <v>5</v>
      </c>
      <c r="AV649" s="103">
        <v>23</v>
      </c>
      <c r="AW649" s="103">
        <v>46</v>
      </c>
      <c r="AX649" s="103">
        <v>70</v>
      </c>
      <c r="AY649" s="103">
        <v>80</v>
      </c>
      <c r="AZ649" s="103">
        <v>101</v>
      </c>
      <c r="BA649" s="103">
        <v>96</v>
      </c>
      <c r="BB649" s="103">
        <v>71</v>
      </c>
      <c r="BC649" s="42"/>
      <c r="BD649" s="111"/>
      <c r="BE649" s="46" t="s">
        <v>11</v>
      </c>
      <c r="BF649" s="103">
        <v>27</v>
      </c>
      <c r="BG649" s="103">
        <v>2</v>
      </c>
      <c r="BH649" s="103">
        <v>19</v>
      </c>
      <c r="BI649" s="103">
        <v>145</v>
      </c>
      <c r="BJ649" s="103">
        <v>313</v>
      </c>
      <c r="BK649" s="103">
        <v>644</v>
      </c>
      <c r="BL649" s="103">
        <v>818</v>
      </c>
      <c r="BM649" s="103">
        <v>1293</v>
      </c>
      <c r="BN649" s="103">
        <v>1281</v>
      </c>
      <c r="BO649" s="103">
        <v>1123</v>
      </c>
      <c r="BQ649" s="111"/>
      <c r="BR649" s="46" t="s">
        <v>11</v>
      </c>
      <c r="BS649" s="103">
        <v>3</v>
      </c>
      <c r="BT649" s="103">
        <v>1</v>
      </c>
      <c r="BU649" s="103">
        <v>0</v>
      </c>
      <c r="BV649" s="103">
        <v>6</v>
      </c>
      <c r="BW649" s="103">
        <v>9</v>
      </c>
      <c r="BX649" s="103">
        <v>26</v>
      </c>
      <c r="BY649" s="103">
        <v>23</v>
      </c>
      <c r="BZ649" s="103">
        <v>33</v>
      </c>
      <c r="CA649" s="103">
        <v>37</v>
      </c>
      <c r="CB649" s="103">
        <v>27</v>
      </c>
      <c r="CC649" s="42"/>
      <c r="CD649" s="111"/>
      <c r="CE649" s="46" t="s">
        <v>11</v>
      </c>
      <c r="CF649" s="103">
        <v>27</v>
      </c>
      <c r="CG649" s="103">
        <v>1</v>
      </c>
      <c r="CH649" s="103">
        <v>24</v>
      </c>
      <c r="CI649" s="103">
        <v>162</v>
      </c>
      <c r="CJ649" s="103">
        <v>350</v>
      </c>
      <c r="CK649" s="103">
        <v>688</v>
      </c>
      <c r="CL649" s="103">
        <v>875</v>
      </c>
      <c r="CM649" s="103">
        <v>1361</v>
      </c>
      <c r="CN649" s="103">
        <v>1340</v>
      </c>
      <c r="CO649" s="103">
        <v>1167</v>
      </c>
      <c r="CQ649" s="111"/>
      <c r="CR649" s="46" t="s">
        <v>11</v>
      </c>
      <c r="CS649" s="103">
        <v>1</v>
      </c>
      <c r="CT649" s="103">
        <v>0</v>
      </c>
      <c r="CU649" s="103">
        <v>4</v>
      </c>
      <c r="CV649" s="103">
        <v>7</v>
      </c>
      <c r="CW649" s="103">
        <v>34</v>
      </c>
      <c r="CX649" s="103">
        <v>55</v>
      </c>
      <c r="CY649" s="103">
        <v>83</v>
      </c>
      <c r="CZ649" s="103">
        <v>155</v>
      </c>
      <c r="DA649" s="103">
        <v>180</v>
      </c>
      <c r="DB649" s="103">
        <v>235</v>
      </c>
      <c r="DC649" s="42"/>
      <c r="DD649" s="111"/>
      <c r="DE649" s="46" t="s">
        <v>11</v>
      </c>
      <c r="DF649" s="103">
        <v>29</v>
      </c>
      <c r="DG649" s="103">
        <v>2</v>
      </c>
      <c r="DH649" s="103">
        <v>20</v>
      </c>
      <c r="DI649" s="103">
        <v>161</v>
      </c>
      <c r="DJ649" s="103">
        <v>325</v>
      </c>
      <c r="DK649" s="103">
        <v>659</v>
      </c>
      <c r="DL649" s="103">
        <v>815</v>
      </c>
      <c r="DM649" s="103">
        <v>1239</v>
      </c>
      <c r="DN649" s="103">
        <v>1197</v>
      </c>
      <c r="DO649" s="103">
        <v>959</v>
      </c>
    </row>
    <row r="650" spans="2:119" ht="16.5" customHeight="1" x14ac:dyDescent="0.45">
      <c r="B650" s="99"/>
      <c r="C650" s="42"/>
      <c r="D650" s="42"/>
      <c r="E650" s="42"/>
      <c r="F650" s="42"/>
      <c r="G650" s="42"/>
      <c r="H650" s="42"/>
      <c r="I650" s="42"/>
      <c r="J650" s="42"/>
      <c r="K650" s="42"/>
      <c r="L650" s="42"/>
      <c r="M650" s="42"/>
      <c r="N650" s="42"/>
      <c r="O650" s="42"/>
      <c r="P650" s="42"/>
      <c r="Q650" s="42"/>
      <c r="R650" s="42"/>
      <c r="S650" s="42"/>
      <c r="T650" s="42"/>
      <c r="U650" s="42"/>
      <c r="V650" s="42"/>
      <c r="W650" s="42"/>
      <c r="X650" s="42"/>
      <c r="Y650" s="42"/>
      <c r="Z650" s="42"/>
      <c r="AA650" s="42"/>
      <c r="AB650" s="42"/>
      <c r="AC650" s="42"/>
      <c r="AD650" s="42"/>
      <c r="AE650" s="42"/>
      <c r="AF650" s="42"/>
      <c r="AG650" s="42"/>
      <c r="AH650" s="42"/>
      <c r="AI650" s="42"/>
      <c r="AJ650" s="42"/>
      <c r="AK650" s="42"/>
      <c r="AL650" s="42"/>
      <c r="AM650" s="42"/>
      <c r="AN650" s="42"/>
      <c r="AO650" s="42"/>
      <c r="AP650" s="6"/>
      <c r="AQ650" s="42"/>
      <c r="AR650" s="42"/>
      <c r="AS650" s="42"/>
      <c r="AT650" s="42"/>
      <c r="AU650" s="42"/>
      <c r="AV650" s="42"/>
      <c r="AW650" s="42"/>
      <c r="AX650" s="42"/>
      <c r="AY650" s="42"/>
      <c r="AZ650" s="42"/>
      <c r="BA650" s="42"/>
      <c r="BB650" s="42"/>
      <c r="BC650" s="42"/>
      <c r="BD650" s="42"/>
      <c r="BE650" s="42"/>
      <c r="BF650" s="42"/>
      <c r="BG650" s="42"/>
      <c r="BH650" s="42"/>
      <c r="BI650" s="42"/>
      <c r="BJ650" s="42"/>
      <c r="BK650" s="42"/>
      <c r="BL650" s="42"/>
      <c r="BM650" s="42"/>
      <c r="BN650" s="42"/>
      <c r="BO650" s="42"/>
      <c r="BQ650" s="42"/>
      <c r="BR650" s="42"/>
      <c r="BS650" s="42"/>
      <c r="BT650" s="42"/>
      <c r="BU650" s="42"/>
      <c r="BV650" s="42"/>
      <c r="BW650" s="42"/>
      <c r="BX650" s="42"/>
      <c r="BY650" s="42"/>
      <c r="BZ650" s="42"/>
      <c r="CA650" s="42"/>
      <c r="CB650" s="42"/>
      <c r="CC650" s="42"/>
      <c r="CD650" s="42"/>
      <c r="CE650" s="42"/>
      <c r="CF650" s="42"/>
      <c r="CG650" s="42"/>
      <c r="CH650" s="42"/>
      <c r="CI650" s="42"/>
      <c r="CJ650" s="42"/>
      <c r="CK650" s="42"/>
      <c r="CL650" s="42"/>
      <c r="CM650" s="42"/>
      <c r="CN650" s="42"/>
      <c r="CO650" s="42"/>
      <c r="CQ650" s="42"/>
      <c r="CR650" s="42"/>
      <c r="CS650" s="42"/>
      <c r="CT650" s="42"/>
      <c r="CU650" s="42"/>
      <c r="CV650" s="42"/>
      <c r="CW650" s="42"/>
      <c r="CX650" s="42"/>
      <c r="CY650" s="42"/>
      <c r="CZ650" s="42"/>
      <c r="DA650" s="42"/>
      <c r="DB650" s="42"/>
      <c r="DC650" s="42"/>
      <c r="DD650" s="42"/>
      <c r="DE650" s="42"/>
      <c r="DF650" s="42"/>
      <c r="DG650" s="42"/>
      <c r="DH650" s="42"/>
      <c r="DI650" s="42"/>
      <c r="DJ650" s="42"/>
      <c r="DK650" s="42"/>
      <c r="DL650" s="42"/>
      <c r="DM650" s="42"/>
      <c r="DN650" s="42"/>
      <c r="DO650" s="42"/>
    </row>
    <row r="651" spans="2:119" ht="16.5" customHeight="1" x14ac:dyDescent="0.55000000000000004">
      <c r="B651" s="99"/>
      <c r="C651" s="42"/>
      <c r="D651" s="112" t="s">
        <v>16</v>
      </c>
      <c r="E651" s="112"/>
      <c r="F651" s="45"/>
      <c r="G651" s="45"/>
      <c r="H651" s="45"/>
      <c r="I651" s="45"/>
      <c r="J651" s="45"/>
      <c r="K651" s="45"/>
      <c r="L651" s="45"/>
      <c r="M651" s="45"/>
      <c r="N651" s="45"/>
      <c r="O651" s="45"/>
      <c r="P651" s="42"/>
      <c r="Q651" s="112" t="s">
        <v>16</v>
      </c>
      <c r="R651" s="112"/>
      <c r="S651" s="45"/>
      <c r="T651" s="45"/>
      <c r="U651" s="45"/>
      <c r="V651" s="45"/>
      <c r="W651" s="45"/>
      <c r="X651" s="45"/>
      <c r="Y651" s="45"/>
      <c r="Z651" s="45"/>
      <c r="AA651" s="45"/>
      <c r="AB651" s="45"/>
      <c r="AC651" s="42"/>
      <c r="AD651" s="112" t="s">
        <v>16</v>
      </c>
      <c r="AE651" s="112"/>
      <c r="AF651" s="45"/>
      <c r="AG651" s="45"/>
      <c r="AH651" s="45"/>
      <c r="AI651" s="45"/>
      <c r="AJ651" s="45"/>
      <c r="AK651" s="45"/>
      <c r="AL651" s="45"/>
      <c r="AM651" s="45"/>
      <c r="AN651" s="45"/>
      <c r="AO651" s="45"/>
      <c r="AP651" s="6"/>
      <c r="AQ651" s="112" t="s">
        <v>16</v>
      </c>
      <c r="AR651" s="112"/>
      <c r="AS651" s="45"/>
      <c r="AT651" s="45"/>
      <c r="AU651" s="45"/>
      <c r="AV651" s="45"/>
      <c r="AW651" s="45"/>
      <c r="AX651" s="45"/>
      <c r="AY651" s="45"/>
      <c r="AZ651" s="45"/>
      <c r="BA651" s="45"/>
      <c r="BB651" s="45"/>
      <c r="BC651" s="42"/>
      <c r="BD651" s="112" t="s">
        <v>16</v>
      </c>
      <c r="BE651" s="112"/>
      <c r="BF651" s="45"/>
      <c r="BG651" s="45"/>
      <c r="BH651" s="45"/>
      <c r="BI651" s="45"/>
      <c r="BJ651" s="45"/>
      <c r="BK651" s="45"/>
      <c r="BL651" s="45"/>
      <c r="BM651" s="45"/>
      <c r="BN651" s="45"/>
      <c r="BO651" s="45"/>
      <c r="BQ651" s="112" t="s">
        <v>16</v>
      </c>
      <c r="BR651" s="112"/>
      <c r="BS651" s="45"/>
      <c r="BT651" s="45"/>
      <c r="BU651" s="45"/>
      <c r="BV651" s="45"/>
      <c r="BW651" s="45"/>
      <c r="BX651" s="45"/>
      <c r="BY651" s="45"/>
      <c r="BZ651" s="45"/>
      <c r="CA651" s="45"/>
      <c r="CB651" s="45"/>
      <c r="CC651" s="42"/>
      <c r="CD651" s="112" t="s">
        <v>16</v>
      </c>
      <c r="CE651" s="112"/>
      <c r="CF651" s="45"/>
      <c r="CG651" s="45"/>
      <c r="CH651" s="45"/>
      <c r="CI651" s="45"/>
      <c r="CJ651" s="45"/>
      <c r="CK651" s="45"/>
      <c r="CL651" s="45"/>
      <c r="CM651" s="45"/>
      <c r="CN651" s="45"/>
      <c r="CO651" s="45"/>
      <c r="CQ651" s="112" t="s">
        <v>16</v>
      </c>
      <c r="CR651" s="112"/>
      <c r="CS651" s="45"/>
      <c r="CT651" s="45"/>
      <c r="CU651" s="45"/>
      <c r="CV651" s="45"/>
      <c r="CW651" s="45"/>
      <c r="CX651" s="45"/>
      <c r="CY651" s="45"/>
      <c r="CZ651" s="45"/>
      <c r="DA651" s="45"/>
      <c r="DB651" s="45"/>
      <c r="DC651" s="42"/>
      <c r="DD651" s="112" t="s">
        <v>16</v>
      </c>
      <c r="DE651" s="112"/>
      <c r="DF651" s="45"/>
      <c r="DG651" s="45"/>
      <c r="DH651" s="45"/>
      <c r="DI651" s="45"/>
      <c r="DJ651" s="45"/>
      <c r="DK651" s="45"/>
      <c r="DL651" s="45"/>
      <c r="DM651" s="45"/>
      <c r="DN651" s="45"/>
      <c r="DO651" s="45"/>
    </row>
    <row r="652" spans="2:119" ht="28.9" customHeight="1" x14ac:dyDescent="0.45">
      <c r="B652" s="99"/>
      <c r="C652" s="42"/>
      <c r="D652" s="112"/>
      <c r="E652" s="112"/>
      <c r="F652" s="108" t="s">
        <v>12</v>
      </c>
      <c r="G652" s="108"/>
      <c r="H652" s="108"/>
      <c r="I652" s="108"/>
      <c r="J652" s="108"/>
      <c r="K652" s="108"/>
      <c r="L652" s="108"/>
      <c r="M652" s="108"/>
      <c r="N652" s="108"/>
      <c r="O652" s="108"/>
      <c r="P652" s="42"/>
      <c r="Q652" s="112"/>
      <c r="R652" s="112"/>
      <c r="S652" s="108" t="s">
        <v>12</v>
      </c>
      <c r="T652" s="108"/>
      <c r="U652" s="108"/>
      <c r="V652" s="108"/>
      <c r="W652" s="108"/>
      <c r="X652" s="108"/>
      <c r="Y652" s="108"/>
      <c r="Z652" s="108"/>
      <c r="AA652" s="108"/>
      <c r="AB652" s="108"/>
      <c r="AC652" s="42"/>
      <c r="AD652" s="112"/>
      <c r="AE652" s="112"/>
      <c r="AF652" s="131" t="s">
        <v>12</v>
      </c>
      <c r="AG652" s="132"/>
      <c r="AH652" s="132"/>
      <c r="AI652" s="132"/>
      <c r="AJ652" s="132"/>
      <c r="AK652" s="132"/>
      <c r="AL652" s="132"/>
      <c r="AM652" s="132"/>
      <c r="AN652" s="132"/>
      <c r="AO652" s="133"/>
      <c r="AP652" s="6"/>
      <c r="AQ652" s="112"/>
      <c r="AR652" s="112"/>
      <c r="AS652" s="108" t="s">
        <v>12</v>
      </c>
      <c r="AT652" s="108"/>
      <c r="AU652" s="108"/>
      <c r="AV652" s="108"/>
      <c r="AW652" s="108"/>
      <c r="AX652" s="108"/>
      <c r="AY652" s="108"/>
      <c r="AZ652" s="108"/>
      <c r="BA652" s="108"/>
      <c r="BB652" s="108"/>
      <c r="BC652" s="42"/>
      <c r="BD652" s="112"/>
      <c r="BE652" s="112"/>
      <c r="BF652" s="108" t="s">
        <v>12</v>
      </c>
      <c r="BG652" s="108"/>
      <c r="BH652" s="108"/>
      <c r="BI652" s="108"/>
      <c r="BJ652" s="108"/>
      <c r="BK652" s="108"/>
      <c r="BL652" s="108"/>
      <c r="BM652" s="108"/>
      <c r="BN652" s="108"/>
      <c r="BO652" s="108"/>
      <c r="BQ652" s="112"/>
      <c r="BR652" s="112"/>
      <c r="BS652" s="108" t="s">
        <v>12</v>
      </c>
      <c r="BT652" s="108"/>
      <c r="BU652" s="108"/>
      <c r="BV652" s="108"/>
      <c r="BW652" s="108"/>
      <c r="BX652" s="108"/>
      <c r="BY652" s="108"/>
      <c r="BZ652" s="108"/>
      <c r="CA652" s="108"/>
      <c r="CB652" s="108"/>
      <c r="CC652" s="42"/>
      <c r="CD652" s="112"/>
      <c r="CE652" s="112"/>
      <c r="CF652" s="108" t="s">
        <v>12</v>
      </c>
      <c r="CG652" s="108"/>
      <c r="CH652" s="108"/>
      <c r="CI652" s="108"/>
      <c r="CJ652" s="108"/>
      <c r="CK652" s="108"/>
      <c r="CL652" s="108"/>
      <c r="CM652" s="108"/>
      <c r="CN652" s="108"/>
      <c r="CO652" s="108"/>
      <c r="CQ652" s="112"/>
      <c r="CR652" s="112"/>
      <c r="CS652" s="108" t="s">
        <v>12</v>
      </c>
      <c r="CT652" s="108"/>
      <c r="CU652" s="108"/>
      <c r="CV652" s="108"/>
      <c r="CW652" s="108"/>
      <c r="CX652" s="108"/>
      <c r="CY652" s="108"/>
      <c r="CZ652" s="108"/>
      <c r="DA652" s="108"/>
      <c r="DB652" s="108"/>
      <c r="DC652" s="42"/>
      <c r="DD652" s="112"/>
      <c r="DE652" s="112"/>
      <c r="DF652" s="108" t="s">
        <v>12</v>
      </c>
      <c r="DG652" s="108"/>
      <c r="DH652" s="108"/>
      <c r="DI652" s="108"/>
      <c r="DJ652" s="108"/>
      <c r="DK652" s="108"/>
      <c r="DL652" s="108"/>
      <c r="DM652" s="108"/>
      <c r="DN652" s="108"/>
      <c r="DO652" s="108"/>
    </row>
    <row r="653" spans="2:119" ht="15" customHeight="1" x14ac:dyDescent="0.45">
      <c r="B653" s="99"/>
      <c r="C653" s="42"/>
      <c r="D653" s="113"/>
      <c r="E653" s="113"/>
      <c r="F653" s="9" t="s">
        <v>0</v>
      </c>
      <c r="G653" s="9">
        <v>1</v>
      </c>
      <c r="H653" s="9">
        <v>2</v>
      </c>
      <c r="I653" s="9">
        <v>3</v>
      </c>
      <c r="J653" s="9">
        <v>4</v>
      </c>
      <c r="K653" s="9">
        <v>5</v>
      </c>
      <c r="L653" s="9">
        <v>6</v>
      </c>
      <c r="M653" s="9">
        <v>7</v>
      </c>
      <c r="N653" s="9">
        <v>8</v>
      </c>
      <c r="O653" s="9">
        <v>9</v>
      </c>
      <c r="P653" s="42"/>
      <c r="Q653" s="113"/>
      <c r="R653" s="113"/>
      <c r="S653" s="9" t="s">
        <v>0</v>
      </c>
      <c r="T653" s="9">
        <v>1</v>
      </c>
      <c r="U653" s="9">
        <v>2</v>
      </c>
      <c r="V653" s="9">
        <v>3</v>
      </c>
      <c r="W653" s="9">
        <v>4</v>
      </c>
      <c r="X653" s="9">
        <v>5</v>
      </c>
      <c r="Y653" s="9">
        <v>6</v>
      </c>
      <c r="Z653" s="9">
        <v>7</v>
      </c>
      <c r="AA653" s="9">
        <v>8</v>
      </c>
      <c r="AB653" s="9">
        <v>9</v>
      </c>
      <c r="AC653" s="42"/>
      <c r="AD653" s="113"/>
      <c r="AE653" s="113"/>
      <c r="AF653" s="9" t="s">
        <v>0</v>
      </c>
      <c r="AG653" s="9">
        <v>1</v>
      </c>
      <c r="AH653" s="9">
        <v>2</v>
      </c>
      <c r="AI653" s="9">
        <v>3</v>
      </c>
      <c r="AJ653" s="9">
        <v>4</v>
      </c>
      <c r="AK653" s="9">
        <v>5</v>
      </c>
      <c r="AL653" s="9">
        <v>6</v>
      </c>
      <c r="AM653" s="9">
        <v>7</v>
      </c>
      <c r="AN653" s="9">
        <v>8</v>
      </c>
      <c r="AO653" s="9">
        <v>9</v>
      </c>
      <c r="AP653" s="6"/>
      <c r="AQ653" s="113"/>
      <c r="AR653" s="113"/>
      <c r="AS653" s="9" t="s">
        <v>0</v>
      </c>
      <c r="AT653" s="9">
        <v>1</v>
      </c>
      <c r="AU653" s="9">
        <v>2</v>
      </c>
      <c r="AV653" s="9">
        <v>3</v>
      </c>
      <c r="AW653" s="9">
        <v>4</v>
      </c>
      <c r="AX653" s="9">
        <v>5</v>
      </c>
      <c r="AY653" s="9">
        <v>6</v>
      </c>
      <c r="AZ653" s="9">
        <v>7</v>
      </c>
      <c r="BA653" s="9">
        <v>8</v>
      </c>
      <c r="BB653" s="9">
        <v>9</v>
      </c>
      <c r="BC653" s="42"/>
      <c r="BD653" s="113"/>
      <c r="BE653" s="113"/>
      <c r="BF653" s="9" t="s">
        <v>0</v>
      </c>
      <c r="BG653" s="9">
        <v>1</v>
      </c>
      <c r="BH653" s="9">
        <v>2</v>
      </c>
      <c r="BI653" s="9">
        <v>3</v>
      </c>
      <c r="BJ653" s="9">
        <v>4</v>
      </c>
      <c r="BK653" s="9">
        <v>5</v>
      </c>
      <c r="BL653" s="9">
        <v>6</v>
      </c>
      <c r="BM653" s="9">
        <v>7</v>
      </c>
      <c r="BN653" s="9">
        <v>8</v>
      </c>
      <c r="BO653" s="9">
        <v>9</v>
      </c>
      <c r="BQ653" s="113"/>
      <c r="BR653" s="113"/>
      <c r="BS653" s="9" t="s">
        <v>0</v>
      </c>
      <c r="BT653" s="9">
        <v>1</v>
      </c>
      <c r="BU653" s="9">
        <v>2</v>
      </c>
      <c r="BV653" s="9">
        <v>3</v>
      </c>
      <c r="BW653" s="9">
        <v>4</v>
      </c>
      <c r="BX653" s="9">
        <v>5</v>
      </c>
      <c r="BY653" s="9">
        <v>6</v>
      </c>
      <c r="BZ653" s="9">
        <v>7</v>
      </c>
      <c r="CA653" s="9">
        <v>8</v>
      </c>
      <c r="CB653" s="9">
        <v>9</v>
      </c>
      <c r="CC653" s="42"/>
      <c r="CD653" s="113"/>
      <c r="CE653" s="113"/>
      <c r="CF653" s="9" t="s">
        <v>0</v>
      </c>
      <c r="CG653" s="9">
        <v>1</v>
      </c>
      <c r="CH653" s="9">
        <v>2</v>
      </c>
      <c r="CI653" s="9">
        <v>3</v>
      </c>
      <c r="CJ653" s="9">
        <v>4</v>
      </c>
      <c r="CK653" s="9">
        <v>5</v>
      </c>
      <c r="CL653" s="9">
        <v>6</v>
      </c>
      <c r="CM653" s="9">
        <v>7</v>
      </c>
      <c r="CN653" s="9">
        <v>8</v>
      </c>
      <c r="CO653" s="9">
        <v>9</v>
      </c>
      <c r="CQ653" s="113"/>
      <c r="CR653" s="113"/>
      <c r="CS653" s="9" t="s">
        <v>0</v>
      </c>
      <c r="CT653" s="9">
        <v>1</v>
      </c>
      <c r="CU653" s="9">
        <v>2</v>
      </c>
      <c r="CV653" s="9">
        <v>3</v>
      </c>
      <c r="CW653" s="9">
        <v>4</v>
      </c>
      <c r="CX653" s="9">
        <v>5</v>
      </c>
      <c r="CY653" s="9">
        <v>6</v>
      </c>
      <c r="CZ653" s="9">
        <v>7</v>
      </c>
      <c r="DA653" s="9">
        <v>8</v>
      </c>
      <c r="DB653" s="9">
        <v>9</v>
      </c>
      <c r="DC653" s="42"/>
      <c r="DD653" s="113"/>
      <c r="DE653" s="113"/>
      <c r="DF653" s="9" t="s">
        <v>0</v>
      </c>
      <c r="DG653" s="9">
        <v>1</v>
      </c>
      <c r="DH653" s="9">
        <v>2</v>
      </c>
      <c r="DI653" s="9">
        <v>3</v>
      </c>
      <c r="DJ653" s="9">
        <v>4</v>
      </c>
      <c r="DK653" s="9">
        <v>5</v>
      </c>
      <c r="DL653" s="9">
        <v>6</v>
      </c>
      <c r="DM653" s="9">
        <v>7</v>
      </c>
      <c r="DN653" s="9">
        <v>8</v>
      </c>
      <c r="DO653" s="9">
        <v>9</v>
      </c>
    </row>
    <row r="654" spans="2:119" ht="16.5" customHeight="1" x14ac:dyDescent="0.45">
      <c r="B654" s="99"/>
      <c r="C654" s="42"/>
      <c r="D654" s="109" t="s">
        <v>13</v>
      </c>
      <c r="E654" s="47" t="s">
        <v>1</v>
      </c>
      <c r="F654" s="103">
        <v>0</v>
      </c>
      <c r="G654" s="103">
        <v>5</v>
      </c>
      <c r="H654" s="103">
        <v>15</v>
      </c>
      <c r="I654" s="103">
        <v>15</v>
      </c>
      <c r="J654" s="103">
        <v>5</v>
      </c>
      <c r="K654" s="103">
        <v>0</v>
      </c>
      <c r="L654" s="103">
        <v>15</v>
      </c>
      <c r="M654" s="103">
        <v>20</v>
      </c>
      <c r="N654" s="103">
        <v>5</v>
      </c>
      <c r="O654" s="17">
        <v>20</v>
      </c>
      <c r="P654" s="42"/>
      <c r="Q654" s="109" t="s">
        <v>13</v>
      </c>
      <c r="R654" s="46" t="s">
        <v>1</v>
      </c>
      <c r="S654" s="103">
        <v>0</v>
      </c>
      <c r="T654" s="103">
        <v>8.3333333333333321</v>
      </c>
      <c r="U654" s="103">
        <v>8.3333333333333321</v>
      </c>
      <c r="V654" s="103">
        <v>8.3333333333333321</v>
      </c>
      <c r="W654" s="103">
        <v>8.3333333333333321</v>
      </c>
      <c r="X654" s="103">
        <v>0</v>
      </c>
      <c r="Y654" s="103">
        <v>16.666666666666664</v>
      </c>
      <c r="Z654" s="103">
        <v>16.666666666666664</v>
      </c>
      <c r="AA654" s="103">
        <v>8.3333333333333321</v>
      </c>
      <c r="AB654" s="17">
        <v>25</v>
      </c>
      <c r="AC654" s="42"/>
      <c r="AD654" s="109" t="s">
        <v>13</v>
      </c>
      <c r="AE654" s="46" t="s">
        <v>1</v>
      </c>
      <c r="AF654" s="103">
        <v>0</v>
      </c>
      <c r="AG654" s="103">
        <v>0</v>
      </c>
      <c r="AH654" s="103">
        <v>25</v>
      </c>
      <c r="AI654" s="103">
        <v>25</v>
      </c>
      <c r="AJ654" s="103">
        <v>0</v>
      </c>
      <c r="AK654" s="103">
        <v>0</v>
      </c>
      <c r="AL654" s="103">
        <v>12.5</v>
      </c>
      <c r="AM654" s="103">
        <v>25</v>
      </c>
      <c r="AN654" s="103">
        <v>0</v>
      </c>
      <c r="AO654" s="17">
        <v>12.5</v>
      </c>
      <c r="AP654" s="6"/>
      <c r="AQ654" s="109" t="s">
        <v>13</v>
      </c>
      <c r="AR654" s="46" t="s">
        <v>1</v>
      </c>
      <c r="AS654" s="103">
        <v>0</v>
      </c>
      <c r="AT654" s="103">
        <v>0</v>
      </c>
      <c r="AU654" s="103">
        <v>10</v>
      </c>
      <c r="AV654" s="103">
        <v>20</v>
      </c>
      <c r="AW654" s="103">
        <v>0</v>
      </c>
      <c r="AX654" s="103">
        <v>0</v>
      </c>
      <c r="AY654" s="103">
        <v>0</v>
      </c>
      <c r="AZ654" s="103">
        <v>20</v>
      </c>
      <c r="BA654" s="103">
        <v>10</v>
      </c>
      <c r="BB654" s="17">
        <v>40</v>
      </c>
      <c r="BC654" s="42"/>
      <c r="BD654" s="109" t="s">
        <v>13</v>
      </c>
      <c r="BE654" s="46" t="s">
        <v>1</v>
      </c>
      <c r="BF654" s="103">
        <v>0</v>
      </c>
      <c r="BG654" s="103">
        <v>10</v>
      </c>
      <c r="BH654" s="103">
        <v>20</v>
      </c>
      <c r="BI654" s="103">
        <v>10</v>
      </c>
      <c r="BJ654" s="103">
        <v>10</v>
      </c>
      <c r="BK654" s="103">
        <v>0</v>
      </c>
      <c r="BL654" s="103">
        <v>30</v>
      </c>
      <c r="BM654" s="103">
        <v>20</v>
      </c>
      <c r="BN654" s="103">
        <v>0</v>
      </c>
      <c r="BO654" s="17">
        <v>0</v>
      </c>
      <c r="BQ654" s="109" t="s">
        <v>13</v>
      </c>
      <c r="BR654" s="46" t="s">
        <v>1</v>
      </c>
      <c r="BS654" s="103">
        <v>0</v>
      </c>
      <c r="BT654" s="103">
        <v>25</v>
      </c>
      <c r="BU654" s="103">
        <v>0</v>
      </c>
      <c r="BV654" s="103">
        <v>25</v>
      </c>
      <c r="BW654" s="103">
        <v>0</v>
      </c>
      <c r="BX654" s="103">
        <v>0</v>
      </c>
      <c r="BY654" s="103">
        <v>25</v>
      </c>
      <c r="BZ654" s="103">
        <v>0</v>
      </c>
      <c r="CA654" s="103">
        <v>0</v>
      </c>
      <c r="CB654" s="17">
        <v>25</v>
      </c>
      <c r="CC654" s="42"/>
      <c r="CD654" s="109" t="s">
        <v>13</v>
      </c>
      <c r="CE654" s="46" t="s">
        <v>1</v>
      </c>
      <c r="CF654" s="103">
        <v>0</v>
      </c>
      <c r="CG654" s="103">
        <v>0</v>
      </c>
      <c r="CH654" s="103">
        <v>18.75</v>
      </c>
      <c r="CI654" s="103">
        <v>12.5</v>
      </c>
      <c r="CJ654" s="103">
        <v>6.25</v>
      </c>
      <c r="CK654" s="103">
        <v>0</v>
      </c>
      <c r="CL654" s="103">
        <v>12.5</v>
      </c>
      <c r="CM654" s="103">
        <v>25</v>
      </c>
      <c r="CN654" s="103">
        <v>6.25</v>
      </c>
      <c r="CO654" s="17">
        <v>18.75</v>
      </c>
      <c r="CQ654" s="109" t="s">
        <v>13</v>
      </c>
      <c r="CR654" s="46" t="s">
        <v>1</v>
      </c>
      <c r="CS654" s="103">
        <v>0</v>
      </c>
      <c r="CT654" s="103">
        <v>5.8823529411764701</v>
      </c>
      <c r="CU654" s="103">
        <v>17.647058823529413</v>
      </c>
      <c r="CV654" s="103">
        <v>5.8823529411764701</v>
      </c>
      <c r="CW654" s="103">
        <v>5.8823529411764701</v>
      </c>
      <c r="CX654" s="103">
        <v>0</v>
      </c>
      <c r="CY654" s="103">
        <v>17.647058823529413</v>
      </c>
      <c r="CZ654" s="103">
        <v>23.52941176470588</v>
      </c>
      <c r="DA654" s="103">
        <v>5.8823529411764701</v>
      </c>
      <c r="DB654" s="17">
        <v>17.647058823529413</v>
      </c>
      <c r="DC654" s="42"/>
      <c r="DD654" s="109" t="s">
        <v>13</v>
      </c>
      <c r="DE654" s="46" t="s">
        <v>1</v>
      </c>
      <c r="DF654" s="103">
        <v>0</v>
      </c>
      <c r="DG654" s="103">
        <v>0</v>
      </c>
      <c r="DH654" s="103">
        <v>0</v>
      </c>
      <c r="DI654" s="103">
        <v>66.666666666666657</v>
      </c>
      <c r="DJ654" s="103">
        <v>0</v>
      </c>
      <c r="DK654" s="103">
        <v>0</v>
      </c>
      <c r="DL654" s="103">
        <v>0</v>
      </c>
      <c r="DM654" s="103">
        <v>0</v>
      </c>
      <c r="DN654" s="103">
        <v>0</v>
      </c>
      <c r="DO654" s="17">
        <v>33.333333333333329</v>
      </c>
    </row>
    <row r="655" spans="2:119" ht="16.5" customHeight="1" x14ac:dyDescent="0.45">
      <c r="B655" s="99"/>
      <c r="C655" s="42"/>
      <c r="D655" s="110"/>
      <c r="E655" s="47">
        <v>1</v>
      </c>
      <c r="F655" s="103">
        <v>0</v>
      </c>
      <c r="G655" s="103">
        <v>14.285714285714285</v>
      </c>
      <c r="H655" s="103">
        <v>10.714285714285714</v>
      </c>
      <c r="I655" s="103">
        <v>14.285714285714285</v>
      </c>
      <c r="J655" s="103">
        <v>10.714285714285714</v>
      </c>
      <c r="K655" s="103">
        <v>3.5714285714285712</v>
      </c>
      <c r="L655" s="103">
        <v>7.1428571428571423</v>
      </c>
      <c r="M655" s="103">
        <v>17.857142857142858</v>
      </c>
      <c r="N655" s="103">
        <v>14.285714285714285</v>
      </c>
      <c r="O655" s="103">
        <v>7.1428571428571423</v>
      </c>
      <c r="P655" s="42"/>
      <c r="Q655" s="110"/>
      <c r="R655" s="46">
        <v>1</v>
      </c>
      <c r="S655" s="103">
        <v>0</v>
      </c>
      <c r="T655" s="103">
        <v>5.8823529411764701</v>
      </c>
      <c r="U655" s="103">
        <v>5.8823529411764701</v>
      </c>
      <c r="V655" s="103">
        <v>17.647058823529413</v>
      </c>
      <c r="W655" s="103">
        <v>11.76470588235294</v>
      </c>
      <c r="X655" s="103">
        <v>5.8823529411764701</v>
      </c>
      <c r="Y655" s="103">
        <v>0</v>
      </c>
      <c r="Z655" s="103">
        <v>23.52941176470588</v>
      </c>
      <c r="AA655" s="103">
        <v>17.647058823529413</v>
      </c>
      <c r="AB655" s="103">
        <v>11.76470588235294</v>
      </c>
      <c r="AC655" s="42"/>
      <c r="AD655" s="110"/>
      <c r="AE655" s="46">
        <v>1</v>
      </c>
      <c r="AF655" s="103">
        <v>0</v>
      </c>
      <c r="AG655" s="103">
        <v>27.27272727272727</v>
      </c>
      <c r="AH655" s="103">
        <v>18.181818181818183</v>
      </c>
      <c r="AI655" s="103">
        <v>9.0909090909090917</v>
      </c>
      <c r="AJ655" s="103">
        <v>9.0909090909090917</v>
      </c>
      <c r="AK655" s="103">
        <v>0</v>
      </c>
      <c r="AL655" s="103">
        <v>18.181818181818183</v>
      </c>
      <c r="AM655" s="103">
        <v>9.0909090909090917</v>
      </c>
      <c r="AN655" s="103">
        <v>9.0909090909090917</v>
      </c>
      <c r="AO655" s="103">
        <v>0</v>
      </c>
      <c r="AP655" s="6"/>
      <c r="AQ655" s="110"/>
      <c r="AR655" s="46">
        <v>1</v>
      </c>
      <c r="AS655" s="103">
        <v>0</v>
      </c>
      <c r="AT655" s="103">
        <v>14.285714285714285</v>
      </c>
      <c r="AU655" s="103">
        <v>14.285714285714285</v>
      </c>
      <c r="AV655" s="103">
        <v>21.428571428571427</v>
      </c>
      <c r="AW655" s="103">
        <v>7.1428571428571423</v>
      </c>
      <c r="AX655" s="103">
        <v>0</v>
      </c>
      <c r="AY655" s="103">
        <v>14.285714285714285</v>
      </c>
      <c r="AZ655" s="103">
        <v>14.285714285714285</v>
      </c>
      <c r="BA655" s="103">
        <v>7.1428571428571423</v>
      </c>
      <c r="BB655" s="103">
        <v>7.1428571428571423</v>
      </c>
      <c r="BC655" s="42"/>
      <c r="BD655" s="110"/>
      <c r="BE655" s="46">
        <v>1</v>
      </c>
      <c r="BF655" s="103">
        <v>0</v>
      </c>
      <c r="BG655" s="103">
        <v>14.285714285714285</v>
      </c>
      <c r="BH655" s="103">
        <v>7.1428571428571423</v>
      </c>
      <c r="BI655" s="103">
        <v>7.1428571428571423</v>
      </c>
      <c r="BJ655" s="103">
        <v>14.285714285714285</v>
      </c>
      <c r="BK655" s="103">
        <v>7.1428571428571423</v>
      </c>
      <c r="BL655" s="103">
        <v>0</v>
      </c>
      <c r="BM655" s="103">
        <v>21.428571428571427</v>
      </c>
      <c r="BN655" s="103">
        <v>21.428571428571427</v>
      </c>
      <c r="BO655" s="103">
        <v>7.1428571428571423</v>
      </c>
      <c r="BQ655" s="110"/>
      <c r="BR655" s="46">
        <v>1</v>
      </c>
      <c r="BS655" s="103">
        <v>0</v>
      </c>
      <c r="BT655" s="103">
        <v>20</v>
      </c>
      <c r="BU655" s="103">
        <v>0</v>
      </c>
      <c r="BV655" s="103">
        <v>60</v>
      </c>
      <c r="BW655" s="103">
        <v>20</v>
      </c>
      <c r="BX655" s="103">
        <v>0</v>
      </c>
      <c r="BY655" s="103">
        <v>0</v>
      </c>
      <c r="BZ655" s="103">
        <v>0</v>
      </c>
      <c r="CA655" s="103">
        <v>0</v>
      </c>
      <c r="CB655" s="103">
        <v>0</v>
      </c>
      <c r="CC655" s="42"/>
      <c r="CD655" s="110"/>
      <c r="CE655" s="46">
        <v>1</v>
      </c>
      <c r="CF655" s="103">
        <v>0</v>
      </c>
      <c r="CG655" s="103">
        <v>13.043478260869565</v>
      </c>
      <c r="CH655" s="103">
        <v>13.043478260869565</v>
      </c>
      <c r="CI655" s="103">
        <v>4.3478260869565215</v>
      </c>
      <c r="CJ655" s="103">
        <v>8.695652173913043</v>
      </c>
      <c r="CK655" s="103">
        <v>4.3478260869565215</v>
      </c>
      <c r="CL655" s="103">
        <v>8.695652173913043</v>
      </c>
      <c r="CM655" s="103">
        <v>21.739130434782609</v>
      </c>
      <c r="CN655" s="103">
        <v>17.391304347826086</v>
      </c>
      <c r="CO655" s="103">
        <v>8.695652173913043</v>
      </c>
      <c r="CQ655" s="110"/>
      <c r="CR655" s="46">
        <v>1</v>
      </c>
      <c r="CS655" s="103">
        <v>0</v>
      </c>
      <c r="CT655" s="103">
        <v>14.814814814814813</v>
      </c>
      <c r="CU655" s="103">
        <v>11.111111111111111</v>
      </c>
      <c r="CV655" s="103">
        <v>14.814814814814813</v>
      </c>
      <c r="CW655" s="103">
        <v>11.111111111111111</v>
      </c>
      <c r="CX655" s="103">
        <v>3.7037037037037033</v>
      </c>
      <c r="CY655" s="103">
        <v>7.4074074074074066</v>
      </c>
      <c r="CZ655" s="103">
        <v>14.814814814814813</v>
      </c>
      <c r="DA655" s="103">
        <v>14.814814814814813</v>
      </c>
      <c r="DB655" s="103">
        <v>7.4074074074074066</v>
      </c>
      <c r="DC655" s="42"/>
      <c r="DD655" s="110"/>
      <c r="DE655" s="46">
        <v>1</v>
      </c>
      <c r="DF655" s="103">
        <v>0</v>
      </c>
      <c r="DG655" s="103">
        <v>0</v>
      </c>
      <c r="DH655" s="103">
        <v>0</v>
      </c>
      <c r="DI655" s="103">
        <v>0</v>
      </c>
      <c r="DJ655" s="103">
        <v>0</v>
      </c>
      <c r="DK655" s="103">
        <v>0</v>
      </c>
      <c r="DL655" s="103">
        <v>0</v>
      </c>
      <c r="DM655" s="103">
        <v>100</v>
      </c>
      <c r="DN655" s="103">
        <v>0</v>
      </c>
      <c r="DO655" s="103">
        <v>0</v>
      </c>
    </row>
    <row r="656" spans="2:119" ht="16.5" customHeight="1" x14ac:dyDescent="0.45">
      <c r="B656" s="99"/>
      <c r="C656" s="42"/>
      <c r="D656" s="110"/>
      <c r="E656" s="47" t="s">
        <v>2</v>
      </c>
      <c r="F656" s="103">
        <v>3.1365313653136528</v>
      </c>
      <c r="G656" s="103">
        <v>19.188191881918819</v>
      </c>
      <c r="H656" s="103">
        <v>24.354243542435423</v>
      </c>
      <c r="I656" s="103">
        <v>14.575645756457565</v>
      </c>
      <c r="J656" s="103">
        <v>5.719557195571956</v>
      </c>
      <c r="K656" s="103">
        <v>8.6715867158671589</v>
      </c>
      <c r="L656" s="103">
        <v>4.428044280442804</v>
      </c>
      <c r="M656" s="103">
        <v>5.5350553505535052</v>
      </c>
      <c r="N656" s="103">
        <v>8.3025830258302591</v>
      </c>
      <c r="O656" s="103">
        <v>6.0885608856088558</v>
      </c>
      <c r="P656" s="42"/>
      <c r="Q656" s="110"/>
      <c r="R656" s="46" t="s">
        <v>2</v>
      </c>
      <c r="S656" s="103">
        <v>3.0864197530864197</v>
      </c>
      <c r="T656" s="103">
        <v>16.666666666666664</v>
      </c>
      <c r="U656" s="103">
        <v>23.456790123456788</v>
      </c>
      <c r="V656" s="103">
        <v>16.358024691358025</v>
      </c>
      <c r="W656" s="103">
        <v>7.716049382716049</v>
      </c>
      <c r="X656" s="103">
        <v>9.8765432098765427</v>
      </c>
      <c r="Y656" s="103">
        <v>4.0123456790123457</v>
      </c>
      <c r="Z656" s="103">
        <v>4.9382716049382713</v>
      </c>
      <c r="AA656" s="103">
        <v>7.716049382716049</v>
      </c>
      <c r="AB656" s="103">
        <v>6.1728395061728394</v>
      </c>
      <c r="AC656" s="42"/>
      <c r="AD656" s="110"/>
      <c r="AE656" s="46" t="s">
        <v>2</v>
      </c>
      <c r="AF656" s="103">
        <v>3.2110091743119269</v>
      </c>
      <c r="AG656" s="103">
        <v>22.935779816513762</v>
      </c>
      <c r="AH656" s="103">
        <v>25.688073394495415</v>
      </c>
      <c r="AI656" s="103">
        <v>11.926605504587156</v>
      </c>
      <c r="AJ656" s="103">
        <v>2.7522935779816518</v>
      </c>
      <c r="AK656" s="103">
        <v>6.8807339449541285</v>
      </c>
      <c r="AL656" s="103">
        <v>5.0458715596330279</v>
      </c>
      <c r="AM656" s="103">
        <v>6.4220183486238538</v>
      </c>
      <c r="AN656" s="103">
        <v>9.1743119266055047</v>
      </c>
      <c r="AO656" s="103">
        <v>5.9633027522935782</v>
      </c>
      <c r="AP656" s="6"/>
      <c r="AQ656" s="110"/>
      <c r="AR656" s="46" t="s">
        <v>2</v>
      </c>
      <c r="AS656" s="103">
        <v>4.3999999999999995</v>
      </c>
      <c r="AT656" s="103">
        <v>25.2</v>
      </c>
      <c r="AU656" s="103">
        <v>27.6</v>
      </c>
      <c r="AV656" s="103">
        <v>13.200000000000001</v>
      </c>
      <c r="AW656" s="103">
        <v>2.4</v>
      </c>
      <c r="AX656" s="103">
        <v>8.7999999999999989</v>
      </c>
      <c r="AY656" s="103">
        <v>4.3999999999999995</v>
      </c>
      <c r="AZ656" s="103">
        <v>4</v>
      </c>
      <c r="BA656" s="103">
        <v>6.4</v>
      </c>
      <c r="BB656" s="103">
        <v>3.5999999999999996</v>
      </c>
      <c r="BC656" s="42"/>
      <c r="BD656" s="110"/>
      <c r="BE656" s="46" t="s">
        <v>2</v>
      </c>
      <c r="BF656" s="103">
        <v>2.054794520547945</v>
      </c>
      <c r="BG656" s="103">
        <v>14.04109589041096</v>
      </c>
      <c r="BH656" s="103">
        <v>21.575342465753426</v>
      </c>
      <c r="BI656" s="103">
        <v>15.753424657534246</v>
      </c>
      <c r="BJ656" s="103">
        <v>8.5616438356164384</v>
      </c>
      <c r="BK656" s="103">
        <v>8.5616438356164384</v>
      </c>
      <c r="BL656" s="103">
        <v>4.4520547945205475</v>
      </c>
      <c r="BM656" s="103">
        <v>6.8493150684931505</v>
      </c>
      <c r="BN656" s="103">
        <v>9.9315068493150687</v>
      </c>
      <c r="BO656" s="103">
        <v>8.2191780821917799</v>
      </c>
      <c r="BQ656" s="110"/>
      <c r="BR656" s="46" t="s">
        <v>2</v>
      </c>
      <c r="BS656" s="103">
        <v>3.7383177570093453</v>
      </c>
      <c r="BT656" s="103">
        <v>28.971962616822427</v>
      </c>
      <c r="BU656" s="103">
        <v>35.981308411214954</v>
      </c>
      <c r="BV656" s="103">
        <v>12.149532710280374</v>
      </c>
      <c r="BW656" s="103">
        <v>4.2056074766355138</v>
      </c>
      <c r="BX656" s="103">
        <v>7.4766355140186906</v>
      </c>
      <c r="BY656" s="103">
        <v>0.93457943925233633</v>
      </c>
      <c r="BZ656" s="103">
        <v>2.8037383177570092</v>
      </c>
      <c r="CA656" s="103">
        <v>2.8037383177570092</v>
      </c>
      <c r="CB656" s="103">
        <v>0.93457943925233633</v>
      </c>
      <c r="CC656" s="42"/>
      <c r="CD656" s="110"/>
      <c r="CE656" s="46" t="s">
        <v>2</v>
      </c>
      <c r="CF656" s="103">
        <v>2.7439024390243905</v>
      </c>
      <c r="CG656" s="103">
        <v>12.804878048780488</v>
      </c>
      <c r="CH656" s="103">
        <v>16.76829268292683</v>
      </c>
      <c r="CI656" s="103">
        <v>16.158536585365855</v>
      </c>
      <c r="CJ656" s="103">
        <v>6.7073170731707323</v>
      </c>
      <c r="CK656" s="103">
        <v>9.4512195121951219</v>
      </c>
      <c r="CL656" s="103">
        <v>6.7073170731707323</v>
      </c>
      <c r="CM656" s="103">
        <v>7.3170731707317067</v>
      </c>
      <c r="CN656" s="103">
        <v>11.890243902439025</v>
      </c>
      <c r="CO656" s="103">
        <v>9.4512195121951219</v>
      </c>
      <c r="CQ656" s="110"/>
      <c r="CR656" s="46" t="s">
        <v>2</v>
      </c>
      <c r="CS656" s="103">
        <v>1.5625</v>
      </c>
      <c r="CT656" s="103">
        <v>12.5</v>
      </c>
      <c r="CU656" s="103">
        <v>20.572916666666664</v>
      </c>
      <c r="CV656" s="103">
        <v>16.40625</v>
      </c>
      <c r="CW656" s="103">
        <v>5.9895833333333339</v>
      </c>
      <c r="CX656" s="103">
        <v>10.416666666666668</v>
      </c>
      <c r="CY656" s="103">
        <v>5.7291666666666661</v>
      </c>
      <c r="CZ656" s="103">
        <v>7.291666666666667</v>
      </c>
      <c r="DA656" s="103">
        <v>11.197916666666668</v>
      </c>
      <c r="DB656" s="103">
        <v>8.3333333333333321</v>
      </c>
      <c r="DC656" s="42"/>
      <c r="DD656" s="110"/>
      <c r="DE656" s="46" t="s">
        <v>2</v>
      </c>
      <c r="DF656" s="103">
        <v>6.962025316455696</v>
      </c>
      <c r="DG656" s="103">
        <v>35.443037974683541</v>
      </c>
      <c r="DH656" s="103">
        <v>33.544303797468359</v>
      </c>
      <c r="DI656" s="103">
        <v>10.126582278481013</v>
      </c>
      <c r="DJ656" s="103">
        <v>5.0632911392405067</v>
      </c>
      <c r="DK656" s="103">
        <v>4.4303797468354427</v>
      </c>
      <c r="DL656" s="103">
        <v>1.2658227848101267</v>
      </c>
      <c r="DM656" s="103">
        <v>1.2658227848101267</v>
      </c>
      <c r="DN656" s="103">
        <v>1.2658227848101267</v>
      </c>
      <c r="DO656" s="103">
        <v>0.63291139240506333</v>
      </c>
    </row>
    <row r="657" spans="2:119" ht="16.5" customHeight="1" x14ac:dyDescent="0.45">
      <c r="B657" s="99"/>
      <c r="C657" s="42"/>
      <c r="D657" s="110"/>
      <c r="E657" s="47" t="s">
        <v>3</v>
      </c>
      <c r="F657" s="103">
        <v>1.4204545454545454</v>
      </c>
      <c r="G657" s="103">
        <v>17.329545454545457</v>
      </c>
      <c r="H657" s="103">
        <v>28.693181818181817</v>
      </c>
      <c r="I657" s="103">
        <v>22.443181818181817</v>
      </c>
      <c r="J657" s="103">
        <v>6.8181818181818175</v>
      </c>
      <c r="K657" s="103">
        <v>9.0909090909090917</v>
      </c>
      <c r="L657" s="103">
        <v>2.8409090909090908</v>
      </c>
      <c r="M657" s="103">
        <v>1.9886363636363635</v>
      </c>
      <c r="N657" s="103">
        <v>5.9659090909090908</v>
      </c>
      <c r="O657" s="103">
        <v>3.4090909090909087</v>
      </c>
      <c r="P657" s="42"/>
      <c r="Q657" s="110"/>
      <c r="R657" s="46" t="s">
        <v>3</v>
      </c>
      <c r="S657" s="103">
        <v>1.3392857142857142</v>
      </c>
      <c r="T657" s="103">
        <v>17.410714285714285</v>
      </c>
      <c r="U657" s="103">
        <v>26.339285714285715</v>
      </c>
      <c r="V657" s="103">
        <v>24.553571428571427</v>
      </c>
      <c r="W657" s="103">
        <v>8.4821428571428577</v>
      </c>
      <c r="X657" s="103">
        <v>9.375</v>
      </c>
      <c r="Y657" s="103">
        <v>2.6785714285714284</v>
      </c>
      <c r="Z657" s="103">
        <v>1.3392857142857142</v>
      </c>
      <c r="AA657" s="103">
        <v>5.8035714285714288</v>
      </c>
      <c r="AB657" s="103">
        <v>2.6785714285714284</v>
      </c>
      <c r="AC657" s="42"/>
      <c r="AD657" s="110"/>
      <c r="AE657" s="46" t="s">
        <v>3</v>
      </c>
      <c r="AF657" s="103">
        <v>1.5625</v>
      </c>
      <c r="AG657" s="103">
        <v>17.1875</v>
      </c>
      <c r="AH657" s="103">
        <v>32.8125</v>
      </c>
      <c r="AI657" s="103">
        <v>18.75</v>
      </c>
      <c r="AJ657" s="103">
        <v>3.90625</v>
      </c>
      <c r="AK657" s="103">
        <v>8.59375</v>
      </c>
      <c r="AL657" s="103">
        <v>3.125</v>
      </c>
      <c r="AM657" s="103">
        <v>3.125</v>
      </c>
      <c r="AN657" s="103">
        <v>6.25</v>
      </c>
      <c r="AO657" s="103">
        <v>4.6875</v>
      </c>
      <c r="AP657" s="6"/>
      <c r="AQ657" s="110"/>
      <c r="AR657" s="46" t="s">
        <v>3</v>
      </c>
      <c r="AS657" s="103">
        <v>2.7027027027027026</v>
      </c>
      <c r="AT657" s="103">
        <v>22.972972972972975</v>
      </c>
      <c r="AU657" s="103">
        <v>32.432432432432435</v>
      </c>
      <c r="AV657" s="103">
        <v>18.918918918918919</v>
      </c>
      <c r="AW657" s="103">
        <v>5.4054054054054053</v>
      </c>
      <c r="AX657" s="103">
        <v>6.756756756756757</v>
      </c>
      <c r="AY657" s="103">
        <v>2.0270270270270272</v>
      </c>
      <c r="AZ657" s="103">
        <v>2.7027027027027026</v>
      </c>
      <c r="BA657" s="103">
        <v>4.7297297297297298</v>
      </c>
      <c r="BB657" s="103">
        <v>1.3513513513513513</v>
      </c>
      <c r="BC657" s="42"/>
      <c r="BD657" s="110"/>
      <c r="BE657" s="46" t="s">
        <v>3</v>
      </c>
      <c r="BF657" s="103">
        <v>0.49019607843137253</v>
      </c>
      <c r="BG657" s="103">
        <v>13.23529411764706</v>
      </c>
      <c r="BH657" s="103">
        <v>25.980392156862749</v>
      </c>
      <c r="BI657" s="103">
        <v>25</v>
      </c>
      <c r="BJ657" s="103">
        <v>7.8431372549019605</v>
      </c>
      <c r="BK657" s="103">
        <v>10.784313725490197</v>
      </c>
      <c r="BL657" s="103">
        <v>3.4313725490196081</v>
      </c>
      <c r="BM657" s="103">
        <v>1.4705882352941175</v>
      </c>
      <c r="BN657" s="103">
        <v>6.8627450980392162</v>
      </c>
      <c r="BO657" s="103">
        <v>4.9019607843137258</v>
      </c>
      <c r="BQ657" s="110"/>
      <c r="BR657" s="46" t="s">
        <v>3</v>
      </c>
      <c r="BS657" s="103">
        <v>0.67114093959731547</v>
      </c>
      <c r="BT657" s="103">
        <v>20.80536912751678</v>
      </c>
      <c r="BU657" s="103">
        <v>38.255033557046978</v>
      </c>
      <c r="BV657" s="103">
        <v>18.791946308724832</v>
      </c>
      <c r="BW657" s="103">
        <v>4.6979865771812079</v>
      </c>
      <c r="BX657" s="103">
        <v>7.3825503355704702</v>
      </c>
      <c r="BY657" s="103">
        <v>1.3422818791946309</v>
      </c>
      <c r="BZ657" s="103">
        <v>1.3422818791946309</v>
      </c>
      <c r="CA657" s="103">
        <v>4.0268456375838921</v>
      </c>
      <c r="CB657" s="103">
        <v>2.6845637583892619</v>
      </c>
      <c r="CC657" s="42"/>
      <c r="CD657" s="110"/>
      <c r="CE657" s="46" t="s">
        <v>3</v>
      </c>
      <c r="CF657" s="103">
        <v>1.9704433497536946</v>
      </c>
      <c r="CG657" s="103">
        <v>14.77832512315271</v>
      </c>
      <c r="CH657" s="103">
        <v>21.674876847290641</v>
      </c>
      <c r="CI657" s="103">
        <v>25.123152709359609</v>
      </c>
      <c r="CJ657" s="103">
        <v>8.3743842364532011</v>
      </c>
      <c r="CK657" s="103">
        <v>10.344827586206897</v>
      </c>
      <c r="CL657" s="103">
        <v>3.9408866995073892</v>
      </c>
      <c r="CM657" s="103">
        <v>2.4630541871921183</v>
      </c>
      <c r="CN657" s="103">
        <v>7.389162561576355</v>
      </c>
      <c r="CO657" s="103">
        <v>3.9408866995073892</v>
      </c>
      <c r="CQ657" s="110"/>
      <c r="CR657" s="46" t="s">
        <v>3</v>
      </c>
      <c r="CS657" s="103">
        <v>1.7751479289940828</v>
      </c>
      <c r="CT657" s="103">
        <v>7.1005917159763312</v>
      </c>
      <c r="CU657" s="103">
        <v>15.384615384615385</v>
      </c>
      <c r="CV657" s="103">
        <v>23.668639053254438</v>
      </c>
      <c r="CW657" s="103">
        <v>10.059171597633137</v>
      </c>
      <c r="CX657" s="103">
        <v>14.792899408284024</v>
      </c>
      <c r="CY657" s="103">
        <v>4.7337278106508878</v>
      </c>
      <c r="CZ657" s="103">
        <v>3.5502958579881656</v>
      </c>
      <c r="DA657" s="103">
        <v>11.834319526627219</v>
      </c>
      <c r="DB657" s="103">
        <v>7.1005917159763312</v>
      </c>
      <c r="DC657" s="42"/>
      <c r="DD657" s="110"/>
      <c r="DE657" s="46" t="s">
        <v>3</v>
      </c>
      <c r="DF657" s="103">
        <v>1.0928961748633881</v>
      </c>
      <c r="DG657" s="103">
        <v>26.775956284153008</v>
      </c>
      <c r="DH657" s="103">
        <v>40.983606557377051</v>
      </c>
      <c r="DI657" s="103">
        <v>21.311475409836063</v>
      </c>
      <c r="DJ657" s="103">
        <v>3.8251366120218582</v>
      </c>
      <c r="DK657" s="103">
        <v>3.8251366120218582</v>
      </c>
      <c r="DL657" s="103">
        <v>1.0928961748633881</v>
      </c>
      <c r="DM657" s="103">
        <v>0.54644808743169404</v>
      </c>
      <c r="DN657" s="103">
        <v>0.54644808743169404</v>
      </c>
      <c r="DO657" s="103">
        <v>0</v>
      </c>
    </row>
    <row r="658" spans="2:119" ht="16.5" customHeight="1" x14ac:dyDescent="0.45">
      <c r="B658" s="99"/>
      <c r="C658" s="42"/>
      <c r="D658" s="110"/>
      <c r="E658" s="47" t="s">
        <v>4</v>
      </c>
      <c r="F658" s="103">
        <v>1.5130674002751032</v>
      </c>
      <c r="G658" s="103">
        <v>16.368638239339752</v>
      </c>
      <c r="H658" s="103">
        <v>27.510316368638239</v>
      </c>
      <c r="I658" s="103">
        <v>24.346629986244842</v>
      </c>
      <c r="J658" s="103">
        <v>10.591471801925723</v>
      </c>
      <c r="K658" s="103">
        <v>7.8404401650618984</v>
      </c>
      <c r="L658" s="103">
        <v>2.200825309491059</v>
      </c>
      <c r="M658" s="103">
        <v>2.7510316368638237</v>
      </c>
      <c r="N658" s="103">
        <v>2.8885832187070153</v>
      </c>
      <c r="O658" s="103">
        <v>3.9889958734525441</v>
      </c>
      <c r="P658" s="42"/>
      <c r="Q658" s="110"/>
      <c r="R658" s="46" t="s">
        <v>4</v>
      </c>
      <c r="S658" s="103">
        <v>1.2765957446808509</v>
      </c>
      <c r="T658" s="103">
        <v>11.914893617021278</v>
      </c>
      <c r="U658" s="103">
        <v>28.723404255319153</v>
      </c>
      <c r="V658" s="103">
        <v>24.893617021276597</v>
      </c>
      <c r="W658" s="103">
        <v>12.340425531914894</v>
      </c>
      <c r="X658" s="103">
        <v>8.7234042553191493</v>
      </c>
      <c r="Y658" s="103">
        <v>2.7659574468085104</v>
      </c>
      <c r="Z658" s="103">
        <v>2.9787234042553195</v>
      </c>
      <c r="AA658" s="103">
        <v>3.1914893617021276</v>
      </c>
      <c r="AB658" s="103">
        <v>3.1914893617021276</v>
      </c>
      <c r="AC658" s="42"/>
      <c r="AD658" s="110"/>
      <c r="AE658" s="46" t="s">
        <v>4</v>
      </c>
      <c r="AF658" s="103">
        <v>1.9455252918287937</v>
      </c>
      <c r="AG658" s="103">
        <v>24.5136186770428</v>
      </c>
      <c r="AH658" s="103">
        <v>25.291828793774318</v>
      </c>
      <c r="AI658" s="103">
        <v>23.346303501945524</v>
      </c>
      <c r="AJ658" s="103">
        <v>7.3929961089494167</v>
      </c>
      <c r="AK658" s="103">
        <v>6.2256809338521402</v>
      </c>
      <c r="AL658" s="103">
        <v>1.1673151750972763</v>
      </c>
      <c r="AM658" s="103">
        <v>2.3346303501945527</v>
      </c>
      <c r="AN658" s="103">
        <v>2.3346303501945527</v>
      </c>
      <c r="AO658" s="103">
        <v>5.4474708171206228</v>
      </c>
      <c r="AP658" s="6"/>
      <c r="AQ658" s="110"/>
      <c r="AR658" s="46" t="s">
        <v>4</v>
      </c>
      <c r="AS658" s="103">
        <v>1.6339869281045754</v>
      </c>
      <c r="AT658" s="103">
        <v>19.607843137254903</v>
      </c>
      <c r="AU658" s="103">
        <v>29.084967320261441</v>
      </c>
      <c r="AV658" s="103">
        <v>19.281045751633989</v>
      </c>
      <c r="AW658" s="103">
        <v>10.784313725490197</v>
      </c>
      <c r="AX658" s="103">
        <v>7.18954248366013</v>
      </c>
      <c r="AY658" s="103">
        <v>2.9411764705882351</v>
      </c>
      <c r="AZ658" s="103">
        <v>2.2875816993464051</v>
      </c>
      <c r="BA658" s="103">
        <v>2.9411764705882351</v>
      </c>
      <c r="BB658" s="103">
        <v>4.2483660130718954</v>
      </c>
      <c r="BC658" s="42"/>
      <c r="BD658" s="110"/>
      <c r="BE658" s="46" t="s">
        <v>4</v>
      </c>
      <c r="BF658" s="103">
        <v>1.4251781472684086</v>
      </c>
      <c r="BG658" s="103">
        <v>14.014251781472684</v>
      </c>
      <c r="BH658" s="103">
        <v>26.365795724465556</v>
      </c>
      <c r="BI658" s="103">
        <v>28.028503562945367</v>
      </c>
      <c r="BJ658" s="103">
        <v>10.451306413301662</v>
      </c>
      <c r="BK658" s="103">
        <v>8.31353919239905</v>
      </c>
      <c r="BL658" s="103">
        <v>1.66270783847981</v>
      </c>
      <c r="BM658" s="103">
        <v>3.0878859857482186</v>
      </c>
      <c r="BN658" s="103">
        <v>2.8503562945368173</v>
      </c>
      <c r="BO658" s="103">
        <v>3.800475059382423</v>
      </c>
      <c r="BQ658" s="110"/>
      <c r="BR658" s="46" t="s">
        <v>4</v>
      </c>
      <c r="BS658" s="103">
        <v>1.932367149758454</v>
      </c>
      <c r="BT658" s="103">
        <v>19.323671497584542</v>
      </c>
      <c r="BU658" s="103">
        <v>35.748792270531396</v>
      </c>
      <c r="BV658" s="103">
        <v>24.637681159420293</v>
      </c>
      <c r="BW658" s="103">
        <v>8.2125603864734309</v>
      </c>
      <c r="BX658" s="103">
        <v>5.7971014492753623</v>
      </c>
      <c r="BY658" s="103">
        <v>1.4492753623188406</v>
      </c>
      <c r="BZ658" s="103">
        <v>0.96618357487922701</v>
      </c>
      <c r="CA658" s="103">
        <v>1.932367149758454</v>
      </c>
      <c r="CB658" s="103">
        <v>0</v>
      </c>
      <c r="CC658" s="42"/>
      <c r="CD658" s="110"/>
      <c r="CE658" s="46" t="s">
        <v>4</v>
      </c>
      <c r="CF658" s="103">
        <v>1.3461538461538463</v>
      </c>
      <c r="CG658" s="103">
        <v>15.192307692307692</v>
      </c>
      <c r="CH658" s="103">
        <v>24.23076923076923</v>
      </c>
      <c r="CI658" s="103">
        <v>24.23076923076923</v>
      </c>
      <c r="CJ658" s="103">
        <v>11.538461538461538</v>
      </c>
      <c r="CK658" s="103">
        <v>8.6538461538461533</v>
      </c>
      <c r="CL658" s="103">
        <v>2.5</v>
      </c>
      <c r="CM658" s="103">
        <v>3.4615384615384617</v>
      </c>
      <c r="CN658" s="103">
        <v>3.2692307692307696</v>
      </c>
      <c r="CO658" s="103">
        <v>5.5769230769230775</v>
      </c>
      <c r="CQ658" s="110"/>
      <c r="CR658" s="46" t="s">
        <v>4</v>
      </c>
      <c r="CS658" s="103">
        <v>1.5060240963855422</v>
      </c>
      <c r="CT658" s="103">
        <v>8.7349397590361448</v>
      </c>
      <c r="CU658" s="103">
        <v>17.46987951807229</v>
      </c>
      <c r="CV658" s="103">
        <v>22.590361445783135</v>
      </c>
      <c r="CW658" s="103">
        <v>14.156626506024098</v>
      </c>
      <c r="CX658" s="103">
        <v>12.048192771084338</v>
      </c>
      <c r="CY658" s="103">
        <v>4.5180722891566267</v>
      </c>
      <c r="CZ658" s="103">
        <v>5.1204819277108431</v>
      </c>
      <c r="DA658" s="103">
        <v>5.4216867469879517</v>
      </c>
      <c r="DB658" s="103">
        <v>8.4337349397590362</v>
      </c>
      <c r="DC658" s="42"/>
      <c r="DD658" s="110"/>
      <c r="DE658" s="46" t="s">
        <v>4</v>
      </c>
      <c r="DF658" s="103">
        <v>1.5189873417721518</v>
      </c>
      <c r="DG658" s="103">
        <v>22.784810126582279</v>
      </c>
      <c r="DH658" s="103">
        <v>35.949367088607595</v>
      </c>
      <c r="DI658" s="103">
        <v>25.822784810126581</v>
      </c>
      <c r="DJ658" s="103">
        <v>7.59493670886076</v>
      </c>
      <c r="DK658" s="103">
        <v>4.3037974683544302</v>
      </c>
      <c r="DL658" s="103">
        <v>0.25316455696202533</v>
      </c>
      <c r="DM658" s="103">
        <v>0.75949367088607589</v>
      </c>
      <c r="DN658" s="103">
        <v>0.75949367088607589</v>
      </c>
      <c r="DO658" s="103">
        <v>0.25316455696202533</v>
      </c>
    </row>
    <row r="659" spans="2:119" ht="16.5" customHeight="1" x14ac:dyDescent="0.45">
      <c r="B659" s="99"/>
      <c r="C659" s="42"/>
      <c r="D659" s="110"/>
      <c r="E659" s="47" t="s">
        <v>5</v>
      </c>
      <c r="F659" s="103">
        <v>2.5255972696245732</v>
      </c>
      <c r="G659" s="103">
        <v>10.853242320819112</v>
      </c>
      <c r="H659" s="103">
        <v>27.576791808873718</v>
      </c>
      <c r="I659" s="103">
        <v>30.716723549488055</v>
      </c>
      <c r="J659" s="103">
        <v>11.604095563139932</v>
      </c>
      <c r="K659" s="103">
        <v>6.9624573378839596</v>
      </c>
      <c r="L659" s="103">
        <v>2.3208191126279862</v>
      </c>
      <c r="M659" s="103">
        <v>2.9351535836177476</v>
      </c>
      <c r="N659" s="103">
        <v>2.3890784982935154</v>
      </c>
      <c r="O659" s="103">
        <v>2.1160409556313993</v>
      </c>
      <c r="P659" s="42"/>
      <c r="Q659" s="110"/>
      <c r="R659" s="46" t="s">
        <v>5</v>
      </c>
      <c r="S659" s="103">
        <v>1.4130434782608696</v>
      </c>
      <c r="T659" s="103">
        <v>7.608695652173914</v>
      </c>
      <c r="U659" s="103">
        <v>27.282608695652172</v>
      </c>
      <c r="V659" s="103">
        <v>32.608695652173914</v>
      </c>
      <c r="W659" s="103">
        <v>12.82608695652174</v>
      </c>
      <c r="X659" s="103">
        <v>8.1521739130434785</v>
      </c>
      <c r="Y659" s="103">
        <v>2.5</v>
      </c>
      <c r="Z659" s="103">
        <v>2.3913043478260869</v>
      </c>
      <c r="AA659" s="103">
        <v>3.0434782608695654</v>
      </c>
      <c r="AB659" s="103">
        <v>2.1739130434782608</v>
      </c>
      <c r="AC659" s="42"/>
      <c r="AD659" s="110"/>
      <c r="AE659" s="46" t="s">
        <v>5</v>
      </c>
      <c r="AF659" s="103">
        <v>4.4036697247706424</v>
      </c>
      <c r="AG659" s="103">
        <v>16.330275229357799</v>
      </c>
      <c r="AH659" s="103">
        <v>28.073394495412845</v>
      </c>
      <c r="AI659" s="103">
        <v>27.522935779816514</v>
      </c>
      <c r="AJ659" s="103">
        <v>9.5412844036697244</v>
      </c>
      <c r="AK659" s="103">
        <v>4.954128440366973</v>
      </c>
      <c r="AL659" s="103">
        <v>2.0183486238532113</v>
      </c>
      <c r="AM659" s="103">
        <v>3.8532110091743119</v>
      </c>
      <c r="AN659" s="103">
        <v>1.2844036697247707</v>
      </c>
      <c r="AO659" s="103">
        <v>2.0183486238532113</v>
      </c>
      <c r="AP659" s="6"/>
      <c r="AQ659" s="110"/>
      <c r="AR659" s="46" t="s">
        <v>5</v>
      </c>
      <c r="AS659" s="103">
        <v>3.1894934333958722</v>
      </c>
      <c r="AT659" s="103">
        <v>12.007504690431519</v>
      </c>
      <c r="AU659" s="103">
        <v>32.457786116322701</v>
      </c>
      <c r="AV659" s="103">
        <v>25.891181988742961</v>
      </c>
      <c r="AW659" s="103">
        <v>11.069418386491558</v>
      </c>
      <c r="AX659" s="103">
        <v>5.8161350844277679</v>
      </c>
      <c r="AY659" s="103">
        <v>2.4390243902439024</v>
      </c>
      <c r="AZ659" s="103">
        <v>2.0637898686679175</v>
      </c>
      <c r="BA659" s="103">
        <v>2.6266416510318953</v>
      </c>
      <c r="BB659" s="103">
        <v>2.4390243902439024</v>
      </c>
      <c r="BC659" s="42"/>
      <c r="BD659" s="110"/>
      <c r="BE659" s="46" t="s">
        <v>5</v>
      </c>
      <c r="BF659" s="103">
        <v>2.1459227467811157</v>
      </c>
      <c r="BG659" s="103">
        <v>10.193133047210301</v>
      </c>
      <c r="BH659" s="103">
        <v>24.785407725321889</v>
      </c>
      <c r="BI659" s="103">
        <v>33.476394849785407</v>
      </c>
      <c r="BJ659" s="103">
        <v>11.909871244635193</v>
      </c>
      <c r="BK659" s="103">
        <v>7.6180257510729614</v>
      </c>
      <c r="BL659" s="103">
        <v>2.2532188841201717</v>
      </c>
      <c r="BM659" s="103">
        <v>3.4334763948497855</v>
      </c>
      <c r="BN659" s="103">
        <v>2.2532188841201717</v>
      </c>
      <c r="BO659" s="103">
        <v>1.9313304721030045</v>
      </c>
      <c r="BQ659" s="110"/>
      <c r="BR659" s="46" t="s">
        <v>5</v>
      </c>
      <c r="BS659" s="103">
        <v>3.8327526132404177</v>
      </c>
      <c r="BT659" s="103">
        <v>17.073170731707318</v>
      </c>
      <c r="BU659" s="103">
        <v>32.055749128919857</v>
      </c>
      <c r="BV659" s="103">
        <v>24.738675958188153</v>
      </c>
      <c r="BW659" s="103">
        <v>9.4076655052264808</v>
      </c>
      <c r="BX659" s="103">
        <v>6.6202090592334493</v>
      </c>
      <c r="BY659" s="103">
        <v>1.3937282229965158</v>
      </c>
      <c r="BZ659" s="103">
        <v>2.0905923344947737</v>
      </c>
      <c r="CA659" s="103">
        <v>2.0905923344947737</v>
      </c>
      <c r="CB659" s="103">
        <v>0.69686411149825789</v>
      </c>
      <c r="CC659" s="42"/>
      <c r="CD659" s="110"/>
      <c r="CE659" s="46" t="s">
        <v>5</v>
      </c>
      <c r="CF659" s="103">
        <v>2.2071307300509337</v>
      </c>
      <c r="CG659" s="103">
        <v>9.3378607809847214</v>
      </c>
      <c r="CH659" s="103">
        <v>26.485568760611205</v>
      </c>
      <c r="CI659" s="103">
        <v>32.173174872665534</v>
      </c>
      <c r="CJ659" s="103">
        <v>12.139219015280135</v>
      </c>
      <c r="CK659" s="103">
        <v>7.0458404074702887</v>
      </c>
      <c r="CL659" s="103">
        <v>2.5466893039049237</v>
      </c>
      <c r="CM659" s="103">
        <v>3.1409168081494054</v>
      </c>
      <c r="CN659" s="103">
        <v>2.4617996604414261</v>
      </c>
      <c r="CO659" s="103">
        <v>2.4617996604414261</v>
      </c>
      <c r="CQ659" s="110"/>
      <c r="CR659" s="46" t="s">
        <v>5</v>
      </c>
      <c r="CS659" s="103">
        <v>2.217741935483871</v>
      </c>
      <c r="CT659" s="103">
        <v>4.435483870967742</v>
      </c>
      <c r="CU659" s="103">
        <v>18.951612903225808</v>
      </c>
      <c r="CV659" s="103">
        <v>24.193548387096776</v>
      </c>
      <c r="CW659" s="103">
        <v>14.919354838709678</v>
      </c>
      <c r="CX659" s="103">
        <v>11.693548387096774</v>
      </c>
      <c r="CY659" s="103">
        <v>4.2338709677419351</v>
      </c>
      <c r="CZ659" s="103">
        <v>7.459677419354839</v>
      </c>
      <c r="DA659" s="103">
        <v>6.0483870967741939</v>
      </c>
      <c r="DB659" s="103">
        <v>5.846774193548387</v>
      </c>
      <c r="DC659" s="42"/>
      <c r="DD659" s="110"/>
      <c r="DE659" s="46" t="s">
        <v>5</v>
      </c>
      <c r="DF659" s="103">
        <v>2.6831785345717232</v>
      </c>
      <c r="DG659" s="103">
        <v>14.138286893704851</v>
      </c>
      <c r="DH659" s="103">
        <v>31.991744066047474</v>
      </c>
      <c r="DI659" s="103">
        <v>34.055727554179569</v>
      </c>
      <c r="DJ659" s="103">
        <v>9.9071207430340564</v>
      </c>
      <c r="DK659" s="103">
        <v>4.5407636738906092</v>
      </c>
      <c r="DL659" s="103">
        <v>1.3415892672858616</v>
      </c>
      <c r="DM659" s="103">
        <v>0.61919504643962853</v>
      </c>
      <c r="DN659" s="103">
        <v>0.51599587203302377</v>
      </c>
      <c r="DO659" s="103">
        <v>0.20639834881320948</v>
      </c>
    </row>
    <row r="660" spans="2:119" ht="16.5" customHeight="1" x14ac:dyDescent="0.45">
      <c r="B660" s="99"/>
      <c r="C660" s="42"/>
      <c r="D660" s="110"/>
      <c r="E660" s="47" t="s">
        <v>6</v>
      </c>
      <c r="F660" s="103">
        <v>1.7757483510908167</v>
      </c>
      <c r="G660" s="103">
        <v>8.6757990867579906</v>
      </c>
      <c r="H660" s="103">
        <v>23.693556570268896</v>
      </c>
      <c r="I660" s="103">
        <v>32.090309487569762</v>
      </c>
      <c r="J660" s="103">
        <v>14.231354642313546</v>
      </c>
      <c r="K660" s="103">
        <v>10.527650938609842</v>
      </c>
      <c r="L660" s="103">
        <v>2.2831050228310499</v>
      </c>
      <c r="M660" s="103">
        <v>2.5621511922881783</v>
      </c>
      <c r="N660" s="103">
        <v>2.2070015220700152</v>
      </c>
      <c r="O660" s="103">
        <v>1.9533231861998983</v>
      </c>
      <c r="P660" s="42"/>
      <c r="Q660" s="110"/>
      <c r="R660" s="46" t="s">
        <v>6</v>
      </c>
      <c r="S660" s="103">
        <v>1.5445544554455446</v>
      </c>
      <c r="T660" s="103">
        <v>5.7821782178217829</v>
      </c>
      <c r="U660" s="103">
        <v>20.871287128712872</v>
      </c>
      <c r="V660" s="103">
        <v>33.267326732673268</v>
      </c>
      <c r="W660" s="103">
        <v>16.356435643564357</v>
      </c>
      <c r="X660" s="103">
        <v>12.277227722772277</v>
      </c>
      <c r="Y660" s="103">
        <v>2.8514851485148518</v>
      </c>
      <c r="Z660" s="103">
        <v>2.5742574257425743</v>
      </c>
      <c r="AA660" s="103">
        <v>2.4554455445544554</v>
      </c>
      <c r="AB660" s="103">
        <v>2.0198019801980198</v>
      </c>
      <c r="AC660" s="42"/>
      <c r="AD660" s="110"/>
      <c r="AE660" s="46" t="s">
        <v>6</v>
      </c>
      <c r="AF660" s="103">
        <v>2.1877205363443899</v>
      </c>
      <c r="AG660" s="103">
        <v>13.832039520112914</v>
      </c>
      <c r="AH660" s="103">
        <v>28.722653493295695</v>
      </c>
      <c r="AI660" s="103">
        <v>29.992942836979537</v>
      </c>
      <c r="AJ660" s="103">
        <v>10.444601270289343</v>
      </c>
      <c r="AK660" s="103">
        <v>7.4100211714890616</v>
      </c>
      <c r="AL660" s="103">
        <v>1.2702893436838392</v>
      </c>
      <c r="AM660" s="103">
        <v>2.5405786873676783</v>
      </c>
      <c r="AN660" s="103">
        <v>1.7642907551164433</v>
      </c>
      <c r="AO660" s="103">
        <v>1.834862385321101</v>
      </c>
      <c r="AP660" s="6"/>
      <c r="AQ660" s="110"/>
      <c r="AR660" s="46" t="s">
        <v>6</v>
      </c>
      <c r="AS660" s="103">
        <v>2.5830258302583027</v>
      </c>
      <c r="AT660" s="103">
        <v>10.99630996309963</v>
      </c>
      <c r="AU660" s="103">
        <v>26.715867158671585</v>
      </c>
      <c r="AV660" s="103">
        <v>29.077490774907748</v>
      </c>
      <c r="AW660" s="103">
        <v>12.398523985239853</v>
      </c>
      <c r="AX660" s="103">
        <v>8.708487084870848</v>
      </c>
      <c r="AY660" s="103">
        <v>2.4354243542435423</v>
      </c>
      <c r="AZ660" s="103">
        <v>2.730627306273063</v>
      </c>
      <c r="BA660" s="103">
        <v>2.0664206642066421</v>
      </c>
      <c r="BB660" s="103">
        <v>2.2878228782287824</v>
      </c>
      <c r="BC660" s="42"/>
      <c r="BD660" s="110"/>
      <c r="BE660" s="46" t="s">
        <v>6</v>
      </c>
      <c r="BF660" s="103">
        <v>1.3529184383455741</v>
      </c>
      <c r="BG660" s="103">
        <v>7.460378817162737</v>
      </c>
      <c r="BH660" s="103">
        <v>22.110552763819097</v>
      </c>
      <c r="BI660" s="103">
        <v>33.668341708542712</v>
      </c>
      <c r="BJ660" s="103">
        <v>15.191341321994589</v>
      </c>
      <c r="BK660" s="103">
        <v>11.480479319675299</v>
      </c>
      <c r="BL660" s="103">
        <v>2.2033243138770775</v>
      </c>
      <c r="BM660" s="103">
        <v>2.4739080015461923</v>
      </c>
      <c r="BN660" s="103">
        <v>2.280633938925396</v>
      </c>
      <c r="BO660" s="103">
        <v>1.7781213761113259</v>
      </c>
      <c r="BQ660" s="110"/>
      <c r="BR660" s="46" t="s">
        <v>6</v>
      </c>
      <c r="BS660" s="103">
        <v>1.8633540372670807</v>
      </c>
      <c r="BT660" s="103">
        <v>15.734989648033126</v>
      </c>
      <c r="BU660" s="103">
        <v>30.434782608695656</v>
      </c>
      <c r="BV660" s="103">
        <v>27.74327122153209</v>
      </c>
      <c r="BW660" s="103">
        <v>10.351966873706004</v>
      </c>
      <c r="BX660" s="103">
        <v>7.2463768115942031</v>
      </c>
      <c r="BY660" s="103">
        <v>1.2422360248447204</v>
      </c>
      <c r="BZ660" s="103">
        <v>2.2774327122153206</v>
      </c>
      <c r="CA660" s="103">
        <v>2.691511387163561</v>
      </c>
      <c r="CB660" s="103">
        <v>0.41407867494824019</v>
      </c>
      <c r="CC660" s="42"/>
      <c r="CD660" s="110"/>
      <c r="CE660" s="46" t="s">
        <v>6</v>
      </c>
      <c r="CF660" s="103">
        <v>1.7635154668979474</v>
      </c>
      <c r="CG660" s="103">
        <v>7.690083839259902</v>
      </c>
      <c r="CH660" s="103">
        <v>22.752240531945649</v>
      </c>
      <c r="CI660" s="103">
        <v>32.697311361665221</v>
      </c>
      <c r="CJ660" s="103">
        <v>14.773055796472971</v>
      </c>
      <c r="CK660" s="103">
        <v>10.985834056085574</v>
      </c>
      <c r="CL660" s="103">
        <v>2.4284475281873377</v>
      </c>
      <c r="CM660" s="103">
        <v>2.6019080659150045</v>
      </c>
      <c r="CN660" s="103">
        <v>2.1393466319745591</v>
      </c>
      <c r="CO660" s="103">
        <v>2.1682567215958368</v>
      </c>
      <c r="CQ660" s="110"/>
      <c r="CR660" s="46" t="s">
        <v>6</v>
      </c>
      <c r="CS660" s="103">
        <v>1.9383259911894273</v>
      </c>
      <c r="CT660" s="103">
        <v>4.6696035242290748</v>
      </c>
      <c r="CU660" s="103">
        <v>16.828193832599119</v>
      </c>
      <c r="CV660" s="103">
        <v>24.581497797356828</v>
      </c>
      <c r="CW660" s="103">
        <v>15.418502202643172</v>
      </c>
      <c r="CX660" s="103">
        <v>14.625550660792952</v>
      </c>
      <c r="CY660" s="103">
        <v>4.2290748898678414</v>
      </c>
      <c r="CZ660" s="103">
        <v>6.0792951541850222</v>
      </c>
      <c r="DA660" s="103">
        <v>5.8149779735682818</v>
      </c>
      <c r="DB660" s="103">
        <v>5.8149779735682818</v>
      </c>
      <c r="DC660" s="42"/>
      <c r="DD660" s="110"/>
      <c r="DE660" s="46" t="s">
        <v>6</v>
      </c>
      <c r="DF660" s="103">
        <v>1.7100106875667973</v>
      </c>
      <c r="DG660" s="103">
        <v>10.295689348058424</v>
      </c>
      <c r="DH660" s="103">
        <v>26.469540434627714</v>
      </c>
      <c r="DI660" s="103">
        <v>35.126469540434627</v>
      </c>
      <c r="DJ660" s="103">
        <v>13.751335945849661</v>
      </c>
      <c r="DK660" s="103">
        <v>8.8706804417527607</v>
      </c>
      <c r="DL660" s="103">
        <v>1.4962593516209477</v>
      </c>
      <c r="DM660" s="103">
        <v>1.1400071250445314</v>
      </c>
      <c r="DN660" s="103">
        <v>0.74812967581047385</v>
      </c>
      <c r="DO660" s="103">
        <v>0.39187744923405771</v>
      </c>
    </row>
    <row r="661" spans="2:119" ht="16.5" customHeight="1" x14ac:dyDescent="0.45">
      <c r="B661" s="99"/>
      <c r="C661" s="42"/>
      <c r="D661" s="110"/>
      <c r="E661" s="47" t="s">
        <v>7</v>
      </c>
      <c r="F661" s="103">
        <v>2.1803664653495751</v>
      </c>
      <c r="G661" s="103">
        <v>5.8040741119868979</v>
      </c>
      <c r="H661" s="103">
        <v>18.00593714812161</v>
      </c>
      <c r="I661" s="103">
        <v>31.456648582249976</v>
      </c>
      <c r="J661" s="103">
        <v>17.576005732418874</v>
      </c>
      <c r="K661" s="103">
        <v>13.901115774388369</v>
      </c>
      <c r="L661" s="103">
        <v>4.0741119868973286</v>
      </c>
      <c r="M661" s="103">
        <v>3.2859043914423172</v>
      </c>
      <c r="N661" s="103">
        <v>2.1906029276282117</v>
      </c>
      <c r="O661" s="103">
        <v>1.5252328795168391</v>
      </c>
      <c r="P661" s="42"/>
      <c r="Q661" s="110"/>
      <c r="R661" s="46" t="s">
        <v>7</v>
      </c>
      <c r="S661" s="103">
        <v>2.115885416666667</v>
      </c>
      <c r="T661" s="103">
        <v>3.759765625</v>
      </c>
      <c r="U661" s="103">
        <v>14.192708333333334</v>
      </c>
      <c r="V661" s="103">
        <v>31.705729166666668</v>
      </c>
      <c r="W661" s="103">
        <v>19.384765625</v>
      </c>
      <c r="X661" s="103">
        <v>15.641276041666666</v>
      </c>
      <c r="Y661" s="103">
        <v>5.0455729166666661</v>
      </c>
      <c r="Z661" s="103">
        <v>4.0201822916666661</v>
      </c>
      <c r="AA661" s="103">
        <v>2.425130208333333</v>
      </c>
      <c r="AB661" s="103">
        <v>1.708984375</v>
      </c>
      <c r="AC661" s="42"/>
      <c r="AD661" s="110"/>
      <c r="AE661" s="46" t="s">
        <v>7</v>
      </c>
      <c r="AF661" s="103">
        <v>2.2896551724137932</v>
      </c>
      <c r="AG661" s="103">
        <v>9.2689655172413783</v>
      </c>
      <c r="AH661" s="103">
        <v>24.468965517241379</v>
      </c>
      <c r="AI661" s="103">
        <v>31.03448275862069</v>
      </c>
      <c r="AJ661" s="103">
        <v>14.510344827586207</v>
      </c>
      <c r="AK661" s="103">
        <v>10.951724137931034</v>
      </c>
      <c r="AL661" s="103">
        <v>2.4275862068965517</v>
      </c>
      <c r="AM661" s="103">
        <v>2.0413793103448277</v>
      </c>
      <c r="AN661" s="103">
        <v>1.7931034482758619</v>
      </c>
      <c r="AO661" s="103">
        <v>1.2137931034482758</v>
      </c>
      <c r="AP661" s="6"/>
      <c r="AQ661" s="110"/>
      <c r="AR661" s="46" t="s">
        <v>7</v>
      </c>
      <c r="AS661" s="103">
        <v>2.5731406415227354</v>
      </c>
      <c r="AT661" s="103">
        <v>8.3538949594642222</v>
      </c>
      <c r="AU661" s="103">
        <v>20.338385618611209</v>
      </c>
      <c r="AV661" s="103">
        <v>30.983433204088829</v>
      </c>
      <c r="AW661" s="103">
        <v>15.438843849136411</v>
      </c>
      <c r="AX661" s="103">
        <v>11.491011632005639</v>
      </c>
      <c r="AY661" s="103">
        <v>3.4543531899894253</v>
      </c>
      <c r="AZ661" s="103">
        <v>3.2781106802960878</v>
      </c>
      <c r="BA661" s="103">
        <v>2.3616496298907297</v>
      </c>
      <c r="BB661" s="103">
        <v>1.7271765949947127</v>
      </c>
      <c r="BC661" s="42"/>
      <c r="BD661" s="110"/>
      <c r="BE661" s="46" t="s">
        <v>7</v>
      </c>
      <c r="BF661" s="103">
        <v>2.0196191575302942</v>
      </c>
      <c r="BG661" s="103">
        <v>4.7605308713214081</v>
      </c>
      <c r="BH661" s="103">
        <v>17.05135603000577</v>
      </c>
      <c r="BI661" s="103">
        <v>31.650317368724757</v>
      </c>
      <c r="BJ661" s="103">
        <v>18.450663589151763</v>
      </c>
      <c r="BK661" s="103">
        <v>14.887478361223311</v>
      </c>
      <c r="BL661" s="103">
        <v>4.3277553375649163</v>
      </c>
      <c r="BM661" s="103">
        <v>3.2890940565493363</v>
      </c>
      <c r="BN661" s="103">
        <v>2.120600115406809</v>
      </c>
      <c r="BO661" s="103">
        <v>1.4425851125216387</v>
      </c>
      <c r="BQ661" s="110"/>
      <c r="BR661" s="46" t="s">
        <v>7</v>
      </c>
      <c r="BS661" s="103">
        <v>2.4456521739130435</v>
      </c>
      <c r="BT661" s="103">
        <v>10.461956521739131</v>
      </c>
      <c r="BU661" s="103">
        <v>24.184782608695652</v>
      </c>
      <c r="BV661" s="103">
        <v>31.114130434782609</v>
      </c>
      <c r="BW661" s="103">
        <v>12.635869565217392</v>
      </c>
      <c r="BX661" s="103">
        <v>10.190217391304348</v>
      </c>
      <c r="BY661" s="103">
        <v>3.125</v>
      </c>
      <c r="BZ661" s="103">
        <v>2.3097826086956519</v>
      </c>
      <c r="CA661" s="103">
        <v>1.7663043478260869</v>
      </c>
      <c r="CB661" s="103">
        <v>1.7663043478260869</v>
      </c>
      <c r="CC661" s="42"/>
      <c r="CD661" s="110"/>
      <c r="CE661" s="46" t="s">
        <v>7</v>
      </c>
      <c r="CF661" s="103">
        <v>2.158751245433411</v>
      </c>
      <c r="CG661" s="103">
        <v>5.4245544116019042</v>
      </c>
      <c r="CH661" s="103">
        <v>17.502490866821656</v>
      </c>
      <c r="CI661" s="103">
        <v>31.484556625705746</v>
      </c>
      <c r="CJ661" s="103">
        <v>17.97852319273774</v>
      </c>
      <c r="CK661" s="103">
        <v>14.203476143031107</v>
      </c>
      <c r="CL661" s="103">
        <v>4.1514447027565593</v>
      </c>
      <c r="CM661" s="103">
        <v>3.3654378390346502</v>
      </c>
      <c r="CN661" s="103">
        <v>2.2251743606775158</v>
      </c>
      <c r="CO661" s="103">
        <v>1.5055906121997122</v>
      </c>
      <c r="CQ661" s="110"/>
      <c r="CR661" s="46" t="s">
        <v>7</v>
      </c>
      <c r="CS661" s="103">
        <v>2.6503996634413123</v>
      </c>
      <c r="CT661" s="103">
        <v>3.8283550694152293</v>
      </c>
      <c r="CU661" s="103">
        <v>11.653344551956248</v>
      </c>
      <c r="CV661" s="103">
        <v>25.24190155658393</v>
      </c>
      <c r="CW661" s="103">
        <v>15.944467816575516</v>
      </c>
      <c r="CX661" s="103">
        <v>15.860328144720235</v>
      </c>
      <c r="CY661" s="103">
        <v>6.604964240639462</v>
      </c>
      <c r="CZ661" s="103">
        <v>6.9835927639882209</v>
      </c>
      <c r="DA661" s="103">
        <v>6.4787547328565411</v>
      </c>
      <c r="DB661" s="103">
        <v>4.7538914598233069</v>
      </c>
      <c r="DC661" s="42"/>
      <c r="DD661" s="110"/>
      <c r="DE661" s="46" t="s">
        <v>7</v>
      </c>
      <c r="DF661" s="103">
        <v>2.029220779220779</v>
      </c>
      <c r="DG661" s="103">
        <v>6.4393939393939394</v>
      </c>
      <c r="DH661" s="103">
        <v>20.0487012987013</v>
      </c>
      <c r="DI661" s="103">
        <v>33.455086580086579</v>
      </c>
      <c r="DJ661" s="103">
        <v>18.100649350649352</v>
      </c>
      <c r="DK661" s="103">
        <v>13.271103896103897</v>
      </c>
      <c r="DL661" s="103">
        <v>3.2602813852813854</v>
      </c>
      <c r="DM661" s="103">
        <v>2.0968614718614722</v>
      </c>
      <c r="DN661" s="103">
        <v>0.81168831168831157</v>
      </c>
      <c r="DO661" s="103">
        <v>0.48701298701298701</v>
      </c>
    </row>
    <row r="662" spans="2:119" ht="16.5" customHeight="1" x14ac:dyDescent="0.45">
      <c r="B662" s="99"/>
      <c r="C662" s="42"/>
      <c r="D662" s="110"/>
      <c r="E662" s="47" t="s">
        <v>8</v>
      </c>
      <c r="F662" s="103">
        <v>2.0634061240449979</v>
      </c>
      <c r="G662" s="103">
        <v>2.7612344342176502</v>
      </c>
      <c r="H662" s="103">
        <v>11.869097034229682</v>
      </c>
      <c r="I662" s="103">
        <v>27.672501955122421</v>
      </c>
      <c r="J662" s="103">
        <v>19.533176923539674</v>
      </c>
      <c r="K662" s="103">
        <v>19.118089394212838</v>
      </c>
      <c r="L662" s="103">
        <v>7.1467244179750953</v>
      </c>
      <c r="M662" s="103">
        <v>5.4141851651326478</v>
      </c>
      <c r="N662" s="103">
        <v>2.7672501955122422</v>
      </c>
      <c r="O662" s="103">
        <v>1.6543343560127532</v>
      </c>
      <c r="P662" s="42"/>
      <c r="Q662" s="110"/>
      <c r="R662" s="46" t="s">
        <v>8</v>
      </c>
      <c r="S662" s="103">
        <v>2.0386054756746113</v>
      </c>
      <c r="T662" s="103">
        <v>1.4477053377979121</v>
      </c>
      <c r="U662" s="103">
        <v>8.6271420129998031</v>
      </c>
      <c r="V662" s="103">
        <v>24.551900728776836</v>
      </c>
      <c r="W662" s="103">
        <v>20.494386448690172</v>
      </c>
      <c r="X662" s="103">
        <v>22.336025211739216</v>
      </c>
      <c r="Y662" s="103">
        <v>8.9521370888319876</v>
      </c>
      <c r="Z662" s="103">
        <v>6.5688398660626355</v>
      </c>
      <c r="AA662" s="103">
        <v>3.1514674020090601</v>
      </c>
      <c r="AB662" s="103">
        <v>1.8317904274177663</v>
      </c>
      <c r="AC662" s="42"/>
      <c r="AD662" s="110"/>
      <c r="AE662" s="46" t="s">
        <v>8</v>
      </c>
      <c r="AF662" s="103">
        <v>2.1023342093059205</v>
      </c>
      <c r="AG662" s="103">
        <v>4.8230020095841706</v>
      </c>
      <c r="AH662" s="103">
        <v>16.957798732416137</v>
      </c>
      <c r="AI662" s="103">
        <v>32.570721904467462</v>
      </c>
      <c r="AJ662" s="103">
        <v>18.024424176843407</v>
      </c>
      <c r="AK662" s="103">
        <v>14.067089194620497</v>
      </c>
      <c r="AL662" s="103">
        <v>4.3128767970319988</v>
      </c>
      <c r="AM662" s="103">
        <v>3.6017931674138199</v>
      </c>
      <c r="AN662" s="103">
        <v>2.1641675684031534</v>
      </c>
      <c r="AO662" s="103">
        <v>1.3757922399134335</v>
      </c>
      <c r="AP662" s="6"/>
      <c r="AQ662" s="110"/>
      <c r="AR662" s="46" t="s">
        <v>8</v>
      </c>
      <c r="AS662" s="103">
        <v>2.361421824509073</v>
      </c>
      <c r="AT662" s="103">
        <v>4.0765597812577683</v>
      </c>
      <c r="AU662" s="103">
        <v>15.560526969922945</v>
      </c>
      <c r="AV662" s="103">
        <v>28.411633109619689</v>
      </c>
      <c r="AW662" s="103">
        <v>18.443947303007704</v>
      </c>
      <c r="AX662" s="103">
        <v>16.057668406661698</v>
      </c>
      <c r="AY662" s="103">
        <v>5.7916977380064623</v>
      </c>
      <c r="AZ662" s="103">
        <v>4.5239870743226449</v>
      </c>
      <c r="BA662" s="103">
        <v>2.9331344767586378</v>
      </c>
      <c r="BB662" s="103">
        <v>1.839423315933383</v>
      </c>
      <c r="BC662" s="42"/>
      <c r="BD662" s="110"/>
      <c r="BE662" s="46" t="s">
        <v>8</v>
      </c>
      <c r="BF662" s="103">
        <v>1.9682539682539684</v>
      </c>
      <c r="BG662" s="103">
        <v>2.3412698412698414</v>
      </c>
      <c r="BH662" s="103">
        <v>10.69047619047619</v>
      </c>
      <c r="BI662" s="103">
        <v>27.436507936507937</v>
      </c>
      <c r="BJ662" s="103">
        <v>19.88095238095238</v>
      </c>
      <c r="BK662" s="103">
        <v>20.095238095238095</v>
      </c>
      <c r="BL662" s="103">
        <v>7.5793650793650791</v>
      </c>
      <c r="BM662" s="103">
        <v>5.6984126984126986</v>
      </c>
      <c r="BN662" s="103">
        <v>2.7142857142857144</v>
      </c>
      <c r="BO662" s="103">
        <v>1.5952380952380953</v>
      </c>
      <c r="BQ662" s="110"/>
      <c r="BR662" s="46" t="s">
        <v>8</v>
      </c>
      <c r="BS662" s="103">
        <v>1.8475750577367205</v>
      </c>
      <c r="BT662" s="103">
        <v>6.9284064665127012</v>
      </c>
      <c r="BU662" s="103">
        <v>18.244803695150118</v>
      </c>
      <c r="BV662" s="103">
        <v>28.060046189376443</v>
      </c>
      <c r="BW662" s="103">
        <v>16.859122401847575</v>
      </c>
      <c r="BX662" s="103">
        <v>14.896073903002311</v>
      </c>
      <c r="BY662" s="103">
        <v>5.5427251732101617</v>
      </c>
      <c r="BZ662" s="103">
        <v>4.0415704387990763</v>
      </c>
      <c r="CA662" s="103">
        <v>2.7713625866050808</v>
      </c>
      <c r="CB662" s="103">
        <v>0.80831408775981528</v>
      </c>
      <c r="CC662" s="42"/>
      <c r="CD662" s="110"/>
      <c r="CE662" s="46" t="s">
        <v>8</v>
      </c>
      <c r="CF662" s="103">
        <v>2.0752681347972328</v>
      </c>
      <c r="CG662" s="103">
        <v>2.5322079075966237</v>
      </c>
      <c r="CH662" s="103">
        <v>11.518690105984641</v>
      </c>
      <c r="CI662" s="103">
        <v>27.651202640096468</v>
      </c>
      <c r="CJ662" s="103">
        <v>19.680142159040425</v>
      </c>
      <c r="CK662" s="103">
        <v>19.350130100907535</v>
      </c>
      <c r="CL662" s="103">
        <v>7.2348797359903534</v>
      </c>
      <c r="CM662" s="103">
        <v>5.4896236593260133</v>
      </c>
      <c r="CN662" s="103">
        <v>2.7670241797296438</v>
      </c>
      <c r="CO662" s="103">
        <v>1.7008313765310656</v>
      </c>
      <c r="CQ662" s="110"/>
      <c r="CR662" s="46" t="s">
        <v>8</v>
      </c>
      <c r="CS662" s="103">
        <v>1.9153537225826383</v>
      </c>
      <c r="CT662" s="103">
        <v>1.5137472968798269</v>
      </c>
      <c r="CU662" s="103">
        <v>8.1248069199876429</v>
      </c>
      <c r="CV662" s="103">
        <v>21.007105344454743</v>
      </c>
      <c r="CW662" s="103">
        <v>17.238183503243746</v>
      </c>
      <c r="CX662" s="103">
        <v>18.504788384306455</v>
      </c>
      <c r="CY662" s="103">
        <v>10.07105344454742</v>
      </c>
      <c r="CZ662" s="103">
        <v>10.132839048501699</v>
      </c>
      <c r="DA662" s="103">
        <v>6.3948100092678404</v>
      </c>
      <c r="DB662" s="103">
        <v>5.0973123262279891</v>
      </c>
      <c r="DC662" s="42"/>
      <c r="DD662" s="110"/>
      <c r="DE662" s="46" t="s">
        <v>8</v>
      </c>
      <c r="DF662" s="103">
        <v>2.0992081278948156</v>
      </c>
      <c r="DG662" s="103">
        <v>3.062901538921261</v>
      </c>
      <c r="DH662" s="103">
        <v>12.774540564769163</v>
      </c>
      <c r="DI662" s="103">
        <v>29.284326908710597</v>
      </c>
      <c r="DJ662" s="103">
        <v>20.088151800388466</v>
      </c>
      <c r="DK662" s="103">
        <v>19.266397728970567</v>
      </c>
      <c r="DL662" s="103">
        <v>6.4395637232929932</v>
      </c>
      <c r="DM662" s="103">
        <v>4.2731211713730763</v>
      </c>
      <c r="DN662" s="103">
        <v>1.8900343642611683</v>
      </c>
      <c r="DO662" s="103">
        <v>0.82175407141789925</v>
      </c>
    </row>
    <row r="663" spans="2:119" ht="16.5" customHeight="1" x14ac:dyDescent="0.45">
      <c r="B663" s="99"/>
      <c r="C663" s="42"/>
      <c r="D663" s="110"/>
      <c r="E663" s="47" t="s">
        <v>9</v>
      </c>
      <c r="F663" s="103">
        <v>2.3472914142094159</v>
      </c>
      <c r="G663" s="103">
        <v>1.2432117050401688</v>
      </c>
      <c r="H663" s="103">
        <v>6.0230689825411785</v>
      </c>
      <c r="I663" s="103">
        <v>19.859970378349264</v>
      </c>
      <c r="J663" s="103">
        <v>18.697544993492212</v>
      </c>
      <c r="K663" s="103">
        <v>21.843723351734663</v>
      </c>
      <c r="L663" s="103">
        <v>11.767873973340514</v>
      </c>
      <c r="M663" s="103">
        <v>10.372065885732239</v>
      </c>
      <c r="N663" s="103">
        <v>5.3004802297921998</v>
      </c>
      <c r="O663" s="103">
        <v>2.5447690857681433</v>
      </c>
      <c r="P663" s="42"/>
      <c r="Q663" s="110"/>
      <c r="R663" s="46" t="s">
        <v>9</v>
      </c>
      <c r="S663" s="103">
        <v>2.1186440677966099</v>
      </c>
      <c r="T663" s="103">
        <v>0.57281858129315755</v>
      </c>
      <c r="U663" s="103">
        <v>3.5860012554927807</v>
      </c>
      <c r="V663" s="103">
        <v>15.285624607658507</v>
      </c>
      <c r="W663" s="103">
        <v>18.024168236032644</v>
      </c>
      <c r="X663" s="103">
        <v>23.35216572504708</v>
      </c>
      <c r="Y663" s="103">
        <v>14.124293785310735</v>
      </c>
      <c r="Z663" s="103">
        <v>13.174827369742623</v>
      </c>
      <c r="AA663" s="103">
        <v>6.8581293157564343</v>
      </c>
      <c r="AB663" s="103">
        <v>2.9033270558694291</v>
      </c>
      <c r="AC663" s="42"/>
      <c r="AD663" s="110"/>
      <c r="AE663" s="46" t="s">
        <v>9</v>
      </c>
      <c r="AF663" s="103">
        <v>2.6528258362168398</v>
      </c>
      <c r="AG663" s="103">
        <v>2.1390374331550799</v>
      </c>
      <c r="AH663" s="103">
        <v>9.2796476879521865</v>
      </c>
      <c r="AI663" s="103">
        <v>25.972528048652617</v>
      </c>
      <c r="AJ663" s="103">
        <v>19.597357659641396</v>
      </c>
      <c r="AK663" s="103">
        <v>19.828038167138512</v>
      </c>
      <c r="AL663" s="103">
        <v>8.6190625983013529</v>
      </c>
      <c r="AM663" s="103">
        <v>6.6268218517353468</v>
      </c>
      <c r="AN663" s="103">
        <v>3.2190416273461251</v>
      </c>
      <c r="AO663" s="103">
        <v>2.065639089860543</v>
      </c>
      <c r="AP663" s="6"/>
      <c r="AQ663" s="110"/>
      <c r="AR663" s="46" t="s">
        <v>9</v>
      </c>
      <c r="AS663" s="103">
        <v>2.5970931617822255</v>
      </c>
      <c r="AT663" s="103">
        <v>2.2158684774839168</v>
      </c>
      <c r="AU663" s="103">
        <v>8.672861567786514</v>
      </c>
      <c r="AV663" s="103">
        <v>22.420776745294258</v>
      </c>
      <c r="AW663" s="103">
        <v>17.441029306647604</v>
      </c>
      <c r="AX663" s="103">
        <v>20.467000238265427</v>
      </c>
      <c r="AY663" s="103">
        <v>10.197760304979747</v>
      </c>
      <c r="AZ663" s="103">
        <v>9.0302597093161783</v>
      </c>
      <c r="BA663" s="103">
        <v>4.2887776983559691</v>
      </c>
      <c r="BB663" s="103">
        <v>2.6685727900881582</v>
      </c>
      <c r="BC663" s="42"/>
      <c r="BD663" s="110"/>
      <c r="BE663" s="46" t="s">
        <v>9</v>
      </c>
      <c r="BF663" s="103">
        <v>2.2893165228931651</v>
      </c>
      <c r="BG663" s="103">
        <v>1.0174740101747399</v>
      </c>
      <c r="BH663" s="103">
        <v>5.4080955540809557</v>
      </c>
      <c r="BI663" s="103">
        <v>19.265649192656493</v>
      </c>
      <c r="BJ663" s="103">
        <v>18.989161689891617</v>
      </c>
      <c r="BK663" s="103">
        <v>22.16323822163238</v>
      </c>
      <c r="BL663" s="103">
        <v>12.132271621322715</v>
      </c>
      <c r="BM663" s="103">
        <v>10.683477106834772</v>
      </c>
      <c r="BN663" s="103">
        <v>5.5352798053527978</v>
      </c>
      <c r="BO663" s="103">
        <v>2.5160362751603627</v>
      </c>
      <c r="BQ663" s="110"/>
      <c r="BR663" s="46" t="s">
        <v>9</v>
      </c>
      <c r="BS663" s="103">
        <v>2.5641025641025639</v>
      </c>
      <c r="BT663" s="103">
        <v>2.7972027972027971</v>
      </c>
      <c r="BU663" s="103">
        <v>10.48951048951049</v>
      </c>
      <c r="BV663" s="103">
        <v>23.310023310023308</v>
      </c>
      <c r="BW663" s="103">
        <v>17.599067599067599</v>
      </c>
      <c r="BX663" s="103">
        <v>19.696969696969695</v>
      </c>
      <c r="BY663" s="103">
        <v>10.48951048951049</v>
      </c>
      <c r="BZ663" s="103">
        <v>7.6923076923076925</v>
      </c>
      <c r="CA663" s="103">
        <v>4.0792540792540795</v>
      </c>
      <c r="CB663" s="103">
        <v>1.2820512820512819</v>
      </c>
      <c r="CC663" s="42"/>
      <c r="CD663" s="110"/>
      <c r="CE663" s="46" t="s">
        <v>9</v>
      </c>
      <c r="CF663" s="103">
        <v>2.3386080380899035</v>
      </c>
      <c r="CG663" s="103">
        <v>1.1809737198338235</v>
      </c>
      <c r="CH663" s="103">
        <v>5.8441861550669838</v>
      </c>
      <c r="CI663" s="103">
        <v>19.721794333193294</v>
      </c>
      <c r="CJ663" s="103">
        <v>18.741539466928067</v>
      </c>
      <c r="CK663" s="103">
        <v>21.929701722447838</v>
      </c>
      <c r="CL663" s="103">
        <v>11.819072958969331</v>
      </c>
      <c r="CM663" s="103">
        <v>10.479391308406852</v>
      </c>
      <c r="CN663" s="103">
        <v>5.3493908416188205</v>
      </c>
      <c r="CO663" s="103">
        <v>2.5953414554450824</v>
      </c>
      <c r="CQ663" s="110"/>
      <c r="CR663" s="46" t="s">
        <v>9</v>
      </c>
      <c r="CS663" s="103">
        <v>2.2369511184755591</v>
      </c>
      <c r="CT663" s="103">
        <v>0.69041701187517257</v>
      </c>
      <c r="CU663" s="103">
        <v>4.5015189174261252</v>
      </c>
      <c r="CV663" s="103">
        <v>13.615023474178404</v>
      </c>
      <c r="CW663" s="103">
        <v>14.913007456503729</v>
      </c>
      <c r="CX663" s="103">
        <v>19.165976249654793</v>
      </c>
      <c r="CY663" s="103">
        <v>13.449323391328363</v>
      </c>
      <c r="CZ663" s="103">
        <v>14.084507042253522</v>
      </c>
      <c r="DA663" s="103">
        <v>9.7210715272024313</v>
      </c>
      <c r="DB663" s="103">
        <v>7.6222038111019064</v>
      </c>
      <c r="DC663" s="42"/>
      <c r="DD663" s="110"/>
      <c r="DE663" s="46" t="s">
        <v>9</v>
      </c>
      <c r="DF663" s="103">
        <v>2.3687031082529475</v>
      </c>
      <c r="DG663" s="103">
        <v>1.35048231511254</v>
      </c>
      <c r="DH663" s="103">
        <v>6.3183279742765279</v>
      </c>
      <c r="DI663" s="103">
        <v>21.071811361200428</v>
      </c>
      <c r="DJ663" s="103">
        <v>19.431939978563772</v>
      </c>
      <c r="DK663" s="103">
        <v>22.363344051446944</v>
      </c>
      <c r="DL663" s="103">
        <v>11.441586280814576</v>
      </c>
      <c r="DM663" s="103">
        <v>9.6516613076098601</v>
      </c>
      <c r="DN663" s="103">
        <v>4.442658092175777</v>
      </c>
      <c r="DO663" s="103">
        <v>1.5594855305466238</v>
      </c>
    </row>
    <row r="664" spans="2:119" ht="16.5" customHeight="1" x14ac:dyDescent="0.45">
      <c r="B664" s="99"/>
      <c r="C664" s="42"/>
      <c r="D664" s="110"/>
      <c r="E664" s="47" t="s">
        <v>10</v>
      </c>
      <c r="F664" s="103">
        <v>1.4540957741674128</v>
      </c>
      <c r="G664" s="103">
        <v>0.33260841755149034</v>
      </c>
      <c r="H664" s="103">
        <v>2.1662189245661168</v>
      </c>
      <c r="I664" s="103">
        <v>9.5944735832160681</v>
      </c>
      <c r="J664" s="103">
        <v>13.756343013091128</v>
      </c>
      <c r="K664" s="103">
        <v>20.148394524753741</v>
      </c>
      <c r="L664" s="103">
        <v>16.719969297684536</v>
      </c>
      <c r="M664" s="103">
        <v>17.965118758261909</v>
      </c>
      <c r="N664" s="103">
        <v>11.483518826489275</v>
      </c>
      <c r="O664" s="103">
        <v>6.3792588802183277</v>
      </c>
      <c r="P664" s="42"/>
      <c r="Q664" s="110"/>
      <c r="R664" s="46" t="s">
        <v>10</v>
      </c>
      <c r="S664" s="103">
        <v>1.0302640051513201</v>
      </c>
      <c r="T664" s="103">
        <v>7.2440437862202181E-2</v>
      </c>
      <c r="U664" s="103">
        <v>0.9175788795878943</v>
      </c>
      <c r="V664" s="103">
        <v>6.2379265936896324</v>
      </c>
      <c r="W664" s="103">
        <v>11.043142305215712</v>
      </c>
      <c r="X664" s="103">
        <v>18.850611719253056</v>
      </c>
      <c r="Y664" s="103">
        <v>18.053766902768835</v>
      </c>
      <c r="Z664" s="103">
        <v>21.176754668383772</v>
      </c>
      <c r="AA664" s="103">
        <v>14.793947198969736</v>
      </c>
      <c r="AB664" s="103">
        <v>7.8235672891178361</v>
      </c>
      <c r="AC664" s="42"/>
      <c r="AD664" s="110"/>
      <c r="AE664" s="46" t="s">
        <v>10</v>
      </c>
      <c r="AF664" s="103">
        <v>1.9316223814274054</v>
      </c>
      <c r="AG664" s="103">
        <v>0.62573682778634265</v>
      </c>
      <c r="AH664" s="103">
        <v>3.5730479731567968</v>
      </c>
      <c r="AI664" s="103">
        <v>13.376258275142829</v>
      </c>
      <c r="AJ664" s="103">
        <v>16.813276503128684</v>
      </c>
      <c r="AK664" s="103">
        <v>21.610592182823979</v>
      </c>
      <c r="AL664" s="103">
        <v>15.217194159789607</v>
      </c>
      <c r="AM664" s="103">
        <v>14.346603790695568</v>
      </c>
      <c r="AN664" s="103">
        <v>7.75369547474381</v>
      </c>
      <c r="AO664" s="103">
        <v>4.7519724313049787</v>
      </c>
      <c r="AP664" s="6"/>
      <c r="AQ664" s="110"/>
      <c r="AR664" s="46" t="s">
        <v>10</v>
      </c>
      <c r="AS664" s="103">
        <v>1.8368617683686177</v>
      </c>
      <c r="AT664" s="103">
        <v>0.80946450809464499</v>
      </c>
      <c r="AU664" s="103">
        <v>4.10958904109589</v>
      </c>
      <c r="AV664" s="103">
        <v>13.978829389788295</v>
      </c>
      <c r="AW664" s="103">
        <v>16.313823163138235</v>
      </c>
      <c r="AX664" s="103">
        <v>19.9252801992528</v>
      </c>
      <c r="AY664" s="103">
        <v>14.414694894146947</v>
      </c>
      <c r="AZ664" s="103">
        <v>15.130759651307596</v>
      </c>
      <c r="BA664" s="103">
        <v>9.0909090909090917</v>
      </c>
      <c r="BB664" s="103">
        <v>4.3897882938978832</v>
      </c>
      <c r="BC664" s="42"/>
      <c r="BD664" s="110"/>
      <c r="BE664" s="46" t="s">
        <v>10</v>
      </c>
      <c r="BF664" s="103">
        <v>1.3933494737882306</v>
      </c>
      <c r="BG664" s="103">
        <v>0.25692969020208506</v>
      </c>
      <c r="BH664" s="103">
        <v>1.8577992983843075</v>
      </c>
      <c r="BI664" s="103">
        <v>8.8986610010376008</v>
      </c>
      <c r="BJ664" s="103">
        <v>13.350461979346806</v>
      </c>
      <c r="BK664" s="103">
        <v>20.183803547606107</v>
      </c>
      <c r="BL664" s="103">
        <v>17.08582439843866</v>
      </c>
      <c r="BM664" s="103">
        <v>18.414941449676366</v>
      </c>
      <c r="BN664" s="103">
        <v>11.863234349523198</v>
      </c>
      <c r="BO664" s="103">
        <v>6.6949948119966409</v>
      </c>
      <c r="BQ664" s="110"/>
      <c r="BR664" s="46" t="s">
        <v>10</v>
      </c>
      <c r="BS664" s="103">
        <v>2.1164021164021163</v>
      </c>
      <c r="BT664" s="103">
        <v>0.79365079365079361</v>
      </c>
      <c r="BU664" s="103">
        <v>4.3650793650793647</v>
      </c>
      <c r="BV664" s="103">
        <v>13.359788359788361</v>
      </c>
      <c r="BW664" s="103">
        <v>16.005291005291006</v>
      </c>
      <c r="BX664" s="103">
        <v>21.031746031746032</v>
      </c>
      <c r="BY664" s="103">
        <v>14.550264550264549</v>
      </c>
      <c r="BZ664" s="103">
        <v>12.962962962962962</v>
      </c>
      <c r="CA664" s="103">
        <v>9.2592592592592595</v>
      </c>
      <c r="CB664" s="103">
        <v>5.5555555555555554</v>
      </c>
      <c r="CC664" s="42"/>
      <c r="CD664" s="110"/>
      <c r="CE664" s="46" t="s">
        <v>10</v>
      </c>
      <c r="CF664" s="103">
        <v>1.4320334875523244</v>
      </c>
      <c r="CG664" s="103">
        <v>0.31725049570389952</v>
      </c>
      <c r="CH664" s="103">
        <v>2.0929720202687818</v>
      </c>
      <c r="CI664" s="103">
        <v>9.4690460453844452</v>
      </c>
      <c r="CJ664" s="103">
        <v>13.681427627230667</v>
      </c>
      <c r="CK664" s="103">
        <v>20.118968935888962</v>
      </c>
      <c r="CL664" s="103">
        <v>16.792244987882793</v>
      </c>
      <c r="CM664" s="103">
        <v>18.131747080854812</v>
      </c>
      <c r="CN664" s="103">
        <v>11.557611808768451</v>
      </c>
      <c r="CO664" s="103">
        <v>6.4066975104648609</v>
      </c>
      <c r="CQ664" s="110"/>
      <c r="CR664" s="46" t="s">
        <v>10</v>
      </c>
      <c r="CS664" s="103">
        <v>0.84439083232810619</v>
      </c>
      <c r="CT664" s="103">
        <v>0.18094089264173704</v>
      </c>
      <c r="CU664" s="103">
        <v>1.6586248492159228</v>
      </c>
      <c r="CV664" s="103">
        <v>7.659831121833534</v>
      </c>
      <c r="CW664" s="103">
        <v>10.072376357056696</v>
      </c>
      <c r="CX664" s="103">
        <v>15.922798552472859</v>
      </c>
      <c r="CY664" s="103">
        <v>16.556091676718939</v>
      </c>
      <c r="CZ664" s="103">
        <v>19.873341375150787</v>
      </c>
      <c r="DA664" s="103">
        <v>15.168878166465621</v>
      </c>
      <c r="DB664" s="103">
        <v>12.062726176115802</v>
      </c>
      <c r="DC664" s="42"/>
      <c r="DD664" s="110"/>
      <c r="DE664" s="46" t="s">
        <v>10</v>
      </c>
      <c r="DF664" s="103">
        <v>1.5545070772287062</v>
      </c>
      <c r="DG664" s="103">
        <v>0.35758629252545315</v>
      </c>
      <c r="DH664" s="103">
        <v>2.2498137571393095</v>
      </c>
      <c r="DI664" s="103">
        <v>9.9130866650111749</v>
      </c>
      <c r="DJ664" s="103">
        <v>14.363049416439036</v>
      </c>
      <c r="DK664" s="103">
        <v>20.844300968462875</v>
      </c>
      <c r="DL664" s="103">
        <v>16.746958033275391</v>
      </c>
      <c r="DM664" s="103">
        <v>17.650856717159176</v>
      </c>
      <c r="DN664" s="103">
        <v>10.876583064315867</v>
      </c>
      <c r="DO664" s="103">
        <v>5.44325800844301</v>
      </c>
    </row>
    <row r="665" spans="2:119" ht="16.5" customHeight="1" x14ac:dyDescent="0.45">
      <c r="B665" s="99"/>
      <c r="C665" s="42"/>
      <c r="D665" s="111"/>
      <c r="E665" s="47" t="s">
        <v>11</v>
      </c>
      <c r="F665" s="103">
        <v>0.48701298701298701</v>
      </c>
      <c r="G665" s="103">
        <v>3.2467532467532464E-2</v>
      </c>
      <c r="H665" s="103">
        <v>0.38961038961038963</v>
      </c>
      <c r="I665" s="103">
        <v>2.7272727272727271</v>
      </c>
      <c r="J665" s="103">
        <v>5.8279220779220777</v>
      </c>
      <c r="K665" s="103">
        <v>11.59090909090909</v>
      </c>
      <c r="L665" s="103">
        <v>14.577922077922079</v>
      </c>
      <c r="M665" s="103">
        <v>22.629870129870131</v>
      </c>
      <c r="N665" s="103">
        <v>22.353896103896105</v>
      </c>
      <c r="O665" s="103">
        <v>19.383116883116884</v>
      </c>
      <c r="P665" s="42"/>
      <c r="Q665" s="111"/>
      <c r="R665" s="46" t="s">
        <v>11</v>
      </c>
      <c r="S665" s="103">
        <v>0.36674816625916873</v>
      </c>
      <c r="T665" s="103">
        <v>0</v>
      </c>
      <c r="U665" s="103">
        <v>0.12224938875305623</v>
      </c>
      <c r="V665" s="103">
        <v>1.6198044009779951</v>
      </c>
      <c r="W665" s="103">
        <v>4.0036674816625917</v>
      </c>
      <c r="X665" s="103">
        <v>8.8325183374083132</v>
      </c>
      <c r="Y665" s="103">
        <v>12.316625916870416</v>
      </c>
      <c r="Z665" s="103">
        <v>22.341075794621027</v>
      </c>
      <c r="AA665" s="103">
        <v>25.764058679706604</v>
      </c>
      <c r="AB665" s="103">
        <v>24.633251833740832</v>
      </c>
      <c r="AC665" s="42"/>
      <c r="AD665" s="111"/>
      <c r="AE665" s="46" t="s">
        <v>11</v>
      </c>
      <c r="AF665" s="103">
        <v>0.62326869806094187</v>
      </c>
      <c r="AG665" s="103">
        <v>6.9252077562326875E-2</v>
      </c>
      <c r="AH665" s="103">
        <v>0.69252077562326864</v>
      </c>
      <c r="AI665" s="103">
        <v>3.9819944598337953</v>
      </c>
      <c r="AJ665" s="103">
        <v>7.8947368421052628</v>
      </c>
      <c r="AK665" s="103">
        <v>14.71606648199446</v>
      </c>
      <c r="AL665" s="103">
        <v>17.139889196675899</v>
      </c>
      <c r="AM665" s="103">
        <v>22.957063711911356</v>
      </c>
      <c r="AN665" s="103">
        <v>18.490304709141274</v>
      </c>
      <c r="AO665" s="103">
        <v>13.434903047091412</v>
      </c>
      <c r="AP665" s="6"/>
      <c r="AQ665" s="111"/>
      <c r="AR665" s="46" t="s">
        <v>11</v>
      </c>
      <c r="AS665" s="103">
        <v>0.60606060606060608</v>
      </c>
      <c r="AT665" s="103">
        <v>0</v>
      </c>
      <c r="AU665" s="103">
        <v>1.0101010101010102</v>
      </c>
      <c r="AV665" s="103">
        <v>4.6464646464646462</v>
      </c>
      <c r="AW665" s="103">
        <v>9.2929292929292924</v>
      </c>
      <c r="AX665" s="103">
        <v>14.14141414141414</v>
      </c>
      <c r="AY665" s="103">
        <v>16.161616161616163</v>
      </c>
      <c r="AZ665" s="103">
        <v>20.404040404040405</v>
      </c>
      <c r="BA665" s="103">
        <v>19.393939393939394</v>
      </c>
      <c r="BB665" s="103">
        <v>14.343434343434344</v>
      </c>
      <c r="BC665" s="42"/>
      <c r="BD665" s="111"/>
      <c r="BE665" s="46" t="s">
        <v>11</v>
      </c>
      <c r="BF665" s="103">
        <v>0.4766107678729038</v>
      </c>
      <c r="BG665" s="103">
        <v>3.5304501323918797E-2</v>
      </c>
      <c r="BH665" s="103">
        <v>0.33539276257722861</v>
      </c>
      <c r="BI665" s="103">
        <v>2.5595763459841132</v>
      </c>
      <c r="BJ665" s="103">
        <v>5.5251544571932927</v>
      </c>
      <c r="BK665" s="103">
        <v>11.368049426301853</v>
      </c>
      <c r="BL665" s="103">
        <v>14.439541041482789</v>
      </c>
      <c r="BM665" s="103">
        <v>22.824360105913506</v>
      </c>
      <c r="BN665" s="103">
        <v>22.61253309796999</v>
      </c>
      <c r="BO665" s="103">
        <v>19.823477493380405</v>
      </c>
      <c r="BQ665" s="111"/>
      <c r="BR665" s="46" t="s">
        <v>11</v>
      </c>
      <c r="BS665" s="103">
        <v>1.8181818181818181</v>
      </c>
      <c r="BT665" s="103">
        <v>0.60606060606060608</v>
      </c>
      <c r="BU665" s="103">
        <v>0</v>
      </c>
      <c r="BV665" s="103">
        <v>3.6363636363636362</v>
      </c>
      <c r="BW665" s="103">
        <v>5.4545454545454541</v>
      </c>
      <c r="BX665" s="103">
        <v>15.757575757575756</v>
      </c>
      <c r="BY665" s="103">
        <v>13.939393939393941</v>
      </c>
      <c r="BZ665" s="103">
        <v>20</v>
      </c>
      <c r="CA665" s="103">
        <v>22.424242424242426</v>
      </c>
      <c r="CB665" s="103">
        <v>16.363636363636363</v>
      </c>
      <c r="CC665" s="42"/>
      <c r="CD665" s="111"/>
      <c r="CE665" s="46" t="s">
        <v>11</v>
      </c>
      <c r="CF665" s="103">
        <v>0.45037531276063386</v>
      </c>
      <c r="CG665" s="103">
        <v>1.6680567139282735E-2</v>
      </c>
      <c r="CH665" s="103">
        <v>0.40033361134278561</v>
      </c>
      <c r="CI665" s="103">
        <v>2.7022518765638033</v>
      </c>
      <c r="CJ665" s="103">
        <v>5.838198498748957</v>
      </c>
      <c r="CK665" s="103">
        <v>11.476230191826522</v>
      </c>
      <c r="CL665" s="103">
        <v>14.595496246872393</v>
      </c>
      <c r="CM665" s="103">
        <v>22.702251876563803</v>
      </c>
      <c r="CN665" s="103">
        <v>22.351959966638866</v>
      </c>
      <c r="CO665" s="103">
        <v>19.466221851542954</v>
      </c>
      <c r="CQ665" s="111"/>
      <c r="CR665" s="46" t="s">
        <v>11</v>
      </c>
      <c r="CS665" s="103">
        <v>0.1326259946949602</v>
      </c>
      <c r="CT665" s="103">
        <v>0</v>
      </c>
      <c r="CU665" s="103">
        <v>0.53050397877984079</v>
      </c>
      <c r="CV665" s="103">
        <v>0.92838196286472141</v>
      </c>
      <c r="CW665" s="103">
        <v>4.5092838196286467</v>
      </c>
      <c r="CX665" s="103">
        <v>7.294429708222812</v>
      </c>
      <c r="CY665" s="103">
        <v>11.007957559681698</v>
      </c>
      <c r="CZ665" s="103">
        <v>20.557029177718832</v>
      </c>
      <c r="DA665" s="103">
        <v>23.872679045092838</v>
      </c>
      <c r="DB665" s="103">
        <v>31.167108753315649</v>
      </c>
      <c r="DC665" s="42"/>
      <c r="DD665" s="111"/>
      <c r="DE665" s="46" t="s">
        <v>11</v>
      </c>
      <c r="DF665" s="103">
        <v>0.53644099149093594</v>
      </c>
      <c r="DG665" s="103">
        <v>3.699593044765076E-2</v>
      </c>
      <c r="DH665" s="103">
        <v>0.3699593044765076</v>
      </c>
      <c r="DI665" s="103">
        <v>2.9781724010358861</v>
      </c>
      <c r="DJ665" s="103">
        <v>6.0118386977432481</v>
      </c>
      <c r="DK665" s="103">
        <v>12.190159082500925</v>
      </c>
      <c r="DL665" s="103">
        <v>15.075841657417685</v>
      </c>
      <c r="DM665" s="103">
        <v>22.918978912319645</v>
      </c>
      <c r="DN665" s="103">
        <v>22.142064372918981</v>
      </c>
      <c r="DO665" s="103">
        <v>17.73954864964854</v>
      </c>
    </row>
    <row r="666" spans="2:119" x14ac:dyDescent="0.45">
      <c r="B666" s="99"/>
      <c r="C666" s="42"/>
      <c r="D666" s="42"/>
      <c r="E666" s="42"/>
      <c r="F666" s="42"/>
      <c r="G666" s="42"/>
      <c r="H666" s="42"/>
      <c r="I666" s="42"/>
      <c r="J666" s="42"/>
      <c r="K666" s="42"/>
      <c r="L666" s="42"/>
      <c r="M666" s="42"/>
      <c r="N666" s="42"/>
      <c r="O666" s="42"/>
      <c r="P666" s="42"/>
      <c r="Q666" s="42"/>
      <c r="R666" s="42"/>
      <c r="S666" s="42"/>
      <c r="T666" s="42"/>
      <c r="U666" s="42"/>
      <c r="V666" s="42"/>
      <c r="W666" s="42"/>
      <c r="X666" s="42"/>
      <c r="Y666" s="42"/>
      <c r="Z666" s="42"/>
      <c r="AA666" s="42"/>
      <c r="AB666" s="42"/>
      <c r="AC666" s="42"/>
      <c r="AD666" s="42"/>
      <c r="AE666" s="42"/>
      <c r="AF666" s="42"/>
      <c r="AG666" s="42"/>
      <c r="AH666" s="42"/>
      <c r="AI666" s="42"/>
      <c r="AJ666" s="42"/>
      <c r="AK666" s="42"/>
      <c r="AL666" s="42"/>
      <c r="AM666" s="42"/>
      <c r="AN666" s="42"/>
      <c r="AO666" s="42"/>
      <c r="AQ666" s="42"/>
      <c r="AR666" s="42"/>
      <c r="AS666" s="42"/>
      <c r="AT666" s="42"/>
      <c r="AU666" s="42"/>
      <c r="AV666" s="42"/>
      <c r="AW666" s="42"/>
      <c r="AX666" s="42"/>
      <c r="AY666" s="42"/>
      <c r="AZ666" s="42"/>
      <c r="BA666" s="42"/>
      <c r="BB666" s="42"/>
      <c r="BC666" s="42"/>
      <c r="BD666" s="42"/>
      <c r="BE666" s="42"/>
      <c r="BF666" s="42"/>
      <c r="BG666" s="42"/>
      <c r="BH666" s="42"/>
      <c r="BI666" s="42"/>
      <c r="BJ666" s="42"/>
      <c r="BK666" s="42"/>
      <c r="BL666" s="42"/>
      <c r="BM666" s="42"/>
      <c r="BN666" s="42"/>
      <c r="BO666" s="42"/>
      <c r="BQ666" s="42"/>
      <c r="BR666" s="42"/>
      <c r="BS666" s="42"/>
      <c r="BT666" s="42"/>
      <c r="BU666" s="42"/>
      <c r="BV666" s="42"/>
      <c r="BW666" s="42"/>
      <c r="BX666" s="42"/>
      <c r="BY666" s="42"/>
      <c r="BZ666" s="42"/>
      <c r="CA666" s="42"/>
      <c r="CB666" s="42"/>
      <c r="CC666" s="42"/>
      <c r="CD666" s="42"/>
      <c r="CE666" s="42"/>
      <c r="CF666" s="42"/>
      <c r="CG666" s="42"/>
      <c r="CH666" s="42"/>
      <c r="CI666" s="42"/>
      <c r="CJ666" s="42"/>
      <c r="CK666" s="42"/>
      <c r="CL666" s="42"/>
      <c r="CM666" s="42"/>
      <c r="CN666" s="42"/>
      <c r="CO666" s="42"/>
      <c r="CQ666" s="42"/>
      <c r="CR666" s="42"/>
      <c r="CS666" s="42"/>
      <c r="CT666" s="42"/>
      <c r="CU666" s="42"/>
      <c r="CV666" s="42"/>
      <c r="CW666" s="42"/>
      <c r="CX666" s="42"/>
      <c r="CY666" s="42"/>
      <c r="CZ666" s="42"/>
      <c r="DA666" s="42"/>
      <c r="DB666" s="42"/>
      <c r="DC666" s="42"/>
      <c r="DD666" s="42"/>
      <c r="DE666" s="42"/>
      <c r="DF666" s="42"/>
      <c r="DG666" s="42"/>
      <c r="DH666" s="42"/>
      <c r="DI666" s="42"/>
      <c r="DJ666" s="42"/>
      <c r="DK666" s="42"/>
      <c r="DL666" s="42"/>
      <c r="DM666" s="42"/>
      <c r="DN666" s="42"/>
      <c r="DO666" s="42"/>
    </row>
    <row r="667" spans="2:119" x14ac:dyDescent="0.45">
      <c r="B667" s="99"/>
      <c r="C667" s="42"/>
      <c r="D667" s="42"/>
      <c r="E667" s="42"/>
      <c r="F667" s="42"/>
      <c r="G667" s="42"/>
      <c r="H667" s="42"/>
      <c r="I667" s="42"/>
      <c r="J667" s="42"/>
      <c r="K667" s="42"/>
      <c r="L667" s="42"/>
      <c r="M667" s="42"/>
      <c r="N667" s="42"/>
      <c r="O667" s="42"/>
      <c r="P667" s="42"/>
      <c r="Q667" s="42"/>
      <c r="R667" s="42"/>
      <c r="S667" s="42"/>
      <c r="T667" s="42"/>
      <c r="U667" s="42"/>
      <c r="V667" s="42"/>
      <c r="W667" s="42"/>
      <c r="X667" s="42"/>
      <c r="Y667" s="42"/>
      <c r="Z667" s="42"/>
      <c r="AA667" s="42"/>
      <c r="AB667" s="42"/>
      <c r="AC667" s="42"/>
      <c r="AD667" s="42"/>
      <c r="AE667" s="42"/>
      <c r="AF667" s="42"/>
      <c r="AG667" s="42"/>
      <c r="AH667" s="42"/>
      <c r="AI667" s="42"/>
      <c r="AJ667" s="42"/>
      <c r="AK667" s="42"/>
      <c r="AL667" s="42"/>
      <c r="AM667" s="42"/>
      <c r="AN667" s="42"/>
      <c r="AO667" s="42"/>
      <c r="AQ667" s="42"/>
      <c r="AR667" s="42"/>
      <c r="AS667" s="42"/>
      <c r="AT667" s="42"/>
      <c r="AU667" s="42"/>
      <c r="AV667" s="42"/>
      <c r="AW667" s="42"/>
      <c r="AX667" s="42"/>
      <c r="AY667" s="42"/>
      <c r="AZ667" s="42"/>
      <c r="BA667" s="42"/>
      <c r="BB667" s="42"/>
      <c r="BC667" s="42"/>
      <c r="BD667" s="42"/>
      <c r="BE667" s="42"/>
      <c r="BF667" s="42"/>
      <c r="BG667" s="42"/>
      <c r="BH667" s="42"/>
      <c r="BI667" s="42"/>
      <c r="BJ667" s="42"/>
      <c r="BK667" s="42"/>
      <c r="BL667" s="42"/>
      <c r="BM667" s="42"/>
      <c r="BN667" s="42"/>
      <c r="BO667" s="42"/>
      <c r="BQ667" s="42"/>
      <c r="BR667" s="42"/>
      <c r="BS667" s="42"/>
      <c r="BT667" s="42"/>
      <c r="BU667" s="42"/>
      <c r="BV667" s="42"/>
      <c r="BW667" s="42"/>
      <c r="BX667" s="42"/>
      <c r="BY667" s="42"/>
      <c r="BZ667" s="42"/>
      <c r="CA667" s="42"/>
      <c r="CB667" s="42"/>
      <c r="CC667" s="42"/>
      <c r="CD667" s="42"/>
      <c r="CE667" s="42"/>
      <c r="CF667" s="42"/>
      <c r="CG667" s="42"/>
      <c r="CH667" s="42"/>
      <c r="CI667" s="42"/>
      <c r="CJ667" s="42"/>
      <c r="CK667" s="42"/>
      <c r="CL667" s="42"/>
      <c r="CM667" s="42"/>
      <c r="CN667" s="42"/>
      <c r="CO667" s="42"/>
      <c r="CQ667" s="42"/>
      <c r="CR667" s="42"/>
      <c r="CS667" s="42"/>
      <c r="CT667" s="42"/>
      <c r="CU667" s="42"/>
      <c r="CV667" s="42"/>
      <c r="CW667" s="42"/>
      <c r="CX667" s="42"/>
      <c r="CY667" s="42"/>
      <c r="CZ667" s="42"/>
      <c r="DA667" s="42"/>
      <c r="DB667" s="42"/>
      <c r="DC667" s="42"/>
      <c r="DD667" s="42"/>
      <c r="DE667" s="42"/>
      <c r="DF667" s="42"/>
      <c r="DG667" s="42"/>
      <c r="DH667" s="42"/>
      <c r="DI667" s="42"/>
      <c r="DJ667" s="42"/>
      <c r="DK667" s="42"/>
      <c r="DL667" s="42"/>
      <c r="DM667" s="42"/>
      <c r="DN667" s="42"/>
      <c r="DO667" s="42"/>
    </row>
    <row r="668" spans="2:119" ht="18.75" customHeight="1" x14ac:dyDescent="0.55000000000000004">
      <c r="B668" s="99"/>
      <c r="C668" s="42"/>
      <c r="D668" s="112" t="s">
        <v>24</v>
      </c>
      <c r="E668" s="112"/>
      <c r="F668" s="45"/>
      <c r="G668" s="45"/>
      <c r="H668" s="45"/>
      <c r="I668" s="45"/>
      <c r="J668" s="45"/>
      <c r="K668" s="45"/>
      <c r="L668" s="45"/>
      <c r="M668" s="45"/>
      <c r="N668" s="45"/>
      <c r="O668" s="45"/>
      <c r="P668" s="42"/>
      <c r="Q668" s="112" t="s">
        <v>24</v>
      </c>
      <c r="R668" s="112"/>
      <c r="S668" s="45"/>
      <c r="T668" s="45"/>
      <c r="U668" s="45"/>
      <c r="V668" s="45"/>
      <c r="W668" s="45"/>
      <c r="X668" s="45"/>
      <c r="Y668" s="45"/>
      <c r="Z668" s="45"/>
      <c r="AA668" s="45"/>
      <c r="AB668" s="45"/>
      <c r="AC668" s="42"/>
      <c r="AD668" s="112" t="s">
        <v>24</v>
      </c>
      <c r="AE668" s="112"/>
      <c r="AF668" s="45"/>
      <c r="AG668" s="45"/>
      <c r="AH668" s="45"/>
      <c r="AI668" s="45"/>
      <c r="AJ668" s="45"/>
      <c r="AK668" s="45"/>
      <c r="AL668" s="45"/>
      <c r="AM668" s="45"/>
      <c r="AN668" s="45"/>
      <c r="AO668" s="45"/>
      <c r="AP668" s="6"/>
      <c r="AQ668" s="112" t="s">
        <v>24</v>
      </c>
      <c r="AR668" s="112"/>
      <c r="AS668" s="45"/>
      <c r="AT668" s="45"/>
      <c r="AU668" s="45"/>
      <c r="AV668" s="45"/>
      <c r="AW668" s="45"/>
      <c r="AX668" s="45"/>
      <c r="AY668" s="45"/>
      <c r="AZ668" s="45"/>
      <c r="BA668" s="45"/>
      <c r="BB668" s="45"/>
      <c r="BC668" s="42"/>
      <c r="BD668" s="112" t="s">
        <v>24</v>
      </c>
      <c r="BE668" s="112"/>
      <c r="BF668" s="45"/>
      <c r="BG668" s="45"/>
      <c r="BH668" s="45"/>
      <c r="BI668" s="45"/>
      <c r="BJ668" s="45"/>
      <c r="BK668" s="45"/>
      <c r="BL668" s="45"/>
      <c r="BM668" s="45"/>
      <c r="BN668" s="45"/>
      <c r="BO668" s="45"/>
      <c r="BQ668" s="112" t="s">
        <v>24</v>
      </c>
      <c r="BR668" s="112"/>
      <c r="BS668" s="45"/>
      <c r="BT668" s="45"/>
      <c r="BU668" s="45"/>
      <c r="BV668" s="45"/>
      <c r="BW668" s="45"/>
      <c r="BX668" s="45"/>
      <c r="BY668" s="45"/>
      <c r="BZ668" s="45"/>
      <c r="CA668" s="45"/>
      <c r="CB668" s="45"/>
      <c r="CC668" s="42"/>
      <c r="CD668" s="112" t="s">
        <v>24</v>
      </c>
      <c r="CE668" s="112"/>
      <c r="CF668" s="45"/>
      <c r="CG668" s="45"/>
      <c r="CH668" s="45"/>
      <c r="CI668" s="45"/>
      <c r="CJ668" s="45"/>
      <c r="CK668" s="45"/>
      <c r="CL668" s="45"/>
      <c r="CM668" s="45"/>
      <c r="CN668" s="45"/>
      <c r="CO668" s="45"/>
      <c r="CQ668" s="112" t="s">
        <v>24</v>
      </c>
      <c r="CR668" s="112"/>
      <c r="CS668" s="45"/>
      <c r="CT668" s="45"/>
      <c r="CU668" s="45"/>
      <c r="CV668" s="45"/>
      <c r="CW668" s="45"/>
      <c r="CX668" s="45"/>
      <c r="CY668" s="45"/>
      <c r="CZ668" s="45"/>
      <c r="DA668" s="45"/>
      <c r="DB668" s="45"/>
      <c r="DC668" s="42"/>
      <c r="DD668" s="112" t="s">
        <v>24</v>
      </c>
      <c r="DE668" s="112"/>
      <c r="DF668" s="45"/>
      <c r="DG668" s="45"/>
      <c r="DH668" s="45"/>
      <c r="DI668" s="45"/>
      <c r="DJ668" s="45"/>
      <c r="DK668" s="45"/>
      <c r="DL668" s="45"/>
      <c r="DM668" s="45"/>
      <c r="DN668" s="45"/>
      <c r="DO668" s="45"/>
    </row>
    <row r="669" spans="2:119" ht="28.9" customHeight="1" x14ac:dyDescent="0.45">
      <c r="B669" s="99"/>
      <c r="C669" s="42"/>
      <c r="D669" s="112"/>
      <c r="E669" s="112"/>
      <c r="F669" s="108" t="s">
        <v>12</v>
      </c>
      <c r="G669" s="108"/>
      <c r="H669" s="108"/>
      <c r="I669" s="108"/>
      <c r="J669" s="108"/>
      <c r="K669" s="108"/>
      <c r="L669" s="108"/>
      <c r="M669" s="108"/>
      <c r="N669" s="108"/>
      <c r="O669" s="108"/>
      <c r="P669" s="42"/>
      <c r="Q669" s="112"/>
      <c r="R669" s="112"/>
      <c r="S669" s="108" t="s">
        <v>12</v>
      </c>
      <c r="T669" s="108"/>
      <c r="U669" s="108"/>
      <c r="V669" s="108"/>
      <c r="W669" s="108"/>
      <c r="X669" s="108"/>
      <c r="Y669" s="108"/>
      <c r="Z669" s="108"/>
      <c r="AA669" s="108"/>
      <c r="AB669" s="108"/>
      <c r="AC669" s="42"/>
      <c r="AD669" s="112"/>
      <c r="AE669" s="112"/>
      <c r="AF669" s="108" t="s">
        <v>12</v>
      </c>
      <c r="AG669" s="108"/>
      <c r="AH669" s="108"/>
      <c r="AI669" s="108"/>
      <c r="AJ669" s="108"/>
      <c r="AK669" s="108"/>
      <c r="AL669" s="108"/>
      <c r="AM669" s="108"/>
      <c r="AN669" s="108"/>
      <c r="AO669" s="108"/>
      <c r="AP669" s="6"/>
      <c r="AQ669" s="112"/>
      <c r="AR669" s="112"/>
      <c r="AS669" s="108" t="s">
        <v>12</v>
      </c>
      <c r="AT669" s="108"/>
      <c r="AU669" s="108"/>
      <c r="AV669" s="108"/>
      <c r="AW669" s="108"/>
      <c r="AX669" s="108"/>
      <c r="AY669" s="108"/>
      <c r="AZ669" s="108"/>
      <c r="BA669" s="108"/>
      <c r="BB669" s="108"/>
      <c r="BC669" s="42"/>
      <c r="BD669" s="112"/>
      <c r="BE669" s="112"/>
      <c r="BF669" s="108" t="s">
        <v>12</v>
      </c>
      <c r="BG669" s="108"/>
      <c r="BH669" s="108"/>
      <c r="BI669" s="108"/>
      <c r="BJ669" s="108"/>
      <c r="BK669" s="108"/>
      <c r="BL669" s="108"/>
      <c r="BM669" s="108"/>
      <c r="BN669" s="108"/>
      <c r="BO669" s="108"/>
      <c r="BQ669" s="112"/>
      <c r="BR669" s="112"/>
      <c r="BS669" s="108" t="s">
        <v>12</v>
      </c>
      <c r="BT669" s="108"/>
      <c r="BU669" s="108"/>
      <c r="BV669" s="108"/>
      <c r="BW669" s="108"/>
      <c r="BX669" s="108"/>
      <c r="BY669" s="108"/>
      <c r="BZ669" s="108"/>
      <c r="CA669" s="108"/>
      <c r="CB669" s="108"/>
      <c r="CC669" s="42"/>
      <c r="CD669" s="112"/>
      <c r="CE669" s="112"/>
      <c r="CF669" s="108" t="s">
        <v>12</v>
      </c>
      <c r="CG669" s="108"/>
      <c r="CH669" s="108"/>
      <c r="CI669" s="108"/>
      <c r="CJ669" s="108"/>
      <c r="CK669" s="108"/>
      <c r="CL669" s="108"/>
      <c r="CM669" s="108"/>
      <c r="CN669" s="108"/>
      <c r="CO669" s="108"/>
      <c r="CQ669" s="112"/>
      <c r="CR669" s="112"/>
      <c r="CS669" s="108" t="s">
        <v>12</v>
      </c>
      <c r="CT669" s="108"/>
      <c r="CU669" s="108"/>
      <c r="CV669" s="108"/>
      <c r="CW669" s="108"/>
      <c r="CX669" s="108"/>
      <c r="CY669" s="108"/>
      <c r="CZ669" s="108"/>
      <c r="DA669" s="108"/>
      <c r="DB669" s="108"/>
      <c r="DC669" s="42"/>
      <c r="DD669" s="112"/>
      <c r="DE669" s="112"/>
      <c r="DF669" s="108" t="s">
        <v>12</v>
      </c>
      <c r="DG669" s="108"/>
      <c r="DH669" s="108"/>
      <c r="DI669" s="108"/>
      <c r="DJ669" s="108"/>
      <c r="DK669" s="108"/>
      <c r="DL669" s="108"/>
      <c r="DM669" s="108"/>
      <c r="DN669" s="108"/>
      <c r="DO669" s="108"/>
    </row>
    <row r="670" spans="2:119" ht="15" customHeight="1" x14ac:dyDescent="0.45">
      <c r="B670" s="99"/>
      <c r="C670" s="42"/>
      <c r="D670" s="113"/>
      <c r="E670" s="113"/>
      <c r="F670" s="9" t="s">
        <v>0</v>
      </c>
      <c r="G670" s="9">
        <v>1</v>
      </c>
      <c r="H670" s="9">
        <v>2</v>
      </c>
      <c r="I670" s="9">
        <v>3</v>
      </c>
      <c r="J670" s="9">
        <v>4</v>
      </c>
      <c r="K670" s="9">
        <v>5</v>
      </c>
      <c r="L670" s="9">
        <v>6</v>
      </c>
      <c r="M670" s="9">
        <v>7</v>
      </c>
      <c r="N670" s="9">
        <v>8</v>
      </c>
      <c r="O670" s="9">
        <v>9</v>
      </c>
      <c r="P670" s="42"/>
      <c r="Q670" s="113"/>
      <c r="R670" s="113"/>
      <c r="S670" s="9" t="s">
        <v>0</v>
      </c>
      <c r="T670" s="9">
        <v>1</v>
      </c>
      <c r="U670" s="9">
        <v>2</v>
      </c>
      <c r="V670" s="9">
        <v>3</v>
      </c>
      <c r="W670" s="9">
        <v>4</v>
      </c>
      <c r="X670" s="9">
        <v>5</v>
      </c>
      <c r="Y670" s="9">
        <v>6</v>
      </c>
      <c r="Z670" s="9">
        <v>7</v>
      </c>
      <c r="AA670" s="9">
        <v>8</v>
      </c>
      <c r="AB670" s="9">
        <v>9</v>
      </c>
      <c r="AC670" s="42"/>
      <c r="AD670" s="113"/>
      <c r="AE670" s="113"/>
      <c r="AF670" s="9" t="s">
        <v>0</v>
      </c>
      <c r="AG670" s="9">
        <v>1</v>
      </c>
      <c r="AH670" s="9">
        <v>2</v>
      </c>
      <c r="AI670" s="9">
        <v>3</v>
      </c>
      <c r="AJ670" s="9">
        <v>4</v>
      </c>
      <c r="AK670" s="9">
        <v>5</v>
      </c>
      <c r="AL670" s="9">
        <v>6</v>
      </c>
      <c r="AM670" s="9">
        <v>7</v>
      </c>
      <c r="AN670" s="9">
        <v>8</v>
      </c>
      <c r="AO670" s="9">
        <v>9</v>
      </c>
      <c r="AP670" s="6"/>
      <c r="AQ670" s="113"/>
      <c r="AR670" s="113"/>
      <c r="AS670" s="9" t="s">
        <v>0</v>
      </c>
      <c r="AT670" s="9">
        <v>1</v>
      </c>
      <c r="AU670" s="9">
        <v>2</v>
      </c>
      <c r="AV670" s="9">
        <v>3</v>
      </c>
      <c r="AW670" s="9">
        <v>4</v>
      </c>
      <c r="AX670" s="9">
        <v>5</v>
      </c>
      <c r="AY670" s="9">
        <v>6</v>
      </c>
      <c r="AZ670" s="9">
        <v>7</v>
      </c>
      <c r="BA670" s="9">
        <v>8</v>
      </c>
      <c r="BB670" s="9">
        <v>9</v>
      </c>
      <c r="BC670" s="42"/>
      <c r="BD670" s="113"/>
      <c r="BE670" s="113"/>
      <c r="BF670" s="9" t="s">
        <v>0</v>
      </c>
      <c r="BG670" s="9">
        <v>1</v>
      </c>
      <c r="BH670" s="9">
        <v>2</v>
      </c>
      <c r="BI670" s="9">
        <v>3</v>
      </c>
      <c r="BJ670" s="9">
        <v>4</v>
      </c>
      <c r="BK670" s="9">
        <v>5</v>
      </c>
      <c r="BL670" s="9">
        <v>6</v>
      </c>
      <c r="BM670" s="9">
        <v>7</v>
      </c>
      <c r="BN670" s="9">
        <v>8</v>
      </c>
      <c r="BO670" s="9">
        <v>9</v>
      </c>
      <c r="BQ670" s="113"/>
      <c r="BR670" s="113"/>
      <c r="BS670" s="9" t="s">
        <v>0</v>
      </c>
      <c r="BT670" s="9">
        <v>1</v>
      </c>
      <c r="BU670" s="9">
        <v>2</v>
      </c>
      <c r="BV670" s="9">
        <v>3</v>
      </c>
      <c r="BW670" s="9">
        <v>4</v>
      </c>
      <c r="BX670" s="9">
        <v>5</v>
      </c>
      <c r="BY670" s="9">
        <v>6</v>
      </c>
      <c r="BZ670" s="9">
        <v>7</v>
      </c>
      <c r="CA670" s="9">
        <v>8</v>
      </c>
      <c r="CB670" s="9">
        <v>9</v>
      </c>
      <c r="CC670" s="42"/>
      <c r="CD670" s="113"/>
      <c r="CE670" s="113"/>
      <c r="CF670" s="9" t="s">
        <v>0</v>
      </c>
      <c r="CG670" s="9">
        <v>1</v>
      </c>
      <c r="CH670" s="9">
        <v>2</v>
      </c>
      <c r="CI670" s="9">
        <v>3</v>
      </c>
      <c r="CJ670" s="9">
        <v>4</v>
      </c>
      <c r="CK670" s="9">
        <v>5</v>
      </c>
      <c r="CL670" s="9">
        <v>6</v>
      </c>
      <c r="CM670" s="9">
        <v>7</v>
      </c>
      <c r="CN670" s="9">
        <v>8</v>
      </c>
      <c r="CO670" s="9">
        <v>9</v>
      </c>
      <c r="CQ670" s="113"/>
      <c r="CR670" s="113"/>
      <c r="CS670" s="9" t="s">
        <v>0</v>
      </c>
      <c r="CT670" s="9">
        <v>1</v>
      </c>
      <c r="CU670" s="9">
        <v>2</v>
      </c>
      <c r="CV670" s="9">
        <v>3</v>
      </c>
      <c r="CW670" s="9">
        <v>4</v>
      </c>
      <c r="CX670" s="9">
        <v>5</v>
      </c>
      <c r="CY670" s="9">
        <v>6</v>
      </c>
      <c r="CZ670" s="9">
        <v>7</v>
      </c>
      <c r="DA670" s="9">
        <v>8</v>
      </c>
      <c r="DB670" s="9">
        <v>9</v>
      </c>
      <c r="DC670" s="42"/>
      <c r="DD670" s="113"/>
      <c r="DE670" s="113"/>
      <c r="DF670" s="9" t="s">
        <v>0</v>
      </c>
      <c r="DG670" s="9">
        <v>1</v>
      </c>
      <c r="DH670" s="9">
        <v>2</v>
      </c>
      <c r="DI670" s="9">
        <v>3</v>
      </c>
      <c r="DJ670" s="9">
        <v>4</v>
      </c>
      <c r="DK670" s="9">
        <v>5</v>
      </c>
      <c r="DL670" s="9">
        <v>6</v>
      </c>
      <c r="DM670" s="9">
        <v>7</v>
      </c>
      <c r="DN670" s="9">
        <v>8</v>
      </c>
      <c r="DO670" s="9">
        <v>9</v>
      </c>
    </row>
    <row r="671" spans="2:119" ht="16.25" customHeight="1" x14ac:dyDescent="0.45">
      <c r="B671" s="134" t="s">
        <v>125</v>
      </c>
      <c r="C671" s="42"/>
      <c r="D671" s="109" t="s">
        <v>13</v>
      </c>
      <c r="E671" s="46" t="s">
        <v>1</v>
      </c>
      <c r="F671" s="103">
        <v>0</v>
      </c>
      <c r="G671" s="103">
        <v>0</v>
      </c>
      <c r="H671" s="103">
        <v>0</v>
      </c>
      <c r="I671" s="103">
        <v>0</v>
      </c>
      <c r="J671" s="103">
        <v>1</v>
      </c>
      <c r="K671" s="103">
        <v>0</v>
      </c>
      <c r="L671" s="103">
        <v>0</v>
      </c>
      <c r="M671" s="103">
        <v>1</v>
      </c>
      <c r="N671" s="103">
        <v>1</v>
      </c>
      <c r="O671" s="17">
        <v>4</v>
      </c>
      <c r="P671" s="42"/>
      <c r="Q671" s="109" t="s">
        <v>13</v>
      </c>
      <c r="R671" s="46" t="s">
        <v>1</v>
      </c>
      <c r="S671" s="103">
        <v>0</v>
      </c>
      <c r="T671" s="103">
        <v>0</v>
      </c>
      <c r="U671" s="103">
        <v>0</v>
      </c>
      <c r="V671" s="103">
        <v>0</v>
      </c>
      <c r="W671" s="103">
        <v>0</v>
      </c>
      <c r="X671" s="103">
        <v>0</v>
      </c>
      <c r="Y671" s="103">
        <v>0</v>
      </c>
      <c r="Z671" s="103">
        <v>1</v>
      </c>
      <c r="AA671" s="103">
        <v>0</v>
      </c>
      <c r="AB671" s="17">
        <v>1</v>
      </c>
      <c r="AC671" s="42"/>
      <c r="AD671" s="109" t="s">
        <v>13</v>
      </c>
      <c r="AE671" s="46" t="s">
        <v>1</v>
      </c>
      <c r="AF671" s="103">
        <v>0</v>
      </c>
      <c r="AG671" s="103">
        <v>0</v>
      </c>
      <c r="AH671" s="103">
        <v>0</v>
      </c>
      <c r="AI671" s="103">
        <v>0</v>
      </c>
      <c r="AJ671" s="103">
        <v>1</v>
      </c>
      <c r="AK671" s="103">
        <v>0</v>
      </c>
      <c r="AL671" s="103">
        <v>0</v>
      </c>
      <c r="AM671" s="103">
        <v>0</v>
      </c>
      <c r="AN671" s="103">
        <v>1</v>
      </c>
      <c r="AO671" s="17">
        <v>3</v>
      </c>
      <c r="AP671" s="6"/>
      <c r="AQ671" s="109" t="s">
        <v>13</v>
      </c>
      <c r="AR671" s="46" t="s">
        <v>1</v>
      </c>
      <c r="AS671" s="103">
        <v>0</v>
      </c>
      <c r="AT671" s="103">
        <v>0</v>
      </c>
      <c r="AU671" s="103">
        <v>0</v>
      </c>
      <c r="AV671" s="103">
        <v>0</v>
      </c>
      <c r="AW671" s="103">
        <v>1</v>
      </c>
      <c r="AX671" s="103">
        <v>0</v>
      </c>
      <c r="AY671" s="103">
        <v>0</v>
      </c>
      <c r="AZ671" s="103">
        <v>0</v>
      </c>
      <c r="BA671" s="103">
        <v>0</v>
      </c>
      <c r="BB671" s="17">
        <v>1</v>
      </c>
      <c r="BC671" s="42"/>
      <c r="BD671" s="109" t="s">
        <v>13</v>
      </c>
      <c r="BE671" s="46" t="s">
        <v>1</v>
      </c>
      <c r="BF671" s="103">
        <v>0</v>
      </c>
      <c r="BG671" s="103">
        <v>0</v>
      </c>
      <c r="BH671" s="103">
        <v>0</v>
      </c>
      <c r="BI671" s="103">
        <v>0</v>
      </c>
      <c r="BJ671" s="103">
        <v>0</v>
      </c>
      <c r="BK671" s="103">
        <v>0</v>
      </c>
      <c r="BL671" s="103">
        <v>0</v>
      </c>
      <c r="BM671" s="103">
        <v>1</v>
      </c>
      <c r="BN671" s="103">
        <v>1</v>
      </c>
      <c r="BO671" s="17">
        <v>3</v>
      </c>
      <c r="BQ671" s="109" t="s">
        <v>13</v>
      </c>
      <c r="BR671" s="46" t="s">
        <v>1</v>
      </c>
      <c r="BS671" s="103">
        <v>0</v>
      </c>
      <c r="BT671" s="103">
        <v>0</v>
      </c>
      <c r="BU671" s="103">
        <v>0</v>
      </c>
      <c r="BV671" s="103">
        <v>0</v>
      </c>
      <c r="BW671" s="103">
        <v>1</v>
      </c>
      <c r="BX671" s="103">
        <v>0</v>
      </c>
      <c r="BY671" s="103">
        <v>0</v>
      </c>
      <c r="BZ671" s="103">
        <v>0</v>
      </c>
      <c r="CA671" s="103">
        <v>1</v>
      </c>
      <c r="CB671" s="17">
        <v>1</v>
      </c>
      <c r="CC671" s="42"/>
      <c r="CD671" s="109" t="s">
        <v>13</v>
      </c>
      <c r="CE671" s="46" t="s">
        <v>1</v>
      </c>
      <c r="CF671" s="103">
        <v>0</v>
      </c>
      <c r="CG671" s="103">
        <v>0</v>
      </c>
      <c r="CH671" s="103">
        <v>0</v>
      </c>
      <c r="CI671" s="103">
        <v>0</v>
      </c>
      <c r="CJ671" s="103">
        <v>0</v>
      </c>
      <c r="CK671" s="103">
        <v>0</v>
      </c>
      <c r="CL671" s="103">
        <v>0</v>
      </c>
      <c r="CM671" s="103">
        <v>1</v>
      </c>
      <c r="CN671" s="103">
        <v>0</v>
      </c>
      <c r="CO671" s="17">
        <v>3</v>
      </c>
      <c r="CQ671" s="109" t="s">
        <v>13</v>
      </c>
      <c r="CR671" s="46" t="s">
        <v>1</v>
      </c>
      <c r="CS671" s="103">
        <v>0</v>
      </c>
      <c r="CT671" s="103">
        <v>0</v>
      </c>
      <c r="CU671" s="103">
        <v>0</v>
      </c>
      <c r="CV671" s="103">
        <v>0</v>
      </c>
      <c r="CW671" s="103">
        <v>1</v>
      </c>
      <c r="CX671" s="103">
        <v>0</v>
      </c>
      <c r="CY671" s="103">
        <v>0</v>
      </c>
      <c r="CZ671" s="103">
        <v>1</v>
      </c>
      <c r="DA671" s="103">
        <v>1</v>
      </c>
      <c r="DB671" s="17">
        <v>4</v>
      </c>
      <c r="DC671" s="42"/>
      <c r="DD671" s="109" t="s">
        <v>13</v>
      </c>
      <c r="DE671" s="46" t="s">
        <v>1</v>
      </c>
      <c r="DF671" s="103">
        <v>0</v>
      </c>
      <c r="DG671" s="103">
        <v>0</v>
      </c>
      <c r="DH671" s="103">
        <v>0</v>
      </c>
      <c r="DI671" s="103">
        <v>0</v>
      </c>
      <c r="DJ671" s="103">
        <v>0</v>
      </c>
      <c r="DK671" s="103">
        <v>0</v>
      </c>
      <c r="DL671" s="103">
        <v>0</v>
      </c>
      <c r="DM671" s="103">
        <v>0</v>
      </c>
      <c r="DN671" s="103">
        <v>0</v>
      </c>
      <c r="DO671" s="17">
        <v>0</v>
      </c>
    </row>
    <row r="672" spans="2:119" ht="16.25" customHeight="1" x14ac:dyDescent="0.45">
      <c r="B672" s="134"/>
      <c r="C672" s="42"/>
      <c r="D672" s="110"/>
      <c r="E672" s="46">
        <v>1</v>
      </c>
      <c r="F672" s="103">
        <v>0</v>
      </c>
      <c r="G672" s="103">
        <v>0</v>
      </c>
      <c r="H672" s="103">
        <v>1</v>
      </c>
      <c r="I672" s="103">
        <v>3</v>
      </c>
      <c r="J672" s="103">
        <v>1</v>
      </c>
      <c r="K672" s="103">
        <v>2</v>
      </c>
      <c r="L672" s="103">
        <v>2</v>
      </c>
      <c r="M672" s="103">
        <v>4</v>
      </c>
      <c r="N672" s="103">
        <v>7</v>
      </c>
      <c r="O672" s="103">
        <v>11</v>
      </c>
      <c r="P672" s="42"/>
      <c r="Q672" s="110"/>
      <c r="R672" s="46">
        <v>1</v>
      </c>
      <c r="S672" s="103">
        <v>0</v>
      </c>
      <c r="T672" s="103">
        <v>0</v>
      </c>
      <c r="U672" s="103">
        <v>1</v>
      </c>
      <c r="V672" s="103">
        <v>2</v>
      </c>
      <c r="W672" s="103">
        <v>0</v>
      </c>
      <c r="X672" s="103">
        <v>0</v>
      </c>
      <c r="Y672" s="103">
        <v>1</v>
      </c>
      <c r="Z672" s="103">
        <v>4</v>
      </c>
      <c r="AA672" s="103">
        <v>5</v>
      </c>
      <c r="AB672" s="103">
        <v>7</v>
      </c>
      <c r="AC672" s="42"/>
      <c r="AD672" s="110"/>
      <c r="AE672" s="46">
        <v>1</v>
      </c>
      <c r="AF672" s="103">
        <v>0</v>
      </c>
      <c r="AG672" s="103">
        <v>0</v>
      </c>
      <c r="AH672" s="103">
        <v>0</v>
      </c>
      <c r="AI672" s="103">
        <v>1</v>
      </c>
      <c r="AJ672" s="103">
        <v>1</v>
      </c>
      <c r="AK672" s="103">
        <v>2</v>
      </c>
      <c r="AL672" s="103">
        <v>1</v>
      </c>
      <c r="AM672" s="103">
        <v>0</v>
      </c>
      <c r="AN672" s="103">
        <v>2</v>
      </c>
      <c r="AO672" s="103">
        <v>4</v>
      </c>
      <c r="AP672" s="6"/>
      <c r="AQ672" s="110"/>
      <c r="AR672" s="46">
        <v>1</v>
      </c>
      <c r="AS672" s="103">
        <v>0</v>
      </c>
      <c r="AT672" s="103">
        <v>0</v>
      </c>
      <c r="AU672" s="103">
        <v>1</v>
      </c>
      <c r="AV672" s="103">
        <v>2</v>
      </c>
      <c r="AW672" s="103">
        <v>0</v>
      </c>
      <c r="AX672" s="103">
        <v>1</v>
      </c>
      <c r="AY672" s="103">
        <v>1</v>
      </c>
      <c r="AZ672" s="103">
        <v>1</v>
      </c>
      <c r="BA672" s="103">
        <v>1</v>
      </c>
      <c r="BB672" s="103">
        <v>2</v>
      </c>
      <c r="BC672" s="42"/>
      <c r="BD672" s="110"/>
      <c r="BE672" s="46">
        <v>1</v>
      </c>
      <c r="BF672" s="103">
        <v>0</v>
      </c>
      <c r="BG672" s="103">
        <v>0</v>
      </c>
      <c r="BH672" s="103">
        <v>0</v>
      </c>
      <c r="BI672" s="103">
        <v>1</v>
      </c>
      <c r="BJ672" s="103">
        <v>1</v>
      </c>
      <c r="BK672" s="103">
        <v>1</v>
      </c>
      <c r="BL672" s="103">
        <v>1</v>
      </c>
      <c r="BM672" s="103">
        <v>3</v>
      </c>
      <c r="BN672" s="103">
        <v>6</v>
      </c>
      <c r="BO672" s="103">
        <v>9</v>
      </c>
      <c r="BQ672" s="110"/>
      <c r="BR672" s="46">
        <v>1</v>
      </c>
      <c r="BS672" s="103">
        <v>0</v>
      </c>
      <c r="BT672" s="103">
        <v>0</v>
      </c>
      <c r="BU672" s="103">
        <v>1</v>
      </c>
      <c r="BV672" s="103">
        <v>2</v>
      </c>
      <c r="BW672" s="103">
        <v>0</v>
      </c>
      <c r="BX672" s="103">
        <v>1</v>
      </c>
      <c r="BY672" s="103">
        <v>2</v>
      </c>
      <c r="BZ672" s="103">
        <v>1</v>
      </c>
      <c r="CA672" s="103">
        <v>0</v>
      </c>
      <c r="CB672" s="103">
        <v>0</v>
      </c>
      <c r="CC672" s="42"/>
      <c r="CD672" s="110"/>
      <c r="CE672" s="46">
        <v>1</v>
      </c>
      <c r="CF672" s="103">
        <v>0</v>
      </c>
      <c r="CG672" s="103">
        <v>0</v>
      </c>
      <c r="CH672" s="103">
        <v>0</v>
      </c>
      <c r="CI672" s="103">
        <v>1</v>
      </c>
      <c r="CJ672" s="103">
        <v>1</v>
      </c>
      <c r="CK672" s="103">
        <v>1</v>
      </c>
      <c r="CL672" s="103">
        <v>0</v>
      </c>
      <c r="CM672" s="103">
        <v>3</v>
      </c>
      <c r="CN672" s="103">
        <v>7</v>
      </c>
      <c r="CO672" s="103">
        <v>11</v>
      </c>
      <c r="CQ672" s="110"/>
      <c r="CR672" s="46">
        <v>1</v>
      </c>
      <c r="CS672" s="103">
        <v>0</v>
      </c>
      <c r="CT672" s="103">
        <v>0</v>
      </c>
      <c r="CU672" s="103">
        <v>1</v>
      </c>
      <c r="CV672" s="103">
        <v>3</v>
      </c>
      <c r="CW672" s="103">
        <v>1</v>
      </c>
      <c r="CX672" s="103">
        <v>2</v>
      </c>
      <c r="CY672" s="103">
        <v>1</v>
      </c>
      <c r="CZ672" s="103">
        <v>4</v>
      </c>
      <c r="DA672" s="103">
        <v>7</v>
      </c>
      <c r="DB672" s="103">
        <v>11</v>
      </c>
      <c r="DC672" s="42"/>
      <c r="DD672" s="110"/>
      <c r="DE672" s="46">
        <v>1</v>
      </c>
      <c r="DF672" s="103">
        <v>0</v>
      </c>
      <c r="DG672" s="103">
        <v>0</v>
      </c>
      <c r="DH672" s="103">
        <v>0</v>
      </c>
      <c r="DI672" s="103">
        <v>0</v>
      </c>
      <c r="DJ672" s="103">
        <v>0</v>
      </c>
      <c r="DK672" s="103">
        <v>0</v>
      </c>
      <c r="DL672" s="103">
        <v>1</v>
      </c>
      <c r="DM672" s="103">
        <v>0</v>
      </c>
      <c r="DN672" s="103">
        <v>0</v>
      </c>
      <c r="DO672" s="103">
        <v>0</v>
      </c>
    </row>
    <row r="673" spans="2:119" ht="16.25" customHeight="1" x14ac:dyDescent="0.45">
      <c r="B673" s="134"/>
      <c r="C673" s="42"/>
      <c r="D673" s="110"/>
      <c r="E673" s="46" t="s">
        <v>2</v>
      </c>
      <c r="F673" s="103">
        <v>11</v>
      </c>
      <c r="G673" s="103">
        <v>7</v>
      </c>
      <c r="H673" s="103">
        <v>33</v>
      </c>
      <c r="I673" s="103">
        <v>30</v>
      </c>
      <c r="J673" s="103">
        <v>18</v>
      </c>
      <c r="K673" s="103">
        <v>47</v>
      </c>
      <c r="L673" s="103">
        <v>25</v>
      </c>
      <c r="M673" s="103">
        <v>41</v>
      </c>
      <c r="N673" s="103">
        <v>56</v>
      </c>
      <c r="O673" s="103">
        <v>68</v>
      </c>
      <c r="P673" s="42"/>
      <c r="Q673" s="110"/>
      <c r="R673" s="46" t="s">
        <v>2</v>
      </c>
      <c r="S673" s="103">
        <v>5</v>
      </c>
      <c r="T673" s="103">
        <v>2</v>
      </c>
      <c r="U673" s="103">
        <v>14</v>
      </c>
      <c r="V673" s="103">
        <v>15</v>
      </c>
      <c r="W673" s="103">
        <v>9</v>
      </c>
      <c r="X673" s="103">
        <v>23</v>
      </c>
      <c r="Y673" s="103">
        <v>15</v>
      </c>
      <c r="Z673" s="103">
        <v>19</v>
      </c>
      <c r="AA673" s="103">
        <v>24</v>
      </c>
      <c r="AB673" s="103">
        <v>42</v>
      </c>
      <c r="AC673" s="42"/>
      <c r="AD673" s="110"/>
      <c r="AE673" s="46" t="s">
        <v>2</v>
      </c>
      <c r="AF673" s="103">
        <v>6</v>
      </c>
      <c r="AG673" s="103">
        <v>5</v>
      </c>
      <c r="AH673" s="103">
        <v>19</v>
      </c>
      <c r="AI673" s="103">
        <v>15</v>
      </c>
      <c r="AJ673" s="103">
        <v>9</v>
      </c>
      <c r="AK673" s="103">
        <v>24</v>
      </c>
      <c r="AL673" s="103">
        <v>10</v>
      </c>
      <c r="AM673" s="103">
        <v>22</v>
      </c>
      <c r="AN673" s="103">
        <v>32</v>
      </c>
      <c r="AO673" s="103">
        <v>26</v>
      </c>
      <c r="AP673" s="6"/>
      <c r="AQ673" s="110"/>
      <c r="AR673" s="46" t="s">
        <v>2</v>
      </c>
      <c r="AS673" s="103">
        <v>3</v>
      </c>
      <c r="AT673" s="103">
        <v>3</v>
      </c>
      <c r="AU673" s="103">
        <v>15</v>
      </c>
      <c r="AV673" s="103">
        <v>17</v>
      </c>
      <c r="AW673" s="103">
        <v>6</v>
      </c>
      <c r="AX673" s="103">
        <v>15</v>
      </c>
      <c r="AY673" s="103">
        <v>12</v>
      </c>
      <c r="AZ673" s="103">
        <v>15</v>
      </c>
      <c r="BA673" s="103">
        <v>14</v>
      </c>
      <c r="BB673" s="103">
        <v>16</v>
      </c>
      <c r="BC673" s="42"/>
      <c r="BD673" s="110"/>
      <c r="BE673" s="46" t="s">
        <v>2</v>
      </c>
      <c r="BF673" s="103">
        <v>8</v>
      </c>
      <c r="BG673" s="103">
        <v>4</v>
      </c>
      <c r="BH673" s="103">
        <v>18</v>
      </c>
      <c r="BI673" s="103">
        <v>13</v>
      </c>
      <c r="BJ673" s="103">
        <v>12</v>
      </c>
      <c r="BK673" s="103">
        <v>32</v>
      </c>
      <c r="BL673" s="103">
        <v>13</v>
      </c>
      <c r="BM673" s="103">
        <v>26</v>
      </c>
      <c r="BN673" s="103">
        <v>42</v>
      </c>
      <c r="BO673" s="103">
        <v>52</v>
      </c>
      <c r="BQ673" s="110"/>
      <c r="BR673" s="46" t="s">
        <v>2</v>
      </c>
      <c r="BS673" s="103">
        <v>3</v>
      </c>
      <c r="BT673" s="103">
        <v>4</v>
      </c>
      <c r="BU673" s="103">
        <v>18</v>
      </c>
      <c r="BV673" s="103">
        <v>19</v>
      </c>
      <c r="BW673" s="103">
        <v>10</v>
      </c>
      <c r="BX673" s="103">
        <v>20</v>
      </c>
      <c r="BY673" s="103">
        <v>8</v>
      </c>
      <c r="BZ673" s="103">
        <v>11</v>
      </c>
      <c r="CA673" s="103">
        <v>14</v>
      </c>
      <c r="CB673" s="103">
        <v>11</v>
      </c>
      <c r="CC673" s="42"/>
      <c r="CD673" s="110"/>
      <c r="CE673" s="46" t="s">
        <v>2</v>
      </c>
      <c r="CF673" s="103">
        <v>8</v>
      </c>
      <c r="CG673" s="103">
        <v>3</v>
      </c>
      <c r="CH673" s="103">
        <v>15</v>
      </c>
      <c r="CI673" s="103">
        <v>11</v>
      </c>
      <c r="CJ673" s="103">
        <v>8</v>
      </c>
      <c r="CK673" s="103">
        <v>27</v>
      </c>
      <c r="CL673" s="103">
        <v>17</v>
      </c>
      <c r="CM673" s="103">
        <v>30</v>
      </c>
      <c r="CN673" s="103">
        <v>42</v>
      </c>
      <c r="CO673" s="103">
        <v>57</v>
      </c>
      <c r="CQ673" s="110"/>
      <c r="CR673" s="46" t="s">
        <v>2</v>
      </c>
      <c r="CS673" s="103">
        <v>11</v>
      </c>
      <c r="CT673" s="103">
        <v>4</v>
      </c>
      <c r="CU673" s="103">
        <v>24</v>
      </c>
      <c r="CV673" s="103">
        <v>28</v>
      </c>
      <c r="CW673" s="103">
        <v>17</v>
      </c>
      <c r="CX673" s="103">
        <v>44</v>
      </c>
      <c r="CY673" s="103">
        <v>22</v>
      </c>
      <c r="CZ673" s="103">
        <v>41</v>
      </c>
      <c r="DA673" s="103">
        <v>53</v>
      </c>
      <c r="DB673" s="103">
        <v>68</v>
      </c>
      <c r="DC673" s="42"/>
      <c r="DD673" s="110"/>
      <c r="DE673" s="46" t="s">
        <v>2</v>
      </c>
      <c r="DF673" s="103">
        <v>0</v>
      </c>
      <c r="DG673" s="103">
        <v>3</v>
      </c>
      <c r="DH673" s="103">
        <v>9</v>
      </c>
      <c r="DI673" s="103">
        <v>2</v>
      </c>
      <c r="DJ673" s="103">
        <v>1</v>
      </c>
      <c r="DK673" s="103">
        <v>3</v>
      </c>
      <c r="DL673" s="103">
        <v>3</v>
      </c>
      <c r="DM673" s="103">
        <v>0</v>
      </c>
      <c r="DN673" s="103">
        <v>3</v>
      </c>
      <c r="DO673" s="103">
        <v>0</v>
      </c>
    </row>
    <row r="674" spans="2:119" ht="16.25" customHeight="1" x14ac:dyDescent="0.45">
      <c r="B674" s="134"/>
      <c r="C674" s="42"/>
      <c r="D674" s="110"/>
      <c r="E674" s="46" t="s">
        <v>3</v>
      </c>
      <c r="F674" s="103">
        <v>14</v>
      </c>
      <c r="G674" s="103">
        <v>6</v>
      </c>
      <c r="H674" s="103">
        <v>14</v>
      </c>
      <c r="I674" s="103">
        <v>18</v>
      </c>
      <c r="J674" s="103">
        <v>16</v>
      </c>
      <c r="K674" s="103">
        <v>23</v>
      </c>
      <c r="L674" s="103">
        <v>14</v>
      </c>
      <c r="M674" s="103">
        <v>22</v>
      </c>
      <c r="N674" s="103">
        <v>32</v>
      </c>
      <c r="O674" s="103">
        <v>25</v>
      </c>
      <c r="P674" s="42"/>
      <c r="Q674" s="110"/>
      <c r="R674" s="46" t="s">
        <v>3</v>
      </c>
      <c r="S674" s="103">
        <v>7</v>
      </c>
      <c r="T674" s="103">
        <v>3</v>
      </c>
      <c r="U674" s="103">
        <v>5</v>
      </c>
      <c r="V674" s="103">
        <v>10</v>
      </c>
      <c r="W674" s="103">
        <v>12</v>
      </c>
      <c r="X674" s="103">
        <v>13</v>
      </c>
      <c r="Y674" s="103">
        <v>6</v>
      </c>
      <c r="Z674" s="103">
        <v>13</v>
      </c>
      <c r="AA674" s="103">
        <v>16</v>
      </c>
      <c r="AB674" s="103">
        <v>13</v>
      </c>
      <c r="AC674" s="42"/>
      <c r="AD674" s="110"/>
      <c r="AE674" s="46" t="s">
        <v>3</v>
      </c>
      <c r="AF674" s="103">
        <v>7</v>
      </c>
      <c r="AG674" s="103">
        <v>3</v>
      </c>
      <c r="AH674" s="103">
        <v>9</v>
      </c>
      <c r="AI674" s="103">
        <v>8</v>
      </c>
      <c r="AJ674" s="103">
        <v>4</v>
      </c>
      <c r="AK674" s="103">
        <v>10</v>
      </c>
      <c r="AL674" s="103">
        <v>8</v>
      </c>
      <c r="AM674" s="103">
        <v>9</v>
      </c>
      <c r="AN674" s="103">
        <v>16</v>
      </c>
      <c r="AO674" s="103">
        <v>12</v>
      </c>
      <c r="AP674" s="6"/>
      <c r="AQ674" s="110"/>
      <c r="AR674" s="46" t="s">
        <v>3</v>
      </c>
      <c r="AS674" s="103">
        <v>6</v>
      </c>
      <c r="AT674" s="103">
        <v>2</v>
      </c>
      <c r="AU674" s="103">
        <v>7</v>
      </c>
      <c r="AV674" s="103">
        <v>7</v>
      </c>
      <c r="AW674" s="103">
        <v>7</v>
      </c>
      <c r="AX674" s="103">
        <v>6</v>
      </c>
      <c r="AY674" s="103">
        <v>4</v>
      </c>
      <c r="AZ674" s="103">
        <v>5</v>
      </c>
      <c r="BA674" s="103">
        <v>5</v>
      </c>
      <c r="BB674" s="103">
        <v>7</v>
      </c>
      <c r="BC674" s="42"/>
      <c r="BD674" s="110"/>
      <c r="BE674" s="46" t="s">
        <v>3</v>
      </c>
      <c r="BF674" s="103">
        <v>8</v>
      </c>
      <c r="BG674" s="103">
        <v>4</v>
      </c>
      <c r="BH674" s="103">
        <v>7</v>
      </c>
      <c r="BI674" s="103">
        <v>11</v>
      </c>
      <c r="BJ674" s="103">
        <v>9</v>
      </c>
      <c r="BK674" s="103">
        <v>17</v>
      </c>
      <c r="BL674" s="103">
        <v>10</v>
      </c>
      <c r="BM674" s="103">
        <v>17</v>
      </c>
      <c r="BN674" s="103">
        <v>27</v>
      </c>
      <c r="BO674" s="103">
        <v>18</v>
      </c>
      <c r="BQ674" s="110"/>
      <c r="BR674" s="46" t="s">
        <v>3</v>
      </c>
      <c r="BS674" s="103">
        <v>6</v>
      </c>
      <c r="BT674" s="103">
        <v>5</v>
      </c>
      <c r="BU674" s="103">
        <v>5</v>
      </c>
      <c r="BV674" s="103">
        <v>6</v>
      </c>
      <c r="BW674" s="103">
        <v>7</v>
      </c>
      <c r="BX674" s="103">
        <v>6</v>
      </c>
      <c r="BY674" s="103">
        <v>3</v>
      </c>
      <c r="BZ674" s="103">
        <v>5</v>
      </c>
      <c r="CA674" s="103">
        <v>4</v>
      </c>
      <c r="CB674" s="103">
        <v>4</v>
      </c>
      <c r="CC674" s="42"/>
      <c r="CD674" s="110"/>
      <c r="CE674" s="46" t="s">
        <v>3</v>
      </c>
      <c r="CF674" s="103">
        <v>8</v>
      </c>
      <c r="CG674" s="103">
        <v>1</v>
      </c>
      <c r="CH674" s="103">
        <v>9</v>
      </c>
      <c r="CI674" s="103">
        <v>12</v>
      </c>
      <c r="CJ674" s="103">
        <v>9</v>
      </c>
      <c r="CK674" s="103">
        <v>17</v>
      </c>
      <c r="CL674" s="103">
        <v>11</v>
      </c>
      <c r="CM674" s="103">
        <v>17</v>
      </c>
      <c r="CN674" s="103">
        <v>28</v>
      </c>
      <c r="CO674" s="103">
        <v>21</v>
      </c>
      <c r="CQ674" s="110"/>
      <c r="CR674" s="46" t="s">
        <v>3</v>
      </c>
      <c r="CS674" s="103">
        <v>13</v>
      </c>
      <c r="CT674" s="103">
        <v>6</v>
      </c>
      <c r="CU674" s="103">
        <v>8</v>
      </c>
      <c r="CV674" s="103">
        <v>16</v>
      </c>
      <c r="CW674" s="103">
        <v>14</v>
      </c>
      <c r="CX674" s="103">
        <v>18</v>
      </c>
      <c r="CY674" s="103">
        <v>14</v>
      </c>
      <c r="CZ674" s="103">
        <v>20</v>
      </c>
      <c r="DA674" s="103">
        <v>32</v>
      </c>
      <c r="DB674" s="103">
        <v>25</v>
      </c>
      <c r="DC674" s="42"/>
      <c r="DD674" s="110"/>
      <c r="DE674" s="46" t="s">
        <v>3</v>
      </c>
      <c r="DF674" s="103">
        <v>1</v>
      </c>
      <c r="DG674" s="103">
        <v>0</v>
      </c>
      <c r="DH674" s="103">
        <v>6</v>
      </c>
      <c r="DI674" s="103">
        <v>2</v>
      </c>
      <c r="DJ674" s="103">
        <v>2</v>
      </c>
      <c r="DK674" s="103">
        <v>5</v>
      </c>
      <c r="DL674" s="103">
        <v>0</v>
      </c>
      <c r="DM674" s="103">
        <v>2</v>
      </c>
      <c r="DN674" s="103">
        <v>0</v>
      </c>
      <c r="DO674" s="103">
        <v>0</v>
      </c>
    </row>
    <row r="675" spans="2:119" ht="16.25" customHeight="1" x14ac:dyDescent="0.45">
      <c r="B675" s="134"/>
      <c r="C675" s="42"/>
      <c r="D675" s="110"/>
      <c r="E675" s="46" t="s">
        <v>4</v>
      </c>
      <c r="F675" s="103">
        <v>13</v>
      </c>
      <c r="G675" s="103">
        <v>4</v>
      </c>
      <c r="H675" s="103">
        <v>32</v>
      </c>
      <c r="I675" s="103">
        <v>43</v>
      </c>
      <c r="J675" s="103">
        <v>17</v>
      </c>
      <c r="K675" s="103">
        <v>41</v>
      </c>
      <c r="L675" s="103">
        <v>16</v>
      </c>
      <c r="M675" s="103">
        <v>37</v>
      </c>
      <c r="N675" s="103">
        <v>49</v>
      </c>
      <c r="O675" s="103">
        <v>47</v>
      </c>
      <c r="P675" s="42"/>
      <c r="Q675" s="110"/>
      <c r="R675" s="46" t="s">
        <v>4</v>
      </c>
      <c r="S675" s="103">
        <v>5</v>
      </c>
      <c r="T675" s="103">
        <v>2</v>
      </c>
      <c r="U675" s="103">
        <v>16</v>
      </c>
      <c r="V675" s="103">
        <v>24</v>
      </c>
      <c r="W675" s="103">
        <v>7</v>
      </c>
      <c r="X675" s="103">
        <v>22</v>
      </c>
      <c r="Y675" s="103">
        <v>10</v>
      </c>
      <c r="Z675" s="103">
        <v>21</v>
      </c>
      <c r="AA675" s="103">
        <v>27</v>
      </c>
      <c r="AB675" s="103">
        <v>29</v>
      </c>
      <c r="AC675" s="42"/>
      <c r="AD675" s="110"/>
      <c r="AE675" s="46" t="s">
        <v>4</v>
      </c>
      <c r="AF675" s="103">
        <v>8</v>
      </c>
      <c r="AG675" s="103">
        <v>2</v>
      </c>
      <c r="AH675" s="103">
        <v>16</v>
      </c>
      <c r="AI675" s="103">
        <v>19</v>
      </c>
      <c r="AJ675" s="103">
        <v>10</v>
      </c>
      <c r="AK675" s="103">
        <v>19</v>
      </c>
      <c r="AL675" s="103">
        <v>6</v>
      </c>
      <c r="AM675" s="103">
        <v>16</v>
      </c>
      <c r="AN675" s="103">
        <v>22</v>
      </c>
      <c r="AO675" s="103">
        <v>18</v>
      </c>
      <c r="AP675" s="6"/>
      <c r="AQ675" s="110"/>
      <c r="AR675" s="46" t="s">
        <v>4</v>
      </c>
      <c r="AS675" s="103">
        <v>4</v>
      </c>
      <c r="AT675" s="103">
        <v>0</v>
      </c>
      <c r="AU675" s="103">
        <v>20</v>
      </c>
      <c r="AV675" s="103">
        <v>23</v>
      </c>
      <c r="AW675" s="103">
        <v>7</v>
      </c>
      <c r="AX675" s="103">
        <v>18</v>
      </c>
      <c r="AY675" s="103">
        <v>6</v>
      </c>
      <c r="AZ675" s="103">
        <v>8</v>
      </c>
      <c r="BA675" s="103">
        <v>14</v>
      </c>
      <c r="BB675" s="103">
        <v>10</v>
      </c>
      <c r="BC675" s="42"/>
      <c r="BD675" s="110"/>
      <c r="BE675" s="46" t="s">
        <v>4</v>
      </c>
      <c r="BF675" s="103">
        <v>9</v>
      </c>
      <c r="BG675" s="103">
        <v>4</v>
      </c>
      <c r="BH675" s="103">
        <v>12</v>
      </c>
      <c r="BI675" s="103">
        <v>20</v>
      </c>
      <c r="BJ675" s="103">
        <v>10</v>
      </c>
      <c r="BK675" s="103">
        <v>23</v>
      </c>
      <c r="BL675" s="103">
        <v>10</v>
      </c>
      <c r="BM675" s="103">
        <v>29</v>
      </c>
      <c r="BN675" s="103">
        <v>35</v>
      </c>
      <c r="BO675" s="103">
        <v>37</v>
      </c>
      <c r="BQ675" s="110"/>
      <c r="BR675" s="46" t="s">
        <v>4</v>
      </c>
      <c r="BS675" s="103">
        <v>3</v>
      </c>
      <c r="BT675" s="103">
        <v>2</v>
      </c>
      <c r="BU675" s="103">
        <v>8</v>
      </c>
      <c r="BV675" s="103">
        <v>9</v>
      </c>
      <c r="BW675" s="103">
        <v>4</v>
      </c>
      <c r="BX675" s="103">
        <v>15</v>
      </c>
      <c r="BY675" s="103">
        <v>4</v>
      </c>
      <c r="BZ675" s="103">
        <v>8</v>
      </c>
      <c r="CA675" s="103">
        <v>3</v>
      </c>
      <c r="CB675" s="103">
        <v>5</v>
      </c>
      <c r="CC675" s="42"/>
      <c r="CD675" s="110"/>
      <c r="CE675" s="46" t="s">
        <v>4</v>
      </c>
      <c r="CF675" s="103">
        <v>10</v>
      </c>
      <c r="CG675" s="103">
        <v>2</v>
      </c>
      <c r="CH675" s="103">
        <v>24</v>
      </c>
      <c r="CI675" s="103">
        <v>34</v>
      </c>
      <c r="CJ675" s="103">
        <v>13</v>
      </c>
      <c r="CK675" s="103">
        <v>26</v>
      </c>
      <c r="CL675" s="103">
        <v>12</v>
      </c>
      <c r="CM675" s="103">
        <v>29</v>
      </c>
      <c r="CN675" s="103">
        <v>46</v>
      </c>
      <c r="CO675" s="103">
        <v>42</v>
      </c>
      <c r="CQ675" s="110"/>
      <c r="CR675" s="46" t="s">
        <v>4</v>
      </c>
      <c r="CS675" s="103">
        <v>11</v>
      </c>
      <c r="CT675" s="103">
        <v>1</v>
      </c>
      <c r="CU675" s="103">
        <v>20</v>
      </c>
      <c r="CV675" s="103">
        <v>38</v>
      </c>
      <c r="CW675" s="103">
        <v>16</v>
      </c>
      <c r="CX675" s="103">
        <v>37</v>
      </c>
      <c r="CY675" s="103">
        <v>16</v>
      </c>
      <c r="CZ675" s="103">
        <v>35</v>
      </c>
      <c r="DA675" s="103">
        <v>48</v>
      </c>
      <c r="DB675" s="103">
        <v>47</v>
      </c>
      <c r="DC675" s="42"/>
      <c r="DD675" s="110"/>
      <c r="DE675" s="46" t="s">
        <v>4</v>
      </c>
      <c r="DF675" s="103">
        <v>2</v>
      </c>
      <c r="DG675" s="103">
        <v>3</v>
      </c>
      <c r="DH675" s="103">
        <v>12</v>
      </c>
      <c r="DI675" s="103">
        <v>5</v>
      </c>
      <c r="DJ675" s="103">
        <v>1</v>
      </c>
      <c r="DK675" s="103">
        <v>4</v>
      </c>
      <c r="DL675" s="103">
        <v>0</v>
      </c>
      <c r="DM675" s="103">
        <v>2</v>
      </c>
      <c r="DN675" s="103">
        <v>1</v>
      </c>
      <c r="DO675" s="103">
        <v>0</v>
      </c>
    </row>
    <row r="676" spans="2:119" ht="16.25" customHeight="1" x14ac:dyDescent="0.45">
      <c r="B676" s="134"/>
      <c r="C676" s="42"/>
      <c r="D676" s="110"/>
      <c r="E676" s="46" t="s">
        <v>5</v>
      </c>
      <c r="F676" s="103">
        <v>16</v>
      </c>
      <c r="G676" s="103">
        <v>12</v>
      </c>
      <c r="H676" s="103">
        <v>30</v>
      </c>
      <c r="I676" s="103">
        <v>52</v>
      </c>
      <c r="J676" s="103">
        <v>24</v>
      </c>
      <c r="K676" s="103">
        <v>60</v>
      </c>
      <c r="L676" s="103">
        <v>31</v>
      </c>
      <c r="M676" s="103">
        <v>38</v>
      </c>
      <c r="N676" s="103">
        <v>54</v>
      </c>
      <c r="O676" s="103">
        <v>48</v>
      </c>
      <c r="P676" s="42"/>
      <c r="Q676" s="110"/>
      <c r="R676" s="46" t="s">
        <v>5</v>
      </c>
      <c r="S676" s="103">
        <v>9</v>
      </c>
      <c r="T676" s="103">
        <v>4</v>
      </c>
      <c r="U676" s="103">
        <v>13</v>
      </c>
      <c r="V676" s="103">
        <v>27</v>
      </c>
      <c r="W676" s="103">
        <v>15</v>
      </c>
      <c r="X676" s="103">
        <v>34</v>
      </c>
      <c r="Y676" s="103">
        <v>24</v>
      </c>
      <c r="Z676" s="103">
        <v>21</v>
      </c>
      <c r="AA676" s="103">
        <v>27</v>
      </c>
      <c r="AB676" s="103">
        <v>34</v>
      </c>
      <c r="AC676" s="42"/>
      <c r="AD676" s="110"/>
      <c r="AE676" s="46" t="s">
        <v>5</v>
      </c>
      <c r="AF676" s="103">
        <v>7</v>
      </c>
      <c r="AG676" s="103">
        <v>8</v>
      </c>
      <c r="AH676" s="103">
        <v>17</v>
      </c>
      <c r="AI676" s="103">
        <v>25</v>
      </c>
      <c r="AJ676" s="103">
        <v>9</v>
      </c>
      <c r="AK676" s="103">
        <v>26</v>
      </c>
      <c r="AL676" s="103">
        <v>7</v>
      </c>
      <c r="AM676" s="103">
        <v>17</v>
      </c>
      <c r="AN676" s="103">
        <v>27</v>
      </c>
      <c r="AO676" s="103">
        <v>14</v>
      </c>
      <c r="AP676" s="6"/>
      <c r="AQ676" s="110"/>
      <c r="AR676" s="46" t="s">
        <v>5</v>
      </c>
      <c r="AS676" s="103">
        <v>7</v>
      </c>
      <c r="AT676" s="103">
        <v>4</v>
      </c>
      <c r="AU676" s="103">
        <v>14</v>
      </c>
      <c r="AV676" s="103">
        <v>28</v>
      </c>
      <c r="AW676" s="103">
        <v>8</v>
      </c>
      <c r="AX676" s="103">
        <v>20</v>
      </c>
      <c r="AY676" s="103">
        <v>12</v>
      </c>
      <c r="AZ676" s="103">
        <v>11</v>
      </c>
      <c r="BA676" s="103">
        <v>10</v>
      </c>
      <c r="BB676" s="103">
        <v>11</v>
      </c>
      <c r="BC676" s="42"/>
      <c r="BD676" s="110"/>
      <c r="BE676" s="46" t="s">
        <v>5</v>
      </c>
      <c r="BF676" s="103">
        <v>9</v>
      </c>
      <c r="BG676" s="103">
        <v>8</v>
      </c>
      <c r="BH676" s="103">
        <v>16</v>
      </c>
      <c r="BI676" s="103">
        <v>24</v>
      </c>
      <c r="BJ676" s="103">
        <v>16</v>
      </c>
      <c r="BK676" s="103">
        <v>40</v>
      </c>
      <c r="BL676" s="103">
        <v>19</v>
      </c>
      <c r="BM676" s="103">
        <v>27</v>
      </c>
      <c r="BN676" s="103">
        <v>44</v>
      </c>
      <c r="BO676" s="103">
        <v>37</v>
      </c>
      <c r="BQ676" s="110"/>
      <c r="BR676" s="46" t="s">
        <v>5</v>
      </c>
      <c r="BS676" s="103">
        <v>5</v>
      </c>
      <c r="BT676" s="103">
        <v>2</v>
      </c>
      <c r="BU676" s="103">
        <v>8</v>
      </c>
      <c r="BV676" s="103">
        <v>11</v>
      </c>
      <c r="BW676" s="103">
        <v>6</v>
      </c>
      <c r="BX676" s="103">
        <v>7</v>
      </c>
      <c r="BY676" s="103">
        <v>9</v>
      </c>
      <c r="BZ676" s="103">
        <v>5</v>
      </c>
      <c r="CA676" s="103">
        <v>8</v>
      </c>
      <c r="CB676" s="103">
        <v>2</v>
      </c>
      <c r="CC676" s="42"/>
      <c r="CD676" s="110"/>
      <c r="CE676" s="46" t="s">
        <v>5</v>
      </c>
      <c r="CF676" s="103">
        <v>11</v>
      </c>
      <c r="CG676" s="103">
        <v>10</v>
      </c>
      <c r="CH676" s="103">
        <v>22</v>
      </c>
      <c r="CI676" s="103">
        <v>41</v>
      </c>
      <c r="CJ676" s="103">
        <v>18</v>
      </c>
      <c r="CK676" s="103">
        <v>53</v>
      </c>
      <c r="CL676" s="103">
        <v>22</v>
      </c>
      <c r="CM676" s="103">
        <v>33</v>
      </c>
      <c r="CN676" s="103">
        <v>46</v>
      </c>
      <c r="CO676" s="103">
        <v>46</v>
      </c>
      <c r="CQ676" s="110"/>
      <c r="CR676" s="46" t="s">
        <v>5</v>
      </c>
      <c r="CS676" s="103">
        <v>14</v>
      </c>
      <c r="CT676" s="103">
        <v>4</v>
      </c>
      <c r="CU676" s="103">
        <v>18</v>
      </c>
      <c r="CV676" s="103">
        <v>33</v>
      </c>
      <c r="CW676" s="103">
        <v>18</v>
      </c>
      <c r="CX676" s="103">
        <v>48</v>
      </c>
      <c r="CY676" s="103">
        <v>27</v>
      </c>
      <c r="CZ676" s="103">
        <v>34</v>
      </c>
      <c r="DA676" s="103">
        <v>52</v>
      </c>
      <c r="DB676" s="103">
        <v>47</v>
      </c>
      <c r="DC676" s="42"/>
      <c r="DD676" s="110"/>
      <c r="DE676" s="46" t="s">
        <v>5</v>
      </c>
      <c r="DF676" s="103">
        <v>2</v>
      </c>
      <c r="DG676" s="103">
        <v>8</v>
      </c>
      <c r="DH676" s="103">
        <v>12</v>
      </c>
      <c r="DI676" s="103">
        <v>19</v>
      </c>
      <c r="DJ676" s="103">
        <v>6</v>
      </c>
      <c r="DK676" s="103">
        <v>12</v>
      </c>
      <c r="DL676" s="103">
        <v>4</v>
      </c>
      <c r="DM676" s="103">
        <v>4</v>
      </c>
      <c r="DN676" s="103">
        <v>2</v>
      </c>
      <c r="DO676" s="103">
        <v>1</v>
      </c>
    </row>
    <row r="677" spans="2:119" ht="16.25" customHeight="1" x14ac:dyDescent="0.45">
      <c r="B677" s="134"/>
      <c r="C677" s="42"/>
      <c r="D677" s="110"/>
      <c r="E677" s="46" t="s">
        <v>6</v>
      </c>
      <c r="F677" s="103">
        <v>33</v>
      </c>
      <c r="G677" s="103">
        <v>15</v>
      </c>
      <c r="H677" s="103">
        <v>62</v>
      </c>
      <c r="I677" s="103">
        <v>98</v>
      </c>
      <c r="J677" s="103">
        <v>73</v>
      </c>
      <c r="K677" s="103">
        <v>127</v>
      </c>
      <c r="L677" s="103">
        <v>84</v>
      </c>
      <c r="M677" s="103">
        <v>121</v>
      </c>
      <c r="N677" s="103">
        <v>114</v>
      </c>
      <c r="O677" s="103">
        <v>96</v>
      </c>
      <c r="P677" s="42"/>
      <c r="Q677" s="110"/>
      <c r="R677" s="46" t="s">
        <v>6</v>
      </c>
      <c r="S677" s="103">
        <v>13</v>
      </c>
      <c r="T677" s="103">
        <v>5</v>
      </c>
      <c r="U677" s="103">
        <v>32</v>
      </c>
      <c r="V677" s="103">
        <v>48</v>
      </c>
      <c r="W677" s="103">
        <v>50</v>
      </c>
      <c r="X677" s="103">
        <v>87</v>
      </c>
      <c r="Y677" s="103">
        <v>54</v>
      </c>
      <c r="Z677" s="103">
        <v>74</v>
      </c>
      <c r="AA677" s="103">
        <v>72</v>
      </c>
      <c r="AB677" s="103">
        <v>76</v>
      </c>
      <c r="AC677" s="42"/>
      <c r="AD677" s="110"/>
      <c r="AE677" s="46" t="s">
        <v>6</v>
      </c>
      <c r="AF677" s="103">
        <v>20</v>
      </c>
      <c r="AG677" s="103">
        <v>10</v>
      </c>
      <c r="AH677" s="103">
        <v>30</v>
      </c>
      <c r="AI677" s="103">
        <v>50</v>
      </c>
      <c r="AJ677" s="103">
        <v>23</v>
      </c>
      <c r="AK677" s="103">
        <v>40</v>
      </c>
      <c r="AL677" s="103">
        <v>30</v>
      </c>
      <c r="AM677" s="103">
        <v>47</v>
      </c>
      <c r="AN677" s="103">
        <v>42</v>
      </c>
      <c r="AO677" s="103">
        <v>20</v>
      </c>
      <c r="AP677" s="6"/>
      <c r="AQ677" s="110"/>
      <c r="AR677" s="46" t="s">
        <v>6</v>
      </c>
      <c r="AS677" s="103">
        <v>11</v>
      </c>
      <c r="AT677" s="103">
        <v>8</v>
      </c>
      <c r="AU677" s="103">
        <v>31</v>
      </c>
      <c r="AV677" s="103">
        <v>46</v>
      </c>
      <c r="AW677" s="103">
        <v>30</v>
      </c>
      <c r="AX677" s="103">
        <v>39</v>
      </c>
      <c r="AY677" s="103">
        <v>29</v>
      </c>
      <c r="AZ677" s="103">
        <v>44</v>
      </c>
      <c r="BA677" s="103">
        <v>34</v>
      </c>
      <c r="BB677" s="103">
        <v>23</v>
      </c>
      <c r="BC677" s="42"/>
      <c r="BD677" s="110"/>
      <c r="BE677" s="46" t="s">
        <v>6</v>
      </c>
      <c r="BF677" s="103">
        <v>22</v>
      </c>
      <c r="BG677" s="103">
        <v>7</v>
      </c>
      <c r="BH677" s="103">
        <v>31</v>
      </c>
      <c r="BI677" s="103">
        <v>52</v>
      </c>
      <c r="BJ677" s="103">
        <v>43</v>
      </c>
      <c r="BK677" s="103">
        <v>88</v>
      </c>
      <c r="BL677" s="103">
        <v>55</v>
      </c>
      <c r="BM677" s="103">
        <v>77</v>
      </c>
      <c r="BN677" s="103">
        <v>80</v>
      </c>
      <c r="BO677" s="103">
        <v>73</v>
      </c>
      <c r="BQ677" s="110"/>
      <c r="BR677" s="46" t="s">
        <v>6</v>
      </c>
      <c r="BS677" s="103">
        <v>4</v>
      </c>
      <c r="BT677" s="103">
        <v>4</v>
      </c>
      <c r="BU677" s="103">
        <v>12</v>
      </c>
      <c r="BV677" s="103">
        <v>12</v>
      </c>
      <c r="BW677" s="103">
        <v>11</v>
      </c>
      <c r="BX677" s="103">
        <v>16</v>
      </c>
      <c r="BY677" s="103">
        <v>11</v>
      </c>
      <c r="BZ677" s="103">
        <v>14</v>
      </c>
      <c r="CA677" s="103">
        <v>12</v>
      </c>
      <c r="CB677" s="103">
        <v>5</v>
      </c>
      <c r="CC677" s="42"/>
      <c r="CD677" s="110"/>
      <c r="CE677" s="46" t="s">
        <v>6</v>
      </c>
      <c r="CF677" s="103">
        <v>29</v>
      </c>
      <c r="CG677" s="103">
        <v>11</v>
      </c>
      <c r="CH677" s="103">
        <v>50</v>
      </c>
      <c r="CI677" s="103">
        <v>86</v>
      </c>
      <c r="CJ677" s="103">
        <v>62</v>
      </c>
      <c r="CK677" s="103">
        <v>111</v>
      </c>
      <c r="CL677" s="103">
        <v>73</v>
      </c>
      <c r="CM677" s="103">
        <v>107</v>
      </c>
      <c r="CN677" s="103">
        <v>102</v>
      </c>
      <c r="CO677" s="103">
        <v>91</v>
      </c>
      <c r="CQ677" s="110"/>
      <c r="CR677" s="46" t="s">
        <v>6</v>
      </c>
      <c r="CS677" s="103">
        <v>24</v>
      </c>
      <c r="CT677" s="103">
        <v>7</v>
      </c>
      <c r="CU677" s="103">
        <v>40</v>
      </c>
      <c r="CV677" s="103">
        <v>66</v>
      </c>
      <c r="CW677" s="103">
        <v>49</v>
      </c>
      <c r="CX677" s="103">
        <v>103</v>
      </c>
      <c r="CY677" s="103">
        <v>72</v>
      </c>
      <c r="CZ677" s="103">
        <v>104</v>
      </c>
      <c r="DA677" s="103">
        <v>109</v>
      </c>
      <c r="DB677" s="103">
        <v>93</v>
      </c>
      <c r="DC677" s="42"/>
      <c r="DD677" s="110"/>
      <c r="DE677" s="46" t="s">
        <v>6</v>
      </c>
      <c r="DF677" s="103">
        <v>9</v>
      </c>
      <c r="DG677" s="103">
        <v>8</v>
      </c>
      <c r="DH677" s="103">
        <v>22</v>
      </c>
      <c r="DI677" s="103">
        <v>32</v>
      </c>
      <c r="DJ677" s="103">
        <v>24</v>
      </c>
      <c r="DK677" s="103">
        <v>24</v>
      </c>
      <c r="DL677" s="103">
        <v>12</v>
      </c>
      <c r="DM677" s="103">
        <v>17</v>
      </c>
      <c r="DN677" s="103">
        <v>5</v>
      </c>
      <c r="DO677" s="103">
        <v>3</v>
      </c>
    </row>
    <row r="678" spans="2:119" ht="16.25" customHeight="1" x14ac:dyDescent="0.45">
      <c r="B678" s="134"/>
      <c r="C678" s="42"/>
      <c r="D678" s="110"/>
      <c r="E678" s="46" t="s">
        <v>7</v>
      </c>
      <c r="F678" s="103">
        <v>51</v>
      </c>
      <c r="G678" s="103">
        <v>20</v>
      </c>
      <c r="H678" s="103">
        <v>79</v>
      </c>
      <c r="I678" s="103">
        <v>194</v>
      </c>
      <c r="J678" s="103">
        <v>118</v>
      </c>
      <c r="K678" s="103">
        <v>255</v>
      </c>
      <c r="L678" s="103">
        <v>154</v>
      </c>
      <c r="M678" s="103">
        <v>187</v>
      </c>
      <c r="N678" s="103">
        <v>251</v>
      </c>
      <c r="O678" s="103">
        <v>189</v>
      </c>
      <c r="P678" s="42"/>
      <c r="Q678" s="110"/>
      <c r="R678" s="46" t="s">
        <v>7</v>
      </c>
      <c r="S678" s="103">
        <v>20</v>
      </c>
      <c r="T678" s="103">
        <v>11</v>
      </c>
      <c r="U678" s="103">
        <v>36</v>
      </c>
      <c r="V678" s="103">
        <v>111</v>
      </c>
      <c r="W678" s="103">
        <v>63</v>
      </c>
      <c r="X678" s="103">
        <v>165</v>
      </c>
      <c r="Y678" s="103">
        <v>89</v>
      </c>
      <c r="Z678" s="103">
        <v>109</v>
      </c>
      <c r="AA678" s="103">
        <v>160</v>
      </c>
      <c r="AB678" s="103">
        <v>130</v>
      </c>
      <c r="AC678" s="42"/>
      <c r="AD678" s="110"/>
      <c r="AE678" s="46" t="s">
        <v>7</v>
      </c>
      <c r="AF678" s="103">
        <v>31</v>
      </c>
      <c r="AG678" s="103">
        <v>9</v>
      </c>
      <c r="AH678" s="103">
        <v>43</v>
      </c>
      <c r="AI678" s="103">
        <v>83</v>
      </c>
      <c r="AJ678" s="103">
        <v>55</v>
      </c>
      <c r="AK678" s="103">
        <v>90</v>
      </c>
      <c r="AL678" s="103">
        <v>65</v>
      </c>
      <c r="AM678" s="103">
        <v>78</v>
      </c>
      <c r="AN678" s="103">
        <v>91</v>
      </c>
      <c r="AO678" s="103">
        <v>59</v>
      </c>
      <c r="AP678" s="6"/>
      <c r="AQ678" s="110"/>
      <c r="AR678" s="46" t="s">
        <v>7</v>
      </c>
      <c r="AS678" s="103">
        <v>21</v>
      </c>
      <c r="AT678" s="103">
        <v>9</v>
      </c>
      <c r="AU678" s="103">
        <v>33</v>
      </c>
      <c r="AV678" s="103">
        <v>60</v>
      </c>
      <c r="AW678" s="103">
        <v>38</v>
      </c>
      <c r="AX678" s="103">
        <v>89</v>
      </c>
      <c r="AY678" s="103">
        <v>56</v>
      </c>
      <c r="AZ678" s="103">
        <v>58</v>
      </c>
      <c r="BA678" s="103">
        <v>67</v>
      </c>
      <c r="BB678" s="103">
        <v>45</v>
      </c>
      <c r="BC678" s="42"/>
      <c r="BD678" s="110"/>
      <c r="BE678" s="46" t="s">
        <v>7</v>
      </c>
      <c r="BF678" s="103">
        <v>30</v>
      </c>
      <c r="BG678" s="103">
        <v>11</v>
      </c>
      <c r="BH678" s="103">
        <v>46</v>
      </c>
      <c r="BI678" s="103">
        <v>134</v>
      </c>
      <c r="BJ678" s="103">
        <v>80</v>
      </c>
      <c r="BK678" s="103">
        <v>166</v>
      </c>
      <c r="BL678" s="103">
        <v>98</v>
      </c>
      <c r="BM678" s="103">
        <v>129</v>
      </c>
      <c r="BN678" s="103">
        <v>184</v>
      </c>
      <c r="BO678" s="103">
        <v>144</v>
      </c>
      <c r="BQ678" s="110"/>
      <c r="BR678" s="46" t="s">
        <v>7</v>
      </c>
      <c r="BS678" s="103">
        <v>4</v>
      </c>
      <c r="BT678" s="103">
        <v>2</v>
      </c>
      <c r="BU678" s="103">
        <v>10</v>
      </c>
      <c r="BV678" s="103">
        <v>18</v>
      </c>
      <c r="BW678" s="103">
        <v>8</v>
      </c>
      <c r="BX678" s="103">
        <v>20</v>
      </c>
      <c r="BY678" s="103">
        <v>9</v>
      </c>
      <c r="BZ678" s="103">
        <v>7</v>
      </c>
      <c r="CA678" s="103">
        <v>12</v>
      </c>
      <c r="CB678" s="103">
        <v>7</v>
      </c>
      <c r="CC678" s="42"/>
      <c r="CD678" s="110"/>
      <c r="CE678" s="46" t="s">
        <v>7</v>
      </c>
      <c r="CF678" s="103">
        <v>47</v>
      </c>
      <c r="CG678" s="103">
        <v>18</v>
      </c>
      <c r="CH678" s="103">
        <v>69</v>
      </c>
      <c r="CI678" s="103">
        <v>176</v>
      </c>
      <c r="CJ678" s="103">
        <v>110</v>
      </c>
      <c r="CK678" s="103">
        <v>235</v>
      </c>
      <c r="CL678" s="103">
        <v>145</v>
      </c>
      <c r="CM678" s="103">
        <v>180</v>
      </c>
      <c r="CN678" s="103">
        <v>239</v>
      </c>
      <c r="CO678" s="103">
        <v>182</v>
      </c>
      <c r="CQ678" s="110"/>
      <c r="CR678" s="46" t="s">
        <v>7</v>
      </c>
      <c r="CS678" s="103">
        <v>37</v>
      </c>
      <c r="CT678" s="103">
        <v>9</v>
      </c>
      <c r="CU678" s="103">
        <v>35</v>
      </c>
      <c r="CV678" s="103">
        <v>120</v>
      </c>
      <c r="CW678" s="103">
        <v>70</v>
      </c>
      <c r="CX678" s="103">
        <v>182</v>
      </c>
      <c r="CY678" s="103">
        <v>130</v>
      </c>
      <c r="CZ678" s="103">
        <v>151</v>
      </c>
      <c r="DA678" s="103">
        <v>228</v>
      </c>
      <c r="DB678" s="103">
        <v>181</v>
      </c>
      <c r="DC678" s="42"/>
      <c r="DD678" s="110"/>
      <c r="DE678" s="46" t="s">
        <v>7</v>
      </c>
      <c r="DF678" s="103">
        <v>14</v>
      </c>
      <c r="DG678" s="103">
        <v>11</v>
      </c>
      <c r="DH678" s="103">
        <v>44</v>
      </c>
      <c r="DI678" s="103">
        <v>74</v>
      </c>
      <c r="DJ678" s="103">
        <v>48</v>
      </c>
      <c r="DK678" s="103">
        <v>73</v>
      </c>
      <c r="DL678" s="103">
        <v>24</v>
      </c>
      <c r="DM678" s="103">
        <v>36</v>
      </c>
      <c r="DN678" s="103">
        <v>23</v>
      </c>
      <c r="DO678" s="103">
        <v>8</v>
      </c>
    </row>
    <row r="679" spans="2:119" ht="16.25" customHeight="1" x14ac:dyDescent="0.45">
      <c r="B679" s="134"/>
      <c r="C679" s="42"/>
      <c r="D679" s="110"/>
      <c r="E679" s="46" t="s">
        <v>8</v>
      </c>
      <c r="F679" s="103">
        <v>51</v>
      </c>
      <c r="G679" s="103">
        <v>29</v>
      </c>
      <c r="H679" s="103">
        <v>79</v>
      </c>
      <c r="I679" s="103">
        <v>192</v>
      </c>
      <c r="J679" s="103">
        <v>162</v>
      </c>
      <c r="K679" s="103">
        <v>357</v>
      </c>
      <c r="L679" s="103">
        <v>217</v>
      </c>
      <c r="M679" s="103">
        <v>258</v>
      </c>
      <c r="N679" s="103">
        <v>330</v>
      </c>
      <c r="O679" s="103">
        <v>307</v>
      </c>
      <c r="P679" s="42"/>
      <c r="Q679" s="110"/>
      <c r="R679" s="46" t="s">
        <v>8</v>
      </c>
      <c r="S679" s="103">
        <v>19</v>
      </c>
      <c r="T679" s="103">
        <v>11</v>
      </c>
      <c r="U679" s="103">
        <v>32</v>
      </c>
      <c r="V679" s="103">
        <v>96</v>
      </c>
      <c r="W679" s="103">
        <v>95</v>
      </c>
      <c r="X679" s="103">
        <v>215</v>
      </c>
      <c r="Y679" s="103">
        <v>131</v>
      </c>
      <c r="Z679" s="103">
        <v>164</v>
      </c>
      <c r="AA679" s="103">
        <v>194</v>
      </c>
      <c r="AB679" s="103">
        <v>215</v>
      </c>
      <c r="AC679" s="42"/>
      <c r="AD679" s="110"/>
      <c r="AE679" s="46" t="s">
        <v>8</v>
      </c>
      <c r="AF679" s="103">
        <v>32</v>
      </c>
      <c r="AG679" s="103">
        <v>18</v>
      </c>
      <c r="AH679" s="103">
        <v>47</v>
      </c>
      <c r="AI679" s="103">
        <v>96</v>
      </c>
      <c r="AJ679" s="103">
        <v>67</v>
      </c>
      <c r="AK679" s="103">
        <v>142</v>
      </c>
      <c r="AL679" s="103">
        <v>86</v>
      </c>
      <c r="AM679" s="103">
        <v>94</v>
      </c>
      <c r="AN679" s="103">
        <v>136</v>
      </c>
      <c r="AO679" s="103">
        <v>92</v>
      </c>
      <c r="AP679" s="6"/>
      <c r="AQ679" s="110"/>
      <c r="AR679" s="46" t="s">
        <v>8</v>
      </c>
      <c r="AS679" s="103">
        <v>20</v>
      </c>
      <c r="AT679" s="103">
        <v>11</v>
      </c>
      <c r="AU679" s="103">
        <v>29</v>
      </c>
      <c r="AV679" s="103">
        <v>73</v>
      </c>
      <c r="AW679" s="103">
        <v>55</v>
      </c>
      <c r="AX679" s="103">
        <v>118</v>
      </c>
      <c r="AY679" s="103">
        <v>62</v>
      </c>
      <c r="AZ679" s="103">
        <v>73</v>
      </c>
      <c r="BA679" s="103">
        <v>89</v>
      </c>
      <c r="BB679" s="103">
        <v>70</v>
      </c>
      <c r="BC679" s="42"/>
      <c r="BD679" s="110"/>
      <c r="BE679" s="46" t="s">
        <v>8</v>
      </c>
      <c r="BF679" s="103">
        <v>31</v>
      </c>
      <c r="BG679" s="103">
        <v>18</v>
      </c>
      <c r="BH679" s="103">
        <v>50</v>
      </c>
      <c r="BI679" s="103">
        <v>119</v>
      </c>
      <c r="BJ679" s="103">
        <v>107</v>
      </c>
      <c r="BK679" s="103">
        <v>239</v>
      </c>
      <c r="BL679" s="103">
        <v>155</v>
      </c>
      <c r="BM679" s="103">
        <v>185</v>
      </c>
      <c r="BN679" s="103">
        <v>241</v>
      </c>
      <c r="BO679" s="103">
        <v>237</v>
      </c>
      <c r="BQ679" s="110"/>
      <c r="BR679" s="46" t="s">
        <v>8</v>
      </c>
      <c r="BS679" s="103">
        <v>4</v>
      </c>
      <c r="BT679" s="103">
        <v>4</v>
      </c>
      <c r="BU679" s="103">
        <v>7</v>
      </c>
      <c r="BV679" s="103">
        <v>12</v>
      </c>
      <c r="BW679" s="103">
        <v>11</v>
      </c>
      <c r="BX679" s="103">
        <v>14</v>
      </c>
      <c r="BY679" s="103">
        <v>8</v>
      </c>
      <c r="BZ679" s="103">
        <v>10</v>
      </c>
      <c r="CA679" s="103">
        <v>16</v>
      </c>
      <c r="CB679" s="103">
        <v>11</v>
      </c>
      <c r="CC679" s="42"/>
      <c r="CD679" s="110"/>
      <c r="CE679" s="46" t="s">
        <v>8</v>
      </c>
      <c r="CF679" s="103">
        <v>47</v>
      </c>
      <c r="CG679" s="103">
        <v>25</v>
      </c>
      <c r="CH679" s="103">
        <v>72</v>
      </c>
      <c r="CI679" s="103">
        <v>180</v>
      </c>
      <c r="CJ679" s="103">
        <v>151</v>
      </c>
      <c r="CK679" s="103">
        <v>343</v>
      </c>
      <c r="CL679" s="103">
        <v>209</v>
      </c>
      <c r="CM679" s="103">
        <v>248</v>
      </c>
      <c r="CN679" s="103">
        <v>314</v>
      </c>
      <c r="CO679" s="103">
        <v>296</v>
      </c>
      <c r="CQ679" s="110"/>
      <c r="CR679" s="46" t="s">
        <v>8</v>
      </c>
      <c r="CS679" s="103">
        <v>33</v>
      </c>
      <c r="CT679" s="103">
        <v>8</v>
      </c>
      <c r="CU679" s="103">
        <v>35</v>
      </c>
      <c r="CV679" s="103">
        <v>92</v>
      </c>
      <c r="CW679" s="103">
        <v>86</v>
      </c>
      <c r="CX679" s="103">
        <v>199</v>
      </c>
      <c r="CY679" s="103">
        <v>150</v>
      </c>
      <c r="CZ679" s="103">
        <v>184</v>
      </c>
      <c r="DA679" s="103">
        <v>281</v>
      </c>
      <c r="DB679" s="103">
        <v>279</v>
      </c>
      <c r="DC679" s="42"/>
      <c r="DD679" s="110"/>
      <c r="DE679" s="46" t="s">
        <v>8</v>
      </c>
      <c r="DF679" s="103">
        <v>18</v>
      </c>
      <c r="DG679" s="103">
        <v>21</v>
      </c>
      <c r="DH679" s="103">
        <v>44</v>
      </c>
      <c r="DI679" s="103">
        <v>100</v>
      </c>
      <c r="DJ679" s="103">
        <v>76</v>
      </c>
      <c r="DK679" s="103">
        <v>158</v>
      </c>
      <c r="DL679" s="103">
        <v>67</v>
      </c>
      <c r="DM679" s="103">
        <v>74</v>
      </c>
      <c r="DN679" s="103">
        <v>49</v>
      </c>
      <c r="DO679" s="103">
        <v>28</v>
      </c>
    </row>
    <row r="680" spans="2:119" ht="16.25" customHeight="1" x14ac:dyDescent="0.45">
      <c r="B680" s="134"/>
      <c r="C680" s="42"/>
      <c r="D680" s="110"/>
      <c r="E680" s="46" t="s">
        <v>9</v>
      </c>
      <c r="F680" s="103">
        <v>39</v>
      </c>
      <c r="G680" s="103">
        <v>18</v>
      </c>
      <c r="H680" s="103">
        <v>55</v>
      </c>
      <c r="I680" s="103">
        <v>175</v>
      </c>
      <c r="J680" s="103">
        <v>196</v>
      </c>
      <c r="K680" s="103">
        <v>363</v>
      </c>
      <c r="L680" s="103">
        <v>264</v>
      </c>
      <c r="M680" s="103">
        <v>344</v>
      </c>
      <c r="N680" s="103">
        <v>352</v>
      </c>
      <c r="O680" s="103">
        <v>420</v>
      </c>
      <c r="P680" s="42"/>
      <c r="Q680" s="110"/>
      <c r="R680" s="46" t="s">
        <v>9</v>
      </c>
      <c r="S680" s="103">
        <v>9</v>
      </c>
      <c r="T680" s="103">
        <v>3</v>
      </c>
      <c r="U680" s="103">
        <v>18</v>
      </c>
      <c r="V680" s="103">
        <v>70</v>
      </c>
      <c r="W680" s="103">
        <v>96</v>
      </c>
      <c r="X680" s="103">
        <v>198</v>
      </c>
      <c r="Y680" s="103">
        <v>141</v>
      </c>
      <c r="Z680" s="103">
        <v>200</v>
      </c>
      <c r="AA680" s="103">
        <v>213</v>
      </c>
      <c r="AB680" s="103">
        <v>276</v>
      </c>
      <c r="AC680" s="42"/>
      <c r="AD680" s="110"/>
      <c r="AE680" s="46" t="s">
        <v>9</v>
      </c>
      <c r="AF680" s="103">
        <v>30</v>
      </c>
      <c r="AG680" s="103">
        <v>15</v>
      </c>
      <c r="AH680" s="103">
        <v>37</v>
      </c>
      <c r="AI680" s="103">
        <v>105</v>
      </c>
      <c r="AJ680" s="103">
        <v>100</v>
      </c>
      <c r="AK680" s="103">
        <v>165</v>
      </c>
      <c r="AL680" s="103">
        <v>123</v>
      </c>
      <c r="AM680" s="103">
        <v>144</v>
      </c>
      <c r="AN680" s="103">
        <v>139</v>
      </c>
      <c r="AO680" s="103">
        <v>144</v>
      </c>
      <c r="AP680" s="6"/>
      <c r="AQ680" s="110"/>
      <c r="AR680" s="46" t="s">
        <v>9</v>
      </c>
      <c r="AS680" s="103">
        <v>15</v>
      </c>
      <c r="AT680" s="103">
        <v>11</v>
      </c>
      <c r="AU680" s="103">
        <v>21</v>
      </c>
      <c r="AV680" s="103">
        <v>53</v>
      </c>
      <c r="AW680" s="103">
        <v>58</v>
      </c>
      <c r="AX680" s="103">
        <v>81</v>
      </c>
      <c r="AY680" s="103">
        <v>64</v>
      </c>
      <c r="AZ680" s="103">
        <v>87</v>
      </c>
      <c r="BA680" s="103">
        <v>82</v>
      </c>
      <c r="BB680" s="103">
        <v>86</v>
      </c>
      <c r="BC680" s="42"/>
      <c r="BD680" s="110"/>
      <c r="BE680" s="46" t="s">
        <v>9</v>
      </c>
      <c r="BF680" s="103">
        <v>24</v>
      </c>
      <c r="BG680" s="103">
        <v>7</v>
      </c>
      <c r="BH680" s="103">
        <v>34</v>
      </c>
      <c r="BI680" s="103">
        <v>122</v>
      </c>
      <c r="BJ680" s="103">
        <v>138</v>
      </c>
      <c r="BK680" s="103">
        <v>282</v>
      </c>
      <c r="BL680" s="103">
        <v>200</v>
      </c>
      <c r="BM680" s="103">
        <v>257</v>
      </c>
      <c r="BN680" s="103">
        <v>270</v>
      </c>
      <c r="BO680" s="103">
        <v>334</v>
      </c>
      <c r="BQ680" s="110"/>
      <c r="BR680" s="46" t="s">
        <v>9</v>
      </c>
      <c r="BS680" s="103">
        <v>3</v>
      </c>
      <c r="BT680" s="103">
        <v>2</v>
      </c>
      <c r="BU680" s="103">
        <v>7</v>
      </c>
      <c r="BV680" s="103">
        <v>9</v>
      </c>
      <c r="BW680" s="103">
        <v>5</v>
      </c>
      <c r="BX680" s="103">
        <v>13</v>
      </c>
      <c r="BY680" s="103">
        <v>6</v>
      </c>
      <c r="BZ680" s="103">
        <v>13</v>
      </c>
      <c r="CA680" s="103">
        <v>13</v>
      </c>
      <c r="CB680" s="103">
        <v>15</v>
      </c>
      <c r="CC680" s="42"/>
      <c r="CD680" s="110"/>
      <c r="CE680" s="46" t="s">
        <v>9</v>
      </c>
      <c r="CF680" s="103">
        <v>36</v>
      </c>
      <c r="CG680" s="103">
        <v>16</v>
      </c>
      <c r="CH680" s="103">
        <v>48</v>
      </c>
      <c r="CI680" s="103">
        <v>166</v>
      </c>
      <c r="CJ680" s="103">
        <v>191</v>
      </c>
      <c r="CK680" s="103">
        <v>350</v>
      </c>
      <c r="CL680" s="103">
        <v>258</v>
      </c>
      <c r="CM680" s="103">
        <v>331</v>
      </c>
      <c r="CN680" s="103">
        <v>339</v>
      </c>
      <c r="CO680" s="103">
        <v>405</v>
      </c>
      <c r="CQ680" s="110"/>
      <c r="CR680" s="46" t="s">
        <v>9</v>
      </c>
      <c r="CS680" s="103">
        <v>24</v>
      </c>
      <c r="CT680" s="103">
        <v>10</v>
      </c>
      <c r="CU680" s="103">
        <v>21</v>
      </c>
      <c r="CV680" s="103">
        <v>71</v>
      </c>
      <c r="CW680" s="103">
        <v>81</v>
      </c>
      <c r="CX680" s="103">
        <v>155</v>
      </c>
      <c r="CY680" s="103">
        <v>131</v>
      </c>
      <c r="CZ680" s="103">
        <v>195</v>
      </c>
      <c r="DA680" s="103">
        <v>257</v>
      </c>
      <c r="DB680" s="103">
        <v>376</v>
      </c>
      <c r="DC680" s="42"/>
      <c r="DD680" s="110"/>
      <c r="DE680" s="46" t="s">
        <v>9</v>
      </c>
      <c r="DF680" s="103">
        <v>15</v>
      </c>
      <c r="DG680" s="103">
        <v>8</v>
      </c>
      <c r="DH680" s="103">
        <v>34</v>
      </c>
      <c r="DI680" s="103">
        <v>104</v>
      </c>
      <c r="DJ680" s="103">
        <v>115</v>
      </c>
      <c r="DK680" s="103">
        <v>208</v>
      </c>
      <c r="DL680" s="103">
        <v>133</v>
      </c>
      <c r="DM680" s="103">
        <v>149</v>
      </c>
      <c r="DN680" s="103">
        <v>95</v>
      </c>
      <c r="DO680" s="103">
        <v>44</v>
      </c>
    </row>
    <row r="681" spans="2:119" ht="16.25" customHeight="1" x14ac:dyDescent="0.45">
      <c r="B681" s="134"/>
      <c r="C681" s="42"/>
      <c r="D681" s="110"/>
      <c r="E681" s="46" t="s">
        <v>10</v>
      </c>
      <c r="F681" s="103">
        <v>30</v>
      </c>
      <c r="G681" s="103">
        <v>10</v>
      </c>
      <c r="H681" s="103">
        <v>27</v>
      </c>
      <c r="I681" s="103">
        <v>77</v>
      </c>
      <c r="J681" s="103">
        <v>156</v>
      </c>
      <c r="K681" s="103">
        <v>269</v>
      </c>
      <c r="L681" s="103">
        <v>252</v>
      </c>
      <c r="M681" s="103">
        <v>412</v>
      </c>
      <c r="N681" s="103">
        <v>469</v>
      </c>
      <c r="O681" s="103">
        <v>467</v>
      </c>
      <c r="P681" s="42"/>
      <c r="Q681" s="110"/>
      <c r="R681" s="46" t="s">
        <v>10</v>
      </c>
      <c r="S681" s="103">
        <v>6</v>
      </c>
      <c r="T681" s="103">
        <v>5</v>
      </c>
      <c r="U681" s="103">
        <v>7</v>
      </c>
      <c r="V681" s="103">
        <v>21</v>
      </c>
      <c r="W681" s="103">
        <v>61</v>
      </c>
      <c r="X681" s="103">
        <v>122</v>
      </c>
      <c r="Y681" s="103">
        <v>123</v>
      </c>
      <c r="Z681" s="103">
        <v>187</v>
      </c>
      <c r="AA681" s="103">
        <v>255</v>
      </c>
      <c r="AB681" s="103">
        <v>273</v>
      </c>
      <c r="AC681" s="42"/>
      <c r="AD681" s="110"/>
      <c r="AE681" s="46" t="s">
        <v>10</v>
      </c>
      <c r="AF681" s="103">
        <v>24</v>
      </c>
      <c r="AG681" s="103">
        <v>5</v>
      </c>
      <c r="AH681" s="103">
        <v>20</v>
      </c>
      <c r="AI681" s="103">
        <v>56</v>
      </c>
      <c r="AJ681" s="103">
        <v>95</v>
      </c>
      <c r="AK681" s="103">
        <v>147</v>
      </c>
      <c r="AL681" s="103">
        <v>129</v>
      </c>
      <c r="AM681" s="103">
        <v>225</v>
      </c>
      <c r="AN681" s="103">
        <v>214</v>
      </c>
      <c r="AO681" s="103">
        <v>194</v>
      </c>
      <c r="AP681" s="6"/>
      <c r="AQ681" s="110"/>
      <c r="AR681" s="46" t="s">
        <v>10</v>
      </c>
      <c r="AS681" s="103">
        <v>4</v>
      </c>
      <c r="AT681" s="103">
        <v>2</v>
      </c>
      <c r="AU681" s="103">
        <v>7</v>
      </c>
      <c r="AV681" s="103">
        <v>24</v>
      </c>
      <c r="AW681" s="103">
        <v>37</v>
      </c>
      <c r="AX681" s="103">
        <v>51</v>
      </c>
      <c r="AY681" s="103">
        <v>46</v>
      </c>
      <c r="AZ681" s="103">
        <v>65</v>
      </c>
      <c r="BA681" s="103">
        <v>77</v>
      </c>
      <c r="BB681" s="103">
        <v>84</v>
      </c>
      <c r="BC681" s="42"/>
      <c r="BD681" s="110"/>
      <c r="BE681" s="46" t="s">
        <v>10</v>
      </c>
      <c r="BF681" s="103">
        <v>26</v>
      </c>
      <c r="BG681" s="103">
        <v>8</v>
      </c>
      <c r="BH681" s="103">
        <v>20</v>
      </c>
      <c r="BI681" s="103">
        <v>53</v>
      </c>
      <c r="BJ681" s="103">
        <v>119</v>
      </c>
      <c r="BK681" s="103">
        <v>218</v>
      </c>
      <c r="BL681" s="103">
        <v>206</v>
      </c>
      <c r="BM681" s="103">
        <v>347</v>
      </c>
      <c r="BN681" s="103">
        <v>392</v>
      </c>
      <c r="BO681" s="103">
        <v>383</v>
      </c>
      <c r="BQ681" s="110"/>
      <c r="BR681" s="46" t="s">
        <v>10</v>
      </c>
      <c r="BS681" s="103">
        <v>0</v>
      </c>
      <c r="BT681" s="103">
        <v>1</v>
      </c>
      <c r="BU681" s="103">
        <v>1</v>
      </c>
      <c r="BV681" s="103">
        <v>4</v>
      </c>
      <c r="BW681" s="103">
        <v>8</v>
      </c>
      <c r="BX681" s="103">
        <v>8</v>
      </c>
      <c r="BY681" s="103">
        <v>4</v>
      </c>
      <c r="BZ681" s="103">
        <v>10</v>
      </c>
      <c r="CA681" s="103">
        <v>12</v>
      </c>
      <c r="CB681" s="103">
        <v>8</v>
      </c>
      <c r="CC681" s="42"/>
      <c r="CD681" s="110"/>
      <c r="CE681" s="46" t="s">
        <v>10</v>
      </c>
      <c r="CF681" s="103">
        <v>30</v>
      </c>
      <c r="CG681" s="103">
        <v>9</v>
      </c>
      <c r="CH681" s="103">
        <v>26</v>
      </c>
      <c r="CI681" s="103">
        <v>73</v>
      </c>
      <c r="CJ681" s="103">
        <v>148</v>
      </c>
      <c r="CK681" s="103">
        <v>261</v>
      </c>
      <c r="CL681" s="103">
        <v>248</v>
      </c>
      <c r="CM681" s="103">
        <v>402</v>
      </c>
      <c r="CN681" s="103">
        <v>457</v>
      </c>
      <c r="CO681" s="103">
        <v>459</v>
      </c>
      <c r="CQ681" s="110"/>
      <c r="CR681" s="46" t="s">
        <v>10</v>
      </c>
      <c r="CS681" s="103">
        <v>17</v>
      </c>
      <c r="CT681" s="103">
        <v>2</v>
      </c>
      <c r="CU681" s="103">
        <v>11</v>
      </c>
      <c r="CV681" s="103">
        <v>26</v>
      </c>
      <c r="CW681" s="103">
        <v>47</v>
      </c>
      <c r="CX681" s="103">
        <v>85</v>
      </c>
      <c r="CY681" s="103">
        <v>87</v>
      </c>
      <c r="CZ681" s="103">
        <v>141</v>
      </c>
      <c r="DA681" s="103">
        <v>229</v>
      </c>
      <c r="DB681" s="103">
        <v>354</v>
      </c>
      <c r="DC681" s="42"/>
      <c r="DD681" s="110"/>
      <c r="DE681" s="46" t="s">
        <v>10</v>
      </c>
      <c r="DF681" s="103">
        <v>13</v>
      </c>
      <c r="DG681" s="103">
        <v>8</v>
      </c>
      <c r="DH681" s="103">
        <v>16</v>
      </c>
      <c r="DI681" s="103">
        <v>51</v>
      </c>
      <c r="DJ681" s="103">
        <v>109</v>
      </c>
      <c r="DK681" s="103">
        <v>184</v>
      </c>
      <c r="DL681" s="103">
        <v>165</v>
      </c>
      <c r="DM681" s="103">
        <v>271</v>
      </c>
      <c r="DN681" s="103">
        <v>240</v>
      </c>
      <c r="DO681" s="103">
        <v>113</v>
      </c>
    </row>
    <row r="682" spans="2:119" ht="16.25" customHeight="1" x14ac:dyDescent="0.45">
      <c r="B682" s="134"/>
      <c r="C682" s="42"/>
      <c r="D682" s="111"/>
      <c r="E682" s="46" t="s">
        <v>11</v>
      </c>
      <c r="F682" s="103">
        <v>3</v>
      </c>
      <c r="G682" s="103">
        <v>0</v>
      </c>
      <c r="H682" s="103">
        <v>4</v>
      </c>
      <c r="I682" s="103">
        <v>13</v>
      </c>
      <c r="J682" s="103">
        <v>17</v>
      </c>
      <c r="K682" s="103">
        <v>35</v>
      </c>
      <c r="L682" s="103">
        <v>59</v>
      </c>
      <c r="M682" s="103">
        <v>133</v>
      </c>
      <c r="N682" s="103">
        <v>187</v>
      </c>
      <c r="O682" s="103">
        <v>196</v>
      </c>
      <c r="P682" s="42"/>
      <c r="Q682" s="111"/>
      <c r="R682" s="46" t="s">
        <v>11</v>
      </c>
      <c r="S682" s="103">
        <v>1</v>
      </c>
      <c r="T682" s="103">
        <v>0</v>
      </c>
      <c r="U682" s="103">
        <v>0</v>
      </c>
      <c r="V682" s="103">
        <v>4</v>
      </c>
      <c r="W682" s="103">
        <v>4</v>
      </c>
      <c r="X682" s="103">
        <v>10</v>
      </c>
      <c r="Y682" s="103">
        <v>20</v>
      </c>
      <c r="Z682" s="103">
        <v>58</v>
      </c>
      <c r="AA682" s="103">
        <v>96</v>
      </c>
      <c r="AB682" s="103">
        <v>106</v>
      </c>
      <c r="AC682" s="42"/>
      <c r="AD682" s="111"/>
      <c r="AE682" s="46" t="s">
        <v>11</v>
      </c>
      <c r="AF682" s="103">
        <v>2</v>
      </c>
      <c r="AG682" s="103">
        <v>0</v>
      </c>
      <c r="AH682" s="103">
        <v>4</v>
      </c>
      <c r="AI682" s="103">
        <v>9</v>
      </c>
      <c r="AJ682" s="103">
        <v>13</v>
      </c>
      <c r="AK682" s="103">
        <v>25</v>
      </c>
      <c r="AL682" s="103">
        <v>39</v>
      </c>
      <c r="AM682" s="103">
        <v>75</v>
      </c>
      <c r="AN682" s="103">
        <v>91</v>
      </c>
      <c r="AO682" s="103">
        <v>90</v>
      </c>
      <c r="AP682" s="6"/>
      <c r="AQ682" s="111"/>
      <c r="AR682" s="46" t="s">
        <v>11</v>
      </c>
      <c r="AS682" s="103">
        <v>2</v>
      </c>
      <c r="AT682" s="103">
        <v>0</v>
      </c>
      <c r="AU682" s="103">
        <v>0</v>
      </c>
      <c r="AV682" s="103">
        <v>3</v>
      </c>
      <c r="AW682" s="103">
        <v>3</v>
      </c>
      <c r="AX682" s="103">
        <v>4</v>
      </c>
      <c r="AY682" s="103">
        <v>4</v>
      </c>
      <c r="AZ682" s="103">
        <v>14</v>
      </c>
      <c r="BA682" s="103">
        <v>21</v>
      </c>
      <c r="BB682" s="103">
        <v>16</v>
      </c>
      <c r="BC682" s="42"/>
      <c r="BD682" s="111"/>
      <c r="BE682" s="46" t="s">
        <v>11</v>
      </c>
      <c r="BF682" s="103">
        <v>1</v>
      </c>
      <c r="BG682" s="103">
        <v>0</v>
      </c>
      <c r="BH682" s="103">
        <v>4</v>
      </c>
      <c r="BI682" s="103">
        <v>10</v>
      </c>
      <c r="BJ682" s="103">
        <v>14</v>
      </c>
      <c r="BK682" s="103">
        <v>31</v>
      </c>
      <c r="BL682" s="103">
        <v>55</v>
      </c>
      <c r="BM682" s="103">
        <v>119</v>
      </c>
      <c r="BN682" s="103">
        <v>166</v>
      </c>
      <c r="BO682" s="103">
        <v>180</v>
      </c>
      <c r="BQ682" s="111"/>
      <c r="BR682" s="46" t="s">
        <v>11</v>
      </c>
      <c r="BS682" s="103">
        <v>0</v>
      </c>
      <c r="BT682" s="103">
        <v>0</v>
      </c>
      <c r="BU682" s="103">
        <v>0</v>
      </c>
      <c r="BV682" s="103">
        <v>1</v>
      </c>
      <c r="BW682" s="103">
        <v>2</v>
      </c>
      <c r="BX682" s="103">
        <v>1</v>
      </c>
      <c r="BY682" s="103">
        <v>3</v>
      </c>
      <c r="BZ682" s="103">
        <v>2</v>
      </c>
      <c r="CA682" s="103">
        <v>3</v>
      </c>
      <c r="CB682" s="103">
        <v>5</v>
      </c>
      <c r="CC682" s="42"/>
      <c r="CD682" s="111"/>
      <c r="CE682" s="46" t="s">
        <v>11</v>
      </c>
      <c r="CF682" s="103">
        <v>3</v>
      </c>
      <c r="CG682" s="103">
        <v>0</v>
      </c>
      <c r="CH682" s="103">
        <v>4</v>
      </c>
      <c r="CI682" s="103">
        <v>12</v>
      </c>
      <c r="CJ682" s="103">
        <v>15</v>
      </c>
      <c r="CK682" s="103">
        <v>34</v>
      </c>
      <c r="CL682" s="103">
        <v>56</v>
      </c>
      <c r="CM682" s="103">
        <v>131</v>
      </c>
      <c r="CN682" s="103">
        <v>184</v>
      </c>
      <c r="CO682" s="103">
        <v>191</v>
      </c>
      <c r="CQ682" s="111"/>
      <c r="CR682" s="46" t="s">
        <v>11</v>
      </c>
      <c r="CS682" s="103">
        <v>3</v>
      </c>
      <c r="CT682" s="103">
        <v>0</v>
      </c>
      <c r="CU682" s="103">
        <v>2</v>
      </c>
      <c r="CV682" s="103">
        <v>3</v>
      </c>
      <c r="CW682" s="103">
        <v>5</v>
      </c>
      <c r="CX682" s="103">
        <v>17</v>
      </c>
      <c r="CY682" s="103">
        <v>13</v>
      </c>
      <c r="CZ682" s="103">
        <v>31</v>
      </c>
      <c r="DA682" s="103">
        <v>53</v>
      </c>
      <c r="DB682" s="103">
        <v>103</v>
      </c>
      <c r="DC682" s="42"/>
      <c r="DD682" s="111"/>
      <c r="DE682" s="46" t="s">
        <v>11</v>
      </c>
      <c r="DF682" s="103">
        <v>0</v>
      </c>
      <c r="DG682" s="103">
        <v>0</v>
      </c>
      <c r="DH682" s="103">
        <v>2</v>
      </c>
      <c r="DI682" s="103">
        <v>10</v>
      </c>
      <c r="DJ682" s="103">
        <v>12</v>
      </c>
      <c r="DK682" s="103">
        <v>18</v>
      </c>
      <c r="DL682" s="103">
        <v>46</v>
      </c>
      <c r="DM682" s="103">
        <v>102</v>
      </c>
      <c r="DN682" s="103">
        <v>134</v>
      </c>
      <c r="DO682" s="103">
        <v>93</v>
      </c>
    </row>
    <row r="683" spans="2:119" ht="22.5" x14ac:dyDescent="0.45">
      <c r="B683" s="99"/>
      <c r="C683" s="42"/>
      <c r="D683" s="42"/>
      <c r="E683" s="42"/>
      <c r="F683" s="42"/>
      <c r="G683" s="42"/>
      <c r="H683" s="42"/>
      <c r="I683" s="42"/>
      <c r="J683" s="42"/>
      <c r="K683" s="42"/>
      <c r="L683" s="42"/>
      <c r="M683" s="42"/>
      <c r="N683" s="42"/>
      <c r="O683" s="42"/>
      <c r="P683" s="42"/>
      <c r="Q683" s="42"/>
      <c r="R683" s="42"/>
      <c r="S683" s="42"/>
      <c r="T683" s="42"/>
      <c r="U683" s="42"/>
      <c r="V683" s="42"/>
      <c r="W683" s="42"/>
      <c r="X683" s="42"/>
      <c r="Y683" s="42"/>
      <c r="Z683" s="42"/>
      <c r="AA683" s="42"/>
      <c r="AB683" s="42"/>
      <c r="AC683" s="42"/>
      <c r="AD683" s="42"/>
      <c r="AE683" s="42"/>
      <c r="AF683" s="42"/>
      <c r="AG683" s="42"/>
      <c r="AH683" s="42"/>
      <c r="AI683" s="42"/>
      <c r="AJ683" s="42"/>
      <c r="AK683" s="42"/>
      <c r="AL683" s="42"/>
      <c r="AM683" s="42"/>
      <c r="AN683" s="42"/>
      <c r="AO683" s="42"/>
      <c r="AP683" s="6"/>
      <c r="AQ683" s="42"/>
      <c r="AR683" s="42"/>
      <c r="AS683" s="42"/>
      <c r="AT683" s="42"/>
      <c r="AU683" s="42"/>
      <c r="AV683" s="42"/>
      <c r="AW683" s="42"/>
      <c r="AX683" s="42"/>
      <c r="AY683" s="42"/>
      <c r="AZ683" s="42"/>
      <c r="BA683" s="42"/>
      <c r="BB683" s="42"/>
      <c r="BC683" s="42"/>
      <c r="BD683" s="42"/>
      <c r="BE683" s="42"/>
      <c r="BF683" s="42"/>
      <c r="BG683" s="42"/>
      <c r="BH683" s="42"/>
      <c r="BI683" s="42"/>
      <c r="BJ683" s="42"/>
      <c r="BK683" s="42"/>
      <c r="BL683" s="42"/>
      <c r="BM683" s="42"/>
      <c r="BN683" s="42"/>
      <c r="BO683" s="42"/>
      <c r="BQ683" s="42"/>
      <c r="BR683" s="42"/>
      <c r="BS683" s="42"/>
      <c r="BT683" s="42"/>
      <c r="BU683" s="42"/>
      <c r="BV683" s="42"/>
      <c r="BW683" s="42"/>
      <c r="BX683" s="42"/>
      <c r="BY683" s="42"/>
      <c r="BZ683" s="42"/>
      <c r="CA683" s="42"/>
      <c r="CB683" s="42"/>
      <c r="CC683" s="42"/>
      <c r="CD683" s="42"/>
      <c r="CE683" s="42"/>
      <c r="CF683" s="42"/>
      <c r="CG683" s="42"/>
      <c r="CH683" s="42"/>
      <c r="CI683" s="42"/>
      <c r="CJ683" s="42"/>
      <c r="CK683" s="42"/>
      <c r="CL683" s="42"/>
      <c r="CM683" s="42"/>
      <c r="CN683" s="42"/>
      <c r="CO683" s="42"/>
      <c r="CQ683" s="42"/>
      <c r="CR683" s="42"/>
      <c r="CS683" s="42"/>
      <c r="CT683" s="42"/>
      <c r="CU683" s="42"/>
      <c r="CV683" s="42"/>
      <c r="CW683" s="42"/>
      <c r="CX683" s="42"/>
      <c r="CY683" s="42"/>
      <c r="CZ683" s="42"/>
      <c r="DA683" s="42"/>
      <c r="DB683" s="42"/>
      <c r="DC683" s="42"/>
      <c r="DD683" s="42"/>
      <c r="DE683" s="42"/>
      <c r="DF683" s="42"/>
      <c r="DG683" s="42"/>
      <c r="DH683" s="42"/>
      <c r="DI683" s="42"/>
      <c r="DJ683" s="42"/>
      <c r="DK683" s="42"/>
      <c r="DL683" s="42"/>
      <c r="DM683" s="42"/>
      <c r="DN683" s="42"/>
      <c r="DO683" s="42"/>
    </row>
    <row r="684" spans="2:119" ht="18.75" customHeight="1" x14ac:dyDescent="0.55000000000000004">
      <c r="B684" s="99"/>
      <c r="C684" s="42"/>
      <c r="D684" s="112" t="s">
        <v>16</v>
      </c>
      <c r="E684" s="112"/>
      <c r="F684" s="45"/>
      <c r="G684" s="45"/>
      <c r="H684" s="45"/>
      <c r="I684" s="45"/>
      <c r="J684" s="45"/>
      <c r="K684" s="45"/>
      <c r="L684" s="45"/>
      <c r="M684" s="45"/>
      <c r="N684" s="45"/>
      <c r="O684" s="45"/>
      <c r="P684" s="42"/>
      <c r="Q684" s="112" t="s">
        <v>16</v>
      </c>
      <c r="R684" s="112"/>
      <c r="S684" s="45"/>
      <c r="T684" s="45"/>
      <c r="U684" s="45"/>
      <c r="V684" s="45"/>
      <c r="W684" s="45"/>
      <c r="X684" s="45"/>
      <c r="Y684" s="45"/>
      <c r="Z684" s="45"/>
      <c r="AA684" s="45"/>
      <c r="AB684" s="45"/>
      <c r="AC684" s="42"/>
      <c r="AD684" s="112" t="s">
        <v>16</v>
      </c>
      <c r="AE684" s="112"/>
      <c r="AF684" s="45"/>
      <c r="AG684" s="45"/>
      <c r="AH684" s="45"/>
      <c r="AI684" s="45"/>
      <c r="AJ684" s="45"/>
      <c r="AK684" s="45"/>
      <c r="AL684" s="45"/>
      <c r="AM684" s="45"/>
      <c r="AN684" s="45"/>
      <c r="AO684" s="45"/>
      <c r="AP684" s="6"/>
      <c r="AQ684" s="112" t="s">
        <v>16</v>
      </c>
      <c r="AR684" s="112"/>
      <c r="AS684" s="45"/>
      <c r="AT684" s="45"/>
      <c r="AU684" s="45"/>
      <c r="AV684" s="45"/>
      <c r="AW684" s="45"/>
      <c r="AX684" s="45"/>
      <c r="AY684" s="45"/>
      <c r="AZ684" s="45"/>
      <c r="BA684" s="45"/>
      <c r="BB684" s="45"/>
      <c r="BC684" s="42"/>
      <c r="BD684" s="112" t="s">
        <v>16</v>
      </c>
      <c r="BE684" s="112"/>
      <c r="BF684" s="45"/>
      <c r="BG684" s="45"/>
      <c r="BH684" s="45"/>
      <c r="BI684" s="45"/>
      <c r="BJ684" s="45"/>
      <c r="BK684" s="45"/>
      <c r="BL684" s="45"/>
      <c r="BM684" s="45"/>
      <c r="BN684" s="45"/>
      <c r="BO684" s="45"/>
      <c r="BQ684" s="112" t="s">
        <v>16</v>
      </c>
      <c r="BR684" s="112"/>
      <c r="BS684" s="45"/>
      <c r="BT684" s="45"/>
      <c r="BU684" s="45"/>
      <c r="BV684" s="45"/>
      <c r="BW684" s="45"/>
      <c r="BX684" s="45"/>
      <c r="BY684" s="45"/>
      <c r="BZ684" s="45"/>
      <c r="CA684" s="45"/>
      <c r="CB684" s="45"/>
      <c r="CC684" s="42"/>
      <c r="CD684" s="112" t="s">
        <v>16</v>
      </c>
      <c r="CE684" s="112"/>
      <c r="CF684" s="45"/>
      <c r="CG684" s="45"/>
      <c r="CH684" s="45"/>
      <c r="CI684" s="45"/>
      <c r="CJ684" s="45"/>
      <c r="CK684" s="45"/>
      <c r="CL684" s="45"/>
      <c r="CM684" s="45"/>
      <c r="CN684" s="45"/>
      <c r="CO684" s="45"/>
      <c r="CQ684" s="112" t="s">
        <v>16</v>
      </c>
      <c r="CR684" s="112"/>
      <c r="CS684" s="45"/>
      <c r="CT684" s="45"/>
      <c r="CU684" s="45"/>
      <c r="CV684" s="45"/>
      <c r="CW684" s="45"/>
      <c r="CX684" s="45"/>
      <c r="CY684" s="45"/>
      <c r="CZ684" s="45"/>
      <c r="DA684" s="45"/>
      <c r="DB684" s="45"/>
      <c r="DC684" s="42"/>
      <c r="DD684" s="112" t="s">
        <v>16</v>
      </c>
      <c r="DE684" s="112"/>
      <c r="DF684" s="45"/>
      <c r="DG684" s="45"/>
      <c r="DH684" s="45"/>
      <c r="DI684" s="45"/>
      <c r="DJ684" s="45"/>
      <c r="DK684" s="45"/>
      <c r="DL684" s="45"/>
      <c r="DM684" s="45"/>
      <c r="DN684" s="45"/>
      <c r="DO684" s="45"/>
    </row>
    <row r="685" spans="2:119" ht="28.9" customHeight="1" x14ac:dyDescent="0.45">
      <c r="B685" s="99"/>
      <c r="C685" s="42"/>
      <c r="D685" s="112"/>
      <c r="E685" s="112"/>
      <c r="F685" s="108" t="s">
        <v>12</v>
      </c>
      <c r="G685" s="108"/>
      <c r="H685" s="108"/>
      <c r="I685" s="108"/>
      <c r="J685" s="108"/>
      <c r="K685" s="108"/>
      <c r="L685" s="108"/>
      <c r="M685" s="108"/>
      <c r="N685" s="108"/>
      <c r="O685" s="108"/>
      <c r="P685" s="42"/>
      <c r="Q685" s="112"/>
      <c r="R685" s="112"/>
      <c r="S685" s="108" t="s">
        <v>12</v>
      </c>
      <c r="T685" s="108"/>
      <c r="U685" s="108"/>
      <c r="V685" s="108"/>
      <c r="W685" s="108"/>
      <c r="X685" s="108"/>
      <c r="Y685" s="108"/>
      <c r="Z685" s="108"/>
      <c r="AA685" s="108"/>
      <c r="AB685" s="108"/>
      <c r="AC685" s="42"/>
      <c r="AD685" s="112"/>
      <c r="AE685" s="112"/>
      <c r="AF685" s="131" t="s">
        <v>12</v>
      </c>
      <c r="AG685" s="132"/>
      <c r="AH685" s="132"/>
      <c r="AI685" s="132"/>
      <c r="AJ685" s="132"/>
      <c r="AK685" s="132"/>
      <c r="AL685" s="132"/>
      <c r="AM685" s="132"/>
      <c r="AN685" s="132"/>
      <c r="AO685" s="133"/>
      <c r="AP685" s="6"/>
      <c r="AQ685" s="112"/>
      <c r="AR685" s="112"/>
      <c r="AS685" s="108" t="s">
        <v>12</v>
      </c>
      <c r="AT685" s="108"/>
      <c r="AU685" s="108"/>
      <c r="AV685" s="108"/>
      <c r="AW685" s="108"/>
      <c r="AX685" s="108"/>
      <c r="AY685" s="108"/>
      <c r="AZ685" s="108"/>
      <c r="BA685" s="108"/>
      <c r="BB685" s="108"/>
      <c r="BC685" s="42"/>
      <c r="BD685" s="112"/>
      <c r="BE685" s="112"/>
      <c r="BF685" s="108" t="s">
        <v>12</v>
      </c>
      <c r="BG685" s="108"/>
      <c r="BH685" s="108"/>
      <c r="BI685" s="108"/>
      <c r="BJ685" s="108"/>
      <c r="BK685" s="108"/>
      <c r="BL685" s="108"/>
      <c r="BM685" s="108"/>
      <c r="BN685" s="108"/>
      <c r="BO685" s="108"/>
      <c r="BQ685" s="112"/>
      <c r="BR685" s="112"/>
      <c r="BS685" s="108" t="s">
        <v>12</v>
      </c>
      <c r="BT685" s="108"/>
      <c r="BU685" s="108"/>
      <c r="BV685" s="108"/>
      <c r="BW685" s="108"/>
      <c r="BX685" s="108"/>
      <c r="BY685" s="108"/>
      <c r="BZ685" s="108"/>
      <c r="CA685" s="108"/>
      <c r="CB685" s="108"/>
      <c r="CC685" s="42"/>
      <c r="CD685" s="112"/>
      <c r="CE685" s="112"/>
      <c r="CF685" s="108" t="s">
        <v>12</v>
      </c>
      <c r="CG685" s="108"/>
      <c r="CH685" s="108"/>
      <c r="CI685" s="108"/>
      <c r="CJ685" s="108"/>
      <c r="CK685" s="108"/>
      <c r="CL685" s="108"/>
      <c r="CM685" s="108"/>
      <c r="CN685" s="108"/>
      <c r="CO685" s="108"/>
      <c r="CQ685" s="112"/>
      <c r="CR685" s="112"/>
      <c r="CS685" s="108" t="s">
        <v>12</v>
      </c>
      <c r="CT685" s="108"/>
      <c r="CU685" s="108"/>
      <c r="CV685" s="108"/>
      <c r="CW685" s="108"/>
      <c r="CX685" s="108"/>
      <c r="CY685" s="108"/>
      <c r="CZ685" s="108"/>
      <c r="DA685" s="108"/>
      <c r="DB685" s="108"/>
      <c r="DC685" s="42"/>
      <c r="DD685" s="112"/>
      <c r="DE685" s="112"/>
      <c r="DF685" s="108" t="s">
        <v>12</v>
      </c>
      <c r="DG685" s="108"/>
      <c r="DH685" s="108"/>
      <c r="DI685" s="108"/>
      <c r="DJ685" s="108"/>
      <c r="DK685" s="108"/>
      <c r="DL685" s="108"/>
      <c r="DM685" s="108"/>
      <c r="DN685" s="108"/>
      <c r="DO685" s="108"/>
    </row>
    <row r="686" spans="2:119" ht="15" customHeight="1" x14ac:dyDescent="0.45">
      <c r="B686" s="99"/>
      <c r="C686" s="42"/>
      <c r="D686" s="113"/>
      <c r="E686" s="113"/>
      <c r="F686" s="9" t="s">
        <v>0</v>
      </c>
      <c r="G686" s="9">
        <v>1</v>
      </c>
      <c r="H686" s="9">
        <v>2</v>
      </c>
      <c r="I686" s="9">
        <v>3</v>
      </c>
      <c r="J686" s="9">
        <v>4</v>
      </c>
      <c r="K686" s="9">
        <v>5</v>
      </c>
      <c r="L686" s="9">
        <v>6</v>
      </c>
      <c r="M686" s="9">
        <v>7</v>
      </c>
      <c r="N686" s="9">
        <v>8</v>
      </c>
      <c r="O686" s="9">
        <v>9</v>
      </c>
      <c r="P686" s="42"/>
      <c r="Q686" s="113"/>
      <c r="R686" s="113"/>
      <c r="S686" s="9" t="s">
        <v>0</v>
      </c>
      <c r="T686" s="9">
        <v>1</v>
      </c>
      <c r="U686" s="9">
        <v>2</v>
      </c>
      <c r="V686" s="9">
        <v>3</v>
      </c>
      <c r="W686" s="9">
        <v>4</v>
      </c>
      <c r="X686" s="9">
        <v>5</v>
      </c>
      <c r="Y686" s="9">
        <v>6</v>
      </c>
      <c r="Z686" s="9">
        <v>7</v>
      </c>
      <c r="AA686" s="9">
        <v>8</v>
      </c>
      <c r="AB686" s="9">
        <v>9</v>
      </c>
      <c r="AC686" s="42"/>
      <c r="AD686" s="113"/>
      <c r="AE686" s="113"/>
      <c r="AF686" s="9" t="s">
        <v>0</v>
      </c>
      <c r="AG686" s="9">
        <v>1</v>
      </c>
      <c r="AH686" s="9">
        <v>2</v>
      </c>
      <c r="AI686" s="9">
        <v>3</v>
      </c>
      <c r="AJ686" s="9">
        <v>4</v>
      </c>
      <c r="AK686" s="9">
        <v>5</v>
      </c>
      <c r="AL686" s="9">
        <v>6</v>
      </c>
      <c r="AM686" s="9">
        <v>7</v>
      </c>
      <c r="AN686" s="9">
        <v>8</v>
      </c>
      <c r="AO686" s="9">
        <v>9</v>
      </c>
      <c r="AP686" s="6"/>
      <c r="AQ686" s="113"/>
      <c r="AR686" s="113"/>
      <c r="AS686" s="9" t="s">
        <v>0</v>
      </c>
      <c r="AT686" s="9">
        <v>1</v>
      </c>
      <c r="AU686" s="9">
        <v>2</v>
      </c>
      <c r="AV686" s="9">
        <v>3</v>
      </c>
      <c r="AW686" s="9">
        <v>4</v>
      </c>
      <c r="AX686" s="9">
        <v>5</v>
      </c>
      <c r="AY686" s="9">
        <v>6</v>
      </c>
      <c r="AZ686" s="9">
        <v>7</v>
      </c>
      <c r="BA686" s="9">
        <v>8</v>
      </c>
      <c r="BB686" s="9">
        <v>9</v>
      </c>
      <c r="BC686" s="42"/>
      <c r="BD686" s="113"/>
      <c r="BE686" s="113"/>
      <c r="BF686" s="9" t="s">
        <v>0</v>
      </c>
      <c r="BG686" s="9">
        <v>1</v>
      </c>
      <c r="BH686" s="9">
        <v>2</v>
      </c>
      <c r="BI686" s="9">
        <v>3</v>
      </c>
      <c r="BJ686" s="9">
        <v>4</v>
      </c>
      <c r="BK686" s="9">
        <v>5</v>
      </c>
      <c r="BL686" s="9">
        <v>6</v>
      </c>
      <c r="BM686" s="9">
        <v>7</v>
      </c>
      <c r="BN686" s="9">
        <v>8</v>
      </c>
      <c r="BO686" s="9">
        <v>9</v>
      </c>
      <c r="BQ686" s="113"/>
      <c r="BR686" s="113"/>
      <c r="BS686" s="9" t="s">
        <v>0</v>
      </c>
      <c r="BT686" s="9">
        <v>1</v>
      </c>
      <c r="BU686" s="9">
        <v>2</v>
      </c>
      <c r="BV686" s="9">
        <v>3</v>
      </c>
      <c r="BW686" s="9">
        <v>4</v>
      </c>
      <c r="BX686" s="9">
        <v>5</v>
      </c>
      <c r="BY686" s="9">
        <v>6</v>
      </c>
      <c r="BZ686" s="9">
        <v>7</v>
      </c>
      <c r="CA686" s="9">
        <v>8</v>
      </c>
      <c r="CB686" s="9">
        <v>9</v>
      </c>
      <c r="CC686" s="42"/>
      <c r="CD686" s="113"/>
      <c r="CE686" s="113"/>
      <c r="CF686" s="9" t="s">
        <v>0</v>
      </c>
      <c r="CG686" s="9">
        <v>1</v>
      </c>
      <c r="CH686" s="9">
        <v>2</v>
      </c>
      <c r="CI686" s="9">
        <v>3</v>
      </c>
      <c r="CJ686" s="9">
        <v>4</v>
      </c>
      <c r="CK686" s="9">
        <v>5</v>
      </c>
      <c r="CL686" s="9">
        <v>6</v>
      </c>
      <c r="CM686" s="9">
        <v>7</v>
      </c>
      <c r="CN686" s="9">
        <v>8</v>
      </c>
      <c r="CO686" s="9">
        <v>9</v>
      </c>
      <c r="CQ686" s="113"/>
      <c r="CR686" s="113"/>
      <c r="CS686" s="9" t="s">
        <v>0</v>
      </c>
      <c r="CT686" s="9">
        <v>1</v>
      </c>
      <c r="CU686" s="9">
        <v>2</v>
      </c>
      <c r="CV686" s="9">
        <v>3</v>
      </c>
      <c r="CW686" s="9">
        <v>4</v>
      </c>
      <c r="CX686" s="9">
        <v>5</v>
      </c>
      <c r="CY686" s="9">
        <v>6</v>
      </c>
      <c r="CZ686" s="9">
        <v>7</v>
      </c>
      <c r="DA686" s="9">
        <v>8</v>
      </c>
      <c r="DB686" s="9">
        <v>9</v>
      </c>
      <c r="DC686" s="42"/>
      <c r="DD686" s="113"/>
      <c r="DE686" s="113"/>
      <c r="DF686" s="9" t="s">
        <v>0</v>
      </c>
      <c r="DG686" s="9">
        <v>1</v>
      </c>
      <c r="DH686" s="9">
        <v>2</v>
      </c>
      <c r="DI686" s="9">
        <v>3</v>
      </c>
      <c r="DJ686" s="9">
        <v>4</v>
      </c>
      <c r="DK686" s="9">
        <v>5</v>
      </c>
      <c r="DL686" s="9">
        <v>6</v>
      </c>
      <c r="DM686" s="9">
        <v>7</v>
      </c>
      <c r="DN686" s="9">
        <v>8</v>
      </c>
      <c r="DO686" s="9">
        <v>9</v>
      </c>
    </row>
    <row r="687" spans="2:119" ht="16.25" customHeight="1" x14ac:dyDescent="0.45">
      <c r="B687" s="99"/>
      <c r="C687" s="42"/>
      <c r="D687" s="109" t="s">
        <v>13</v>
      </c>
      <c r="E687" s="47" t="s">
        <v>1</v>
      </c>
      <c r="F687" s="103">
        <v>0</v>
      </c>
      <c r="G687" s="103">
        <v>0</v>
      </c>
      <c r="H687" s="103">
        <v>0</v>
      </c>
      <c r="I687" s="103">
        <v>0</v>
      </c>
      <c r="J687" s="103">
        <v>14.285714285714285</v>
      </c>
      <c r="K687" s="103">
        <v>0</v>
      </c>
      <c r="L687" s="103">
        <v>0</v>
      </c>
      <c r="M687" s="103">
        <v>14.285714285714285</v>
      </c>
      <c r="N687" s="103">
        <v>14.285714285714285</v>
      </c>
      <c r="O687" s="17">
        <v>57.142857142857139</v>
      </c>
      <c r="P687" s="42"/>
      <c r="Q687" s="109" t="s">
        <v>13</v>
      </c>
      <c r="R687" s="46" t="s">
        <v>1</v>
      </c>
      <c r="S687" s="103">
        <v>0</v>
      </c>
      <c r="T687" s="103">
        <v>0</v>
      </c>
      <c r="U687" s="103">
        <v>0</v>
      </c>
      <c r="V687" s="103">
        <v>0</v>
      </c>
      <c r="W687" s="103">
        <v>0</v>
      </c>
      <c r="X687" s="103">
        <v>0</v>
      </c>
      <c r="Y687" s="103">
        <v>0</v>
      </c>
      <c r="Z687" s="103">
        <v>50</v>
      </c>
      <c r="AA687" s="103">
        <v>0</v>
      </c>
      <c r="AB687" s="17">
        <v>50</v>
      </c>
      <c r="AC687" s="42"/>
      <c r="AD687" s="109" t="s">
        <v>13</v>
      </c>
      <c r="AE687" s="46" t="s">
        <v>1</v>
      </c>
      <c r="AF687" s="103">
        <v>0</v>
      </c>
      <c r="AG687" s="103">
        <v>0</v>
      </c>
      <c r="AH687" s="103">
        <v>0</v>
      </c>
      <c r="AI687" s="103">
        <v>0</v>
      </c>
      <c r="AJ687" s="103">
        <v>20</v>
      </c>
      <c r="AK687" s="103">
        <v>0</v>
      </c>
      <c r="AL687" s="103">
        <v>0</v>
      </c>
      <c r="AM687" s="103">
        <v>0</v>
      </c>
      <c r="AN687" s="103">
        <v>20</v>
      </c>
      <c r="AO687" s="17">
        <v>60</v>
      </c>
      <c r="AP687" s="6"/>
      <c r="AQ687" s="109" t="s">
        <v>13</v>
      </c>
      <c r="AR687" s="46" t="s">
        <v>1</v>
      </c>
      <c r="AS687" s="103">
        <v>0</v>
      </c>
      <c r="AT687" s="103">
        <v>0</v>
      </c>
      <c r="AU687" s="103">
        <v>0</v>
      </c>
      <c r="AV687" s="103">
        <v>0</v>
      </c>
      <c r="AW687" s="103">
        <v>50</v>
      </c>
      <c r="AX687" s="103">
        <v>0</v>
      </c>
      <c r="AY687" s="103">
        <v>0</v>
      </c>
      <c r="AZ687" s="103">
        <v>0</v>
      </c>
      <c r="BA687" s="103">
        <v>0</v>
      </c>
      <c r="BB687" s="17">
        <v>50</v>
      </c>
      <c r="BC687" s="42"/>
      <c r="BD687" s="109" t="s">
        <v>13</v>
      </c>
      <c r="BE687" s="46" t="s">
        <v>1</v>
      </c>
      <c r="BF687" s="103">
        <v>0</v>
      </c>
      <c r="BG687" s="103">
        <v>0</v>
      </c>
      <c r="BH687" s="103">
        <v>0</v>
      </c>
      <c r="BI687" s="103">
        <v>0</v>
      </c>
      <c r="BJ687" s="103">
        <v>0</v>
      </c>
      <c r="BK687" s="103">
        <v>0</v>
      </c>
      <c r="BL687" s="103">
        <v>0</v>
      </c>
      <c r="BM687" s="103">
        <v>20</v>
      </c>
      <c r="BN687" s="103">
        <v>20</v>
      </c>
      <c r="BO687" s="17">
        <v>60</v>
      </c>
      <c r="BQ687" s="109" t="s">
        <v>13</v>
      </c>
      <c r="BR687" s="46" t="s">
        <v>1</v>
      </c>
      <c r="BS687" s="103">
        <v>0</v>
      </c>
      <c r="BT687" s="103">
        <v>0</v>
      </c>
      <c r="BU687" s="103">
        <v>0</v>
      </c>
      <c r="BV687" s="103">
        <v>0</v>
      </c>
      <c r="BW687" s="103">
        <v>33.333333333333329</v>
      </c>
      <c r="BX687" s="103">
        <v>0</v>
      </c>
      <c r="BY687" s="103">
        <v>0</v>
      </c>
      <c r="BZ687" s="103">
        <v>0</v>
      </c>
      <c r="CA687" s="103">
        <v>33.333333333333329</v>
      </c>
      <c r="CB687" s="17">
        <v>33.333333333333329</v>
      </c>
      <c r="CC687" s="42"/>
      <c r="CD687" s="109" t="s">
        <v>13</v>
      </c>
      <c r="CE687" s="46" t="s">
        <v>1</v>
      </c>
      <c r="CF687" s="103">
        <v>0</v>
      </c>
      <c r="CG687" s="103">
        <v>0</v>
      </c>
      <c r="CH687" s="103">
        <v>0</v>
      </c>
      <c r="CI687" s="103">
        <v>0</v>
      </c>
      <c r="CJ687" s="103">
        <v>0</v>
      </c>
      <c r="CK687" s="103">
        <v>0</v>
      </c>
      <c r="CL687" s="103">
        <v>0</v>
      </c>
      <c r="CM687" s="103">
        <v>25</v>
      </c>
      <c r="CN687" s="103">
        <v>0</v>
      </c>
      <c r="CO687" s="17">
        <v>75</v>
      </c>
      <c r="CQ687" s="109" t="s">
        <v>13</v>
      </c>
      <c r="CR687" s="46" t="s">
        <v>1</v>
      </c>
      <c r="CS687" s="103">
        <v>0</v>
      </c>
      <c r="CT687" s="103">
        <v>0</v>
      </c>
      <c r="CU687" s="103">
        <v>0</v>
      </c>
      <c r="CV687" s="103">
        <v>0</v>
      </c>
      <c r="CW687" s="103">
        <v>14.285714285714285</v>
      </c>
      <c r="CX687" s="103">
        <v>0</v>
      </c>
      <c r="CY687" s="103">
        <v>0</v>
      </c>
      <c r="CZ687" s="103">
        <v>14.285714285714285</v>
      </c>
      <c r="DA687" s="103">
        <v>14.285714285714285</v>
      </c>
      <c r="DB687" s="17">
        <v>57.142857142857139</v>
      </c>
      <c r="DC687" s="42"/>
      <c r="DD687" s="109" t="s">
        <v>13</v>
      </c>
      <c r="DE687" s="46" t="s">
        <v>1</v>
      </c>
      <c r="DF687" s="103" t="s">
        <v>128</v>
      </c>
      <c r="DG687" s="103" t="s">
        <v>128</v>
      </c>
      <c r="DH687" s="103" t="s">
        <v>128</v>
      </c>
      <c r="DI687" s="103" t="s">
        <v>128</v>
      </c>
      <c r="DJ687" s="103" t="s">
        <v>128</v>
      </c>
      <c r="DK687" s="103" t="s">
        <v>128</v>
      </c>
      <c r="DL687" s="103" t="s">
        <v>128</v>
      </c>
      <c r="DM687" s="103" t="s">
        <v>128</v>
      </c>
      <c r="DN687" s="103" t="s">
        <v>128</v>
      </c>
      <c r="DO687" s="17" t="s">
        <v>128</v>
      </c>
    </row>
    <row r="688" spans="2:119" ht="16.25" customHeight="1" x14ac:dyDescent="0.45">
      <c r="B688" s="99"/>
      <c r="C688" s="42"/>
      <c r="D688" s="110"/>
      <c r="E688" s="47">
        <v>1</v>
      </c>
      <c r="F688" s="103">
        <v>0</v>
      </c>
      <c r="G688" s="103">
        <v>0</v>
      </c>
      <c r="H688" s="103">
        <v>3.225806451612903</v>
      </c>
      <c r="I688" s="103">
        <v>9.67741935483871</v>
      </c>
      <c r="J688" s="103">
        <v>3.225806451612903</v>
      </c>
      <c r="K688" s="103">
        <v>6.4516129032258061</v>
      </c>
      <c r="L688" s="103">
        <v>6.4516129032258061</v>
      </c>
      <c r="M688" s="103">
        <v>12.903225806451612</v>
      </c>
      <c r="N688" s="103">
        <v>22.58064516129032</v>
      </c>
      <c r="O688" s="103">
        <v>35.483870967741936</v>
      </c>
      <c r="P688" s="42"/>
      <c r="Q688" s="110"/>
      <c r="R688" s="46">
        <v>1</v>
      </c>
      <c r="S688" s="103">
        <v>0</v>
      </c>
      <c r="T688" s="103">
        <v>0</v>
      </c>
      <c r="U688" s="103">
        <v>5</v>
      </c>
      <c r="V688" s="103">
        <v>10</v>
      </c>
      <c r="W688" s="103">
        <v>0</v>
      </c>
      <c r="X688" s="103">
        <v>0</v>
      </c>
      <c r="Y688" s="103">
        <v>5</v>
      </c>
      <c r="Z688" s="103">
        <v>20</v>
      </c>
      <c r="AA688" s="103">
        <v>25</v>
      </c>
      <c r="AB688" s="103">
        <v>35</v>
      </c>
      <c r="AC688" s="42"/>
      <c r="AD688" s="110"/>
      <c r="AE688" s="46">
        <v>1</v>
      </c>
      <c r="AF688" s="103">
        <v>0</v>
      </c>
      <c r="AG688" s="103">
        <v>0</v>
      </c>
      <c r="AH688" s="103">
        <v>0</v>
      </c>
      <c r="AI688" s="103">
        <v>9.0909090909090917</v>
      </c>
      <c r="AJ688" s="103">
        <v>9.0909090909090917</v>
      </c>
      <c r="AK688" s="103">
        <v>18.181818181818183</v>
      </c>
      <c r="AL688" s="103">
        <v>9.0909090909090917</v>
      </c>
      <c r="AM688" s="103">
        <v>0</v>
      </c>
      <c r="AN688" s="103">
        <v>18.181818181818183</v>
      </c>
      <c r="AO688" s="103">
        <v>36.363636363636367</v>
      </c>
      <c r="AP688" s="6"/>
      <c r="AQ688" s="110"/>
      <c r="AR688" s="46">
        <v>1</v>
      </c>
      <c r="AS688" s="103">
        <v>0</v>
      </c>
      <c r="AT688" s="103">
        <v>0</v>
      </c>
      <c r="AU688" s="103">
        <v>11.111111111111111</v>
      </c>
      <c r="AV688" s="103">
        <v>22.222222222222221</v>
      </c>
      <c r="AW688" s="103">
        <v>0</v>
      </c>
      <c r="AX688" s="103">
        <v>11.111111111111111</v>
      </c>
      <c r="AY688" s="103">
        <v>11.111111111111111</v>
      </c>
      <c r="AZ688" s="103">
        <v>11.111111111111111</v>
      </c>
      <c r="BA688" s="103">
        <v>11.111111111111111</v>
      </c>
      <c r="BB688" s="103">
        <v>22.222222222222221</v>
      </c>
      <c r="BC688" s="42"/>
      <c r="BD688" s="110"/>
      <c r="BE688" s="46">
        <v>1</v>
      </c>
      <c r="BF688" s="103">
        <v>0</v>
      </c>
      <c r="BG688" s="103">
        <v>0</v>
      </c>
      <c r="BH688" s="103">
        <v>0</v>
      </c>
      <c r="BI688" s="103">
        <v>4.5454545454545459</v>
      </c>
      <c r="BJ688" s="103">
        <v>4.5454545454545459</v>
      </c>
      <c r="BK688" s="103">
        <v>4.5454545454545459</v>
      </c>
      <c r="BL688" s="103">
        <v>4.5454545454545459</v>
      </c>
      <c r="BM688" s="103">
        <v>13.636363636363635</v>
      </c>
      <c r="BN688" s="103">
        <v>27.27272727272727</v>
      </c>
      <c r="BO688" s="103">
        <v>40.909090909090914</v>
      </c>
      <c r="BQ688" s="110"/>
      <c r="BR688" s="46">
        <v>1</v>
      </c>
      <c r="BS688" s="103">
        <v>0</v>
      </c>
      <c r="BT688" s="103">
        <v>0</v>
      </c>
      <c r="BU688" s="103">
        <v>14.285714285714285</v>
      </c>
      <c r="BV688" s="103">
        <v>28.571428571428569</v>
      </c>
      <c r="BW688" s="103">
        <v>0</v>
      </c>
      <c r="BX688" s="103">
        <v>14.285714285714285</v>
      </c>
      <c r="BY688" s="103">
        <v>28.571428571428569</v>
      </c>
      <c r="BZ688" s="103">
        <v>14.285714285714285</v>
      </c>
      <c r="CA688" s="103">
        <v>0</v>
      </c>
      <c r="CB688" s="103">
        <v>0</v>
      </c>
      <c r="CC688" s="42"/>
      <c r="CD688" s="110"/>
      <c r="CE688" s="46">
        <v>1</v>
      </c>
      <c r="CF688" s="103">
        <v>0</v>
      </c>
      <c r="CG688" s="103">
        <v>0</v>
      </c>
      <c r="CH688" s="103">
        <v>0</v>
      </c>
      <c r="CI688" s="103">
        <v>4.1666666666666661</v>
      </c>
      <c r="CJ688" s="103">
        <v>4.1666666666666661</v>
      </c>
      <c r="CK688" s="103">
        <v>4.1666666666666661</v>
      </c>
      <c r="CL688" s="103">
        <v>0</v>
      </c>
      <c r="CM688" s="103">
        <v>12.5</v>
      </c>
      <c r="CN688" s="103">
        <v>29.166666666666668</v>
      </c>
      <c r="CO688" s="103">
        <v>45.833333333333329</v>
      </c>
      <c r="CQ688" s="110"/>
      <c r="CR688" s="46">
        <v>1</v>
      </c>
      <c r="CS688" s="103">
        <v>0</v>
      </c>
      <c r="CT688" s="103">
        <v>0</v>
      </c>
      <c r="CU688" s="103">
        <v>3.3333333333333335</v>
      </c>
      <c r="CV688" s="103">
        <v>10</v>
      </c>
      <c r="CW688" s="103">
        <v>3.3333333333333335</v>
      </c>
      <c r="CX688" s="103">
        <v>6.666666666666667</v>
      </c>
      <c r="CY688" s="103">
        <v>3.3333333333333335</v>
      </c>
      <c r="CZ688" s="103">
        <v>13.333333333333334</v>
      </c>
      <c r="DA688" s="103">
        <v>23.333333333333332</v>
      </c>
      <c r="DB688" s="103">
        <v>36.666666666666664</v>
      </c>
      <c r="DC688" s="42"/>
      <c r="DD688" s="110"/>
      <c r="DE688" s="46">
        <v>1</v>
      </c>
      <c r="DF688" s="103">
        <v>0</v>
      </c>
      <c r="DG688" s="103">
        <v>0</v>
      </c>
      <c r="DH688" s="103">
        <v>0</v>
      </c>
      <c r="DI688" s="103">
        <v>0</v>
      </c>
      <c r="DJ688" s="103">
        <v>0</v>
      </c>
      <c r="DK688" s="103">
        <v>0</v>
      </c>
      <c r="DL688" s="103">
        <v>100</v>
      </c>
      <c r="DM688" s="103">
        <v>0</v>
      </c>
      <c r="DN688" s="103">
        <v>0</v>
      </c>
      <c r="DO688" s="103">
        <v>0</v>
      </c>
    </row>
    <row r="689" spans="2:119" ht="16.25" customHeight="1" x14ac:dyDescent="0.45">
      <c r="B689" s="99"/>
      <c r="C689" s="42"/>
      <c r="D689" s="110"/>
      <c r="E689" s="47" t="s">
        <v>2</v>
      </c>
      <c r="F689" s="103">
        <v>3.2738095238095242</v>
      </c>
      <c r="G689" s="103">
        <v>2.083333333333333</v>
      </c>
      <c r="H689" s="103">
        <v>9.8214285714285712</v>
      </c>
      <c r="I689" s="103">
        <v>8.9285714285714288</v>
      </c>
      <c r="J689" s="103">
        <v>5.3571428571428568</v>
      </c>
      <c r="K689" s="103">
        <v>13.988095238095239</v>
      </c>
      <c r="L689" s="103">
        <v>7.4404761904761907</v>
      </c>
      <c r="M689" s="103">
        <v>12.202380952380953</v>
      </c>
      <c r="N689" s="103">
        <v>16.666666666666664</v>
      </c>
      <c r="O689" s="103">
        <v>20.238095238095237</v>
      </c>
      <c r="P689" s="42"/>
      <c r="Q689" s="110"/>
      <c r="R689" s="46" t="s">
        <v>2</v>
      </c>
      <c r="S689" s="103">
        <v>2.9761904761904758</v>
      </c>
      <c r="T689" s="103">
        <v>1.1904761904761905</v>
      </c>
      <c r="U689" s="103">
        <v>8.3333333333333321</v>
      </c>
      <c r="V689" s="103">
        <v>8.9285714285714288</v>
      </c>
      <c r="W689" s="103">
        <v>5.3571428571428568</v>
      </c>
      <c r="X689" s="103">
        <v>13.690476190476192</v>
      </c>
      <c r="Y689" s="103">
        <v>8.9285714285714288</v>
      </c>
      <c r="Z689" s="103">
        <v>11.30952380952381</v>
      </c>
      <c r="AA689" s="103">
        <v>14.285714285714285</v>
      </c>
      <c r="AB689" s="103">
        <v>25</v>
      </c>
      <c r="AC689" s="42"/>
      <c r="AD689" s="110"/>
      <c r="AE689" s="46" t="s">
        <v>2</v>
      </c>
      <c r="AF689" s="103">
        <v>3.5714285714285712</v>
      </c>
      <c r="AG689" s="103">
        <v>2.9761904761904758</v>
      </c>
      <c r="AH689" s="103">
        <v>11.30952380952381</v>
      </c>
      <c r="AI689" s="103">
        <v>8.9285714285714288</v>
      </c>
      <c r="AJ689" s="103">
        <v>5.3571428571428568</v>
      </c>
      <c r="AK689" s="103">
        <v>14.285714285714285</v>
      </c>
      <c r="AL689" s="103">
        <v>5.9523809523809517</v>
      </c>
      <c r="AM689" s="103">
        <v>13.095238095238097</v>
      </c>
      <c r="AN689" s="103">
        <v>19.047619047619047</v>
      </c>
      <c r="AO689" s="103">
        <v>15.476190476190476</v>
      </c>
      <c r="AP689" s="6"/>
      <c r="AQ689" s="110"/>
      <c r="AR689" s="46" t="s">
        <v>2</v>
      </c>
      <c r="AS689" s="103">
        <v>2.5862068965517242</v>
      </c>
      <c r="AT689" s="103">
        <v>2.5862068965517242</v>
      </c>
      <c r="AU689" s="103">
        <v>12.931034482758621</v>
      </c>
      <c r="AV689" s="103">
        <v>14.655172413793101</v>
      </c>
      <c r="AW689" s="103">
        <v>5.1724137931034484</v>
      </c>
      <c r="AX689" s="103">
        <v>12.931034482758621</v>
      </c>
      <c r="AY689" s="103">
        <v>10.344827586206897</v>
      </c>
      <c r="AZ689" s="103">
        <v>12.931034482758621</v>
      </c>
      <c r="BA689" s="103">
        <v>12.068965517241379</v>
      </c>
      <c r="BB689" s="103">
        <v>13.793103448275861</v>
      </c>
      <c r="BC689" s="42"/>
      <c r="BD689" s="110"/>
      <c r="BE689" s="46" t="s">
        <v>2</v>
      </c>
      <c r="BF689" s="103">
        <v>3.6363636363636362</v>
      </c>
      <c r="BG689" s="103">
        <v>1.8181818181818181</v>
      </c>
      <c r="BH689" s="103">
        <v>8.1818181818181817</v>
      </c>
      <c r="BI689" s="103">
        <v>5.9090909090909092</v>
      </c>
      <c r="BJ689" s="103">
        <v>5.4545454545454541</v>
      </c>
      <c r="BK689" s="103">
        <v>14.545454545454545</v>
      </c>
      <c r="BL689" s="103">
        <v>5.9090909090909092</v>
      </c>
      <c r="BM689" s="103">
        <v>11.818181818181818</v>
      </c>
      <c r="BN689" s="103">
        <v>19.090909090909093</v>
      </c>
      <c r="BO689" s="103">
        <v>23.636363636363637</v>
      </c>
      <c r="BQ689" s="110"/>
      <c r="BR689" s="46" t="s">
        <v>2</v>
      </c>
      <c r="BS689" s="103">
        <v>2.5423728813559325</v>
      </c>
      <c r="BT689" s="103">
        <v>3.3898305084745761</v>
      </c>
      <c r="BU689" s="103">
        <v>15.254237288135593</v>
      </c>
      <c r="BV689" s="103">
        <v>16.101694915254235</v>
      </c>
      <c r="BW689" s="103">
        <v>8.4745762711864394</v>
      </c>
      <c r="BX689" s="103">
        <v>16.949152542372879</v>
      </c>
      <c r="BY689" s="103">
        <v>6.7796610169491522</v>
      </c>
      <c r="BZ689" s="103">
        <v>9.3220338983050848</v>
      </c>
      <c r="CA689" s="103">
        <v>11.864406779661017</v>
      </c>
      <c r="CB689" s="103">
        <v>9.3220338983050848</v>
      </c>
      <c r="CC689" s="42"/>
      <c r="CD689" s="110"/>
      <c r="CE689" s="46" t="s">
        <v>2</v>
      </c>
      <c r="CF689" s="103">
        <v>3.669724770642202</v>
      </c>
      <c r="CG689" s="103">
        <v>1.3761467889908259</v>
      </c>
      <c r="CH689" s="103">
        <v>6.8807339449541285</v>
      </c>
      <c r="CI689" s="103">
        <v>5.0458715596330279</v>
      </c>
      <c r="CJ689" s="103">
        <v>3.669724770642202</v>
      </c>
      <c r="CK689" s="103">
        <v>12.385321100917432</v>
      </c>
      <c r="CL689" s="103">
        <v>7.7981651376146797</v>
      </c>
      <c r="CM689" s="103">
        <v>13.761467889908257</v>
      </c>
      <c r="CN689" s="103">
        <v>19.26605504587156</v>
      </c>
      <c r="CO689" s="103">
        <v>26.146788990825687</v>
      </c>
      <c r="CQ689" s="110"/>
      <c r="CR689" s="46" t="s">
        <v>2</v>
      </c>
      <c r="CS689" s="103">
        <v>3.5256410256410255</v>
      </c>
      <c r="CT689" s="103">
        <v>1.2820512820512819</v>
      </c>
      <c r="CU689" s="103">
        <v>7.6923076923076925</v>
      </c>
      <c r="CV689" s="103">
        <v>8.9743589743589745</v>
      </c>
      <c r="CW689" s="103">
        <v>5.4487179487179489</v>
      </c>
      <c r="CX689" s="103">
        <v>14.102564102564102</v>
      </c>
      <c r="CY689" s="103">
        <v>7.0512820512820511</v>
      </c>
      <c r="CZ689" s="103">
        <v>13.141025641025642</v>
      </c>
      <c r="DA689" s="103">
        <v>16.987179487179489</v>
      </c>
      <c r="DB689" s="103">
        <v>21.794871794871796</v>
      </c>
      <c r="DC689" s="42"/>
      <c r="DD689" s="110"/>
      <c r="DE689" s="46" t="s">
        <v>2</v>
      </c>
      <c r="DF689" s="103">
        <v>0</v>
      </c>
      <c r="DG689" s="103">
        <v>12.5</v>
      </c>
      <c r="DH689" s="103">
        <v>37.5</v>
      </c>
      <c r="DI689" s="103">
        <v>8.3333333333333321</v>
      </c>
      <c r="DJ689" s="103">
        <v>4.1666666666666661</v>
      </c>
      <c r="DK689" s="103">
        <v>12.5</v>
      </c>
      <c r="DL689" s="103">
        <v>12.5</v>
      </c>
      <c r="DM689" s="103">
        <v>0</v>
      </c>
      <c r="DN689" s="103">
        <v>12.5</v>
      </c>
      <c r="DO689" s="103">
        <v>0</v>
      </c>
    </row>
    <row r="690" spans="2:119" ht="16.25" customHeight="1" x14ac:dyDescent="0.45">
      <c r="B690" s="99"/>
      <c r="C690" s="42"/>
      <c r="D690" s="110"/>
      <c r="E690" s="47" t="s">
        <v>3</v>
      </c>
      <c r="F690" s="103">
        <v>7.608695652173914</v>
      </c>
      <c r="G690" s="103">
        <v>3.2608695652173911</v>
      </c>
      <c r="H690" s="103">
        <v>7.608695652173914</v>
      </c>
      <c r="I690" s="103">
        <v>9.7826086956521738</v>
      </c>
      <c r="J690" s="103">
        <v>8.695652173913043</v>
      </c>
      <c r="K690" s="103">
        <v>12.5</v>
      </c>
      <c r="L690" s="103">
        <v>7.608695652173914</v>
      </c>
      <c r="M690" s="103">
        <v>11.956521739130435</v>
      </c>
      <c r="N690" s="103">
        <v>17.391304347826086</v>
      </c>
      <c r="O690" s="103">
        <v>13.586956521739129</v>
      </c>
      <c r="P690" s="42"/>
      <c r="Q690" s="110"/>
      <c r="R690" s="46" t="s">
        <v>3</v>
      </c>
      <c r="S690" s="103">
        <v>7.1428571428571423</v>
      </c>
      <c r="T690" s="103">
        <v>3.0612244897959182</v>
      </c>
      <c r="U690" s="103">
        <v>5.1020408163265305</v>
      </c>
      <c r="V690" s="103">
        <v>10.204081632653061</v>
      </c>
      <c r="W690" s="103">
        <v>12.244897959183673</v>
      </c>
      <c r="X690" s="103">
        <v>13.26530612244898</v>
      </c>
      <c r="Y690" s="103">
        <v>6.1224489795918364</v>
      </c>
      <c r="Z690" s="103">
        <v>13.26530612244898</v>
      </c>
      <c r="AA690" s="103">
        <v>16.326530612244898</v>
      </c>
      <c r="AB690" s="103">
        <v>13.26530612244898</v>
      </c>
      <c r="AC690" s="42"/>
      <c r="AD690" s="110"/>
      <c r="AE690" s="46" t="s">
        <v>3</v>
      </c>
      <c r="AF690" s="103">
        <v>8.1395348837209305</v>
      </c>
      <c r="AG690" s="103">
        <v>3.4883720930232558</v>
      </c>
      <c r="AH690" s="103">
        <v>10.465116279069768</v>
      </c>
      <c r="AI690" s="103">
        <v>9.3023255813953494</v>
      </c>
      <c r="AJ690" s="103">
        <v>4.6511627906976747</v>
      </c>
      <c r="AK690" s="103">
        <v>11.627906976744185</v>
      </c>
      <c r="AL690" s="103">
        <v>9.3023255813953494</v>
      </c>
      <c r="AM690" s="103">
        <v>10.465116279069768</v>
      </c>
      <c r="AN690" s="103">
        <v>18.604651162790699</v>
      </c>
      <c r="AO690" s="103">
        <v>13.953488372093023</v>
      </c>
      <c r="AP690" s="6"/>
      <c r="AQ690" s="110"/>
      <c r="AR690" s="46" t="s">
        <v>3</v>
      </c>
      <c r="AS690" s="103">
        <v>10.714285714285714</v>
      </c>
      <c r="AT690" s="103">
        <v>3.5714285714285712</v>
      </c>
      <c r="AU690" s="103">
        <v>12.5</v>
      </c>
      <c r="AV690" s="103">
        <v>12.5</v>
      </c>
      <c r="AW690" s="103">
        <v>12.5</v>
      </c>
      <c r="AX690" s="103">
        <v>10.714285714285714</v>
      </c>
      <c r="AY690" s="103">
        <v>7.1428571428571423</v>
      </c>
      <c r="AZ690" s="103">
        <v>8.9285714285714288</v>
      </c>
      <c r="BA690" s="103">
        <v>8.9285714285714288</v>
      </c>
      <c r="BB690" s="103">
        <v>12.5</v>
      </c>
      <c r="BC690" s="42"/>
      <c r="BD690" s="110"/>
      <c r="BE690" s="46" t="s">
        <v>3</v>
      </c>
      <c r="BF690" s="103">
        <v>6.25</v>
      </c>
      <c r="BG690" s="103">
        <v>3.125</v>
      </c>
      <c r="BH690" s="103">
        <v>5.46875</v>
      </c>
      <c r="BI690" s="103">
        <v>8.59375</v>
      </c>
      <c r="BJ690" s="103">
        <v>7.03125</v>
      </c>
      <c r="BK690" s="103">
        <v>13.28125</v>
      </c>
      <c r="BL690" s="103">
        <v>7.8125</v>
      </c>
      <c r="BM690" s="103">
        <v>13.28125</v>
      </c>
      <c r="BN690" s="103">
        <v>21.09375</v>
      </c>
      <c r="BO690" s="103">
        <v>14.0625</v>
      </c>
      <c r="BQ690" s="110"/>
      <c r="BR690" s="46" t="s">
        <v>3</v>
      </c>
      <c r="BS690" s="103">
        <v>11.76470588235294</v>
      </c>
      <c r="BT690" s="103">
        <v>9.8039215686274517</v>
      </c>
      <c r="BU690" s="103">
        <v>9.8039215686274517</v>
      </c>
      <c r="BV690" s="103">
        <v>11.76470588235294</v>
      </c>
      <c r="BW690" s="103">
        <v>13.725490196078432</v>
      </c>
      <c r="BX690" s="103">
        <v>11.76470588235294</v>
      </c>
      <c r="BY690" s="103">
        <v>5.8823529411764701</v>
      </c>
      <c r="BZ690" s="103">
        <v>9.8039215686274517</v>
      </c>
      <c r="CA690" s="103">
        <v>7.8431372549019605</v>
      </c>
      <c r="CB690" s="103">
        <v>7.8431372549019605</v>
      </c>
      <c r="CC690" s="42"/>
      <c r="CD690" s="110"/>
      <c r="CE690" s="46" t="s">
        <v>3</v>
      </c>
      <c r="CF690" s="103">
        <v>6.0150375939849621</v>
      </c>
      <c r="CG690" s="103">
        <v>0.75187969924812026</v>
      </c>
      <c r="CH690" s="103">
        <v>6.7669172932330826</v>
      </c>
      <c r="CI690" s="103">
        <v>9.0225563909774422</v>
      </c>
      <c r="CJ690" s="103">
        <v>6.7669172932330826</v>
      </c>
      <c r="CK690" s="103">
        <v>12.781954887218044</v>
      </c>
      <c r="CL690" s="103">
        <v>8.2706766917293226</v>
      </c>
      <c r="CM690" s="103">
        <v>12.781954887218044</v>
      </c>
      <c r="CN690" s="103">
        <v>21.052631578947366</v>
      </c>
      <c r="CO690" s="103">
        <v>15.789473684210526</v>
      </c>
      <c r="CQ690" s="110"/>
      <c r="CR690" s="46" t="s">
        <v>3</v>
      </c>
      <c r="CS690" s="103">
        <v>7.8313253012048198</v>
      </c>
      <c r="CT690" s="103">
        <v>3.6144578313253009</v>
      </c>
      <c r="CU690" s="103">
        <v>4.8192771084337354</v>
      </c>
      <c r="CV690" s="103">
        <v>9.6385542168674707</v>
      </c>
      <c r="CW690" s="103">
        <v>8.4337349397590362</v>
      </c>
      <c r="CX690" s="103">
        <v>10.843373493975903</v>
      </c>
      <c r="CY690" s="103">
        <v>8.4337349397590362</v>
      </c>
      <c r="CZ690" s="103">
        <v>12.048192771084338</v>
      </c>
      <c r="DA690" s="103">
        <v>19.277108433734941</v>
      </c>
      <c r="DB690" s="103">
        <v>15.060240963855422</v>
      </c>
      <c r="DC690" s="42"/>
      <c r="DD690" s="110"/>
      <c r="DE690" s="46" t="s">
        <v>3</v>
      </c>
      <c r="DF690" s="103">
        <v>5.5555555555555554</v>
      </c>
      <c r="DG690" s="103">
        <v>0</v>
      </c>
      <c r="DH690" s="103">
        <v>33.333333333333329</v>
      </c>
      <c r="DI690" s="103">
        <v>11.111111111111111</v>
      </c>
      <c r="DJ690" s="103">
        <v>11.111111111111111</v>
      </c>
      <c r="DK690" s="103">
        <v>27.777777777777779</v>
      </c>
      <c r="DL690" s="103">
        <v>0</v>
      </c>
      <c r="DM690" s="103">
        <v>11.111111111111111</v>
      </c>
      <c r="DN690" s="103">
        <v>0</v>
      </c>
      <c r="DO690" s="103">
        <v>0</v>
      </c>
    </row>
    <row r="691" spans="2:119" ht="16.25" customHeight="1" x14ac:dyDescent="0.45">
      <c r="B691" s="99"/>
      <c r="C691" s="42"/>
      <c r="D691" s="110"/>
      <c r="E691" s="47" t="s">
        <v>4</v>
      </c>
      <c r="F691" s="103">
        <v>4.3478260869565215</v>
      </c>
      <c r="G691" s="103">
        <v>1.3377926421404682</v>
      </c>
      <c r="H691" s="103">
        <v>10.702341137123746</v>
      </c>
      <c r="I691" s="103">
        <v>14.381270903010032</v>
      </c>
      <c r="J691" s="103">
        <v>5.6856187290969897</v>
      </c>
      <c r="K691" s="103">
        <v>13.712374581939798</v>
      </c>
      <c r="L691" s="103">
        <v>5.3511705685618729</v>
      </c>
      <c r="M691" s="103">
        <v>12.374581939799331</v>
      </c>
      <c r="N691" s="103">
        <v>16.387959866220736</v>
      </c>
      <c r="O691" s="103">
        <v>15.719063545150503</v>
      </c>
      <c r="P691" s="42"/>
      <c r="Q691" s="110"/>
      <c r="R691" s="46" t="s">
        <v>4</v>
      </c>
      <c r="S691" s="103">
        <v>3.0674846625766872</v>
      </c>
      <c r="T691" s="103">
        <v>1.2269938650306749</v>
      </c>
      <c r="U691" s="103">
        <v>9.8159509202453989</v>
      </c>
      <c r="V691" s="103">
        <v>14.723926380368098</v>
      </c>
      <c r="W691" s="103">
        <v>4.294478527607362</v>
      </c>
      <c r="X691" s="103">
        <v>13.496932515337424</v>
      </c>
      <c r="Y691" s="103">
        <v>6.1349693251533743</v>
      </c>
      <c r="Z691" s="103">
        <v>12.883435582822086</v>
      </c>
      <c r="AA691" s="103">
        <v>16.564417177914109</v>
      </c>
      <c r="AB691" s="103">
        <v>17.791411042944784</v>
      </c>
      <c r="AC691" s="42"/>
      <c r="AD691" s="110"/>
      <c r="AE691" s="46" t="s">
        <v>4</v>
      </c>
      <c r="AF691" s="103">
        <v>5.8823529411764701</v>
      </c>
      <c r="AG691" s="103">
        <v>1.4705882352941175</v>
      </c>
      <c r="AH691" s="103">
        <v>11.76470588235294</v>
      </c>
      <c r="AI691" s="103">
        <v>13.970588235294118</v>
      </c>
      <c r="AJ691" s="103">
        <v>7.3529411764705888</v>
      </c>
      <c r="AK691" s="103">
        <v>13.970588235294118</v>
      </c>
      <c r="AL691" s="103">
        <v>4.4117647058823533</v>
      </c>
      <c r="AM691" s="103">
        <v>11.76470588235294</v>
      </c>
      <c r="AN691" s="103">
        <v>16.176470588235293</v>
      </c>
      <c r="AO691" s="103">
        <v>13.23529411764706</v>
      </c>
      <c r="AP691" s="6"/>
      <c r="AQ691" s="110"/>
      <c r="AR691" s="46" t="s">
        <v>4</v>
      </c>
      <c r="AS691" s="103">
        <v>3.6363636363636362</v>
      </c>
      <c r="AT691" s="103">
        <v>0</v>
      </c>
      <c r="AU691" s="103">
        <v>18.181818181818183</v>
      </c>
      <c r="AV691" s="103">
        <v>20.909090909090907</v>
      </c>
      <c r="AW691" s="103">
        <v>6.3636363636363633</v>
      </c>
      <c r="AX691" s="103">
        <v>16.363636363636363</v>
      </c>
      <c r="AY691" s="103">
        <v>5.4545454545454541</v>
      </c>
      <c r="AZ691" s="103">
        <v>7.2727272727272725</v>
      </c>
      <c r="BA691" s="103">
        <v>12.727272727272727</v>
      </c>
      <c r="BB691" s="103">
        <v>9.0909090909090917</v>
      </c>
      <c r="BC691" s="42"/>
      <c r="BD691" s="110"/>
      <c r="BE691" s="46" t="s">
        <v>4</v>
      </c>
      <c r="BF691" s="103">
        <v>4.7619047619047619</v>
      </c>
      <c r="BG691" s="103">
        <v>2.1164021164021163</v>
      </c>
      <c r="BH691" s="103">
        <v>6.3492063492063489</v>
      </c>
      <c r="BI691" s="103">
        <v>10.582010582010582</v>
      </c>
      <c r="BJ691" s="103">
        <v>5.2910052910052912</v>
      </c>
      <c r="BK691" s="103">
        <v>12.169312169312169</v>
      </c>
      <c r="BL691" s="103">
        <v>5.2910052910052912</v>
      </c>
      <c r="BM691" s="103">
        <v>15.343915343915343</v>
      </c>
      <c r="BN691" s="103">
        <v>18.518518518518519</v>
      </c>
      <c r="BO691" s="103">
        <v>19.576719576719576</v>
      </c>
      <c r="BQ691" s="110"/>
      <c r="BR691" s="46" t="s">
        <v>4</v>
      </c>
      <c r="BS691" s="103">
        <v>4.918032786885246</v>
      </c>
      <c r="BT691" s="103">
        <v>3.278688524590164</v>
      </c>
      <c r="BU691" s="103">
        <v>13.114754098360656</v>
      </c>
      <c r="BV691" s="103">
        <v>14.754098360655737</v>
      </c>
      <c r="BW691" s="103">
        <v>6.557377049180328</v>
      </c>
      <c r="BX691" s="103">
        <v>24.590163934426229</v>
      </c>
      <c r="BY691" s="103">
        <v>6.557377049180328</v>
      </c>
      <c r="BZ691" s="103">
        <v>13.114754098360656</v>
      </c>
      <c r="CA691" s="103">
        <v>4.918032786885246</v>
      </c>
      <c r="CB691" s="103">
        <v>8.1967213114754092</v>
      </c>
      <c r="CC691" s="42"/>
      <c r="CD691" s="110"/>
      <c r="CE691" s="46" t="s">
        <v>4</v>
      </c>
      <c r="CF691" s="103">
        <v>4.2016806722689077</v>
      </c>
      <c r="CG691" s="103">
        <v>0.84033613445378152</v>
      </c>
      <c r="CH691" s="103">
        <v>10.084033613445378</v>
      </c>
      <c r="CI691" s="103">
        <v>14.285714285714285</v>
      </c>
      <c r="CJ691" s="103">
        <v>5.46218487394958</v>
      </c>
      <c r="CK691" s="103">
        <v>10.92436974789916</v>
      </c>
      <c r="CL691" s="103">
        <v>5.0420168067226889</v>
      </c>
      <c r="CM691" s="103">
        <v>12.184873949579831</v>
      </c>
      <c r="CN691" s="103">
        <v>19.327731092436977</v>
      </c>
      <c r="CO691" s="103">
        <v>17.647058823529413</v>
      </c>
      <c r="CQ691" s="110"/>
      <c r="CR691" s="46" t="s">
        <v>4</v>
      </c>
      <c r="CS691" s="103">
        <v>4.0892193308550189</v>
      </c>
      <c r="CT691" s="103">
        <v>0.37174721189591076</v>
      </c>
      <c r="CU691" s="103">
        <v>7.4349442379182156</v>
      </c>
      <c r="CV691" s="103">
        <v>14.12639405204461</v>
      </c>
      <c r="CW691" s="103">
        <v>5.9479553903345721</v>
      </c>
      <c r="CX691" s="103">
        <v>13.754646840148698</v>
      </c>
      <c r="CY691" s="103">
        <v>5.9479553903345721</v>
      </c>
      <c r="CZ691" s="103">
        <v>13.011152416356877</v>
      </c>
      <c r="DA691" s="103">
        <v>17.843866171003718</v>
      </c>
      <c r="DB691" s="103">
        <v>17.472118959107807</v>
      </c>
      <c r="DC691" s="42"/>
      <c r="DD691" s="110"/>
      <c r="DE691" s="46" t="s">
        <v>4</v>
      </c>
      <c r="DF691" s="103">
        <v>6.666666666666667</v>
      </c>
      <c r="DG691" s="103">
        <v>10</v>
      </c>
      <c r="DH691" s="103">
        <v>40</v>
      </c>
      <c r="DI691" s="103">
        <v>16.666666666666664</v>
      </c>
      <c r="DJ691" s="103">
        <v>3.3333333333333335</v>
      </c>
      <c r="DK691" s="103">
        <v>13.333333333333334</v>
      </c>
      <c r="DL691" s="103">
        <v>0</v>
      </c>
      <c r="DM691" s="103">
        <v>6.666666666666667</v>
      </c>
      <c r="DN691" s="103">
        <v>3.3333333333333335</v>
      </c>
      <c r="DO691" s="103">
        <v>0</v>
      </c>
    </row>
    <row r="692" spans="2:119" ht="16.25" customHeight="1" x14ac:dyDescent="0.45">
      <c r="B692" s="99"/>
      <c r="C692" s="42"/>
      <c r="D692" s="110"/>
      <c r="E692" s="47" t="s">
        <v>5</v>
      </c>
      <c r="F692" s="103">
        <v>4.3835616438356162</v>
      </c>
      <c r="G692" s="103">
        <v>3.2876712328767121</v>
      </c>
      <c r="H692" s="103">
        <v>8.2191780821917799</v>
      </c>
      <c r="I692" s="103">
        <v>14.246575342465754</v>
      </c>
      <c r="J692" s="103">
        <v>6.5753424657534243</v>
      </c>
      <c r="K692" s="103">
        <v>16.43835616438356</v>
      </c>
      <c r="L692" s="103">
        <v>8.493150684931507</v>
      </c>
      <c r="M692" s="103">
        <v>10.41095890410959</v>
      </c>
      <c r="N692" s="103">
        <v>14.794520547945206</v>
      </c>
      <c r="O692" s="103">
        <v>13.150684931506849</v>
      </c>
      <c r="P692" s="42"/>
      <c r="Q692" s="110"/>
      <c r="R692" s="46" t="s">
        <v>5</v>
      </c>
      <c r="S692" s="103">
        <v>4.3269230769230766</v>
      </c>
      <c r="T692" s="103">
        <v>1.9230769230769231</v>
      </c>
      <c r="U692" s="103">
        <v>6.25</v>
      </c>
      <c r="V692" s="103">
        <v>12.980769230769232</v>
      </c>
      <c r="W692" s="103">
        <v>7.2115384615384608</v>
      </c>
      <c r="X692" s="103">
        <v>16.346153846153847</v>
      </c>
      <c r="Y692" s="103">
        <v>11.538461538461538</v>
      </c>
      <c r="Z692" s="103">
        <v>10.096153846153847</v>
      </c>
      <c r="AA692" s="103">
        <v>12.980769230769232</v>
      </c>
      <c r="AB692" s="103">
        <v>16.346153846153847</v>
      </c>
      <c r="AC692" s="42"/>
      <c r="AD692" s="110"/>
      <c r="AE692" s="46" t="s">
        <v>5</v>
      </c>
      <c r="AF692" s="103">
        <v>4.4585987261146496</v>
      </c>
      <c r="AG692" s="103">
        <v>5.095541401273886</v>
      </c>
      <c r="AH692" s="103">
        <v>10.828025477707007</v>
      </c>
      <c r="AI692" s="103">
        <v>15.923566878980891</v>
      </c>
      <c r="AJ692" s="103">
        <v>5.7324840764331215</v>
      </c>
      <c r="AK692" s="103">
        <v>16.560509554140125</v>
      </c>
      <c r="AL692" s="103">
        <v>4.4585987261146496</v>
      </c>
      <c r="AM692" s="103">
        <v>10.828025477707007</v>
      </c>
      <c r="AN692" s="103">
        <v>17.197452229299362</v>
      </c>
      <c r="AO692" s="103">
        <v>8.9171974522292992</v>
      </c>
      <c r="AP692" s="6"/>
      <c r="AQ692" s="110"/>
      <c r="AR692" s="46" t="s">
        <v>5</v>
      </c>
      <c r="AS692" s="103">
        <v>5.6000000000000005</v>
      </c>
      <c r="AT692" s="103">
        <v>3.2</v>
      </c>
      <c r="AU692" s="103">
        <v>11.200000000000001</v>
      </c>
      <c r="AV692" s="103">
        <v>22.400000000000002</v>
      </c>
      <c r="AW692" s="103">
        <v>6.4</v>
      </c>
      <c r="AX692" s="103">
        <v>16</v>
      </c>
      <c r="AY692" s="103">
        <v>9.6</v>
      </c>
      <c r="AZ692" s="103">
        <v>8.7999999999999989</v>
      </c>
      <c r="BA692" s="103">
        <v>8</v>
      </c>
      <c r="BB692" s="103">
        <v>8.7999999999999989</v>
      </c>
      <c r="BC692" s="42"/>
      <c r="BD692" s="110"/>
      <c r="BE692" s="46" t="s">
        <v>5</v>
      </c>
      <c r="BF692" s="103">
        <v>3.75</v>
      </c>
      <c r="BG692" s="103">
        <v>3.3333333333333335</v>
      </c>
      <c r="BH692" s="103">
        <v>6.666666666666667</v>
      </c>
      <c r="BI692" s="103">
        <v>10</v>
      </c>
      <c r="BJ692" s="103">
        <v>6.666666666666667</v>
      </c>
      <c r="BK692" s="103">
        <v>16.666666666666664</v>
      </c>
      <c r="BL692" s="103">
        <v>7.9166666666666661</v>
      </c>
      <c r="BM692" s="103">
        <v>11.25</v>
      </c>
      <c r="BN692" s="103">
        <v>18.333333333333332</v>
      </c>
      <c r="BO692" s="103">
        <v>15.416666666666668</v>
      </c>
      <c r="BQ692" s="110"/>
      <c r="BR692" s="46" t="s">
        <v>5</v>
      </c>
      <c r="BS692" s="103">
        <v>7.9365079365079358</v>
      </c>
      <c r="BT692" s="103">
        <v>3.1746031746031744</v>
      </c>
      <c r="BU692" s="103">
        <v>12.698412698412698</v>
      </c>
      <c r="BV692" s="103">
        <v>17.460317460317459</v>
      </c>
      <c r="BW692" s="103">
        <v>9.5238095238095237</v>
      </c>
      <c r="BX692" s="103">
        <v>11.111111111111111</v>
      </c>
      <c r="BY692" s="103">
        <v>14.285714285714285</v>
      </c>
      <c r="BZ692" s="103">
        <v>7.9365079365079358</v>
      </c>
      <c r="CA692" s="103">
        <v>12.698412698412698</v>
      </c>
      <c r="CB692" s="103">
        <v>3.1746031746031744</v>
      </c>
      <c r="CC692" s="42"/>
      <c r="CD692" s="110"/>
      <c r="CE692" s="46" t="s">
        <v>5</v>
      </c>
      <c r="CF692" s="103">
        <v>3.6423841059602649</v>
      </c>
      <c r="CG692" s="103">
        <v>3.3112582781456954</v>
      </c>
      <c r="CH692" s="103">
        <v>7.2847682119205297</v>
      </c>
      <c r="CI692" s="103">
        <v>13.576158940397351</v>
      </c>
      <c r="CJ692" s="103">
        <v>5.9602649006622519</v>
      </c>
      <c r="CK692" s="103">
        <v>17.549668874172188</v>
      </c>
      <c r="CL692" s="103">
        <v>7.2847682119205297</v>
      </c>
      <c r="CM692" s="103">
        <v>10.927152317880795</v>
      </c>
      <c r="CN692" s="103">
        <v>15.231788079470199</v>
      </c>
      <c r="CO692" s="103">
        <v>15.231788079470199</v>
      </c>
      <c r="CQ692" s="110"/>
      <c r="CR692" s="46" t="s">
        <v>5</v>
      </c>
      <c r="CS692" s="103">
        <v>4.7457627118644066</v>
      </c>
      <c r="CT692" s="103">
        <v>1.3559322033898304</v>
      </c>
      <c r="CU692" s="103">
        <v>6.1016949152542379</v>
      </c>
      <c r="CV692" s="103">
        <v>11.186440677966102</v>
      </c>
      <c r="CW692" s="103">
        <v>6.1016949152542379</v>
      </c>
      <c r="CX692" s="103">
        <v>16.271186440677965</v>
      </c>
      <c r="CY692" s="103">
        <v>9.1525423728813564</v>
      </c>
      <c r="CZ692" s="103">
        <v>11.525423728813559</v>
      </c>
      <c r="DA692" s="103">
        <v>17.627118644067796</v>
      </c>
      <c r="DB692" s="103">
        <v>15.932203389830507</v>
      </c>
      <c r="DC692" s="42"/>
      <c r="DD692" s="110"/>
      <c r="DE692" s="46" t="s">
        <v>5</v>
      </c>
      <c r="DF692" s="103">
        <v>2.8571428571428572</v>
      </c>
      <c r="DG692" s="103">
        <v>11.428571428571429</v>
      </c>
      <c r="DH692" s="103">
        <v>17.142857142857142</v>
      </c>
      <c r="DI692" s="103">
        <v>27.142857142857142</v>
      </c>
      <c r="DJ692" s="103">
        <v>8.5714285714285712</v>
      </c>
      <c r="DK692" s="103">
        <v>17.142857142857142</v>
      </c>
      <c r="DL692" s="103">
        <v>5.7142857142857144</v>
      </c>
      <c r="DM692" s="103">
        <v>5.7142857142857144</v>
      </c>
      <c r="DN692" s="103">
        <v>2.8571428571428572</v>
      </c>
      <c r="DO692" s="103">
        <v>1.4285714285714286</v>
      </c>
    </row>
    <row r="693" spans="2:119" ht="16.25" customHeight="1" x14ac:dyDescent="0.45">
      <c r="B693" s="99"/>
      <c r="C693" s="42"/>
      <c r="D693" s="110"/>
      <c r="E693" s="47" t="s">
        <v>6</v>
      </c>
      <c r="F693" s="103">
        <v>4.0097205346294045</v>
      </c>
      <c r="G693" s="103">
        <v>1.8226002430133657</v>
      </c>
      <c r="H693" s="103">
        <v>7.5334143377885781</v>
      </c>
      <c r="I693" s="103">
        <v>11.907654921020656</v>
      </c>
      <c r="J693" s="103">
        <v>8.8699878493317126</v>
      </c>
      <c r="K693" s="103">
        <v>15.431348724179831</v>
      </c>
      <c r="L693" s="103">
        <v>10.206561360874849</v>
      </c>
      <c r="M693" s="103">
        <v>14.702308626974483</v>
      </c>
      <c r="N693" s="103">
        <v>13.851761846901582</v>
      </c>
      <c r="O693" s="103">
        <v>11.66464155528554</v>
      </c>
      <c r="P693" s="42"/>
      <c r="Q693" s="110"/>
      <c r="R693" s="46" t="s">
        <v>6</v>
      </c>
      <c r="S693" s="103">
        <v>2.5440313111545985</v>
      </c>
      <c r="T693" s="103">
        <v>0.97847358121330719</v>
      </c>
      <c r="U693" s="103">
        <v>6.262230919765166</v>
      </c>
      <c r="V693" s="103">
        <v>9.393346379647749</v>
      </c>
      <c r="W693" s="103">
        <v>9.7847358121330714</v>
      </c>
      <c r="X693" s="103">
        <v>17.025440313111545</v>
      </c>
      <c r="Y693" s="103">
        <v>10.567514677103718</v>
      </c>
      <c r="Z693" s="103">
        <v>14.481409001956946</v>
      </c>
      <c r="AA693" s="103">
        <v>14.090019569471623</v>
      </c>
      <c r="AB693" s="103">
        <v>14.87279843444227</v>
      </c>
      <c r="AC693" s="42"/>
      <c r="AD693" s="110"/>
      <c r="AE693" s="46" t="s">
        <v>6</v>
      </c>
      <c r="AF693" s="103">
        <v>6.4102564102564097</v>
      </c>
      <c r="AG693" s="103">
        <v>3.2051282051282048</v>
      </c>
      <c r="AH693" s="103">
        <v>9.6153846153846168</v>
      </c>
      <c r="AI693" s="103">
        <v>16.025641025641026</v>
      </c>
      <c r="AJ693" s="103">
        <v>7.3717948717948723</v>
      </c>
      <c r="AK693" s="103">
        <v>12.820512820512819</v>
      </c>
      <c r="AL693" s="103">
        <v>9.6153846153846168</v>
      </c>
      <c r="AM693" s="103">
        <v>15.064102564102564</v>
      </c>
      <c r="AN693" s="103">
        <v>13.461538461538462</v>
      </c>
      <c r="AO693" s="103">
        <v>6.4102564102564097</v>
      </c>
      <c r="AP693" s="6"/>
      <c r="AQ693" s="110"/>
      <c r="AR693" s="46" t="s">
        <v>6</v>
      </c>
      <c r="AS693" s="103">
        <v>3.7288135593220342</v>
      </c>
      <c r="AT693" s="103">
        <v>2.7118644067796609</v>
      </c>
      <c r="AU693" s="103">
        <v>10.508474576271185</v>
      </c>
      <c r="AV693" s="103">
        <v>15.593220338983052</v>
      </c>
      <c r="AW693" s="103">
        <v>10.16949152542373</v>
      </c>
      <c r="AX693" s="103">
        <v>13.220338983050848</v>
      </c>
      <c r="AY693" s="103">
        <v>9.8305084745762716</v>
      </c>
      <c r="AZ693" s="103">
        <v>14.915254237288137</v>
      </c>
      <c r="BA693" s="103">
        <v>11.525423728813559</v>
      </c>
      <c r="BB693" s="103">
        <v>7.796610169491526</v>
      </c>
      <c r="BC693" s="42"/>
      <c r="BD693" s="110"/>
      <c r="BE693" s="46" t="s">
        <v>6</v>
      </c>
      <c r="BF693" s="103">
        <v>4.1666666666666661</v>
      </c>
      <c r="BG693" s="103">
        <v>1.3257575757575757</v>
      </c>
      <c r="BH693" s="103">
        <v>5.8712121212121211</v>
      </c>
      <c r="BI693" s="103">
        <v>9.8484848484848477</v>
      </c>
      <c r="BJ693" s="103">
        <v>8.1439393939393945</v>
      </c>
      <c r="BK693" s="103">
        <v>16.666666666666664</v>
      </c>
      <c r="BL693" s="103">
        <v>10.416666666666668</v>
      </c>
      <c r="BM693" s="103">
        <v>14.583333333333334</v>
      </c>
      <c r="BN693" s="103">
        <v>15.151515151515152</v>
      </c>
      <c r="BO693" s="103">
        <v>13.825757575757574</v>
      </c>
      <c r="BQ693" s="110"/>
      <c r="BR693" s="46" t="s">
        <v>6</v>
      </c>
      <c r="BS693" s="103">
        <v>3.9603960396039604</v>
      </c>
      <c r="BT693" s="103">
        <v>3.9603960396039604</v>
      </c>
      <c r="BU693" s="103">
        <v>11.881188118811881</v>
      </c>
      <c r="BV693" s="103">
        <v>11.881188118811881</v>
      </c>
      <c r="BW693" s="103">
        <v>10.891089108910892</v>
      </c>
      <c r="BX693" s="103">
        <v>15.841584158415841</v>
      </c>
      <c r="BY693" s="103">
        <v>10.891089108910892</v>
      </c>
      <c r="BZ693" s="103">
        <v>13.861386138613863</v>
      </c>
      <c r="CA693" s="103">
        <v>11.881188118811881</v>
      </c>
      <c r="CB693" s="103">
        <v>4.9504950495049505</v>
      </c>
      <c r="CC693" s="42"/>
      <c r="CD693" s="110"/>
      <c r="CE693" s="46" t="s">
        <v>6</v>
      </c>
      <c r="CF693" s="103">
        <v>4.0166204986149578</v>
      </c>
      <c r="CG693" s="103">
        <v>1.5235457063711912</v>
      </c>
      <c r="CH693" s="103">
        <v>6.9252077562326875</v>
      </c>
      <c r="CI693" s="103">
        <v>11.911357340720222</v>
      </c>
      <c r="CJ693" s="103">
        <v>8.5872576177285325</v>
      </c>
      <c r="CK693" s="103">
        <v>15.373961218836566</v>
      </c>
      <c r="CL693" s="103">
        <v>10.110803324099724</v>
      </c>
      <c r="CM693" s="103">
        <v>14.819944598337949</v>
      </c>
      <c r="CN693" s="103">
        <v>14.127423822714682</v>
      </c>
      <c r="CO693" s="103">
        <v>12.603878116343489</v>
      </c>
      <c r="CQ693" s="110"/>
      <c r="CR693" s="46" t="s">
        <v>6</v>
      </c>
      <c r="CS693" s="103">
        <v>3.5982008995502248</v>
      </c>
      <c r="CT693" s="103">
        <v>1.0494752623688157</v>
      </c>
      <c r="CU693" s="103">
        <v>5.9970014992503744</v>
      </c>
      <c r="CV693" s="103">
        <v>9.8950524737631191</v>
      </c>
      <c r="CW693" s="103">
        <v>7.34632683658171</v>
      </c>
      <c r="CX693" s="103">
        <v>15.442278860569717</v>
      </c>
      <c r="CY693" s="103">
        <v>10.794602698650674</v>
      </c>
      <c r="CZ693" s="103">
        <v>15.592203898050974</v>
      </c>
      <c r="DA693" s="103">
        <v>16.34182908545727</v>
      </c>
      <c r="DB693" s="103">
        <v>13.943028485757122</v>
      </c>
      <c r="DC693" s="42"/>
      <c r="DD693" s="110"/>
      <c r="DE693" s="46" t="s">
        <v>6</v>
      </c>
      <c r="DF693" s="103">
        <v>5.7692307692307692</v>
      </c>
      <c r="DG693" s="103">
        <v>5.1282051282051277</v>
      </c>
      <c r="DH693" s="103">
        <v>14.102564102564102</v>
      </c>
      <c r="DI693" s="103">
        <v>20.512820512820511</v>
      </c>
      <c r="DJ693" s="103">
        <v>15.384615384615385</v>
      </c>
      <c r="DK693" s="103">
        <v>15.384615384615385</v>
      </c>
      <c r="DL693" s="103">
        <v>7.6923076923076925</v>
      </c>
      <c r="DM693" s="103">
        <v>10.897435897435898</v>
      </c>
      <c r="DN693" s="103">
        <v>3.2051282051282048</v>
      </c>
      <c r="DO693" s="103">
        <v>1.9230769230769231</v>
      </c>
    </row>
    <row r="694" spans="2:119" ht="16.25" customHeight="1" x14ac:dyDescent="0.45">
      <c r="B694" s="99"/>
      <c r="C694" s="42"/>
      <c r="D694" s="110"/>
      <c r="E694" s="47" t="s">
        <v>7</v>
      </c>
      <c r="F694" s="103">
        <v>3.404539385847797</v>
      </c>
      <c r="G694" s="103">
        <v>1.3351134846461949</v>
      </c>
      <c r="H694" s="103">
        <v>5.2736982643524701</v>
      </c>
      <c r="I694" s="103">
        <v>12.950600801068092</v>
      </c>
      <c r="J694" s="103">
        <v>7.8771695594125504</v>
      </c>
      <c r="K694" s="103">
        <v>17.022696929238982</v>
      </c>
      <c r="L694" s="103">
        <v>10.2803738317757</v>
      </c>
      <c r="M694" s="103">
        <v>12.483311081441922</v>
      </c>
      <c r="N694" s="103">
        <v>16.755674232309747</v>
      </c>
      <c r="O694" s="103">
        <v>12.616822429906541</v>
      </c>
      <c r="P694" s="42"/>
      <c r="Q694" s="110"/>
      <c r="R694" s="46" t="s">
        <v>7</v>
      </c>
      <c r="S694" s="103">
        <v>2.2371364653243848</v>
      </c>
      <c r="T694" s="103">
        <v>1.2304250559284116</v>
      </c>
      <c r="U694" s="103">
        <v>4.0268456375838921</v>
      </c>
      <c r="V694" s="103">
        <v>12.416107382550337</v>
      </c>
      <c r="W694" s="103">
        <v>7.0469798657718119</v>
      </c>
      <c r="X694" s="103">
        <v>18.456375838926174</v>
      </c>
      <c r="Y694" s="103">
        <v>9.9552572706935134</v>
      </c>
      <c r="Z694" s="103">
        <v>12.192393736017896</v>
      </c>
      <c r="AA694" s="103">
        <v>17.897091722595079</v>
      </c>
      <c r="AB694" s="103">
        <v>14.541387024608502</v>
      </c>
      <c r="AC694" s="42"/>
      <c r="AD694" s="110"/>
      <c r="AE694" s="46" t="s">
        <v>7</v>
      </c>
      <c r="AF694" s="103">
        <v>5.1324503311258276</v>
      </c>
      <c r="AG694" s="103">
        <v>1.490066225165563</v>
      </c>
      <c r="AH694" s="103">
        <v>7.1192052980132452</v>
      </c>
      <c r="AI694" s="103">
        <v>13.741721854304636</v>
      </c>
      <c r="AJ694" s="103">
        <v>9.105960264900661</v>
      </c>
      <c r="AK694" s="103">
        <v>14.90066225165563</v>
      </c>
      <c r="AL694" s="103">
        <v>10.76158940397351</v>
      </c>
      <c r="AM694" s="103">
        <v>12.913907284768211</v>
      </c>
      <c r="AN694" s="103">
        <v>15.066225165562914</v>
      </c>
      <c r="AO694" s="103">
        <v>9.7682119205298008</v>
      </c>
      <c r="AP694" s="6"/>
      <c r="AQ694" s="110"/>
      <c r="AR694" s="46" t="s">
        <v>7</v>
      </c>
      <c r="AS694" s="103">
        <v>4.4117647058823533</v>
      </c>
      <c r="AT694" s="103">
        <v>1.8907563025210083</v>
      </c>
      <c r="AU694" s="103">
        <v>6.9327731092436977</v>
      </c>
      <c r="AV694" s="103">
        <v>12.605042016806722</v>
      </c>
      <c r="AW694" s="103">
        <v>7.9831932773109235</v>
      </c>
      <c r="AX694" s="103">
        <v>18.69747899159664</v>
      </c>
      <c r="AY694" s="103">
        <v>11.76470588235294</v>
      </c>
      <c r="AZ694" s="103">
        <v>12.184873949579831</v>
      </c>
      <c r="BA694" s="103">
        <v>14.07563025210084</v>
      </c>
      <c r="BB694" s="103">
        <v>9.4537815126050422</v>
      </c>
      <c r="BC694" s="42"/>
      <c r="BD694" s="110"/>
      <c r="BE694" s="46" t="s">
        <v>7</v>
      </c>
      <c r="BF694" s="103">
        <v>2.9354207436399218</v>
      </c>
      <c r="BG694" s="103">
        <v>1.076320939334638</v>
      </c>
      <c r="BH694" s="103">
        <v>4.5009784735812133</v>
      </c>
      <c r="BI694" s="103">
        <v>13.111545988258316</v>
      </c>
      <c r="BJ694" s="103">
        <v>7.8277886497064575</v>
      </c>
      <c r="BK694" s="103">
        <v>16.2426614481409</v>
      </c>
      <c r="BL694" s="103">
        <v>9.5890410958904102</v>
      </c>
      <c r="BM694" s="103">
        <v>12.622309197651663</v>
      </c>
      <c r="BN694" s="103">
        <v>18.003913894324853</v>
      </c>
      <c r="BO694" s="103">
        <v>14.090019569471623</v>
      </c>
      <c r="BQ694" s="110"/>
      <c r="BR694" s="46" t="s">
        <v>7</v>
      </c>
      <c r="BS694" s="103">
        <v>4.1237113402061851</v>
      </c>
      <c r="BT694" s="103">
        <v>2.0618556701030926</v>
      </c>
      <c r="BU694" s="103">
        <v>10.309278350515463</v>
      </c>
      <c r="BV694" s="103">
        <v>18.556701030927837</v>
      </c>
      <c r="BW694" s="103">
        <v>8.2474226804123703</v>
      </c>
      <c r="BX694" s="103">
        <v>20.618556701030926</v>
      </c>
      <c r="BY694" s="103">
        <v>9.2783505154639183</v>
      </c>
      <c r="BZ694" s="103">
        <v>7.216494845360824</v>
      </c>
      <c r="CA694" s="103">
        <v>12.371134020618557</v>
      </c>
      <c r="CB694" s="103">
        <v>7.216494845360824</v>
      </c>
      <c r="CC694" s="42"/>
      <c r="CD694" s="110"/>
      <c r="CE694" s="46" t="s">
        <v>7</v>
      </c>
      <c r="CF694" s="103">
        <v>3.354746609564597</v>
      </c>
      <c r="CG694" s="103">
        <v>1.2847965738758029</v>
      </c>
      <c r="CH694" s="103">
        <v>4.925053533190578</v>
      </c>
      <c r="CI694" s="103">
        <v>12.562455389007852</v>
      </c>
      <c r="CJ694" s="103">
        <v>7.8515346181299073</v>
      </c>
      <c r="CK694" s="103">
        <v>16.773733047822983</v>
      </c>
      <c r="CL694" s="103">
        <v>10.349750178443969</v>
      </c>
      <c r="CM694" s="103">
        <v>12.847965738758029</v>
      </c>
      <c r="CN694" s="103">
        <v>17.059243397573162</v>
      </c>
      <c r="CO694" s="103">
        <v>12.990720913633119</v>
      </c>
      <c r="CQ694" s="110"/>
      <c r="CR694" s="46" t="s">
        <v>7</v>
      </c>
      <c r="CS694" s="103">
        <v>3.2370953630796153</v>
      </c>
      <c r="CT694" s="103">
        <v>0.78740157480314954</v>
      </c>
      <c r="CU694" s="103">
        <v>3.0621172353455819</v>
      </c>
      <c r="CV694" s="103">
        <v>10.498687664041995</v>
      </c>
      <c r="CW694" s="103">
        <v>6.1242344706911638</v>
      </c>
      <c r="CX694" s="103">
        <v>15.923009623797025</v>
      </c>
      <c r="CY694" s="103">
        <v>11.37357830271216</v>
      </c>
      <c r="CZ694" s="103">
        <v>13.21084864391951</v>
      </c>
      <c r="DA694" s="103">
        <v>19.947506561679791</v>
      </c>
      <c r="DB694" s="103">
        <v>15.835520559930009</v>
      </c>
      <c r="DC694" s="42"/>
      <c r="DD694" s="110"/>
      <c r="DE694" s="46" t="s">
        <v>7</v>
      </c>
      <c r="DF694" s="103">
        <v>3.943661971830986</v>
      </c>
      <c r="DG694" s="103">
        <v>3.0985915492957745</v>
      </c>
      <c r="DH694" s="103">
        <v>12.394366197183098</v>
      </c>
      <c r="DI694" s="103">
        <v>20.845070422535212</v>
      </c>
      <c r="DJ694" s="103">
        <v>13.521126760563378</v>
      </c>
      <c r="DK694" s="103">
        <v>20.56338028169014</v>
      </c>
      <c r="DL694" s="103">
        <v>6.7605633802816891</v>
      </c>
      <c r="DM694" s="103">
        <v>10.140845070422536</v>
      </c>
      <c r="DN694" s="103">
        <v>6.4788732394366191</v>
      </c>
      <c r="DO694" s="103">
        <v>2.2535211267605635</v>
      </c>
    </row>
    <row r="695" spans="2:119" ht="16.25" customHeight="1" x14ac:dyDescent="0.45">
      <c r="B695" s="99"/>
      <c r="C695" s="42"/>
      <c r="D695" s="110"/>
      <c r="E695" s="47" t="s">
        <v>8</v>
      </c>
      <c r="F695" s="103">
        <v>2.5731584258324927</v>
      </c>
      <c r="G695" s="103">
        <v>1.4631685166498487</v>
      </c>
      <c r="H695" s="103">
        <v>3.9858728557013121</v>
      </c>
      <c r="I695" s="103">
        <v>9.6871846619576178</v>
      </c>
      <c r="J695" s="103">
        <v>8.1735620585267412</v>
      </c>
      <c r="K695" s="103">
        <v>18.012108980827445</v>
      </c>
      <c r="L695" s="103">
        <v>10.94853683148335</v>
      </c>
      <c r="M695" s="103">
        <v>13.017154389505551</v>
      </c>
      <c r="N695" s="103">
        <v>16.649848637739655</v>
      </c>
      <c r="O695" s="103">
        <v>15.489404641775984</v>
      </c>
      <c r="P695" s="42"/>
      <c r="Q695" s="110"/>
      <c r="R695" s="46" t="s">
        <v>8</v>
      </c>
      <c r="S695" s="103">
        <v>1.6211604095563139</v>
      </c>
      <c r="T695" s="103">
        <v>0.93856655290102398</v>
      </c>
      <c r="U695" s="103">
        <v>2.7303754266211606</v>
      </c>
      <c r="V695" s="103">
        <v>8.1911262798634805</v>
      </c>
      <c r="W695" s="103">
        <v>8.1058020477815695</v>
      </c>
      <c r="X695" s="103">
        <v>18.344709897610922</v>
      </c>
      <c r="Y695" s="103">
        <v>11.177474402730375</v>
      </c>
      <c r="Z695" s="103">
        <v>13.993174061433447</v>
      </c>
      <c r="AA695" s="103">
        <v>16.552901023890783</v>
      </c>
      <c r="AB695" s="103">
        <v>18.344709897610922</v>
      </c>
      <c r="AC695" s="42"/>
      <c r="AD695" s="110"/>
      <c r="AE695" s="46" t="s">
        <v>8</v>
      </c>
      <c r="AF695" s="103">
        <v>3.9506172839506171</v>
      </c>
      <c r="AG695" s="103">
        <v>2.2222222222222223</v>
      </c>
      <c r="AH695" s="103">
        <v>5.8024691358024691</v>
      </c>
      <c r="AI695" s="103">
        <v>11.851851851851853</v>
      </c>
      <c r="AJ695" s="103">
        <v>8.2716049382716061</v>
      </c>
      <c r="AK695" s="103">
        <v>17.530864197530864</v>
      </c>
      <c r="AL695" s="103">
        <v>10.617283950617285</v>
      </c>
      <c r="AM695" s="103">
        <v>11.604938271604938</v>
      </c>
      <c r="AN695" s="103">
        <v>16.790123456790123</v>
      </c>
      <c r="AO695" s="103">
        <v>11.358024691358025</v>
      </c>
      <c r="AP695" s="6"/>
      <c r="AQ695" s="110"/>
      <c r="AR695" s="46" t="s">
        <v>8</v>
      </c>
      <c r="AS695" s="103">
        <v>3.3333333333333335</v>
      </c>
      <c r="AT695" s="103">
        <v>1.8333333333333333</v>
      </c>
      <c r="AU695" s="103">
        <v>4.833333333333333</v>
      </c>
      <c r="AV695" s="103">
        <v>12.166666666666668</v>
      </c>
      <c r="AW695" s="103">
        <v>9.1666666666666661</v>
      </c>
      <c r="AX695" s="103">
        <v>19.666666666666664</v>
      </c>
      <c r="AY695" s="103">
        <v>10.333333333333334</v>
      </c>
      <c r="AZ695" s="103">
        <v>12.166666666666668</v>
      </c>
      <c r="BA695" s="103">
        <v>14.833333333333334</v>
      </c>
      <c r="BB695" s="103">
        <v>11.666666666666666</v>
      </c>
      <c r="BC695" s="42"/>
      <c r="BD695" s="110"/>
      <c r="BE695" s="46" t="s">
        <v>8</v>
      </c>
      <c r="BF695" s="103">
        <v>2.2431259044862517</v>
      </c>
      <c r="BG695" s="103">
        <v>1.3024602026049203</v>
      </c>
      <c r="BH695" s="103">
        <v>3.6179450072358899</v>
      </c>
      <c r="BI695" s="103">
        <v>8.6107091172214183</v>
      </c>
      <c r="BJ695" s="103">
        <v>7.7424023154848047</v>
      </c>
      <c r="BK695" s="103">
        <v>17.293777134587554</v>
      </c>
      <c r="BL695" s="103">
        <v>11.215629522431259</v>
      </c>
      <c r="BM695" s="103">
        <v>13.386396526772792</v>
      </c>
      <c r="BN695" s="103">
        <v>17.438494934876989</v>
      </c>
      <c r="BO695" s="103">
        <v>17.149059334298119</v>
      </c>
      <c r="BQ695" s="110"/>
      <c r="BR695" s="46" t="s">
        <v>8</v>
      </c>
      <c r="BS695" s="103">
        <v>4.1237113402061851</v>
      </c>
      <c r="BT695" s="103">
        <v>4.1237113402061851</v>
      </c>
      <c r="BU695" s="103">
        <v>7.216494845360824</v>
      </c>
      <c r="BV695" s="103">
        <v>12.371134020618557</v>
      </c>
      <c r="BW695" s="103">
        <v>11.340206185567011</v>
      </c>
      <c r="BX695" s="103">
        <v>14.432989690721648</v>
      </c>
      <c r="BY695" s="103">
        <v>8.2474226804123703</v>
      </c>
      <c r="BZ695" s="103">
        <v>10.309278350515463</v>
      </c>
      <c r="CA695" s="103">
        <v>16.494845360824741</v>
      </c>
      <c r="CB695" s="103">
        <v>11.340206185567011</v>
      </c>
      <c r="CC695" s="42"/>
      <c r="CD695" s="110"/>
      <c r="CE695" s="46" t="s">
        <v>8</v>
      </c>
      <c r="CF695" s="103">
        <v>2.4933687002652518</v>
      </c>
      <c r="CG695" s="103">
        <v>1.3262599469496021</v>
      </c>
      <c r="CH695" s="103">
        <v>3.819628647214854</v>
      </c>
      <c r="CI695" s="103">
        <v>9.549071618037134</v>
      </c>
      <c r="CJ695" s="103">
        <v>8.0106100795755975</v>
      </c>
      <c r="CK695" s="103">
        <v>18.19628647214854</v>
      </c>
      <c r="CL695" s="103">
        <v>11.087533156498672</v>
      </c>
      <c r="CM695" s="103">
        <v>13.156498673740053</v>
      </c>
      <c r="CN695" s="103">
        <v>16.657824933687003</v>
      </c>
      <c r="CO695" s="103">
        <v>15.702917771883291</v>
      </c>
      <c r="CQ695" s="110"/>
      <c r="CR695" s="46" t="s">
        <v>8</v>
      </c>
      <c r="CS695" s="103">
        <v>2.4498886414253898</v>
      </c>
      <c r="CT695" s="103">
        <v>0.59391239792130657</v>
      </c>
      <c r="CU695" s="103">
        <v>2.5983667409057167</v>
      </c>
      <c r="CV695" s="103">
        <v>6.8299925760950257</v>
      </c>
      <c r="CW695" s="103">
        <v>6.3845582776540457</v>
      </c>
      <c r="CX695" s="103">
        <v>14.773570898292501</v>
      </c>
      <c r="CY695" s="103">
        <v>11.1358574610245</v>
      </c>
      <c r="CZ695" s="103">
        <v>13.659985152190051</v>
      </c>
      <c r="DA695" s="103">
        <v>20.861172976985895</v>
      </c>
      <c r="DB695" s="103">
        <v>20.712694877505569</v>
      </c>
      <c r="DC695" s="42"/>
      <c r="DD695" s="110"/>
      <c r="DE695" s="46" t="s">
        <v>8</v>
      </c>
      <c r="DF695" s="103">
        <v>2.8346456692913384</v>
      </c>
      <c r="DG695" s="103">
        <v>3.3070866141732282</v>
      </c>
      <c r="DH695" s="103">
        <v>6.9291338582677167</v>
      </c>
      <c r="DI695" s="103">
        <v>15.748031496062993</v>
      </c>
      <c r="DJ695" s="103">
        <v>11.968503937007874</v>
      </c>
      <c r="DK695" s="103">
        <v>24.881889763779526</v>
      </c>
      <c r="DL695" s="103">
        <v>10.551181102362204</v>
      </c>
      <c r="DM695" s="103">
        <v>11.653543307086615</v>
      </c>
      <c r="DN695" s="103">
        <v>7.7165354330708658</v>
      </c>
      <c r="DO695" s="103">
        <v>4.409448818897638</v>
      </c>
    </row>
    <row r="696" spans="2:119" ht="16.25" customHeight="1" x14ac:dyDescent="0.45">
      <c r="B696" s="99"/>
      <c r="C696" s="42"/>
      <c r="D696" s="110"/>
      <c r="E696" s="47" t="s">
        <v>9</v>
      </c>
      <c r="F696" s="103">
        <v>1.7520215633423182</v>
      </c>
      <c r="G696" s="103">
        <v>0.80862533692722371</v>
      </c>
      <c r="H696" s="103">
        <v>2.4707996406109616</v>
      </c>
      <c r="I696" s="103">
        <v>7.8616352201257858</v>
      </c>
      <c r="J696" s="103">
        <v>8.8050314465408803</v>
      </c>
      <c r="K696" s="103">
        <v>16.307277628032345</v>
      </c>
      <c r="L696" s="103">
        <v>11.859838274932615</v>
      </c>
      <c r="M696" s="103">
        <v>15.45372866127583</v>
      </c>
      <c r="N696" s="103">
        <v>15.813117699910153</v>
      </c>
      <c r="O696" s="103">
        <v>18.867924528301888</v>
      </c>
      <c r="P696" s="42"/>
      <c r="Q696" s="110"/>
      <c r="R696" s="46" t="s">
        <v>9</v>
      </c>
      <c r="S696" s="103">
        <v>0.73529411764705876</v>
      </c>
      <c r="T696" s="103">
        <v>0.24509803921568626</v>
      </c>
      <c r="U696" s="103">
        <v>1.4705882352941175</v>
      </c>
      <c r="V696" s="103">
        <v>5.7189542483660132</v>
      </c>
      <c r="W696" s="103">
        <v>7.8431372549019605</v>
      </c>
      <c r="X696" s="103">
        <v>16.176470588235293</v>
      </c>
      <c r="Y696" s="103">
        <v>11.519607843137255</v>
      </c>
      <c r="Z696" s="103">
        <v>16.33986928104575</v>
      </c>
      <c r="AA696" s="103">
        <v>17.401960784313726</v>
      </c>
      <c r="AB696" s="103">
        <v>22.549019607843139</v>
      </c>
      <c r="AC696" s="42"/>
      <c r="AD696" s="110"/>
      <c r="AE696" s="46" t="s">
        <v>9</v>
      </c>
      <c r="AF696" s="103">
        <v>2.9940119760479043</v>
      </c>
      <c r="AG696" s="103">
        <v>1.4970059880239521</v>
      </c>
      <c r="AH696" s="103">
        <v>3.6926147704590817</v>
      </c>
      <c r="AI696" s="103">
        <v>10.479041916167663</v>
      </c>
      <c r="AJ696" s="103">
        <v>9.9800399201596814</v>
      </c>
      <c r="AK696" s="103">
        <v>16.467065868263472</v>
      </c>
      <c r="AL696" s="103">
        <v>12.275449101796406</v>
      </c>
      <c r="AM696" s="103">
        <v>14.37125748502994</v>
      </c>
      <c r="AN696" s="103">
        <v>13.872255489021956</v>
      </c>
      <c r="AO696" s="103">
        <v>14.37125748502994</v>
      </c>
      <c r="AP696" s="6"/>
      <c r="AQ696" s="110"/>
      <c r="AR696" s="46" t="s">
        <v>9</v>
      </c>
      <c r="AS696" s="103">
        <v>2.6881720430107525</v>
      </c>
      <c r="AT696" s="103">
        <v>1.9713261648745519</v>
      </c>
      <c r="AU696" s="103">
        <v>3.763440860215054</v>
      </c>
      <c r="AV696" s="103">
        <v>9.4982078853046588</v>
      </c>
      <c r="AW696" s="103">
        <v>10.394265232974909</v>
      </c>
      <c r="AX696" s="103">
        <v>14.516129032258066</v>
      </c>
      <c r="AY696" s="103">
        <v>11.469534050179211</v>
      </c>
      <c r="AZ696" s="103">
        <v>15.591397849462366</v>
      </c>
      <c r="BA696" s="103">
        <v>14.695340501792115</v>
      </c>
      <c r="BB696" s="103">
        <v>15.412186379928317</v>
      </c>
      <c r="BC696" s="42"/>
      <c r="BD696" s="110"/>
      <c r="BE696" s="46" t="s">
        <v>9</v>
      </c>
      <c r="BF696" s="103">
        <v>1.4388489208633095</v>
      </c>
      <c r="BG696" s="103">
        <v>0.41966426858513189</v>
      </c>
      <c r="BH696" s="103">
        <v>2.0383693045563551</v>
      </c>
      <c r="BI696" s="103">
        <v>7.3141486810551566</v>
      </c>
      <c r="BJ696" s="103">
        <v>8.2733812949640289</v>
      </c>
      <c r="BK696" s="103">
        <v>16.906474820143885</v>
      </c>
      <c r="BL696" s="103">
        <v>11.990407673860911</v>
      </c>
      <c r="BM696" s="103">
        <v>15.407673860911272</v>
      </c>
      <c r="BN696" s="103">
        <v>16.187050359712231</v>
      </c>
      <c r="BO696" s="103">
        <v>20.023980815347723</v>
      </c>
      <c r="BQ696" s="110"/>
      <c r="BR696" s="46" t="s">
        <v>9</v>
      </c>
      <c r="BS696" s="103">
        <v>3.4883720930232558</v>
      </c>
      <c r="BT696" s="103">
        <v>2.3255813953488373</v>
      </c>
      <c r="BU696" s="103">
        <v>8.1395348837209305</v>
      </c>
      <c r="BV696" s="103">
        <v>10.465116279069768</v>
      </c>
      <c r="BW696" s="103">
        <v>5.8139534883720927</v>
      </c>
      <c r="BX696" s="103">
        <v>15.11627906976744</v>
      </c>
      <c r="BY696" s="103">
        <v>6.9767441860465116</v>
      </c>
      <c r="BZ696" s="103">
        <v>15.11627906976744</v>
      </c>
      <c r="CA696" s="103">
        <v>15.11627906976744</v>
      </c>
      <c r="CB696" s="103">
        <v>17.441860465116278</v>
      </c>
      <c r="CC696" s="42"/>
      <c r="CD696" s="110"/>
      <c r="CE696" s="46" t="s">
        <v>9</v>
      </c>
      <c r="CF696" s="103">
        <v>1.6822429906542056</v>
      </c>
      <c r="CG696" s="103">
        <v>0.74766355140186924</v>
      </c>
      <c r="CH696" s="103">
        <v>2.2429906542056073</v>
      </c>
      <c r="CI696" s="103">
        <v>7.7570093457943923</v>
      </c>
      <c r="CJ696" s="103">
        <v>8.925233644859814</v>
      </c>
      <c r="CK696" s="103">
        <v>16.355140186915886</v>
      </c>
      <c r="CL696" s="103">
        <v>12.05607476635514</v>
      </c>
      <c r="CM696" s="103">
        <v>15.467289719626168</v>
      </c>
      <c r="CN696" s="103">
        <v>15.841121495327105</v>
      </c>
      <c r="CO696" s="103">
        <v>18.925233644859812</v>
      </c>
      <c r="CQ696" s="110"/>
      <c r="CR696" s="46" t="s">
        <v>9</v>
      </c>
      <c r="CS696" s="103">
        <v>1.8168054504163513</v>
      </c>
      <c r="CT696" s="103">
        <v>0.75700227100681305</v>
      </c>
      <c r="CU696" s="103">
        <v>1.5897047691143074</v>
      </c>
      <c r="CV696" s="103">
        <v>5.3747161241483727</v>
      </c>
      <c r="CW696" s="103">
        <v>6.1317183951551852</v>
      </c>
      <c r="CX696" s="103">
        <v>11.733535200605601</v>
      </c>
      <c r="CY696" s="103">
        <v>9.9167297501892495</v>
      </c>
      <c r="CZ696" s="103">
        <v>14.761544284632855</v>
      </c>
      <c r="DA696" s="103">
        <v>19.454958364875093</v>
      </c>
      <c r="DB696" s="103">
        <v>28.463285389856168</v>
      </c>
      <c r="DC696" s="42"/>
      <c r="DD696" s="110"/>
      <c r="DE696" s="46" t="s">
        <v>9</v>
      </c>
      <c r="DF696" s="103">
        <v>1.6574585635359116</v>
      </c>
      <c r="DG696" s="103">
        <v>0.88397790055248626</v>
      </c>
      <c r="DH696" s="103">
        <v>3.7569060773480665</v>
      </c>
      <c r="DI696" s="103">
        <v>11.491712707182321</v>
      </c>
      <c r="DJ696" s="103">
        <v>12.707182320441991</v>
      </c>
      <c r="DK696" s="103">
        <v>22.983425414364643</v>
      </c>
      <c r="DL696" s="103">
        <v>14.696132596685082</v>
      </c>
      <c r="DM696" s="103">
        <v>16.464088397790057</v>
      </c>
      <c r="DN696" s="103">
        <v>10.497237569060774</v>
      </c>
      <c r="DO696" s="103">
        <v>4.8618784530386741</v>
      </c>
    </row>
    <row r="697" spans="2:119" ht="16.25" customHeight="1" x14ac:dyDescent="0.45">
      <c r="B697" s="99"/>
      <c r="C697" s="42"/>
      <c r="D697" s="110"/>
      <c r="E697" s="47" t="s">
        <v>10</v>
      </c>
      <c r="F697" s="103">
        <v>1.3831258644536653</v>
      </c>
      <c r="G697" s="103">
        <v>0.46104195481788846</v>
      </c>
      <c r="H697" s="103">
        <v>1.2448132780082988</v>
      </c>
      <c r="I697" s="103">
        <v>3.5500230520977407</v>
      </c>
      <c r="J697" s="103">
        <v>7.1922544951590588</v>
      </c>
      <c r="K697" s="103">
        <v>12.402028584601199</v>
      </c>
      <c r="L697" s="103">
        <v>11.618257261410788</v>
      </c>
      <c r="M697" s="103">
        <v>18.994928538497003</v>
      </c>
      <c r="N697" s="103">
        <v>21.622867680958969</v>
      </c>
      <c r="O697" s="103">
        <v>21.530659289995391</v>
      </c>
      <c r="P697" s="42"/>
      <c r="Q697" s="110"/>
      <c r="R697" s="46" t="s">
        <v>10</v>
      </c>
      <c r="S697" s="103">
        <v>0.56603773584905659</v>
      </c>
      <c r="T697" s="103">
        <v>0.47169811320754718</v>
      </c>
      <c r="U697" s="103">
        <v>0.66037735849056611</v>
      </c>
      <c r="V697" s="103">
        <v>1.9811320754716981</v>
      </c>
      <c r="W697" s="103">
        <v>5.7547169811320753</v>
      </c>
      <c r="X697" s="103">
        <v>11.509433962264151</v>
      </c>
      <c r="Y697" s="103">
        <v>11.60377358490566</v>
      </c>
      <c r="Z697" s="103">
        <v>17.641509433962263</v>
      </c>
      <c r="AA697" s="103">
        <v>24.056603773584907</v>
      </c>
      <c r="AB697" s="103">
        <v>25.754716981132077</v>
      </c>
      <c r="AC697" s="42"/>
      <c r="AD697" s="110"/>
      <c r="AE697" s="46" t="s">
        <v>10</v>
      </c>
      <c r="AF697" s="103">
        <v>2.1641118124436431</v>
      </c>
      <c r="AG697" s="103">
        <v>0.45085662759242562</v>
      </c>
      <c r="AH697" s="103">
        <v>1.8034265103697025</v>
      </c>
      <c r="AI697" s="103">
        <v>5.0495942290351667</v>
      </c>
      <c r="AJ697" s="103">
        <v>8.566275924256086</v>
      </c>
      <c r="AK697" s="103">
        <v>13.255184851217313</v>
      </c>
      <c r="AL697" s="103">
        <v>11.632100991884581</v>
      </c>
      <c r="AM697" s="103">
        <v>20.28854824165915</v>
      </c>
      <c r="AN697" s="103">
        <v>19.296663660955815</v>
      </c>
      <c r="AO697" s="103">
        <v>17.493237150586115</v>
      </c>
      <c r="AP697" s="6"/>
      <c r="AQ697" s="110"/>
      <c r="AR697" s="46" t="s">
        <v>10</v>
      </c>
      <c r="AS697" s="103">
        <v>1.0075566750629723</v>
      </c>
      <c r="AT697" s="103">
        <v>0.50377833753148615</v>
      </c>
      <c r="AU697" s="103">
        <v>1.7632241813602016</v>
      </c>
      <c r="AV697" s="103">
        <v>6.0453400503778338</v>
      </c>
      <c r="AW697" s="103">
        <v>9.3198992443324933</v>
      </c>
      <c r="AX697" s="103">
        <v>12.846347607052897</v>
      </c>
      <c r="AY697" s="103">
        <v>11.586901763224182</v>
      </c>
      <c r="AZ697" s="103">
        <v>16.3727959697733</v>
      </c>
      <c r="BA697" s="103">
        <v>19.395465994962215</v>
      </c>
      <c r="BB697" s="103">
        <v>21.158690176322416</v>
      </c>
      <c r="BC697" s="42"/>
      <c r="BD697" s="110"/>
      <c r="BE697" s="46" t="s">
        <v>10</v>
      </c>
      <c r="BF697" s="103">
        <v>1.4672686230248306</v>
      </c>
      <c r="BG697" s="103">
        <v>0.45146726862302478</v>
      </c>
      <c r="BH697" s="103">
        <v>1.1286681715575622</v>
      </c>
      <c r="BI697" s="103">
        <v>2.9909706546275396</v>
      </c>
      <c r="BJ697" s="103">
        <v>6.7155756207674946</v>
      </c>
      <c r="BK697" s="103">
        <v>12.302483069977427</v>
      </c>
      <c r="BL697" s="103">
        <v>11.62528216704289</v>
      </c>
      <c r="BM697" s="103">
        <v>19.582392776523701</v>
      </c>
      <c r="BN697" s="103">
        <v>22.121896162528216</v>
      </c>
      <c r="BO697" s="103">
        <v>21.613995485327315</v>
      </c>
      <c r="BQ697" s="110"/>
      <c r="BR697" s="46" t="s">
        <v>10</v>
      </c>
      <c r="BS697" s="103">
        <v>0</v>
      </c>
      <c r="BT697" s="103">
        <v>1.7857142857142856</v>
      </c>
      <c r="BU697" s="103">
        <v>1.7857142857142856</v>
      </c>
      <c r="BV697" s="103">
        <v>7.1428571428571423</v>
      </c>
      <c r="BW697" s="103">
        <v>14.285714285714285</v>
      </c>
      <c r="BX697" s="103">
        <v>14.285714285714285</v>
      </c>
      <c r="BY697" s="103">
        <v>7.1428571428571423</v>
      </c>
      <c r="BZ697" s="103">
        <v>17.857142857142858</v>
      </c>
      <c r="CA697" s="103">
        <v>21.428571428571427</v>
      </c>
      <c r="CB697" s="103">
        <v>14.285714285714285</v>
      </c>
      <c r="CC697" s="42"/>
      <c r="CD697" s="110"/>
      <c r="CE697" s="46" t="s">
        <v>10</v>
      </c>
      <c r="CF697" s="103">
        <v>1.419782300047326</v>
      </c>
      <c r="CG697" s="103">
        <v>0.42593469001419781</v>
      </c>
      <c r="CH697" s="103">
        <v>1.2304779933743493</v>
      </c>
      <c r="CI697" s="103">
        <v>3.4548035967818267</v>
      </c>
      <c r="CJ697" s="103">
        <v>7.0042593469001417</v>
      </c>
      <c r="CK697" s="103">
        <v>12.352106010411736</v>
      </c>
      <c r="CL697" s="103">
        <v>11.736867013724563</v>
      </c>
      <c r="CM697" s="103">
        <v>19.025082820634172</v>
      </c>
      <c r="CN697" s="103">
        <v>21.6280170373876</v>
      </c>
      <c r="CO697" s="103">
        <v>21.722669190724091</v>
      </c>
      <c r="CQ697" s="110"/>
      <c r="CR697" s="46" t="s">
        <v>10</v>
      </c>
      <c r="CS697" s="103">
        <v>1.7017017017017018</v>
      </c>
      <c r="CT697" s="103">
        <v>0.20020020020020018</v>
      </c>
      <c r="CU697" s="103">
        <v>1.1011011011011012</v>
      </c>
      <c r="CV697" s="103">
        <v>2.6026026026026026</v>
      </c>
      <c r="CW697" s="103">
        <v>4.7047047047047048</v>
      </c>
      <c r="CX697" s="103">
        <v>8.508508508508509</v>
      </c>
      <c r="CY697" s="103">
        <v>8.7087087087087074</v>
      </c>
      <c r="CZ697" s="103">
        <v>14.114114114114114</v>
      </c>
      <c r="DA697" s="103">
        <v>22.922922922922922</v>
      </c>
      <c r="DB697" s="103">
        <v>35.435435435435437</v>
      </c>
      <c r="DC697" s="42"/>
      <c r="DD697" s="110"/>
      <c r="DE697" s="46" t="s">
        <v>10</v>
      </c>
      <c r="DF697" s="103">
        <v>1.1111111111111112</v>
      </c>
      <c r="DG697" s="103">
        <v>0.68376068376068377</v>
      </c>
      <c r="DH697" s="103">
        <v>1.3675213675213675</v>
      </c>
      <c r="DI697" s="103">
        <v>4.3589743589743586</v>
      </c>
      <c r="DJ697" s="103">
        <v>9.3162393162393169</v>
      </c>
      <c r="DK697" s="103">
        <v>15.726495726495726</v>
      </c>
      <c r="DL697" s="103">
        <v>14.102564102564102</v>
      </c>
      <c r="DM697" s="103">
        <v>23.162393162393162</v>
      </c>
      <c r="DN697" s="103">
        <v>20.512820512820511</v>
      </c>
      <c r="DO697" s="103">
        <v>9.6581196581196593</v>
      </c>
    </row>
    <row r="698" spans="2:119" ht="16.25" customHeight="1" x14ac:dyDescent="0.45">
      <c r="B698" s="99"/>
      <c r="C698" s="42"/>
      <c r="D698" s="111"/>
      <c r="E698" s="47" t="s">
        <v>11</v>
      </c>
      <c r="F698" s="103">
        <v>0.46367851622874806</v>
      </c>
      <c r="G698" s="103">
        <v>0</v>
      </c>
      <c r="H698" s="103">
        <v>0.61823802163833075</v>
      </c>
      <c r="I698" s="103">
        <v>2.009273570324575</v>
      </c>
      <c r="J698" s="103">
        <v>2.627511591962906</v>
      </c>
      <c r="K698" s="103">
        <v>5.4095826893353935</v>
      </c>
      <c r="L698" s="103">
        <v>9.1190108191653785</v>
      </c>
      <c r="M698" s="103">
        <v>20.556414219474497</v>
      </c>
      <c r="N698" s="103">
        <v>28.902627511591959</v>
      </c>
      <c r="O698" s="103">
        <v>30.29366306027821</v>
      </c>
      <c r="P698" s="42"/>
      <c r="Q698" s="111"/>
      <c r="R698" s="46" t="s">
        <v>11</v>
      </c>
      <c r="S698" s="103">
        <v>0.33444816053511706</v>
      </c>
      <c r="T698" s="103">
        <v>0</v>
      </c>
      <c r="U698" s="103">
        <v>0</v>
      </c>
      <c r="V698" s="103">
        <v>1.3377926421404682</v>
      </c>
      <c r="W698" s="103">
        <v>1.3377926421404682</v>
      </c>
      <c r="X698" s="103">
        <v>3.3444816053511706</v>
      </c>
      <c r="Y698" s="103">
        <v>6.6889632107023411</v>
      </c>
      <c r="Z698" s="103">
        <v>19.397993311036789</v>
      </c>
      <c r="AA698" s="103">
        <v>32.107023411371237</v>
      </c>
      <c r="AB698" s="103">
        <v>35.451505016722408</v>
      </c>
      <c r="AC698" s="42"/>
      <c r="AD698" s="111"/>
      <c r="AE698" s="46" t="s">
        <v>11</v>
      </c>
      <c r="AF698" s="103">
        <v>0.57471264367816088</v>
      </c>
      <c r="AG698" s="103">
        <v>0</v>
      </c>
      <c r="AH698" s="103">
        <v>1.1494252873563218</v>
      </c>
      <c r="AI698" s="103">
        <v>2.5862068965517242</v>
      </c>
      <c r="AJ698" s="103">
        <v>3.7356321839080464</v>
      </c>
      <c r="AK698" s="103">
        <v>7.1839080459770113</v>
      </c>
      <c r="AL698" s="103">
        <v>11.206896551724139</v>
      </c>
      <c r="AM698" s="103">
        <v>21.551724137931032</v>
      </c>
      <c r="AN698" s="103">
        <v>26.149425287356319</v>
      </c>
      <c r="AO698" s="103">
        <v>25.862068965517242</v>
      </c>
      <c r="AP698" s="6"/>
      <c r="AQ698" s="111"/>
      <c r="AR698" s="46" t="s">
        <v>11</v>
      </c>
      <c r="AS698" s="103">
        <v>2.9850746268656714</v>
      </c>
      <c r="AT698" s="103">
        <v>0</v>
      </c>
      <c r="AU698" s="103">
        <v>0</v>
      </c>
      <c r="AV698" s="103">
        <v>4.4776119402985071</v>
      </c>
      <c r="AW698" s="103">
        <v>4.4776119402985071</v>
      </c>
      <c r="AX698" s="103">
        <v>5.9701492537313428</v>
      </c>
      <c r="AY698" s="103">
        <v>5.9701492537313428</v>
      </c>
      <c r="AZ698" s="103">
        <v>20.8955223880597</v>
      </c>
      <c r="BA698" s="103">
        <v>31.343283582089555</v>
      </c>
      <c r="BB698" s="103">
        <v>23.880597014925371</v>
      </c>
      <c r="BC698" s="42"/>
      <c r="BD698" s="111"/>
      <c r="BE698" s="46" t="s">
        <v>11</v>
      </c>
      <c r="BF698" s="103">
        <v>0.17241379310344829</v>
      </c>
      <c r="BG698" s="103">
        <v>0</v>
      </c>
      <c r="BH698" s="103">
        <v>0.68965517241379315</v>
      </c>
      <c r="BI698" s="103">
        <v>1.7241379310344827</v>
      </c>
      <c r="BJ698" s="103">
        <v>2.4137931034482758</v>
      </c>
      <c r="BK698" s="103">
        <v>5.3448275862068968</v>
      </c>
      <c r="BL698" s="103">
        <v>9.4827586206896548</v>
      </c>
      <c r="BM698" s="103">
        <v>20.517241379310345</v>
      </c>
      <c r="BN698" s="103">
        <v>28.620689655172416</v>
      </c>
      <c r="BO698" s="103">
        <v>31.03448275862069</v>
      </c>
      <c r="BQ698" s="111"/>
      <c r="BR698" s="46" t="s">
        <v>11</v>
      </c>
      <c r="BS698" s="103">
        <v>0</v>
      </c>
      <c r="BT698" s="103">
        <v>0</v>
      </c>
      <c r="BU698" s="103">
        <v>0</v>
      </c>
      <c r="BV698" s="103">
        <v>5.8823529411764701</v>
      </c>
      <c r="BW698" s="103">
        <v>11.76470588235294</v>
      </c>
      <c r="BX698" s="103">
        <v>5.8823529411764701</v>
      </c>
      <c r="BY698" s="103">
        <v>17.647058823529413</v>
      </c>
      <c r="BZ698" s="103">
        <v>11.76470588235294</v>
      </c>
      <c r="CA698" s="103">
        <v>17.647058823529413</v>
      </c>
      <c r="CB698" s="103">
        <v>29.411764705882355</v>
      </c>
      <c r="CC698" s="42"/>
      <c r="CD698" s="111"/>
      <c r="CE698" s="46" t="s">
        <v>11</v>
      </c>
      <c r="CF698" s="103">
        <v>0.47619047619047622</v>
      </c>
      <c r="CG698" s="103">
        <v>0</v>
      </c>
      <c r="CH698" s="103">
        <v>0.63492063492063489</v>
      </c>
      <c r="CI698" s="103">
        <v>1.9047619047619049</v>
      </c>
      <c r="CJ698" s="103">
        <v>2.3809523809523809</v>
      </c>
      <c r="CK698" s="103">
        <v>5.3968253968253972</v>
      </c>
      <c r="CL698" s="103">
        <v>8.8888888888888893</v>
      </c>
      <c r="CM698" s="103">
        <v>20.793650793650794</v>
      </c>
      <c r="CN698" s="103">
        <v>29.206349206349209</v>
      </c>
      <c r="CO698" s="103">
        <v>30.317460317460316</v>
      </c>
      <c r="CQ698" s="111"/>
      <c r="CR698" s="46" t="s">
        <v>11</v>
      </c>
      <c r="CS698" s="103">
        <v>1.3043478260869565</v>
      </c>
      <c r="CT698" s="103">
        <v>0</v>
      </c>
      <c r="CU698" s="103">
        <v>0.86956521739130432</v>
      </c>
      <c r="CV698" s="103">
        <v>1.3043478260869565</v>
      </c>
      <c r="CW698" s="103">
        <v>2.1739130434782608</v>
      </c>
      <c r="CX698" s="103">
        <v>7.3913043478260869</v>
      </c>
      <c r="CY698" s="103">
        <v>5.6521739130434785</v>
      </c>
      <c r="CZ698" s="103">
        <v>13.478260869565217</v>
      </c>
      <c r="DA698" s="103">
        <v>23.043478260869566</v>
      </c>
      <c r="DB698" s="103">
        <v>44.782608695652179</v>
      </c>
      <c r="DC698" s="42"/>
      <c r="DD698" s="111"/>
      <c r="DE698" s="46" t="s">
        <v>11</v>
      </c>
      <c r="DF698" s="103">
        <v>0</v>
      </c>
      <c r="DG698" s="103">
        <v>0</v>
      </c>
      <c r="DH698" s="103">
        <v>0.47961630695443641</v>
      </c>
      <c r="DI698" s="103">
        <v>2.3980815347721824</v>
      </c>
      <c r="DJ698" s="103">
        <v>2.877697841726619</v>
      </c>
      <c r="DK698" s="103">
        <v>4.3165467625899279</v>
      </c>
      <c r="DL698" s="103">
        <v>11.031175059952037</v>
      </c>
      <c r="DM698" s="103">
        <v>24.46043165467626</v>
      </c>
      <c r="DN698" s="103">
        <v>32.134292565947241</v>
      </c>
      <c r="DO698" s="103">
        <v>22.302158273381295</v>
      </c>
    </row>
    <row r="699" spans="2:119" x14ac:dyDescent="0.45">
      <c r="B699" s="99"/>
      <c r="C699" s="42"/>
      <c r="D699" s="42"/>
      <c r="E699" s="42"/>
      <c r="F699" s="42"/>
      <c r="G699" s="42"/>
      <c r="H699" s="42"/>
      <c r="I699" s="42"/>
      <c r="J699" s="42"/>
      <c r="K699" s="42"/>
      <c r="L699" s="42"/>
      <c r="M699" s="42"/>
      <c r="N699" s="42"/>
      <c r="O699" s="42"/>
      <c r="P699" s="42"/>
      <c r="Q699" s="42"/>
      <c r="R699" s="42"/>
      <c r="S699" s="42"/>
      <c r="T699" s="42"/>
      <c r="U699" s="42"/>
      <c r="V699" s="42"/>
      <c r="W699" s="42"/>
      <c r="X699" s="42"/>
      <c r="Y699" s="42"/>
      <c r="Z699" s="42"/>
      <c r="AA699" s="42"/>
      <c r="AB699" s="42"/>
      <c r="AC699" s="42"/>
      <c r="AD699" s="42"/>
      <c r="AE699" s="42"/>
      <c r="AF699" s="42"/>
      <c r="AG699" s="42"/>
      <c r="AH699" s="42"/>
      <c r="AI699" s="42"/>
      <c r="AJ699" s="42"/>
      <c r="AK699" s="42"/>
      <c r="AL699" s="42"/>
      <c r="AM699" s="42"/>
      <c r="AN699" s="42"/>
      <c r="AO699" s="42"/>
      <c r="AQ699" s="42"/>
      <c r="AR699" s="42"/>
      <c r="AS699" s="42"/>
      <c r="AT699" s="42"/>
      <c r="AU699" s="42"/>
      <c r="AV699" s="42"/>
      <c r="AW699" s="42"/>
      <c r="AX699" s="42"/>
      <c r="AY699" s="42"/>
      <c r="AZ699" s="42"/>
      <c r="BA699" s="42"/>
      <c r="BB699" s="42"/>
      <c r="BC699" s="42"/>
      <c r="BD699" s="42"/>
      <c r="BE699" s="42"/>
      <c r="BF699" s="42"/>
      <c r="BG699" s="42"/>
      <c r="BH699" s="42"/>
      <c r="BI699" s="42"/>
      <c r="BJ699" s="42"/>
      <c r="BK699" s="42"/>
      <c r="BL699" s="42"/>
      <c r="BM699" s="42"/>
      <c r="BN699" s="42"/>
      <c r="BO699" s="42"/>
      <c r="BQ699" s="42"/>
      <c r="BR699" s="42"/>
      <c r="BS699" s="42"/>
      <c r="BT699" s="42"/>
      <c r="BU699" s="42"/>
      <c r="BV699" s="42"/>
      <c r="BW699" s="42"/>
      <c r="BX699" s="42"/>
      <c r="BY699" s="42"/>
      <c r="BZ699" s="42"/>
      <c r="CA699" s="42"/>
      <c r="CB699" s="42"/>
      <c r="CC699" s="42"/>
      <c r="CD699" s="42"/>
      <c r="CE699" s="42"/>
      <c r="CF699" s="42"/>
      <c r="CG699" s="42"/>
      <c r="CH699" s="42"/>
      <c r="CI699" s="42"/>
      <c r="CJ699" s="42"/>
      <c r="CK699" s="42"/>
      <c r="CL699" s="42"/>
      <c r="CM699" s="42"/>
      <c r="CN699" s="42"/>
      <c r="CO699" s="42"/>
      <c r="CQ699" s="42"/>
      <c r="CR699" s="42"/>
      <c r="CS699" s="42"/>
      <c r="CT699" s="42"/>
      <c r="CU699" s="42"/>
      <c r="CV699" s="42"/>
      <c r="CW699" s="42"/>
      <c r="CX699" s="42"/>
      <c r="CY699" s="42"/>
      <c r="CZ699" s="42"/>
      <c r="DA699" s="42"/>
      <c r="DB699" s="42"/>
      <c r="DC699" s="42"/>
      <c r="DD699" s="42"/>
      <c r="DE699" s="42"/>
      <c r="DF699" s="42"/>
      <c r="DG699" s="42"/>
      <c r="DH699" s="42"/>
      <c r="DI699" s="42"/>
      <c r="DJ699" s="42"/>
      <c r="DK699" s="42"/>
      <c r="DL699" s="42"/>
      <c r="DM699" s="42"/>
      <c r="DN699" s="42"/>
      <c r="DO699" s="42"/>
    </row>
    <row r="700" spans="2:119" x14ac:dyDescent="0.45">
      <c r="B700" s="99"/>
      <c r="C700" s="42"/>
      <c r="D700" s="42"/>
      <c r="E700" s="42"/>
      <c r="F700" s="42"/>
      <c r="G700" s="42"/>
      <c r="H700" s="42"/>
      <c r="I700" s="42"/>
      <c r="J700" s="42"/>
      <c r="K700" s="42"/>
      <c r="L700" s="42"/>
      <c r="M700" s="42"/>
      <c r="N700" s="42"/>
      <c r="O700" s="42"/>
      <c r="P700" s="42"/>
      <c r="Q700" s="42"/>
      <c r="R700" s="42"/>
      <c r="S700" s="42"/>
      <c r="T700" s="42"/>
      <c r="U700" s="42"/>
      <c r="V700" s="42"/>
      <c r="W700" s="42"/>
      <c r="X700" s="42"/>
      <c r="Y700" s="42"/>
      <c r="Z700" s="42"/>
      <c r="AA700" s="42"/>
      <c r="AB700" s="42"/>
      <c r="AC700" s="42"/>
      <c r="AD700" s="42"/>
      <c r="AE700" s="42"/>
      <c r="AF700" s="42"/>
      <c r="AG700" s="42"/>
      <c r="AH700" s="42"/>
      <c r="AI700" s="42"/>
      <c r="AJ700" s="42"/>
      <c r="AK700" s="42"/>
      <c r="AL700" s="42"/>
      <c r="AM700" s="42"/>
      <c r="AN700" s="42"/>
      <c r="AO700" s="42"/>
      <c r="AQ700" s="42"/>
      <c r="AR700" s="42"/>
      <c r="AS700" s="42"/>
      <c r="AT700" s="42"/>
      <c r="AU700" s="42"/>
      <c r="AV700" s="42"/>
      <c r="AW700" s="42"/>
      <c r="AX700" s="42"/>
      <c r="AY700" s="42"/>
      <c r="AZ700" s="42"/>
      <c r="BA700" s="42"/>
      <c r="BB700" s="42"/>
      <c r="BC700" s="42"/>
      <c r="BD700" s="42"/>
      <c r="BE700" s="42"/>
      <c r="BF700" s="42"/>
      <c r="BG700" s="42"/>
      <c r="BH700" s="42"/>
      <c r="BI700" s="42"/>
      <c r="BJ700" s="42"/>
      <c r="BK700" s="42"/>
      <c r="BL700" s="42"/>
      <c r="BM700" s="42"/>
      <c r="BN700" s="42"/>
      <c r="BO700" s="42"/>
      <c r="BQ700" s="42"/>
      <c r="BR700" s="42"/>
      <c r="BS700" s="42"/>
      <c r="BT700" s="42"/>
      <c r="BU700" s="42"/>
      <c r="BV700" s="42"/>
      <c r="BW700" s="42"/>
      <c r="BX700" s="42"/>
      <c r="BY700" s="42"/>
      <c r="BZ700" s="42"/>
      <c r="CA700" s="42"/>
      <c r="CB700" s="42"/>
      <c r="CC700" s="42"/>
      <c r="CD700" s="42"/>
      <c r="CE700" s="42"/>
      <c r="CF700" s="42"/>
      <c r="CG700" s="42"/>
      <c r="CH700" s="42"/>
      <c r="CI700" s="42"/>
      <c r="CJ700" s="42"/>
      <c r="CK700" s="42"/>
      <c r="CL700" s="42"/>
      <c r="CM700" s="42"/>
      <c r="CN700" s="42"/>
      <c r="CO700" s="42"/>
      <c r="CQ700" s="42"/>
      <c r="CR700" s="42"/>
      <c r="CS700" s="42"/>
      <c r="CT700" s="42"/>
      <c r="CU700" s="42"/>
      <c r="CV700" s="42"/>
      <c r="CW700" s="42"/>
      <c r="CX700" s="42"/>
      <c r="CY700" s="42"/>
      <c r="CZ700" s="42"/>
      <c r="DA700" s="42"/>
      <c r="DB700" s="42"/>
      <c r="DC700" s="42"/>
      <c r="DD700" s="42"/>
      <c r="DE700" s="42"/>
      <c r="DF700" s="42"/>
      <c r="DG700" s="42"/>
      <c r="DH700" s="42"/>
      <c r="DI700" s="42"/>
      <c r="DJ700" s="42"/>
      <c r="DK700" s="42"/>
      <c r="DL700" s="42"/>
      <c r="DM700" s="42"/>
      <c r="DN700" s="42"/>
      <c r="DO700" s="42"/>
    </row>
    <row r="701" spans="2:119" ht="18" x14ac:dyDescent="0.55000000000000004">
      <c r="B701" s="99"/>
      <c r="C701" s="42"/>
      <c r="D701" s="112" t="s">
        <v>24</v>
      </c>
      <c r="E701" s="112"/>
      <c r="F701" s="45"/>
      <c r="G701" s="45"/>
      <c r="H701" s="45"/>
      <c r="I701" s="45"/>
      <c r="J701" s="45"/>
      <c r="K701" s="45"/>
      <c r="L701" s="45"/>
      <c r="M701" s="45"/>
      <c r="N701" s="45"/>
      <c r="O701" s="102"/>
      <c r="P701" s="102"/>
      <c r="Q701" s="112" t="s">
        <v>24</v>
      </c>
      <c r="R701" s="112"/>
      <c r="S701" s="45"/>
      <c r="T701" s="45"/>
      <c r="U701" s="45"/>
      <c r="V701" s="45"/>
      <c r="W701" s="45"/>
      <c r="X701" s="45"/>
      <c r="Y701" s="45"/>
      <c r="Z701" s="45"/>
      <c r="AA701" s="45"/>
      <c r="AB701" s="102"/>
      <c r="AC701" s="102"/>
      <c r="AD701" s="112" t="s">
        <v>24</v>
      </c>
      <c r="AE701" s="112"/>
      <c r="AF701" s="45"/>
      <c r="AG701" s="45"/>
      <c r="AH701" s="45"/>
      <c r="AI701" s="45"/>
      <c r="AJ701" s="45"/>
      <c r="AK701" s="45"/>
      <c r="AL701" s="45"/>
      <c r="AM701" s="45"/>
      <c r="AN701" s="45"/>
      <c r="AO701" s="42"/>
      <c r="AQ701" s="112" t="s">
        <v>24</v>
      </c>
      <c r="AR701" s="112"/>
      <c r="AS701" s="45"/>
      <c r="AT701" s="45"/>
      <c r="AU701" s="45"/>
      <c r="AV701" s="45"/>
      <c r="AW701" s="45"/>
      <c r="AX701" s="45"/>
      <c r="AY701" s="45"/>
      <c r="AZ701" s="45"/>
      <c r="BA701" s="45"/>
      <c r="BB701" s="42"/>
      <c r="BC701" s="42"/>
      <c r="BD701" s="112" t="s">
        <v>24</v>
      </c>
      <c r="BE701" s="112"/>
      <c r="BF701" s="45"/>
      <c r="BG701" s="45"/>
      <c r="BH701" s="45"/>
      <c r="BI701" s="45"/>
      <c r="BJ701" s="45"/>
      <c r="BK701" s="45"/>
      <c r="BL701" s="45"/>
      <c r="BM701" s="45"/>
      <c r="BN701" s="45"/>
      <c r="BO701" s="42"/>
      <c r="BQ701" s="112" t="s">
        <v>24</v>
      </c>
      <c r="BR701" s="112"/>
      <c r="BS701" s="45"/>
      <c r="BT701" s="45"/>
      <c r="BU701" s="45"/>
      <c r="BV701" s="45"/>
      <c r="BW701" s="45"/>
      <c r="BX701" s="45"/>
      <c r="BY701" s="45"/>
      <c r="BZ701" s="45"/>
      <c r="CA701" s="45"/>
      <c r="CB701" s="42"/>
      <c r="CC701" s="42"/>
      <c r="CD701" s="112" t="s">
        <v>24</v>
      </c>
      <c r="CE701" s="112"/>
      <c r="CF701" s="45"/>
      <c r="CG701" s="45"/>
      <c r="CH701" s="45"/>
      <c r="CI701" s="45"/>
      <c r="CJ701" s="45"/>
      <c r="CK701" s="45"/>
      <c r="CL701" s="45"/>
      <c r="CM701" s="45"/>
      <c r="CN701" s="45"/>
      <c r="CO701" s="42"/>
      <c r="CQ701" s="112" t="s">
        <v>24</v>
      </c>
      <c r="CR701" s="112"/>
      <c r="CS701" s="45"/>
      <c r="CT701" s="45"/>
      <c r="CU701" s="45"/>
      <c r="CV701" s="45"/>
      <c r="CW701" s="45"/>
      <c r="CX701" s="45"/>
      <c r="CY701" s="45"/>
      <c r="CZ701" s="45"/>
      <c r="DA701" s="45"/>
      <c r="DB701" s="42"/>
      <c r="DC701" s="42"/>
      <c r="DD701" s="112" t="s">
        <v>24</v>
      </c>
      <c r="DE701" s="112"/>
      <c r="DF701" s="45"/>
      <c r="DG701" s="45"/>
      <c r="DH701" s="45"/>
      <c r="DI701" s="45"/>
      <c r="DJ701" s="45"/>
      <c r="DK701" s="45"/>
      <c r="DL701" s="45"/>
      <c r="DM701" s="45"/>
      <c r="DN701" s="45"/>
      <c r="DO701" s="42"/>
    </row>
    <row r="702" spans="2:119" ht="28.9" customHeight="1" x14ac:dyDescent="0.45">
      <c r="B702" s="99"/>
      <c r="C702" s="42"/>
      <c r="D702" s="112"/>
      <c r="E702" s="112"/>
      <c r="F702" s="128" t="s">
        <v>12</v>
      </c>
      <c r="G702" s="129"/>
      <c r="H702" s="129"/>
      <c r="I702" s="129"/>
      <c r="J702" s="129"/>
      <c r="K702" s="129"/>
      <c r="L702" s="129"/>
      <c r="M702" s="129"/>
      <c r="N702" s="130"/>
      <c r="O702" s="102"/>
      <c r="P702" s="102"/>
      <c r="Q702" s="112"/>
      <c r="R702" s="112"/>
      <c r="S702" s="128" t="s">
        <v>12</v>
      </c>
      <c r="T702" s="129"/>
      <c r="U702" s="129"/>
      <c r="V702" s="129"/>
      <c r="W702" s="129"/>
      <c r="X702" s="129"/>
      <c r="Y702" s="129"/>
      <c r="Z702" s="129"/>
      <c r="AA702" s="130"/>
      <c r="AB702" s="102"/>
      <c r="AC702" s="102"/>
      <c r="AD702" s="112"/>
      <c r="AE702" s="112"/>
      <c r="AF702" s="128" t="s">
        <v>12</v>
      </c>
      <c r="AG702" s="129"/>
      <c r="AH702" s="129"/>
      <c r="AI702" s="129"/>
      <c r="AJ702" s="129"/>
      <c r="AK702" s="129"/>
      <c r="AL702" s="129"/>
      <c r="AM702" s="129"/>
      <c r="AN702" s="130"/>
      <c r="AO702" s="42"/>
      <c r="AQ702" s="112"/>
      <c r="AR702" s="112"/>
      <c r="AS702" s="128" t="s">
        <v>12</v>
      </c>
      <c r="AT702" s="129"/>
      <c r="AU702" s="129"/>
      <c r="AV702" s="129"/>
      <c r="AW702" s="129"/>
      <c r="AX702" s="129"/>
      <c r="AY702" s="129"/>
      <c r="AZ702" s="129"/>
      <c r="BA702" s="130"/>
      <c r="BB702" s="42"/>
      <c r="BC702" s="42"/>
      <c r="BD702" s="112"/>
      <c r="BE702" s="112"/>
      <c r="BF702" s="128" t="s">
        <v>12</v>
      </c>
      <c r="BG702" s="129"/>
      <c r="BH702" s="129"/>
      <c r="BI702" s="129"/>
      <c r="BJ702" s="129"/>
      <c r="BK702" s="129"/>
      <c r="BL702" s="129"/>
      <c r="BM702" s="129"/>
      <c r="BN702" s="130"/>
      <c r="BO702" s="42"/>
      <c r="BQ702" s="112"/>
      <c r="BR702" s="112"/>
      <c r="BS702" s="128" t="s">
        <v>12</v>
      </c>
      <c r="BT702" s="129"/>
      <c r="BU702" s="129"/>
      <c r="BV702" s="129"/>
      <c r="BW702" s="129"/>
      <c r="BX702" s="129"/>
      <c r="BY702" s="129"/>
      <c r="BZ702" s="129"/>
      <c r="CA702" s="130"/>
      <c r="CB702" s="42"/>
      <c r="CC702" s="42"/>
      <c r="CD702" s="112"/>
      <c r="CE702" s="112"/>
      <c r="CF702" s="128" t="s">
        <v>12</v>
      </c>
      <c r="CG702" s="129"/>
      <c r="CH702" s="129"/>
      <c r="CI702" s="129"/>
      <c r="CJ702" s="129"/>
      <c r="CK702" s="129"/>
      <c r="CL702" s="129"/>
      <c r="CM702" s="129"/>
      <c r="CN702" s="130"/>
      <c r="CO702" s="42"/>
      <c r="CQ702" s="112"/>
      <c r="CR702" s="112"/>
      <c r="CS702" s="128" t="s">
        <v>12</v>
      </c>
      <c r="CT702" s="129"/>
      <c r="CU702" s="129"/>
      <c r="CV702" s="129"/>
      <c r="CW702" s="129"/>
      <c r="CX702" s="129"/>
      <c r="CY702" s="129"/>
      <c r="CZ702" s="129"/>
      <c r="DA702" s="130"/>
      <c r="DB702" s="42"/>
      <c r="DC702" s="42"/>
      <c r="DD702" s="112"/>
      <c r="DE702" s="112"/>
      <c r="DF702" s="128" t="s">
        <v>12</v>
      </c>
      <c r="DG702" s="129"/>
      <c r="DH702" s="129"/>
      <c r="DI702" s="129"/>
      <c r="DJ702" s="129"/>
      <c r="DK702" s="129"/>
      <c r="DL702" s="129"/>
      <c r="DM702" s="129"/>
      <c r="DN702" s="130"/>
      <c r="DO702" s="42"/>
    </row>
    <row r="703" spans="2:119" ht="15" x14ac:dyDescent="0.45">
      <c r="B703" s="99"/>
      <c r="C703" s="42"/>
      <c r="D703" s="113"/>
      <c r="E703" s="113"/>
      <c r="F703" s="98" t="s">
        <v>0</v>
      </c>
      <c r="G703" s="98" t="s">
        <v>111</v>
      </c>
      <c r="H703" s="98" t="s">
        <v>112</v>
      </c>
      <c r="I703" s="98" t="s">
        <v>113</v>
      </c>
      <c r="J703" s="98" t="s">
        <v>114</v>
      </c>
      <c r="K703" s="98" t="s">
        <v>115</v>
      </c>
      <c r="L703" s="98" t="s">
        <v>116</v>
      </c>
      <c r="M703" s="98" t="s">
        <v>117</v>
      </c>
      <c r="N703" s="98" t="s">
        <v>127</v>
      </c>
      <c r="O703" s="102"/>
      <c r="P703" s="102"/>
      <c r="Q703" s="113"/>
      <c r="R703" s="113"/>
      <c r="S703" s="98" t="s">
        <v>0</v>
      </c>
      <c r="T703" s="98" t="s">
        <v>111</v>
      </c>
      <c r="U703" s="98" t="s">
        <v>112</v>
      </c>
      <c r="V703" s="98" t="s">
        <v>113</v>
      </c>
      <c r="W703" s="98" t="s">
        <v>114</v>
      </c>
      <c r="X703" s="98" t="s">
        <v>115</v>
      </c>
      <c r="Y703" s="98" t="s">
        <v>116</v>
      </c>
      <c r="Z703" s="98" t="s">
        <v>117</v>
      </c>
      <c r="AA703" s="98" t="s">
        <v>127</v>
      </c>
      <c r="AB703" s="102"/>
      <c r="AC703" s="102"/>
      <c r="AD703" s="113"/>
      <c r="AE703" s="113"/>
      <c r="AF703" s="98" t="s">
        <v>0</v>
      </c>
      <c r="AG703" s="98" t="s">
        <v>111</v>
      </c>
      <c r="AH703" s="98" t="s">
        <v>112</v>
      </c>
      <c r="AI703" s="98" t="s">
        <v>113</v>
      </c>
      <c r="AJ703" s="98" t="s">
        <v>114</v>
      </c>
      <c r="AK703" s="98" t="s">
        <v>115</v>
      </c>
      <c r="AL703" s="98" t="s">
        <v>116</v>
      </c>
      <c r="AM703" s="98" t="s">
        <v>117</v>
      </c>
      <c r="AN703" s="98" t="s">
        <v>127</v>
      </c>
      <c r="AO703" s="42"/>
      <c r="AQ703" s="113"/>
      <c r="AR703" s="113"/>
      <c r="AS703" s="98" t="s">
        <v>0</v>
      </c>
      <c r="AT703" s="98" t="s">
        <v>111</v>
      </c>
      <c r="AU703" s="98" t="s">
        <v>112</v>
      </c>
      <c r="AV703" s="98" t="s">
        <v>113</v>
      </c>
      <c r="AW703" s="98" t="s">
        <v>114</v>
      </c>
      <c r="AX703" s="98" t="s">
        <v>115</v>
      </c>
      <c r="AY703" s="98" t="s">
        <v>116</v>
      </c>
      <c r="AZ703" s="98" t="s">
        <v>117</v>
      </c>
      <c r="BA703" s="98" t="s">
        <v>127</v>
      </c>
      <c r="BB703" s="42"/>
      <c r="BC703" s="42"/>
      <c r="BD703" s="113"/>
      <c r="BE703" s="113"/>
      <c r="BF703" s="98" t="s">
        <v>0</v>
      </c>
      <c r="BG703" s="98" t="s">
        <v>111</v>
      </c>
      <c r="BH703" s="98" t="s">
        <v>112</v>
      </c>
      <c r="BI703" s="98" t="s">
        <v>113</v>
      </c>
      <c r="BJ703" s="98" t="s">
        <v>114</v>
      </c>
      <c r="BK703" s="98" t="s">
        <v>115</v>
      </c>
      <c r="BL703" s="98" t="s">
        <v>116</v>
      </c>
      <c r="BM703" s="98" t="s">
        <v>117</v>
      </c>
      <c r="BN703" s="98" t="s">
        <v>127</v>
      </c>
      <c r="BO703" s="42"/>
      <c r="BQ703" s="113"/>
      <c r="BR703" s="113"/>
      <c r="BS703" s="98" t="s">
        <v>0</v>
      </c>
      <c r="BT703" s="98" t="s">
        <v>111</v>
      </c>
      <c r="BU703" s="98" t="s">
        <v>112</v>
      </c>
      <c r="BV703" s="98" t="s">
        <v>113</v>
      </c>
      <c r="BW703" s="98" t="s">
        <v>114</v>
      </c>
      <c r="BX703" s="98" t="s">
        <v>115</v>
      </c>
      <c r="BY703" s="98" t="s">
        <v>116</v>
      </c>
      <c r="BZ703" s="98" t="s">
        <v>117</v>
      </c>
      <c r="CA703" s="98" t="s">
        <v>127</v>
      </c>
      <c r="CB703" s="42"/>
      <c r="CC703" s="42"/>
      <c r="CD703" s="113"/>
      <c r="CE703" s="113"/>
      <c r="CF703" s="98" t="s">
        <v>0</v>
      </c>
      <c r="CG703" s="98" t="s">
        <v>111</v>
      </c>
      <c r="CH703" s="98" t="s">
        <v>112</v>
      </c>
      <c r="CI703" s="98" t="s">
        <v>113</v>
      </c>
      <c r="CJ703" s="98" t="s">
        <v>114</v>
      </c>
      <c r="CK703" s="98" t="s">
        <v>115</v>
      </c>
      <c r="CL703" s="98" t="s">
        <v>116</v>
      </c>
      <c r="CM703" s="98" t="s">
        <v>117</v>
      </c>
      <c r="CN703" s="98" t="s">
        <v>127</v>
      </c>
      <c r="CO703" s="42"/>
      <c r="CQ703" s="113"/>
      <c r="CR703" s="113"/>
      <c r="CS703" s="98" t="s">
        <v>0</v>
      </c>
      <c r="CT703" s="98" t="s">
        <v>111</v>
      </c>
      <c r="CU703" s="98" t="s">
        <v>112</v>
      </c>
      <c r="CV703" s="98" t="s">
        <v>113</v>
      </c>
      <c r="CW703" s="98" t="s">
        <v>114</v>
      </c>
      <c r="CX703" s="98" t="s">
        <v>115</v>
      </c>
      <c r="CY703" s="98" t="s">
        <v>116</v>
      </c>
      <c r="CZ703" s="98" t="s">
        <v>117</v>
      </c>
      <c r="DA703" s="98" t="s">
        <v>127</v>
      </c>
      <c r="DB703" s="42"/>
      <c r="DC703" s="42"/>
      <c r="DD703" s="113"/>
      <c r="DE703" s="113"/>
      <c r="DF703" s="98" t="s">
        <v>0</v>
      </c>
      <c r="DG703" s="98" t="s">
        <v>111</v>
      </c>
      <c r="DH703" s="98" t="s">
        <v>112</v>
      </c>
      <c r="DI703" s="98" t="s">
        <v>113</v>
      </c>
      <c r="DJ703" s="98" t="s">
        <v>114</v>
      </c>
      <c r="DK703" s="98" t="s">
        <v>115</v>
      </c>
      <c r="DL703" s="98" t="s">
        <v>116</v>
      </c>
      <c r="DM703" s="98" t="s">
        <v>117</v>
      </c>
      <c r="DN703" s="98" t="s">
        <v>127</v>
      </c>
      <c r="DO703" s="42"/>
    </row>
    <row r="704" spans="2:119" ht="15.4" x14ac:dyDescent="0.45">
      <c r="B704" s="134" t="s">
        <v>126</v>
      </c>
      <c r="C704" s="42"/>
      <c r="D704" s="109" t="s">
        <v>13</v>
      </c>
      <c r="E704" s="46" t="s">
        <v>1</v>
      </c>
      <c r="F704" s="103">
        <v>0</v>
      </c>
      <c r="G704" s="103">
        <v>0</v>
      </c>
      <c r="H704" s="103">
        <v>0</v>
      </c>
      <c r="I704" s="103">
        <v>0</v>
      </c>
      <c r="J704" s="103">
        <v>0</v>
      </c>
      <c r="K704" s="103">
        <v>0</v>
      </c>
      <c r="L704" s="103">
        <v>1</v>
      </c>
      <c r="M704" s="103">
        <v>3</v>
      </c>
      <c r="N704" s="103">
        <v>0</v>
      </c>
      <c r="O704" s="102"/>
      <c r="P704" s="102"/>
      <c r="Q704" s="109" t="s">
        <v>13</v>
      </c>
      <c r="R704" s="46" t="s">
        <v>1</v>
      </c>
      <c r="S704" s="103">
        <v>0</v>
      </c>
      <c r="T704" s="103">
        <v>0</v>
      </c>
      <c r="U704" s="103">
        <v>0</v>
      </c>
      <c r="V704" s="103">
        <v>0</v>
      </c>
      <c r="W704" s="103">
        <v>0</v>
      </c>
      <c r="X704" s="103">
        <v>0</v>
      </c>
      <c r="Y704" s="103">
        <v>0</v>
      </c>
      <c r="Z704" s="103">
        <v>2</v>
      </c>
      <c r="AA704" s="103">
        <v>0</v>
      </c>
      <c r="AB704" s="102"/>
      <c r="AC704" s="102"/>
      <c r="AD704" s="109" t="s">
        <v>13</v>
      </c>
      <c r="AE704" s="46" t="s">
        <v>1</v>
      </c>
      <c r="AF704" s="103">
        <v>0</v>
      </c>
      <c r="AG704" s="103">
        <v>0</v>
      </c>
      <c r="AH704" s="103">
        <v>0</v>
      </c>
      <c r="AI704" s="103">
        <v>0</v>
      </c>
      <c r="AJ704" s="103">
        <v>0</v>
      </c>
      <c r="AK704" s="103">
        <v>0</v>
      </c>
      <c r="AL704" s="103">
        <v>1</v>
      </c>
      <c r="AM704" s="103">
        <v>1</v>
      </c>
      <c r="AN704" s="103">
        <v>0</v>
      </c>
      <c r="AO704" s="42"/>
      <c r="AQ704" s="109" t="s">
        <v>13</v>
      </c>
      <c r="AR704" s="46" t="s">
        <v>1</v>
      </c>
      <c r="AS704" s="103">
        <v>0</v>
      </c>
      <c r="AT704" s="103">
        <v>0</v>
      </c>
      <c r="AU704" s="103">
        <v>0</v>
      </c>
      <c r="AV704" s="103">
        <v>0</v>
      </c>
      <c r="AW704" s="103">
        <v>0</v>
      </c>
      <c r="AX704" s="103">
        <v>0</v>
      </c>
      <c r="AY704" s="103">
        <v>0</v>
      </c>
      <c r="AZ704" s="103">
        <v>2</v>
      </c>
      <c r="BA704" s="103">
        <v>0</v>
      </c>
      <c r="BB704" s="42"/>
      <c r="BC704" s="42"/>
      <c r="BD704" s="109" t="s">
        <v>13</v>
      </c>
      <c r="BE704" s="46" t="s">
        <v>1</v>
      </c>
      <c r="BF704" s="103">
        <v>0</v>
      </c>
      <c r="BG704" s="103">
        <v>0</v>
      </c>
      <c r="BH704" s="103">
        <v>0</v>
      </c>
      <c r="BI704" s="103">
        <v>0</v>
      </c>
      <c r="BJ704" s="103">
        <v>0</v>
      </c>
      <c r="BK704" s="103">
        <v>0</v>
      </c>
      <c r="BL704" s="103">
        <v>1</v>
      </c>
      <c r="BM704" s="103">
        <v>1</v>
      </c>
      <c r="BN704" s="103">
        <v>0</v>
      </c>
      <c r="BO704" s="42"/>
      <c r="BQ704" s="109" t="s">
        <v>13</v>
      </c>
      <c r="BR704" s="46" t="s">
        <v>1</v>
      </c>
      <c r="BS704" s="103">
        <v>0</v>
      </c>
      <c r="BT704" s="103">
        <v>0</v>
      </c>
      <c r="BU704" s="103">
        <v>0</v>
      </c>
      <c r="BV704" s="103">
        <v>0</v>
      </c>
      <c r="BW704" s="103">
        <v>0</v>
      </c>
      <c r="BX704" s="103">
        <v>0</v>
      </c>
      <c r="BY704" s="103">
        <v>0</v>
      </c>
      <c r="BZ704" s="103">
        <v>0</v>
      </c>
      <c r="CA704" s="103">
        <v>0</v>
      </c>
      <c r="CB704" s="42"/>
      <c r="CC704" s="42"/>
      <c r="CD704" s="109" t="s">
        <v>13</v>
      </c>
      <c r="CE704" s="46" t="s">
        <v>1</v>
      </c>
      <c r="CF704" s="103">
        <v>0</v>
      </c>
      <c r="CG704" s="103">
        <v>0</v>
      </c>
      <c r="CH704" s="103">
        <v>0</v>
      </c>
      <c r="CI704" s="103">
        <v>0</v>
      </c>
      <c r="CJ704" s="103">
        <v>0</v>
      </c>
      <c r="CK704" s="103">
        <v>0</v>
      </c>
      <c r="CL704" s="103">
        <v>1</v>
      </c>
      <c r="CM704" s="103">
        <v>3</v>
      </c>
      <c r="CN704" s="103">
        <v>0</v>
      </c>
      <c r="CO704" s="42"/>
      <c r="CQ704" s="109" t="s">
        <v>13</v>
      </c>
      <c r="CR704" s="46" t="s">
        <v>1</v>
      </c>
      <c r="CS704" s="103">
        <v>0</v>
      </c>
      <c r="CT704" s="103">
        <v>0</v>
      </c>
      <c r="CU704" s="103">
        <v>0</v>
      </c>
      <c r="CV704" s="103">
        <v>0</v>
      </c>
      <c r="CW704" s="103">
        <v>0</v>
      </c>
      <c r="CX704" s="103">
        <v>0</v>
      </c>
      <c r="CY704" s="103">
        <v>1</v>
      </c>
      <c r="CZ704" s="103">
        <v>3</v>
      </c>
      <c r="DA704" s="103">
        <v>0</v>
      </c>
      <c r="DB704" s="42"/>
      <c r="DC704" s="42"/>
      <c r="DD704" s="109" t="s">
        <v>13</v>
      </c>
      <c r="DE704" s="46" t="s">
        <v>1</v>
      </c>
      <c r="DF704" s="103">
        <v>0</v>
      </c>
      <c r="DG704" s="103">
        <v>0</v>
      </c>
      <c r="DH704" s="103">
        <v>0</v>
      </c>
      <c r="DI704" s="103">
        <v>0</v>
      </c>
      <c r="DJ704" s="103">
        <v>0</v>
      </c>
      <c r="DK704" s="103">
        <v>0</v>
      </c>
      <c r="DL704" s="103">
        <v>0</v>
      </c>
      <c r="DM704" s="103">
        <v>0</v>
      </c>
      <c r="DN704" s="103">
        <v>0</v>
      </c>
      <c r="DO704" s="42"/>
    </row>
    <row r="705" spans="2:119" ht="15.4" x14ac:dyDescent="0.45">
      <c r="B705" s="134"/>
      <c r="C705" s="42"/>
      <c r="D705" s="110"/>
      <c r="E705" s="46">
        <v>1</v>
      </c>
      <c r="F705" s="103">
        <v>0</v>
      </c>
      <c r="G705" s="103">
        <v>0</v>
      </c>
      <c r="H705" s="103">
        <v>1</v>
      </c>
      <c r="I705" s="103">
        <v>3</v>
      </c>
      <c r="J705" s="103">
        <v>0</v>
      </c>
      <c r="K705" s="103">
        <v>4</v>
      </c>
      <c r="L705" s="103">
        <v>2</v>
      </c>
      <c r="M705" s="103">
        <v>5</v>
      </c>
      <c r="N705" s="103">
        <v>2</v>
      </c>
      <c r="O705" s="102"/>
      <c r="P705" s="102"/>
      <c r="Q705" s="110"/>
      <c r="R705" s="46">
        <v>1</v>
      </c>
      <c r="S705" s="103">
        <v>0</v>
      </c>
      <c r="T705" s="103">
        <v>0</v>
      </c>
      <c r="U705" s="103">
        <v>0</v>
      </c>
      <c r="V705" s="103">
        <v>1</v>
      </c>
      <c r="W705" s="103">
        <v>0</v>
      </c>
      <c r="X705" s="103">
        <v>3</v>
      </c>
      <c r="Y705" s="103">
        <v>1</v>
      </c>
      <c r="Z705" s="103">
        <v>3</v>
      </c>
      <c r="AA705" s="103">
        <v>0</v>
      </c>
      <c r="AB705" s="102"/>
      <c r="AC705" s="102"/>
      <c r="AD705" s="110"/>
      <c r="AE705" s="46">
        <v>1</v>
      </c>
      <c r="AF705" s="103">
        <v>0</v>
      </c>
      <c r="AG705" s="103">
        <v>0</v>
      </c>
      <c r="AH705" s="103">
        <v>1</v>
      </c>
      <c r="AI705" s="103">
        <v>2</v>
      </c>
      <c r="AJ705" s="103">
        <v>0</v>
      </c>
      <c r="AK705" s="103">
        <v>1</v>
      </c>
      <c r="AL705" s="103">
        <v>1</v>
      </c>
      <c r="AM705" s="103">
        <v>2</v>
      </c>
      <c r="AN705" s="103">
        <v>2</v>
      </c>
      <c r="AO705" s="42"/>
      <c r="AQ705" s="110"/>
      <c r="AR705" s="46">
        <v>1</v>
      </c>
      <c r="AS705" s="103">
        <v>0</v>
      </c>
      <c r="AT705" s="103">
        <v>0</v>
      </c>
      <c r="AU705" s="103">
        <v>0</v>
      </c>
      <c r="AV705" s="103">
        <v>0</v>
      </c>
      <c r="AW705" s="103">
        <v>0</v>
      </c>
      <c r="AX705" s="103">
        <v>3</v>
      </c>
      <c r="AY705" s="103">
        <v>2</v>
      </c>
      <c r="AZ705" s="103">
        <v>0</v>
      </c>
      <c r="BA705" s="103">
        <v>2</v>
      </c>
      <c r="BB705" s="42"/>
      <c r="BC705" s="42"/>
      <c r="BD705" s="110"/>
      <c r="BE705" s="46">
        <v>1</v>
      </c>
      <c r="BF705" s="103">
        <v>0</v>
      </c>
      <c r="BG705" s="103">
        <v>0</v>
      </c>
      <c r="BH705" s="103">
        <v>1</v>
      </c>
      <c r="BI705" s="103">
        <v>3</v>
      </c>
      <c r="BJ705" s="103">
        <v>0</v>
      </c>
      <c r="BK705" s="103">
        <v>1</v>
      </c>
      <c r="BL705" s="103">
        <v>0</v>
      </c>
      <c r="BM705" s="103">
        <v>5</v>
      </c>
      <c r="BN705" s="103">
        <v>0</v>
      </c>
      <c r="BO705" s="42"/>
      <c r="BQ705" s="110"/>
      <c r="BR705" s="46">
        <v>1</v>
      </c>
      <c r="BS705" s="103">
        <v>0</v>
      </c>
      <c r="BT705" s="103">
        <v>0</v>
      </c>
      <c r="BU705" s="103">
        <v>0</v>
      </c>
      <c r="BV705" s="103">
        <v>1</v>
      </c>
      <c r="BW705" s="103">
        <v>0</v>
      </c>
      <c r="BX705" s="103">
        <v>1</v>
      </c>
      <c r="BY705" s="103">
        <v>1</v>
      </c>
      <c r="BZ705" s="103">
        <v>0</v>
      </c>
      <c r="CA705" s="103">
        <v>0</v>
      </c>
      <c r="CB705" s="42"/>
      <c r="CC705" s="42"/>
      <c r="CD705" s="110"/>
      <c r="CE705" s="46">
        <v>1</v>
      </c>
      <c r="CF705" s="103">
        <v>0</v>
      </c>
      <c r="CG705" s="103">
        <v>0</v>
      </c>
      <c r="CH705" s="103">
        <v>1</v>
      </c>
      <c r="CI705" s="103">
        <v>2</v>
      </c>
      <c r="CJ705" s="103">
        <v>0</v>
      </c>
      <c r="CK705" s="103">
        <v>3</v>
      </c>
      <c r="CL705" s="103">
        <v>1</v>
      </c>
      <c r="CM705" s="103">
        <v>5</v>
      </c>
      <c r="CN705" s="103">
        <v>2</v>
      </c>
      <c r="CO705" s="42"/>
      <c r="CQ705" s="110"/>
      <c r="CR705" s="46">
        <v>1</v>
      </c>
      <c r="CS705" s="103">
        <v>0</v>
      </c>
      <c r="CT705" s="103">
        <v>0</v>
      </c>
      <c r="CU705" s="103">
        <v>1</v>
      </c>
      <c r="CV705" s="103">
        <v>3</v>
      </c>
      <c r="CW705" s="103">
        <v>0</v>
      </c>
      <c r="CX705" s="103">
        <v>4</v>
      </c>
      <c r="CY705" s="103">
        <v>2</v>
      </c>
      <c r="CZ705" s="103">
        <v>5</v>
      </c>
      <c r="DA705" s="103">
        <v>2</v>
      </c>
      <c r="DB705" s="42"/>
      <c r="DC705" s="42"/>
      <c r="DD705" s="110"/>
      <c r="DE705" s="46">
        <v>1</v>
      </c>
      <c r="DF705" s="103">
        <v>0</v>
      </c>
      <c r="DG705" s="103">
        <v>0</v>
      </c>
      <c r="DH705" s="103">
        <v>0</v>
      </c>
      <c r="DI705" s="103">
        <v>0</v>
      </c>
      <c r="DJ705" s="103">
        <v>0</v>
      </c>
      <c r="DK705" s="103">
        <v>0</v>
      </c>
      <c r="DL705" s="103">
        <v>0</v>
      </c>
      <c r="DM705" s="103">
        <v>0</v>
      </c>
      <c r="DN705" s="103">
        <v>0</v>
      </c>
      <c r="DO705" s="42"/>
    </row>
    <row r="706" spans="2:119" ht="15.4" x14ac:dyDescent="0.45">
      <c r="B706" s="134"/>
      <c r="C706" s="42"/>
      <c r="D706" s="110"/>
      <c r="E706" s="46" t="s">
        <v>2</v>
      </c>
      <c r="F706" s="103">
        <v>1</v>
      </c>
      <c r="G706" s="103">
        <v>1</v>
      </c>
      <c r="H706" s="103">
        <v>4</v>
      </c>
      <c r="I706" s="103">
        <v>13</v>
      </c>
      <c r="J706" s="103">
        <v>11</v>
      </c>
      <c r="K706" s="103">
        <v>26</v>
      </c>
      <c r="L706" s="103">
        <v>44</v>
      </c>
      <c r="M706" s="103">
        <v>43</v>
      </c>
      <c r="N706" s="103">
        <v>11</v>
      </c>
      <c r="O706" s="102"/>
      <c r="P706" s="102"/>
      <c r="Q706" s="110"/>
      <c r="R706" s="46" t="s">
        <v>2</v>
      </c>
      <c r="S706" s="103">
        <v>0</v>
      </c>
      <c r="T706" s="103">
        <v>1</v>
      </c>
      <c r="U706" s="103">
        <v>0</v>
      </c>
      <c r="V706" s="103">
        <v>3</v>
      </c>
      <c r="W706" s="103">
        <v>5</v>
      </c>
      <c r="X706" s="103">
        <v>12</v>
      </c>
      <c r="Y706" s="103">
        <v>20</v>
      </c>
      <c r="Z706" s="103">
        <v>25</v>
      </c>
      <c r="AA706" s="103">
        <v>8</v>
      </c>
      <c r="AB706" s="102"/>
      <c r="AC706" s="102"/>
      <c r="AD706" s="110"/>
      <c r="AE706" s="46" t="s">
        <v>2</v>
      </c>
      <c r="AF706" s="103">
        <v>1</v>
      </c>
      <c r="AG706" s="103">
        <v>0</v>
      </c>
      <c r="AH706" s="103">
        <v>4</v>
      </c>
      <c r="AI706" s="103">
        <v>10</v>
      </c>
      <c r="AJ706" s="103">
        <v>6</v>
      </c>
      <c r="AK706" s="103">
        <v>14</v>
      </c>
      <c r="AL706" s="103">
        <v>24</v>
      </c>
      <c r="AM706" s="103">
        <v>18</v>
      </c>
      <c r="AN706" s="103">
        <v>3</v>
      </c>
      <c r="AO706" s="42"/>
      <c r="AQ706" s="110"/>
      <c r="AR706" s="46" t="s">
        <v>2</v>
      </c>
      <c r="AS706" s="103">
        <v>1</v>
      </c>
      <c r="AT706" s="103">
        <v>1</v>
      </c>
      <c r="AU706" s="103">
        <v>3</v>
      </c>
      <c r="AV706" s="103">
        <v>2</v>
      </c>
      <c r="AW706" s="103">
        <v>3</v>
      </c>
      <c r="AX706" s="103">
        <v>14</v>
      </c>
      <c r="AY706" s="103">
        <v>19</v>
      </c>
      <c r="AZ706" s="103">
        <v>17</v>
      </c>
      <c r="BA706" s="103">
        <v>5</v>
      </c>
      <c r="BB706" s="42"/>
      <c r="BC706" s="42"/>
      <c r="BD706" s="110"/>
      <c r="BE706" s="46" t="s">
        <v>2</v>
      </c>
      <c r="BF706" s="103">
        <v>0</v>
      </c>
      <c r="BG706" s="103">
        <v>0</v>
      </c>
      <c r="BH706" s="103">
        <v>1</v>
      </c>
      <c r="BI706" s="103">
        <v>11</v>
      </c>
      <c r="BJ706" s="103">
        <v>8</v>
      </c>
      <c r="BK706" s="103">
        <v>12</v>
      </c>
      <c r="BL706" s="103">
        <v>25</v>
      </c>
      <c r="BM706" s="103">
        <v>26</v>
      </c>
      <c r="BN706" s="103">
        <v>6</v>
      </c>
      <c r="BO706" s="42"/>
      <c r="BQ706" s="110"/>
      <c r="BR706" s="46" t="s">
        <v>2</v>
      </c>
      <c r="BS706" s="103">
        <v>1</v>
      </c>
      <c r="BT706" s="103">
        <v>1</v>
      </c>
      <c r="BU706" s="103">
        <v>3</v>
      </c>
      <c r="BV706" s="103">
        <v>2</v>
      </c>
      <c r="BW706" s="103">
        <v>6</v>
      </c>
      <c r="BX706" s="103">
        <v>8</v>
      </c>
      <c r="BY706" s="103">
        <v>15</v>
      </c>
      <c r="BZ706" s="103">
        <v>5</v>
      </c>
      <c r="CA706" s="103">
        <v>3</v>
      </c>
      <c r="CB706" s="42"/>
      <c r="CC706" s="42"/>
      <c r="CD706" s="110"/>
      <c r="CE706" s="46" t="s">
        <v>2</v>
      </c>
      <c r="CF706" s="103">
        <v>0</v>
      </c>
      <c r="CG706" s="103">
        <v>0</v>
      </c>
      <c r="CH706" s="103">
        <v>1</v>
      </c>
      <c r="CI706" s="103">
        <v>11</v>
      </c>
      <c r="CJ706" s="103">
        <v>5</v>
      </c>
      <c r="CK706" s="103">
        <v>18</v>
      </c>
      <c r="CL706" s="103">
        <v>29</v>
      </c>
      <c r="CM706" s="103">
        <v>38</v>
      </c>
      <c r="CN706" s="103">
        <v>8</v>
      </c>
      <c r="CO706" s="42"/>
      <c r="CQ706" s="110"/>
      <c r="CR706" s="46" t="s">
        <v>2</v>
      </c>
      <c r="CS706" s="103">
        <v>1</v>
      </c>
      <c r="CT706" s="103">
        <v>1</v>
      </c>
      <c r="CU706" s="103">
        <v>3</v>
      </c>
      <c r="CV706" s="103">
        <v>12</v>
      </c>
      <c r="CW706" s="103">
        <v>11</v>
      </c>
      <c r="CX706" s="103">
        <v>26</v>
      </c>
      <c r="CY706" s="103">
        <v>44</v>
      </c>
      <c r="CZ706" s="103">
        <v>42</v>
      </c>
      <c r="DA706" s="103">
        <v>10</v>
      </c>
      <c r="DB706" s="42"/>
      <c r="DC706" s="42"/>
      <c r="DD706" s="110"/>
      <c r="DE706" s="46" t="s">
        <v>2</v>
      </c>
      <c r="DF706" s="103">
        <v>0</v>
      </c>
      <c r="DG706" s="103">
        <v>0</v>
      </c>
      <c r="DH706" s="103">
        <v>1</v>
      </c>
      <c r="DI706" s="103">
        <v>1</v>
      </c>
      <c r="DJ706" s="103">
        <v>0</v>
      </c>
      <c r="DK706" s="103">
        <v>0</v>
      </c>
      <c r="DL706" s="103">
        <v>0</v>
      </c>
      <c r="DM706" s="103">
        <v>1</v>
      </c>
      <c r="DN706" s="103">
        <v>1</v>
      </c>
      <c r="DO706" s="42"/>
    </row>
    <row r="707" spans="2:119" ht="15.4" x14ac:dyDescent="0.45">
      <c r="B707" s="134"/>
      <c r="C707" s="42"/>
      <c r="D707" s="110"/>
      <c r="E707" s="46" t="s">
        <v>3</v>
      </c>
      <c r="F707" s="103">
        <v>0</v>
      </c>
      <c r="G707" s="103">
        <v>0</v>
      </c>
      <c r="H707" s="103">
        <v>4</v>
      </c>
      <c r="I707" s="103">
        <v>4</v>
      </c>
      <c r="J707" s="103">
        <v>8</v>
      </c>
      <c r="K707" s="103">
        <v>12</v>
      </c>
      <c r="L707" s="103">
        <v>29</v>
      </c>
      <c r="M707" s="103">
        <v>26</v>
      </c>
      <c r="N707" s="103">
        <v>5</v>
      </c>
      <c r="O707" s="102"/>
      <c r="P707" s="102"/>
      <c r="Q707" s="110"/>
      <c r="R707" s="46" t="s">
        <v>3</v>
      </c>
      <c r="S707" s="103">
        <v>0</v>
      </c>
      <c r="T707" s="103">
        <v>0</v>
      </c>
      <c r="U707" s="103">
        <v>1</v>
      </c>
      <c r="V707" s="103">
        <v>1</v>
      </c>
      <c r="W707" s="103">
        <v>5</v>
      </c>
      <c r="X707" s="103">
        <v>5</v>
      </c>
      <c r="Y707" s="103">
        <v>19</v>
      </c>
      <c r="Z707" s="103">
        <v>17</v>
      </c>
      <c r="AA707" s="103">
        <v>3</v>
      </c>
      <c r="AB707" s="102"/>
      <c r="AC707" s="102"/>
      <c r="AD707" s="110"/>
      <c r="AE707" s="46" t="s">
        <v>3</v>
      </c>
      <c r="AF707" s="103">
        <v>0</v>
      </c>
      <c r="AG707" s="103">
        <v>0</v>
      </c>
      <c r="AH707" s="103">
        <v>3</v>
      </c>
      <c r="AI707" s="103">
        <v>3</v>
      </c>
      <c r="AJ707" s="103">
        <v>3</v>
      </c>
      <c r="AK707" s="103">
        <v>7</v>
      </c>
      <c r="AL707" s="103">
        <v>10</v>
      </c>
      <c r="AM707" s="103">
        <v>9</v>
      </c>
      <c r="AN707" s="103">
        <v>2</v>
      </c>
      <c r="AO707" s="42"/>
      <c r="AQ707" s="110"/>
      <c r="AR707" s="46" t="s">
        <v>3</v>
      </c>
      <c r="AS707" s="103">
        <v>0</v>
      </c>
      <c r="AT707" s="103">
        <v>0</v>
      </c>
      <c r="AU707" s="103">
        <v>1</v>
      </c>
      <c r="AV707" s="103">
        <v>2</v>
      </c>
      <c r="AW707" s="103">
        <v>6</v>
      </c>
      <c r="AX707" s="103">
        <v>4</v>
      </c>
      <c r="AY707" s="103">
        <v>12</v>
      </c>
      <c r="AZ707" s="103">
        <v>8</v>
      </c>
      <c r="BA707" s="103">
        <v>0</v>
      </c>
      <c r="BB707" s="42"/>
      <c r="BC707" s="42"/>
      <c r="BD707" s="110"/>
      <c r="BE707" s="46" t="s">
        <v>3</v>
      </c>
      <c r="BF707" s="103">
        <v>0</v>
      </c>
      <c r="BG707" s="103">
        <v>0</v>
      </c>
      <c r="BH707" s="103">
        <v>3</v>
      </c>
      <c r="BI707" s="103">
        <v>2</v>
      </c>
      <c r="BJ707" s="103">
        <v>2</v>
      </c>
      <c r="BK707" s="103">
        <v>8</v>
      </c>
      <c r="BL707" s="103">
        <v>17</v>
      </c>
      <c r="BM707" s="103">
        <v>18</v>
      </c>
      <c r="BN707" s="103">
        <v>5</v>
      </c>
      <c r="BO707" s="42"/>
      <c r="BQ707" s="110"/>
      <c r="BR707" s="46" t="s">
        <v>3</v>
      </c>
      <c r="BS707" s="103">
        <v>0</v>
      </c>
      <c r="BT707" s="103">
        <v>0</v>
      </c>
      <c r="BU707" s="103">
        <v>2</v>
      </c>
      <c r="BV707" s="103">
        <v>3</v>
      </c>
      <c r="BW707" s="103">
        <v>5</v>
      </c>
      <c r="BX707" s="103">
        <v>3</v>
      </c>
      <c r="BY707" s="103">
        <v>10</v>
      </c>
      <c r="BZ707" s="103">
        <v>7</v>
      </c>
      <c r="CA707" s="103">
        <v>0</v>
      </c>
      <c r="CB707" s="42"/>
      <c r="CC707" s="42"/>
      <c r="CD707" s="110"/>
      <c r="CE707" s="46" t="s">
        <v>3</v>
      </c>
      <c r="CF707" s="103">
        <v>0</v>
      </c>
      <c r="CG707" s="103">
        <v>0</v>
      </c>
      <c r="CH707" s="103">
        <v>2</v>
      </c>
      <c r="CI707" s="103">
        <v>1</v>
      </c>
      <c r="CJ707" s="103">
        <v>3</v>
      </c>
      <c r="CK707" s="103">
        <v>9</v>
      </c>
      <c r="CL707" s="103">
        <v>19</v>
      </c>
      <c r="CM707" s="103">
        <v>19</v>
      </c>
      <c r="CN707" s="103">
        <v>5</v>
      </c>
      <c r="CO707" s="42"/>
      <c r="CQ707" s="110"/>
      <c r="CR707" s="46" t="s">
        <v>3</v>
      </c>
      <c r="CS707" s="103">
        <v>0</v>
      </c>
      <c r="CT707" s="103">
        <v>0</v>
      </c>
      <c r="CU707" s="103">
        <v>3</v>
      </c>
      <c r="CV707" s="103">
        <v>2</v>
      </c>
      <c r="CW707" s="103">
        <v>8</v>
      </c>
      <c r="CX707" s="103">
        <v>10</v>
      </c>
      <c r="CY707" s="103">
        <v>26</v>
      </c>
      <c r="CZ707" s="103">
        <v>26</v>
      </c>
      <c r="DA707" s="103">
        <v>5</v>
      </c>
      <c r="DB707" s="42"/>
      <c r="DC707" s="42"/>
      <c r="DD707" s="110"/>
      <c r="DE707" s="46" t="s">
        <v>3</v>
      </c>
      <c r="DF707" s="103">
        <v>0</v>
      </c>
      <c r="DG707" s="103">
        <v>0</v>
      </c>
      <c r="DH707" s="103">
        <v>1</v>
      </c>
      <c r="DI707" s="103">
        <v>2</v>
      </c>
      <c r="DJ707" s="103">
        <v>0</v>
      </c>
      <c r="DK707" s="103">
        <v>2</v>
      </c>
      <c r="DL707" s="103">
        <v>3</v>
      </c>
      <c r="DM707" s="103">
        <v>0</v>
      </c>
      <c r="DN707" s="103">
        <v>0</v>
      </c>
      <c r="DO707" s="42"/>
    </row>
    <row r="708" spans="2:119" ht="15.4" x14ac:dyDescent="0.45">
      <c r="B708" s="134"/>
      <c r="C708" s="42"/>
      <c r="D708" s="110"/>
      <c r="E708" s="46" t="s">
        <v>4</v>
      </c>
      <c r="F708" s="103">
        <v>0</v>
      </c>
      <c r="G708" s="103">
        <v>0</v>
      </c>
      <c r="H708" s="103">
        <v>6</v>
      </c>
      <c r="I708" s="103">
        <v>3</v>
      </c>
      <c r="J708" s="103">
        <v>4</v>
      </c>
      <c r="K708" s="103">
        <v>19</v>
      </c>
      <c r="L708" s="103">
        <v>39</v>
      </c>
      <c r="M708" s="103">
        <v>49</v>
      </c>
      <c r="N708" s="103">
        <v>14</v>
      </c>
      <c r="O708" s="102"/>
      <c r="P708" s="102"/>
      <c r="Q708" s="110"/>
      <c r="R708" s="46" t="s">
        <v>4</v>
      </c>
      <c r="S708" s="103">
        <v>0</v>
      </c>
      <c r="T708" s="103">
        <v>0</v>
      </c>
      <c r="U708" s="103">
        <v>3</v>
      </c>
      <c r="V708" s="103">
        <v>2</v>
      </c>
      <c r="W708" s="103">
        <v>3</v>
      </c>
      <c r="X708" s="103">
        <v>8</v>
      </c>
      <c r="Y708" s="103">
        <v>24</v>
      </c>
      <c r="Z708" s="103">
        <v>40</v>
      </c>
      <c r="AA708" s="103">
        <v>11</v>
      </c>
      <c r="AB708" s="102"/>
      <c r="AC708" s="102"/>
      <c r="AD708" s="110"/>
      <c r="AE708" s="46" t="s">
        <v>4</v>
      </c>
      <c r="AF708" s="103">
        <v>0</v>
      </c>
      <c r="AG708" s="103">
        <v>0</v>
      </c>
      <c r="AH708" s="103">
        <v>3</v>
      </c>
      <c r="AI708" s="103">
        <v>1</v>
      </c>
      <c r="AJ708" s="103">
        <v>1</v>
      </c>
      <c r="AK708" s="103">
        <v>11</v>
      </c>
      <c r="AL708" s="103">
        <v>15</v>
      </c>
      <c r="AM708" s="103">
        <v>9</v>
      </c>
      <c r="AN708" s="103">
        <v>3</v>
      </c>
      <c r="AO708" s="42"/>
      <c r="AQ708" s="110"/>
      <c r="AR708" s="46" t="s">
        <v>4</v>
      </c>
      <c r="AS708" s="103">
        <v>0</v>
      </c>
      <c r="AT708" s="103">
        <v>0</v>
      </c>
      <c r="AU708" s="103">
        <v>3</v>
      </c>
      <c r="AV708" s="103">
        <v>3</v>
      </c>
      <c r="AW708" s="103">
        <v>2</v>
      </c>
      <c r="AX708" s="103">
        <v>9</v>
      </c>
      <c r="AY708" s="103">
        <v>20</v>
      </c>
      <c r="AZ708" s="103">
        <v>28</v>
      </c>
      <c r="BA708" s="103">
        <v>8</v>
      </c>
      <c r="BB708" s="42"/>
      <c r="BC708" s="42"/>
      <c r="BD708" s="110"/>
      <c r="BE708" s="46" t="s">
        <v>4</v>
      </c>
      <c r="BF708" s="103">
        <v>0</v>
      </c>
      <c r="BG708" s="103">
        <v>0</v>
      </c>
      <c r="BH708" s="103">
        <v>3</v>
      </c>
      <c r="BI708" s="103">
        <v>0</v>
      </c>
      <c r="BJ708" s="103">
        <v>2</v>
      </c>
      <c r="BK708" s="103">
        <v>10</v>
      </c>
      <c r="BL708" s="103">
        <v>19</v>
      </c>
      <c r="BM708" s="103">
        <v>21</v>
      </c>
      <c r="BN708" s="103">
        <v>6</v>
      </c>
      <c r="BO708" s="42"/>
      <c r="BQ708" s="110"/>
      <c r="BR708" s="46" t="s">
        <v>4</v>
      </c>
      <c r="BS708" s="103">
        <v>0</v>
      </c>
      <c r="BT708" s="103">
        <v>0</v>
      </c>
      <c r="BU708" s="103">
        <v>2</v>
      </c>
      <c r="BV708" s="103">
        <v>1</v>
      </c>
      <c r="BW708" s="103">
        <v>1</v>
      </c>
      <c r="BX708" s="103">
        <v>8</v>
      </c>
      <c r="BY708" s="103">
        <v>6</v>
      </c>
      <c r="BZ708" s="103">
        <v>14</v>
      </c>
      <c r="CA708" s="103">
        <v>0</v>
      </c>
      <c r="CB708" s="42"/>
      <c r="CC708" s="42"/>
      <c r="CD708" s="110"/>
      <c r="CE708" s="46" t="s">
        <v>4</v>
      </c>
      <c r="CF708" s="103">
        <v>0</v>
      </c>
      <c r="CG708" s="103">
        <v>0</v>
      </c>
      <c r="CH708" s="103">
        <v>4</v>
      </c>
      <c r="CI708" s="103">
        <v>2</v>
      </c>
      <c r="CJ708" s="103">
        <v>3</v>
      </c>
      <c r="CK708" s="103">
        <v>11</v>
      </c>
      <c r="CL708" s="103">
        <v>33</v>
      </c>
      <c r="CM708" s="103">
        <v>35</v>
      </c>
      <c r="CN708" s="103">
        <v>14</v>
      </c>
      <c r="CO708" s="42"/>
      <c r="CQ708" s="110"/>
      <c r="CR708" s="46" t="s">
        <v>4</v>
      </c>
      <c r="CS708" s="103">
        <v>0</v>
      </c>
      <c r="CT708" s="103">
        <v>0</v>
      </c>
      <c r="CU708" s="103">
        <v>4</v>
      </c>
      <c r="CV708" s="103">
        <v>2</v>
      </c>
      <c r="CW708" s="103">
        <v>4</v>
      </c>
      <c r="CX708" s="103">
        <v>17</v>
      </c>
      <c r="CY708" s="103">
        <v>36</v>
      </c>
      <c r="CZ708" s="103">
        <v>45</v>
      </c>
      <c r="DA708" s="103">
        <v>13</v>
      </c>
      <c r="DB708" s="42"/>
      <c r="DC708" s="42"/>
      <c r="DD708" s="110"/>
      <c r="DE708" s="46" t="s">
        <v>4</v>
      </c>
      <c r="DF708" s="103">
        <v>0</v>
      </c>
      <c r="DG708" s="103">
        <v>0</v>
      </c>
      <c r="DH708" s="103">
        <v>2</v>
      </c>
      <c r="DI708" s="103">
        <v>1</v>
      </c>
      <c r="DJ708" s="103">
        <v>0</v>
      </c>
      <c r="DK708" s="103">
        <v>2</v>
      </c>
      <c r="DL708" s="103">
        <v>3</v>
      </c>
      <c r="DM708" s="103">
        <v>4</v>
      </c>
      <c r="DN708" s="103">
        <v>1</v>
      </c>
      <c r="DO708" s="42"/>
    </row>
    <row r="709" spans="2:119" ht="15.4" x14ac:dyDescent="0.45">
      <c r="B709" s="134"/>
      <c r="C709" s="42"/>
      <c r="D709" s="110"/>
      <c r="E709" s="46" t="s">
        <v>5</v>
      </c>
      <c r="F709" s="103">
        <v>0</v>
      </c>
      <c r="G709" s="103">
        <v>0</v>
      </c>
      <c r="H709" s="103">
        <v>2</v>
      </c>
      <c r="I709" s="103">
        <v>6</v>
      </c>
      <c r="J709" s="103">
        <v>19</v>
      </c>
      <c r="K709" s="103">
        <v>29</v>
      </c>
      <c r="L709" s="103">
        <v>68</v>
      </c>
      <c r="M709" s="103">
        <v>65</v>
      </c>
      <c r="N709" s="103">
        <v>17</v>
      </c>
      <c r="O709" s="102"/>
      <c r="P709" s="102"/>
      <c r="Q709" s="110"/>
      <c r="R709" s="46" t="s">
        <v>5</v>
      </c>
      <c r="S709" s="103">
        <v>0</v>
      </c>
      <c r="T709" s="103">
        <v>0</v>
      </c>
      <c r="U709" s="103">
        <v>1</v>
      </c>
      <c r="V709" s="103">
        <v>3</v>
      </c>
      <c r="W709" s="103">
        <v>7</v>
      </c>
      <c r="X709" s="103">
        <v>20</v>
      </c>
      <c r="Y709" s="103">
        <v>30</v>
      </c>
      <c r="Z709" s="103">
        <v>35</v>
      </c>
      <c r="AA709" s="103">
        <v>14</v>
      </c>
      <c r="AB709" s="102"/>
      <c r="AC709" s="102"/>
      <c r="AD709" s="110"/>
      <c r="AE709" s="46" t="s">
        <v>5</v>
      </c>
      <c r="AF709" s="103">
        <v>0</v>
      </c>
      <c r="AG709" s="103">
        <v>0</v>
      </c>
      <c r="AH709" s="103">
        <v>1</v>
      </c>
      <c r="AI709" s="103">
        <v>3</v>
      </c>
      <c r="AJ709" s="103">
        <v>12</v>
      </c>
      <c r="AK709" s="103">
        <v>9</v>
      </c>
      <c r="AL709" s="103">
        <v>38</v>
      </c>
      <c r="AM709" s="103">
        <v>30</v>
      </c>
      <c r="AN709" s="103">
        <v>3</v>
      </c>
      <c r="AO709" s="42"/>
      <c r="AQ709" s="110"/>
      <c r="AR709" s="46" t="s">
        <v>5</v>
      </c>
      <c r="AS709" s="103">
        <v>0</v>
      </c>
      <c r="AT709" s="103">
        <v>0</v>
      </c>
      <c r="AU709" s="103">
        <v>1</v>
      </c>
      <c r="AV709" s="103">
        <v>4</v>
      </c>
      <c r="AW709" s="103">
        <v>9</v>
      </c>
      <c r="AX709" s="103">
        <v>20</v>
      </c>
      <c r="AY709" s="103">
        <v>34</v>
      </c>
      <c r="AZ709" s="103">
        <v>27</v>
      </c>
      <c r="BA709" s="103">
        <v>5</v>
      </c>
      <c r="BB709" s="42"/>
      <c r="BC709" s="42"/>
      <c r="BD709" s="110"/>
      <c r="BE709" s="46" t="s">
        <v>5</v>
      </c>
      <c r="BF709" s="103">
        <v>0</v>
      </c>
      <c r="BG709" s="103">
        <v>0</v>
      </c>
      <c r="BH709" s="103">
        <v>1</v>
      </c>
      <c r="BI709" s="103">
        <v>2</v>
      </c>
      <c r="BJ709" s="103">
        <v>10</v>
      </c>
      <c r="BK709" s="103">
        <v>9</v>
      </c>
      <c r="BL709" s="103">
        <v>34</v>
      </c>
      <c r="BM709" s="103">
        <v>38</v>
      </c>
      <c r="BN709" s="103">
        <v>12</v>
      </c>
      <c r="BO709" s="42"/>
      <c r="BQ709" s="110"/>
      <c r="BR709" s="46" t="s">
        <v>5</v>
      </c>
      <c r="BS709" s="103">
        <v>0</v>
      </c>
      <c r="BT709" s="103">
        <v>0</v>
      </c>
      <c r="BU709" s="103">
        <v>0</v>
      </c>
      <c r="BV709" s="103">
        <v>2</v>
      </c>
      <c r="BW709" s="103">
        <v>8</v>
      </c>
      <c r="BX709" s="103">
        <v>8</v>
      </c>
      <c r="BY709" s="103">
        <v>9</v>
      </c>
      <c r="BZ709" s="103">
        <v>16</v>
      </c>
      <c r="CA709" s="103">
        <v>7</v>
      </c>
      <c r="CB709" s="42"/>
      <c r="CC709" s="42"/>
      <c r="CD709" s="110"/>
      <c r="CE709" s="46" t="s">
        <v>5</v>
      </c>
      <c r="CF709" s="103">
        <v>0</v>
      </c>
      <c r="CG709" s="103">
        <v>0</v>
      </c>
      <c r="CH709" s="103">
        <v>2</v>
      </c>
      <c r="CI709" s="103">
        <v>4</v>
      </c>
      <c r="CJ709" s="103">
        <v>11</v>
      </c>
      <c r="CK709" s="103">
        <v>21</v>
      </c>
      <c r="CL709" s="103">
        <v>59</v>
      </c>
      <c r="CM709" s="103">
        <v>49</v>
      </c>
      <c r="CN709" s="103">
        <v>10</v>
      </c>
      <c r="CO709" s="42"/>
      <c r="CQ709" s="110"/>
      <c r="CR709" s="46" t="s">
        <v>5</v>
      </c>
      <c r="CS709" s="103">
        <v>0</v>
      </c>
      <c r="CT709" s="103">
        <v>0</v>
      </c>
      <c r="CU709" s="103">
        <v>1</v>
      </c>
      <c r="CV709" s="103">
        <v>6</v>
      </c>
      <c r="CW709" s="103">
        <v>16</v>
      </c>
      <c r="CX709" s="103">
        <v>27</v>
      </c>
      <c r="CY709" s="103">
        <v>62</v>
      </c>
      <c r="CZ709" s="103">
        <v>61</v>
      </c>
      <c r="DA709" s="103">
        <v>17</v>
      </c>
      <c r="DB709" s="42"/>
      <c r="DC709" s="42"/>
      <c r="DD709" s="110"/>
      <c r="DE709" s="46" t="s">
        <v>5</v>
      </c>
      <c r="DF709" s="103">
        <v>0</v>
      </c>
      <c r="DG709" s="103">
        <v>0</v>
      </c>
      <c r="DH709" s="103">
        <v>1</v>
      </c>
      <c r="DI709" s="103">
        <v>0</v>
      </c>
      <c r="DJ709" s="103">
        <v>3</v>
      </c>
      <c r="DK709" s="103">
        <v>2</v>
      </c>
      <c r="DL709" s="103">
        <v>6</v>
      </c>
      <c r="DM709" s="103">
        <v>4</v>
      </c>
      <c r="DN709" s="103">
        <v>0</v>
      </c>
      <c r="DO709" s="42"/>
    </row>
    <row r="710" spans="2:119" ht="15.4" x14ac:dyDescent="0.45">
      <c r="B710" s="134"/>
      <c r="C710" s="42"/>
      <c r="D710" s="110"/>
      <c r="E710" s="46" t="s">
        <v>6</v>
      </c>
      <c r="F710" s="103">
        <v>0</v>
      </c>
      <c r="G710" s="103">
        <v>2</v>
      </c>
      <c r="H710" s="103">
        <v>9</v>
      </c>
      <c r="I710" s="103">
        <v>4</v>
      </c>
      <c r="J710" s="103">
        <v>22</v>
      </c>
      <c r="K710" s="103">
        <v>45</v>
      </c>
      <c r="L710" s="103">
        <v>85</v>
      </c>
      <c r="M710" s="103">
        <v>139</v>
      </c>
      <c r="N710" s="103">
        <v>73</v>
      </c>
      <c r="O710" s="102"/>
      <c r="P710" s="102"/>
      <c r="Q710" s="110"/>
      <c r="R710" s="46" t="s">
        <v>6</v>
      </c>
      <c r="S710" s="103">
        <v>0</v>
      </c>
      <c r="T710" s="103">
        <v>1</v>
      </c>
      <c r="U710" s="103">
        <v>3</v>
      </c>
      <c r="V710" s="103">
        <v>1</v>
      </c>
      <c r="W710" s="103">
        <v>8</v>
      </c>
      <c r="X710" s="103">
        <v>16</v>
      </c>
      <c r="Y710" s="103">
        <v>49</v>
      </c>
      <c r="Z710" s="103">
        <v>88</v>
      </c>
      <c r="AA710" s="103">
        <v>59</v>
      </c>
      <c r="AB710" s="102"/>
      <c r="AC710" s="102"/>
      <c r="AD710" s="110"/>
      <c r="AE710" s="46" t="s">
        <v>6</v>
      </c>
      <c r="AF710" s="103">
        <v>0</v>
      </c>
      <c r="AG710" s="103">
        <v>1</v>
      </c>
      <c r="AH710" s="103">
        <v>6</v>
      </c>
      <c r="AI710" s="103">
        <v>3</v>
      </c>
      <c r="AJ710" s="103">
        <v>14</v>
      </c>
      <c r="AK710" s="103">
        <v>29</v>
      </c>
      <c r="AL710" s="103">
        <v>36</v>
      </c>
      <c r="AM710" s="103">
        <v>51</v>
      </c>
      <c r="AN710" s="103">
        <v>14</v>
      </c>
      <c r="AO710" s="42"/>
      <c r="AQ710" s="110"/>
      <c r="AR710" s="46" t="s">
        <v>6</v>
      </c>
      <c r="AS710" s="103">
        <v>0</v>
      </c>
      <c r="AT710" s="103">
        <v>2</v>
      </c>
      <c r="AU710" s="103">
        <v>4</v>
      </c>
      <c r="AV710" s="103">
        <v>1</v>
      </c>
      <c r="AW710" s="103">
        <v>13</v>
      </c>
      <c r="AX710" s="103">
        <v>22</v>
      </c>
      <c r="AY710" s="103">
        <v>37</v>
      </c>
      <c r="AZ710" s="103">
        <v>67</v>
      </c>
      <c r="BA710" s="103">
        <v>40</v>
      </c>
      <c r="BB710" s="42"/>
      <c r="BC710" s="42"/>
      <c r="BD710" s="110"/>
      <c r="BE710" s="46" t="s">
        <v>6</v>
      </c>
      <c r="BF710" s="103">
        <v>0</v>
      </c>
      <c r="BG710" s="103">
        <v>0</v>
      </c>
      <c r="BH710" s="103">
        <v>5</v>
      </c>
      <c r="BI710" s="103">
        <v>3</v>
      </c>
      <c r="BJ710" s="103">
        <v>9</v>
      </c>
      <c r="BK710" s="103">
        <v>23</v>
      </c>
      <c r="BL710" s="103">
        <v>48</v>
      </c>
      <c r="BM710" s="103">
        <v>72</v>
      </c>
      <c r="BN710" s="103">
        <v>33</v>
      </c>
      <c r="BO710" s="42"/>
      <c r="BQ710" s="110"/>
      <c r="BR710" s="46" t="s">
        <v>6</v>
      </c>
      <c r="BS710" s="103">
        <v>0</v>
      </c>
      <c r="BT710" s="103">
        <v>1</v>
      </c>
      <c r="BU710" s="103">
        <v>4</v>
      </c>
      <c r="BV710" s="103">
        <v>1</v>
      </c>
      <c r="BW710" s="103">
        <v>4</v>
      </c>
      <c r="BX710" s="103">
        <v>9</v>
      </c>
      <c r="BY710" s="103">
        <v>12</v>
      </c>
      <c r="BZ710" s="103">
        <v>11</v>
      </c>
      <c r="CA710" s="103">
        <v>3</v>
      </c>
      <c r="CB710" s="42"/>
      <c r="CC710" s="42"/>
      <c r="CD710" s="110"/>
      <c r="CE710" s="46" t="s">
        <v>6</v>
      </c>
      <c r="CF710" s="103">
        <v>0</v>
      </c>
      <c r="CG710" s="103">
        <v>1</v>
      </c>
      <c r="CH710" s="103">
        <v>5</v>
      </c>
      <c r="CI710" s="103">
        <v>3</v>
      </c>
      <c r="CJ710" s="103">
        <v>18</v>
      </c>
      <c r="CK710" s="103">
        <v>36</v>
      </c>
      <c r="CL710" s="103">
        <v>73</v>
      </c>
      <c r="CM710" s="103">
        <v>128</v>
      </c>
      <c r="CN710" s="103">
        <v>70</v>
      </c>
      <c r="CO710" s="42"/>
      <c r="CQ710" s="110"/>
      <c r="CR710" s="46" t="s">
        <v>6</v>
      </c>
      <c r="CS710" s="103">
        <v>0</v>
      </c>
      <c r="CT710" s="103">
        <v>1</v>
      </c>
      <c r="CU710" s="103">
        <v>7</v>
      </c>
      <c r="CV710" s="103">
        <v>3</v>
      </c>
      <c r="CW710" s="103">
        <v>18</v>
      </c>
      <c r="CX710" s="103">
        <v>39</v>
      </c>
      <c r="CY710" s="103">
        <v>76</v>
      </c>
      <c r="CZ710" s="103">
        <v>130</v>
      </c>
      <c r="DA710" s="103">
        <v>70</v>
      </c>
      <c r="DB710" s="42"/>
      <c r="DC710" s="42"/>
      <c r="DD710" s="110"/>
      <c r="DE710" s="46" t="s">
        <v>6</v>
      </c>
      <c r="DF710" s="103">
        <v>0</v>
      </c>
      <c r="DG710" s="103">
        <v>1</v>
      </c>
      <c r="DH710" s="103">
        <v>2</v>
      </c>
      <c r="DI710" s="103">
        <v>1</v>
      </c>
      <c r="DJ710" s="103">
        <v>4</v>
      </c>
      <c r="DK710" s="103">
        <v>6</v>
      </c>
      <c r="DL710" s="103">
        <v>9</v>
      </c>
      <c r="DM710" s="103">
        <v>9</v>
      </c>
      <c r="DN710" s="103">
        <v>3</v>
      </c>
      <c r="DO710" s="42"/>
    </row>
    <row r="711" spans="2:119" ht="15.4" x14ac:dyDescent="0.45">
      <c r="B711" s="134"/>
      <c r="C711" s="42"/>
      <c r="D711" s="110"/>
      <c r="E711" s="46" t="s">
        <v>7</v>
      </c>
      <c r="F711" s="103">
        <v>3</v>
      </c>
      <c r="G711" s="103">
        <v>0</v>
      </c>
      <c r="H711" s="103">
        <v>2</v>
      </c>
      <c r="I711" s="103">
        <v>5</v>
      </c>
      <c r="J711" s="103">
        <v>25</v>
      </c>
      <c r="K711" s="103">
        <v>69</v>
      </c>
      <c r="L711" s="103">
        <v>141</v>
      </c>
      <c r="M711" s="103">
        <v>241</v>
      </c>
      <c r="N711" s="103">
        <v>144</v>
      </c>
      <c r="O711" s="102"/>
      <c r="P711" s="102"/>
      <c r="Q711" s="110"/>
      <c r="R711" s="46" t="s">
        <v>7</v>
      </c>
      <c r="S711" s="103">
        <v>1</v>
      </c>
      <c r="T711" s="103">
        <v>0</v>
      </c>
      <c r="U711" s="103">
        <v>1</v>
      </c>
      <c r="V711" s="103">
        <v>1</v>
      </c>
      <c r="W711" s="103">
        <v>12</v>
      </c>
      <c r="X711" s="103">
        <v>23</v>
      </c>
      <c r="Y711" s="103">
        <v>68</v>
      </c>
      <c r="Z711" s="103">
        <v>144</v>
      </c>
      <c r="AA711" s="103">
        <v>114</v>
      </c>
      <c r="AB711" s="102"/>
      <c r="AC711" s="102"/>
      <c r="AD711" s="110"/>
      <c r="AE711" s="46" t="s">
        <v>7</v>
      </c>
      <c r="AF711" s="103">
        <v>2</v>
      </c>
      <c r="AG711" s="103">
        <v>0</v>
      </c>
      <c r="AH711" s="103">
        <v>1</v>
      </c>
      <c r="AI711" s="103">
        <v>4</v>
      </c>
      <c r="AJ711" s="103">
        <v>13</v>
      </c>
      <c r="AK711" s="103">
        <v>46</v>
      </c>
      <c r="AL711" s="103">
        <v>73</v>
      </c>
      <c r="AM711" s="103">
        <v>97</v>
      </c>
      <c r="AN711" s="103">
        <v>30</v>
      </c>
      <c r="AO711" s="42"/>
      <c r="AQ711" s="110"/>
      <c r="AR711" s="46" t="s">
        <v>7</v>
      </c>
      <c r="AS711" s="103">
        <v>1</v>
      </c>
      <c r="AT711" s="103">
        <v>0</v>
      </c>
      <c r="AU711" s="103">
        <v>1</v>
      </c>
      <c r="AV711" s="103">
        <v>2</v>
      </c>
      <c r="AW711" s="103">
        <v>16</v>
      </c>
      <c r="AX711" s="103">
        <v>35</v>
      </c>
      <c r="AY711" s="103">
        <v>57</v>
      </c>
      <c r="AZ711" s="103">
        <v>99</v>
      </c>
      <c r="BA711" s="103">
        <v>65</v>
      </c>
      <c r="BB711" s="42"/>
      <c r="BC711" s="42"/>
      <c r="BD711" s="110"/>
      <c r="BE711" s="46" t="s">
        <v>7</v>
      </c>
      <c r="BF711" s="103">
        <v>2</v>
      </c>
      <c r="BG711" s="103">
        <v>0</v>
      </c>
      <c r="BH711" s="103">
        <v>1</v>
      </c>
      <c r="BI711" s="103">
        <v>3</v>
      </c>
      <c r="BJ711" s="103">
        <v>9</v>
      </c>
      <c r="BK711" s="103">
        <v>34</v>
      </c>
      <c r="BL711" s="103">
        <v>84</v>
      </c>
      <c r="BM711" s="103">
        <v>142</v>
      </c>
      <c r="BN711" s="103">
        <v>79</v>
      </c>
      <c r="BO711" s="42"/>
      <c r="BQ711" s="110"/>
      <c r="BR711" s="46" t="s">
        <v>7</v>
      </c>
      <c r="BS711" s="103">
        <v>1</v>
      </c>
      <c r="BT711" s="103">
        <v>0</v>
      </c>
      <c r="BU711" s="103">
        <v>0</v>
      </c>
      <c r="BV711" s="103">
        <v>0</v>
      </c>
      <c r="BW711" s="103">
        <v>5</v>
      </c>
      <c r="BX711" s="103">
        <v>11</v>
      </c>
      <c r="BY711" s="103">
        <v>11</v>
      </c>
      <c r="BZ711" s="103">
        <v>24</v>
      </c>
      <c r="CA711" s="103">
        <v>12</v>
      </c>
      <c r="CB711" s="42"/>
      <c r="CC711" s="42"/>
      <c r="CD711" s="110"/>
      <c r="CE711" s="46" t="s">
        <v>7</v>
      </c>
      <c r="CF711" s="103">
        <v>2</v>
      </c>
      <c r="CG711" s="103">
        <v>0</v>
      </c>
      <c r="CH711" s="103">
        <v>2</v>
      </c>
      <c r="CI711" s="103">
        <v>5</v>
      </c>
      <c r="CJ711" s="103">
        <v>20</v>
      </c>
      <c r="CK711" s="103">
        <v>58</v>
      </c>
      <c r="CL711" s="103">
        <v>130</v>
      </c>
      <c r="CM711" s="103">
        <v>217</v>
      </c>
      <c r="CN711" s="103">
        <v>132</v>
      </c>
      <c r="CO711" s="42"/>
      <c r="CQ711" s="110"/>
      <c r="CR711" s="46" t="s">
        <v>7</v>
      </c>
      <c r="CS711" s="103">
        <v>1</v>
      </c>
      <c r="CT711" s="103">
        <v>0</v>
      </c>
      <c r="CU711" s="103">
        <v>2</v>
      </c>
      <c r="CV711" s="103">
        <v>5</v>
      </c>
      <c r="CW711" s="103">
        <v>21</v>
      </c>
      <c r="CX711" s="103">
        <v>63</v>
      </c>
      <c r="CY711" s="103">
        <v>126</v>
      </c>
      <c r="CZ711" s="103">
        <v>219</v>
      </c>
      <c r="DA711" s="103">
        <v>133</v>
      </c>
      <c r="DB711" s="42"/>
      <c r="DC711" s="42"/>
      <c r="DD711" s="110"/>
      <c r="DE711" s="46" t="s">
        <v>7</v>
      </c>
      <c r="DF711" s="103">
        <v>2</v>
      </c>
      <c r="DG711" s="103">
        <v>0</v>
      </c>
      <c r="DH711" s="103">
        <v>0</v>
      </c>
      <c r="DI711" s="103">
        <v>0</v>
      </c>
      <c r="DJ711" s="103">
        <v>4</v>
      </c>
      <c r="DK711" s="103">
        <v>6</v>
      </c>
      <c r="DL711" s="103">
        <v>15</v>
      </c>
      <c r="DM711" s="103">
        <v>22</v>
      </c>
      <c r="DN711" s="103">
        <v>11</v>
      </c>
      <c r="DO711" s="42"/>
    </row>
    <row r="712" spans="2:119" ht="15.4" x14ac:dyDescent="0.45">
      <c r="B712" s="134"/>
      <c r="C712" s="42"/>
      <c r="D712" s="110"/>
      <c r="E712" s="46" t="s">
        <v>8</v>
      </c>
      <c r="F712" s="103">
        <v>3</v>
      </c>
      <c r="G712" s="103">
        <v>1</v>
      </c>
      <c r="H712" s="103">
        <v>3</v>
      </c>
      <c r="I712" s="103">
        <v>9</v>
      </c>
      <c r="J712" s="103">
        <v>28</v>
      </c>
      <c r="K712" s="103">
        <v>44</v>
      </c>
      <c r="L712" s="103">
        <v>152</v>
      </c>
      <c r="M712" s="103">
        <v>265</v>
      </c>
      <c r="N712" s="103">
        <v>192</v>
      </c>
      <c r="O712" s="102"/>
      <c r="P712" s="102"/>
      <c r="Q712" s="110"/>
      <c r="R712" s="46" t="s">
        <v>8</v>
      </c>
      <c r="S712" s="103">
        <v>1</v>
      </c>
      <c r="T712" s="103">
        <v>1</v>
      </c>
      <c r="U712" s="103">
        <v>2</v>
      </c>
      <c r="V712" s="103">
        <v>5</v>
      </c>
      <c r="W712" s="103">
        <v>7</v>
      </c>
      <c r="X712" s="103">
        <v>20</v>
      </c>
      <c r="Y712" s="103">
        <v>77</v>
      </c>
      <c r="Z712" s="103">
        <v>151</v>
      </c>
      <c r="AA712" s="103">
        <v>126</v>
      </c>
      <c r="AB712" s="102"/>
      <c r="AC712" s="102"/>
      <c r="AD712" s="110"/>
      <c r="AE712" s="46" t="s">
        <v>8</v>
      </c>
      <c r="AF712" s="103">
        <v>2</v>
      </c>
      <c r="AG712" s="103">
        <v>0</v>
      </c>
      <c r="AH712" s="103">
        <v>1</v>
      </c>
      <c r="AI712" s="103">
        <v>4</v>
      </c>
      <c r="AJ712" s="103">
        <v>21</v>
      </c>
      <c r="AK712" s="103">
        <v>24</v>
      </c>
      <c r="AL712" s="103">
        <v>75</v>
      </c>
      <c r="AM712" s="103">
        <v>114</v>
      </c>
      <c r="AN712" s="103">
        <v>66</v>
      </c>
      <c r="AO712" s="42"/>
      <c r="AQ712" s="110"/>
      <c r="AR712" s="46" t="s">
        <v>8</v>
      </c>
      <c r="AS712" s="103">
        <v>0</v>
      </c>
      <c r="AT712" s="103">
        <v>0</v>
      </c>
      <c r="AU712" s="103">
        <v>0</v>
      </c>
      <c r="AV712" s="103">
        <v>4</v>
      </c>
      <c r="AW712" s="103">
        <v>17</v>
      </c>
      <c r="AX712" s="103">
        <v>19</v>
      </c>
      <c r="AY712" s="103">
        <v>64</v>
      </c>
      <c r="AZ712" s="103">
        <v>114</v>
      </c>
      <c r="BA712" s="103">
        <v>86</v>
      </c>
      <c r="BB712" s="42"/>
      <c r="BC712" s="42"/>
      <c r="BD712" s="110"/>
      <c r="BE712" s="46" t="s">
        <v>8</v>
      </c>
      <c r="BF712" s="103">
        <v>3</v>
      </c>
      <c r="BG712" s="103">
        <v>1</v>
      </c>
      <c r="BH712" s="103">
        <v>3</v>
      </c>
      <c r="BI712" s="103">
        <v>5</v>
      </c>
      <c r="BJ712" s="103">
        <v>11</v>
      </c>
      <c r="BK712" s="103">
        <v>25</v>
      </c>
      <c r="BL712" s="103">
        <v>88</v>
      </c>
      <c r="BM712" s="103">
        <v>151</v>
      </c>
      <c r="BN712" s="103">
        <v>106</v>
      </c>
      <c r="BO712" s="42"/>
      <c r="BQ712" s="110"/>
      <c r="BR712" s="46" t="s">
        <v>8</v>
      </c>
      <c r="BS712" s="103">
        <v>0</v>
      </c>
      <c r="BT712" s="103">
        <v>0</v>
      </c>
      <c r="BU712" s="103">
        <v>0</v>
      </c>
      <c r="BV712" s="103">
        <v>0</v>
      </c>
      <c r="BW712" s="103">
        <v>4</v>
      </c>
      <c r="BX712" s="103">
        <v>3</v>
      </c>
      <c r="BY712" s="103">
        <v>14</v>
      </c>
      <c r="BZ712" s="103">
        <v>16</v>
      </c>
      <c r="CA712" s="103">
        <v>12</v>
      </c>
      <c r="CB712" s="42"/>
      <c r="CC712" s="42"/>
      <c r="CD712" s="110"/>
      <c r="CE712" s="46" t="s">
        <v>8</v>
      </c>
      <c r="CF712" s="103">
        <v>3</v>
      </c>
      <c r="CG712" s="103">
        <v>1</v>
      </c>
      <c r="CH712" s="103">
        <v>3</v>
      </c>
      <c r="CI712" s="103">
        <v>9</v>
      </c>
      <c r="CJ712" s="103">
        <v>24</v>
      </c>
      <c r="CK712" s="103">
        <v>41</v>
      </c>
      <c r="CL712" s="103">
        <v>138</v>
      </c>
      <c r="CM712" s="103">
        <v>249</v>
      </c>
      <c r="CN712" s="103">
        <v>180</v>
      </c>
      <c r="CO712" s="42"/>
      <c r="CQ712" s="110"/>
      <c r="CR712" s="46" t="s">
        <v>8</v>
      </c>
      <c r="CS712" s="103">
        <v>3</v>
      </c>
      <c r="CT712" s="103">
        <v>1</v>
      </c>
      <c r="CU712" s="103">
        <v>2</v>
      </c>
      <c r="CV712" s="103">
        <v>7</v>
      </c>
      <c r="CW712" s="103">
        <v>22</v>
      </c>
      <c r="CX712" s="103">
        <v>36</v>
      </c>
      <c r="CY712" s="103">
        <v>125</v>
      </c>
      <c r="CZ712" s="103">
        <v>228</v>
      </c>
      <c r="DA712" s="103">
        <v>175</v>
      </c>
      <c r="DB712" s="42"/>
      <c r="DC712" s="42"/>
      <c r="DD712" s="110"/>
      <c r="DE712" s="46" t="s">
        <v>8</v>
      </c>
      <c r="DF712" s="103">
        <v>0</v>
      </c>
      <c r="DG712" s="103">
        <v>0</v>
      </c>
      <c r="DH712" s="103">
        <v>1</v>
      </c>
      <c r="DI712" s="103">
        <v>2</v>
      </c>
      <c r="DJ712" s="103">
        <v>6</v>
      </c>
      <c r="DK712" s="103">
        <v>8</v>
      </c>
      <c r="DL712" s="103">
        <v>27</v>
      </c>
      <c r="DM712" s="103">
        <v>37</v>
      </c>
      <c r="DN712" s="103">
        <v>17</v>
      </c>
      <c r="DO712" s="42"/>
    </row>
    <row r="713" spans="2:119" ht="15.4" x14ac:dyDescent="0.45">
      <c r="B713" s="134"/>
      <c r="C713" s="42"/>
      <c r="D713" s="110"/>
      <c r="E713" s="46" t="s">
        <v>9</v>
      </c>
      <c r="F713" s="103">
        <v>0</v>
      </c>
      <c r="G713" s="103">
        <v>0</v>
      </c>
      <c r="H713" s="103">
        <v>2</v>
      </c>
      <c r="I713" s="103">
        <v>7</v>
      </c>
      <c r="J713" s="103">
        <v>6</v>
      </c>
      <c r="K713" s="103">
        <v>40</v>
      </c>
      <c r="L713" s="103">
        <v>132</v>
      </c>
      <c r="M713" s="103">
        <v>206</v>
      </c>
      <c r="N713" s="103">
        <v>182</v>
      </c>
      <c r="O713" s="102"/>
      <c r="P713" s="102"/>
      <c r="Q713" s="110"/>
      <c r="R713" s="46" t="s">
        <v>9</v>
      </c>
      <c r="S713" s="103">
        <v>0</v>
      </c>
      <c r="T713" s="103">
        <v>0</v>
      </c>
      <c r="U713" s="103">
        <v>0</v>
      </c>
      <c r="V713" s="103">
        <v>1</v>
      </c>
      <c r="W713" s="103">
        <v>3</v>
      </c>
      <c r="X713" s="103">
        <v>19</v>
      </c>
      <c r="Y713" s="103">
        <v>57</v>
      </c>
      <c r="Z713" s="103">
        <v>106</v>
      </c>
      <c r="AA713" s="103">
        <v>107</v>
      </c>
      <c r="AB713" s="102"/>
      <c r="AC713" s="102"/>
      <c r="AD713" s="110"/>
      <c r="AE713" s="46" t="s">
        <v>9</v>
      </c>
      <c r="AF713" s="103">
        <v>0</v>
      </c>
      <c r="AG713" s="103">
        <v>0</v>
      </c>
      <c r="AH713" s="103">
        <v>2</v>
      </c>
      <c r="AI713" s="103">
        <v>6</v>
      </c>
      <c r="AJ713" s="103">
        <v>3</v>
      </c>
      <c r="AK713" s="103">
        <v>21</v>
      </c>
      <c r="AL713" s="103">
        <v>75</v>
      </c>
      <c r="AM713" s="103">
        <v>100</v>
      </c>
      <c r="AN713" s="103">
        <v>75</v>
      </c>
      <c r="AO713" s="42"/>
      <c r="AQ713" s="110"/>
      <c r="AR713" s="46" t="s">
        <v>9</v>
      </c>
      <c r="AS713" s="103">
        <v>0</v>
      </c>
      <c r="AT713" s="103">
        <v>0</v>
      </c>
      <c r="AU713" s="103">
        <v>1</v>
      </c>
      <c r="AV713" s="103">
        <v>2</v>
      </c>
      <c r="AW713" s="103">
        <v>2</v>
      </c>
      <c r="AX713" s="103">
        <v>12</v>
      </c>
      <c r="AY713" s="103">
        <v>45</v>
      </c>
      <c r="AZ713" s="103">
        <v>76</v>
      </c>
      <c r="BA713" s="103">
        <v>71</v>
      </c>
      <c r="BB713" s="42"/>
      <c r="BC713" s="42"/>
      <c r="BD713" s="110"/>
      <c r="BE713" s="46" t="s">
        <v>9</v>
      </c>
      <c r="BF713" s="103">
        <v>0</v>
      </c>
      <c r="BG713" s="103">
        <v>0</v>
      </c>
      <c r="BH713" s="103">
        <v>1</v>
      </c>
      <c r="BI713" s="103">
        <v>5</v>
      </c>
      <c r="BJ713" s="103">
        <v>4</v>
      </c>
      <c r="BK713" s="103">
        <v>28</v>
      </c>
      <c r="BL713" s="103">
        <v>87</v>
      </c>
      <c r="BM713" s="103">
        <v>130</v>
      </c>
      <c r="BN713" s="103">
        <v>111</v>
      </c>
      <c r="BO713" s="42"/>
      <c r="BQ713" s="110"/>
      <c r="BR713" s="46" t="s">
        <v>9</v>
      </c>
      <c r="BS713" s="103">
        <v>0</v>
      </c>
      <c r="BT713" s="103">
        <v>0</v>
      </c>
      <c r="BU713" s="103">
        <v>0</v>
      </c>
      <c r="BV713" s="103">
        <v>0</v>
      </c>
      <c r="BW713" s="103">
        <v>0</v>
      </c>
      <c r="BX713" s="103">
        <v>0</v>
      </c>
      <c r="BY713" s="103">
        <v>7</v>
      </c>
      <c r="BZ713" s="103">
        <v>8</v>
      </c>
      <c r="CA713" s="103">
        <v>3</v>
      </c>
      <c r="CB713" s="42"/>
      <c r="CC713" s="42"/>
      <c r="CD713" s="110"/>
      <c r="CE713" s="46" t="s">
        <v>9</v>
      </c>
      <c r="CF713" s="103">
        <v>0</v>
      </c>
      <c r="CG713" s="103">
        <v>0</v>
      </c>
      <c r="CH713" s="103">
        <v>2</v>
      </c>
      <c r="CI713" s="103">
        <v>7</v>
      </c>
      <c r="CJ713" s="103">
        <v>6</v>
      </c>
      <c r="CK713" s="103">
        <v>40</v>
      </c>
      <c r="CL713" s="103">
        <v>125</v>
      </c>
      <c r="CM713" s="103">
        <v>198</v>
      </c>
      <c r="CN713" s="103">
        <v>179</v>
      </c>
      <c r="CO713" s="42"/>
      <c r="CQ713" s="110"/>
      <c r="CR713" s="46" t="s">
        <v>9</v>
      </c>
      <c r="CS713" s="103">
        <v>0</v>
      </c>
      <c r="CT713" s="103">
        <v>0</v>
      </c>
      <c r="CU713" s="103">
        <v>1</v>
      </c>
      <c r="CV713" s="103">
        <v>2</v>
      </c>
      <c r="CW713" s="103">
        <v>3</v>
      </c>
      <c r="CX713" s="103">
        <v>35</v>
      </c>
      <c r="CY713" s="103">
        <v>112</v>
      </c>
      <c r="CZ713" s="103">
        <v>181</v>
      </c>
      <c r="DA713" s="103">
        <v>161</v>
      </c>
      <c r="DB713" s="42"/>
      <c r="DC713" s="42"/>
      <c r="DD713" s="110"/>
      <c r="DE713" s="46" t="s">
        <v>9</v>
      </c>
      <c r="DF713" s="103">
        <v>0</v>
      </c>
      <c r="DG713" s="103">
        <v>0</v>
      </c>
      <c r="DH713" s="103">
        <v>1</v>
      </c>
      <c r="DI713" s="103">
        <v>5</v>
      </c>
      <c r="DJ713" s="103">
        <v>3</v>
      </c>
      <c r="DK713" s="103">
        <v>5</v>
      </c>
      <c r="DL713" s="103">
        <v>20</v>
      </c>
      <c r="DM713" s="103">
        <v>25</v>
      </c>
      <c r="DN713" s="103">
        <v>21</v>
      </c>
      <c r="DO713" s="42"/>
    </row>
    <row r="714" spans="2:119" ht="15.4" x14ac:dyDescent="0.45">
      <c r="B714" s="134"/>
      <c r="C714" s="42"/>
      <c r="D714" s="110"/>
      <c r="E714" s="46" t="s">
        <v>10</v>
      </c>
      <c r="F714" s="103">
        <v>0</v>
      </c>
      <c r="G714" s="103">
        <v>2</v>
      </c>
      <c r="H714" s="103">
        <v>0</v>
      </c>
      <c r="I714" s="103">
        <v>2</v>
      </c>
      <c r="J714" s="103">
        <v>3</v>
      </c>
      <c r="K714" s="103">
        <v>24</v>
      </c>
      <c r="L714" s="103">
        <v>84</v>
      </c>
      <c r="M714" s="103">
        <v>148</v>
      </c>
      <c r="N714" s="103">
        <v>131</v>
      </c>
      <c r="O714" s="102"/>
      <c r="P714" s="102"/>
      <c r="Q714" s="110"/>
      <c r="R714" s="46" t="s">
        <v>10</v>
      </c>
      <c r="S714" s="103">
        <v>0</v>
      </c>
      <c r="T714" s="103">
        <v>1</v>
      </c>
      <c r="U714" s="103">
        <v>0</v>
      </c>
      <c r="V714" s="103">
        <v>0</v>
      </c>
      <c r="W714" s="103">
        <v>1</v>
      </c>
      <c r="X714" s="103">
        <v>13</v>
      </c>
      <c r="Y714" s="103">
        <v>38</v>
      </c>
      <c r="Z714" s="103">
        <v>65</v>
      </c>
      <c r="AA714" s="103">
        <v>82</v>
      </c>
      <c r="AB714" s="102"/>
      <c r="AC714" s="102"/>
      <c r="AD714" s="110"/>
      <c r="AE714" s="46" t="s">
        <v>10</v>
      </c>
      <c r="AF714" s="103">
        <v>0</v>
      </c>
      <c r="AG714" s="103">
        <v>1</v>
      </c>
      <c r="AH714" s="103">
        <v>0</v>
      </c>
      <c r="AI714" s="103">
        <v>2</v>
      </c>
      <c r="AJ714" s="103">
        <v>2</v>
      </c>
      <c r="AK714" s="103">
        <v>11</v>
      </c>
      <c r="AL714" s="103">
        <v>46</v>
      </c>
      <c r="AM714" s="103">
        <v>83</v>
      </c>
      <c r="AN714" s="103">
        <v>49</v>
      </c>
      <c r="AO714" s="42"/>
      <c r="AQ714" s="110"/>
      <c r="AR714" s="46" t="s">
        <v>10</v>
      </c>
      <c r="AS714" s="103">
        <v>0</v>
      </c>
      <c r="AT714" s="103">
        <v>1</v>
      </c>
      <c r="AU714" s="103">
        <v>0</v>
      </c>
      <c r="AV714" s="103">
        <v>1</v>
      </c>
      <c r="AW714" s="103">
        <v>2</v>
      </c>
      <c r="AX714" s="103">
        <v>7</v>
      </c>
      <c r="AY714" s="103">
        <v>16</v>
      </c>
      <c r="AZ714" s="103">
        <v>33</v>
      </c>
      <c r="BA714" s="103">
        <v>44</v>
      </c>
      <c r="BB714" s="42"/>
      <c r="BC714" s="42"/>
      <c r="BD714" s="110"/>
      <c r="BE714" s="46" t="s">
        <v>10</v>
      </c>
      <c r="BF714" s="103">
        <v>0</v>
      </c>
      <c r="BG714" s="103">
        <v>1</v>
      </c>
      <c r="BH714" s="103">
        <v>0</v>
      </c>
      <c r="BI714" s="103">
        <v>1</v>
      </c>
      <c r="BJ714" s="103">
        <v>1</v>
      </c>
      <c r="BK714" s="103">
        <v>17</v>
      </c>
      <c r="BL714" s="103">
        <v>68</v>
      </c>
      <c r="BM714" s="103">
        <v>115</v>
      </c>
      <c r="BN714" s="103">
        <v>87</v>
      </c>
      <c r="BO714" s="42"/>
      <c r="BQ714" s="110"/>
      <c r="BR714" s="46" t="s">
        <v>10</v>
      </c>
      <c r="BS714" s="103">
        <v>0</v>
      </c>
      <c r="BT714" s="103">
        <v>0</v>
      </c>
      <c r="BU714" s="103">
        <v>0</v>
      </c>
      <c r="BV714" s="103">
        <v>0</v>
      </c>
      <c r="BW714" s="103">
        <v>0</v>
      </c>
      <c r="BX714" s="103">
        <v>1</v>
      </c>
      <c r="BY714" s="103">
        <v>2</v>
      </c>
      <c r="BZ714" s="103">
        <v>3</v>
      </c>
      <c r="CA714" s="103">
        <v>3</v>
      </c>
      <c r="CB714" s="42"/>
      <c r="CC714" s="42"/>
      <c r="CD714" s="110"/>
      <c r="CE714" s="46" t="s">
        <v>10</v>
      </c>
      <c r="CF714" s="103">
        <v>0</v>
      </c>
      <c r="CG714" s="103">
        <v>2</v>
      </c>
      <c r="CH714" s="103">
        <v>0</v>
      </c>
      <c r="CI714" s="103">
        <v>2</v>
      </c>
      <c r="CJ714" s="103">
        <v>3</v>
      </c>
      <c r="CK714" s="103">
        <v>23</v>
      </c>
      <c r="CL714" s="103">
        <v>82</v>
      </c>
      <c r="CM714" s="103">
        <v>145</v>
      </c>
      <c r="CN714" s="103">
        <v>128</v>
      </c>
      <c r="CO714" s="42"/>
      <c r="CQ714" s="110"/>
      <c r="CR714" s="46" t="s">
        <v>10</v>
      </c>
      <c r="CS714" s="103">
        <v>0</v>
      </c>
      <c r="CT714" s="103">
        <v>2</v>
      </c>
      <c r="CU714" s="103">
        <v>0</v>
      </c>
      <c r="CV714" s="103">
        <v>1</v>
      </c>
      <c r="CW714" s="103">
        <v>2</v>
      </c>
      <c r="CX714" s="103">
        <v>14</v>
      </c>
      <c r="CY714" s="103">
        <v>54</v>
      </c>
      <c r="CZ714" s="103">
        <v>122</v>
      </c>
      <c r="DA714" s="103">
        <v>115</v>
      </c>
      <c r="DB714" s="42"/>
      <c r="DC714" s="42"/>
      <c r="DD714" s="110"/>
      <c r="DE714" s="46" t="s">
        <v>10</v>
      </c>
      <c r="DF714" s="103">
        <v>0</v>
      </c>
      <c r="DG714" s="103">
        <v>0</v>
      </c>
      <c r="DH714" s="103">
        <v>0</v>
      </c>
      <c r="DI714" s="103">
        <v>1</v>
      </c>
      <c r="DJ714" s="103">
        <v>1</v>
      </c>
      <c r="DK714" s="103">
        <v>10</v>
      </c>
      <c r="DL714" s="103">
        <v>30</v>
      </c>
      <c r="DM714" s="103">
        <v>26</v>
      </c>
      <c r="DN714" s="103">
        <v>16</v>
      </c>
      <c r="DO714" s="42"/>
    </row>
    <row r="715" spans="2:119" ht="15.4" x14ac:dyDescent="0.45">
      <c r="B715" s="134"/>
      <c r="C715" s="42"/>
      <c r="D715" s="111"/>
      <c r="E715" s="46" t="s">
        <v>11</v>
      </c>
      <c r="F715" s="103">
        <v>0</v>
      </c>
      <c r="G715" s="103">
        <v>0</v>
      </c>
      <c r="H715" s="103">
        <v>0</v>
      </c>
      <c r="I715" s="103">
        <v>0</v>
      </c>
      <c r="J715" s="103">
        <v>1</v>
      </c>
      <c r="K715" s="103">
        <v>7</v>
      </c>
      <c r="L715" s="103">
        <v>11</v>
      </c>
      <c r="M715" s="103">
        <v>31</v>
      </c>
      <c r="N715" s="103">
        <v>37</v>
      </c>
      <c r="O715" s="102"/>
      <c r="P715" s="102"/>
      <c r="Q715" s="111"/>
      <c r="R715" s="46" t="s">
        <v>11</v>
      </c>
      <c r="S715" s="103">
        <v>0</v>
      </c>
      <c r="T715" s="103">
        <v>0</v>
      </c>
      <c r="U715" s="103">
        <v>0</v>
      </c>
      <c r="V715" s="103">
        <v>0</v>
      </c>
      <c r="W715" s="103">
        <v>1</v>
      </c>
      <c r="X715" s="103">
        <v>2</v>
      </c>
      <c r="Y715" s="103">
        <v>6</v>
      </c>
      <c r="Z715" s="103">
        <v>18</v>
      </c>
      <c r="AA715" s="103">
        <v>24</v>
      </c>
      <c r="AB715" s="102"/>
      <c r="AC715" s="102"/>
      <c r="AD715" s="111"/>
      <c r="AE715" s="46" t="s">
        <v>11</v>
      </c>
      <c r="AF715" s="103">
        <v>0</v>
      </c>
      <c r="AG715" s="103">
        <v>0</v>
      </c>
      <c r="AH715" s="103">
        <v>0</v>
      </c>
      <c r="AI715" s="103">
        <v>0</v>
      </c>
      <c r="AJ715" s="103">
        <v>0</v>
      </c>
      <c r="AK715" s="103">
        <v>5</v>
      </c>
      <c r="AL715" s="103">
        <v>5</v>
      </c>
      <c r="AM715" s="103">
        <v>13</v>
      </c>
      <c r="AN715" s="103">
        <v>13</v>
      </c>
      <c r="AO715" s="42"/>
      <c r="AQ715" s="111"/>
      <c r="AR715" s="46" t="s">
        <v>11</v>
      </c>
      <c r="AS715" s="103">
        <v>0</v>
      </c>
      <c r="AT715" s="103">
        <v>0</v>
      </c>
      <c r="AU715" s="103">
        <v>0</v>
      </c>
      <c r="AV715" s="103">
        <v>0</v>
      </c>
      <c r="AW715" s="103">
        <v>1</v>
      </c>
      <c r="AX715" s="103">
        <v>0</v>
      </c>
      <c r="AY715" s="103">
        <v>3</v>
      </c>
      <c r="AZ715" s="103">
        <v>6</v>
      </c>
      <c r="BA715" s="103">
        <v>10</v>
      </c>
      <c r="BB715" s="42"/>
      <c r="BC715" s="42"/>
      <c r="BD715" s="111"/>
      <c r="BE715" s="46" t="s">
        <v>11</v>
      </c>
      <c r="BF715" s="103">
        <v>0</v>
      </c>
      <c r="BG715" s="103">
        <v>0</v>
      </c>
      <c r="BH715" s="103">
        <v>0</v>
      </c>
      <c r="BI715" s="103">
        <v>0</v>
      </c>
      <c r="BJ715" s="103">
        <v>0</v>
      </c>
      <c r="BK715" s="103">
        <v>7</v>
      </c>
      <c r="BL715" s="103">
        <v>8</v>
      </c>
      <c r="BM715" s="103">
        <v>25</v>
      </c>
      <c r="BN715" s="103">
        <v>27</v>
      </c>
      <c r="BO715" s="42"/>
      <c r="BQ715" s="111"/>
      <c r="BR715" s="46" t="s">
        <v>11</v>
      </c>
      <c r="BS715" s="103">
        <v>0</v>
      </c>
      <c r="BT715" s="103">
        <v>0</v>
      </c>
      <c r="BU715" s="103">
        <v>0</v>
      </c>
      <c r="BV715" s="103">
        <v>0</v>
      </c>
      <c r="BW715" s="103">
        <v>0</v>
      </c>
      <c r="BX715" s="103">
        <v>0</v>
      </c>
      <c r="BY715" s="103">
        <v>0</v>
      </c>
      <c r="BZ715" s="103">
        <v>0</v>
      </c>
      <c r="CA715" s="103">
        <v>1</v>
      </c>
      <c r="CB715" s="42"/>
      <c r="CC715" s="42"/>
      <c r="CD715" s="111"/>
      <c r="CE715" s="46" t="s">
        <v>11</v>
      </c>
      <c r="CF715" s="103">
        <v>0</v>
      </c>
      <c r="CG715" s="103">
        <v>0</v>
      </c>
      <c r="CH715" s="103">
        <v>0</v>
      </c>
      <c r="CI715" s="103">
        <v>0</v>
      </c>
      <c r="CJ715" s="103">
        <v>1</v>
      </c>
      <c r="CK715" s="103">
        <v>7</v>
      </c>
      <c r="CL715" s="103">
        <v>11</v>
      </c>
      <c r="CM715" s="103">
        <v>31</v>
      </c>
      <c r="CN715" s="103">
        <v>36</v>
      </c>
      <c r="CO715" s="42"/>
      <c r="CQ715" s="111"/>
      <c r="CR715" s="46" t="s">
        <v>11</v>
      </c>
      <c r="CS715" s="103">
        <v>0</v>
      </c>
      <c r="CT715" s="103">
        <v>0</v>
      </c>
      <c r="CU715" s="103">
        <v>0</v>
      </c>
      <c r="CV715" s="103">
        <v>0</v>
      </c>
      <c r="CW715" s="103">
        <v>1</v>
      </c>
      <c r="CX715" s="103">
        <v>6</v>
      </c>
      <c r="CY715" s="103">
        <v>11</v>
      </c>
      <c r="CZ715" s="103">
        <v>23</v>
      </c>
      <c r="DA715" s="103">
        <v>26</v>
      </c>
      <c r="DB715" s="42"/>
      <c r="DC715" s="42"/>
      <c r="DD715" s="111"/>
      <c r="DE715" s="46" t="s">
        <v>11</v>
      </c>
      <c r="DF715" s="103">
        <v>0</v>
      </c>
      <c r="DG715" s="103">
        <v>0</v>
      </c>
      <c r="DH715" s="103">
        <v>0</v>
      </c>
      <c r="DI715" s="103">
        <v>0</v>
      </c>
      <c r="DJ715" s="103">
        <v>0</v>
      </c>
      <c r="DK715" s="103">
        <v>1</v>
      </c>
      <c r="DL715" s="103">
        <v>0</v>
      </c>
      <c r="DM715" s="103">
        <v>8</v>
      </c>
      <c r="DN715" s="103">
        <v>11</v>
      </c>
      <c r="DO715" s="42"/>
    </row>
    <row r="716" spans="2:119" x14ac:dyDescent="0.45">
      <c r="B716" s="99"/>
      <c r="C716" s="42"/>
      <c r="D716" s="102"/>
      <c r="E716" s="102"/>
      <c r="F716" s="102"/>
      <c r="G716" s="102"/>
      <c r="H716" s="102"/>
      <c r="I716" s="102"/>
      <c r="J716" s="102"/>
      <c r="K716" s="102"/>
      <c r="L716" s="102"/>
      <c r="M716" s="102"/>
      <c r="N716" s="102"/>
      <c r="O716" s="102"/>
      <c r="P716" s="102"/>
      <c r="Q716" s="102"/>
      <c r="R716" s="102"/>
      <c r="S716" s="102"/>
      <c r="T716" s="102"/>
      <c r="U716" s="102"/>
      <c r="V716" s="102"/>
      <c r="W716" s="102"/>
      <c r="X716" s="102"/>
      <c r="Y716" s="102"/>
      <c r="Z716" s="102"/>
      <c r="AA716" s="102"/>
      <c r="AB716" s="102"/>
      <c r="AC716" s="102"/>
      <c r="AD716" s="102"/>
      <c r="AE716" s="102"/>
      <c r="AF716" s="102"/>
      <c r="AG716" s="102"/>
      <c r="AH716" s="102"/>
      <c r="AI716" s="102"/>
      <c r="AJ716" s="102"/>
      <c r="AK716" s="102"/>
      <c r="AL716" s="102"/>
      <c r="AM716" s="102"/>
      <c r="AN716" s="102"/>
      <c r="AO716" s="42"/>
      <c r="AQ716" s="42"/>
      <c r="AR716" s="42"/>
      <c r="AS716" s="42"/>
      <c r="AT716" s="42"/>
      <c r="AU716" s="42"/>
      <c r="AV716" s="42"/>
      <c r="AW716" s="42"/>
      <c r="AX716" s="42"/>
      <c r="AY716" s="42"/>
      <c r="AZ716" s="42"/>
      <c r="BA716" s="42"/>
      <c r="BB716" s="42"/>
      <c r="BC716" s="42"/>
      <c r="BD716" s="42"/>
      <c r="BE716" s="42"/>
      <c r="BF716" s="42"/>
      <c r="BG716" s="42"/>
      <c r="BH716" s="42"/>
      <c r="BI716" s="42"/>
      <c r="BJ716" s="42"/>
      <c r="BK716" s="42"/>
      <c r="BL716" s="42"/>
      <c r="BM716" s="42"/>
      <c r="BN716" s="42"/>
      <c r="BO716" s="42"/>
      <c r="BQ716" s="42"/>
      <c r="BR716" s="42"/>
      <c r="BS716" s="42"/>
      <c r="BT716" s="42"/>
      <c r="BU716" s="42"/>
      <c r="BV716" s="42"/>
      <c r="BW716" s="42"/>
      <c r="BX716" s="42"/>
      <c r="BY716" s="42"/>
      <c r="BZ716" s="42"/>
      <c r="CA716" s="42"/>
      <c r="CB716" s="42"/>
      <c r="CC716" s="42"/>
      <c r="CD716" s="42"/>
      <c r="CE716" s="42"/>
      <c r="CF716" s="42"/>
      <c r="CG716" s="42"/>
      <c r="CH716" s="42"/>
      <c r="CI716" s="42"/>
      <c r="CJ716" s="42"/>
      <c r="CK716" s="42"/>
      <c r="CL716" s="42"/>
      <c r="CM716" s="42"/>
      <c r="CN716" s="42"/>
      <c r="CO716" s="42"/>
      <c r="CQ716" s="42"/>
      <c r="CR716" s="42"/>
      <c r="CS716" s="42"/>
      <c r="CT716" s="42"/>
      <c r="CU716" s="42"/>
      <c r="CV716" s="42"/>
      <c r="CW716" s="42"/>
      <c r="CX716" s="42"/>
      <c r="CY716" s="42"/>
      <c r="CZ716" s="42"/>
      <c r="DA716" s="42"/>
      <c r="DB716" s="42"/>
      <c r="DC716" s="42"/>
      <c r="DD716" s="42"/>
      <c r="DE716" s="42"/>
      <c r="DF716" s="42"/>
      <c r="DG716" s="42"/>
      <c r="DH716" s="42"/>
      <c r="DI716" s="42"/>
      <c r="DJ716" s="42"/>
      <c r="DK716" s="42"/>
      <c r="DL716" s="42"/>
      <c r="DM716" s="42"/>
      <c r="DN716" s="42"/>
      <c r="DO716" s="42"/>
    </row>
    <row r="717" spans="2:119" ht="18" x14ac:dyDescent="0.55000000000000004">
      <c r="B717" s="99"/>
      <c r="C717" s="42"/>
      <c r="D717" s="112" t="s">
        <v>16</v>
      </c>
      <c r="E717" s="112"/>
      <c r="F717" s="45"/>
      <c r="G717" s="45"/>
      <c r="H717" s="45"/>
      <c r="I717" s="45"/>
      <c r="J717" s="45"/>
      <c r="K717" s="45"/>
      <c r="L717" s="45"/>
      <c r="M717" s="45"/>
      <c r="N717" s="45"/>
      <c r="O717" s="102"/>
      <c r="P717" s="102"/>
      <c r="Q717" s="112" t="s">
        <v>16</v>
      </c>
      <c r="R717" s="112"/>
      <c r="S717" s="45"/>
      <c r="T717" s="45"/>
      <c r="U717" s="45"/>
      <c r="V717" s="45"/>
      <c r="W717" s="45"/>
      <c r="X717" s="45"/>
      <c r="Y717" s="45"/>
      <c r="Z717" s="45"/>
      <c r="AA717" s="45"/>
      <c r="AB717" s="102"/>
      <c r="AC717" s="102"/>
      <c r="AD717" s="112" t="s">
        <v>16</v>
      </c>
      <c r="AE717" s="112"/>
      <c r="AF717" s="45"/>
      <c r="AG717" s="45"/>
      <c r="AH717" s="45"/>
      <c r="AI717" s="45"/>
      <c r="AJ717" s="45"/>
      <c r="AK717" s="45"/>
      <c r="AL717" s="45"/>
      <c r="AM717" s="45"/>
      <c r="AN717" s="45"/>
      <c r="AO717" s="42"/>
      <c r="AQ717" s="112" t="s">
        <v>16</v>
      </c>
      <c r="AR717" s="112"/>
      <c r="AS717" s="45"/>
      <c r="AT717" s="45"/>
      <c r="AU717" s="45"/>
      <c r="AV717" s="45"/>
      <c r="AW717" s="45"/>
      <c r="AX717" s="45"/>
      <c r="AY717" s="45"/>
      <c r="AZ717" s="45"/>
      <c r="BA717" s="45"/>
      <c r="BB717" s="42"/>
      <c r="BC717" s="42"/>
      <c r="BD717" s="112" t="s">
        <v>16</v>
      </c>
      <c r="BE717" s="112"/>
      <c r="BF717" s="45"/>
      <c r="BG717" s="45"/>
      <c r="BH717" s="45"/>
      <c r="BI717" s="45"/>
      <c r="BJ717" s="45"/>
      <c r="BK717" s="45"/>
      <c r="BL717" s="45"/>
      <c r="BM717" s="45"/>
      <c r="BN717" s="45"/>
      <c r="BO717" s="42"/>
      <c r="BQ717" s="112" t="s">
        <v>16</v>
      </c>
      <c r="BR717" s="112"/>
      <c r="BS717" s="45"/>
      <c r="BT717" s="45"/>
      <c r="BU717" s="45"/>
      <c r="BV717" s="45"/>
      <c r="BW717" s="45"/>
      <c r="BX717" s="45"/>
      <c r="BY717" s="45"/>
      <c r="BZ717" s="45"/>
      <c r="CA717" s="45"/>
      <c r="CB717" s="42"/>
      <c r="CC717" s="42"/>
      <c r="CD717" s="112" t="s">
        <v>16</v>
      </c>
      <c r="CE717" s="112"/>
      <c r="CF717" s="45"/>
      <c r="CG717" s="45"/>
      <c r="CH717" s="45"/>
      <c r="CI717" s="45"/>
      <c r="CJ717" s="45"/>
      <c r="CK717" s="45"/>
      <c r="CL717" s="45"/>
      <c r="CM717" s="45"/>
      <c r="CN717" s="45"/>
      <c r="CO717" s="42"/>
      <c r="CQ717" s="112" t="s">
        <v>16</v>
      </c>
      <c r="CR717" s="112"/>
      <c r="CS717" s="45"/>
      <c r="CT717" s="45"/>
      <c r="CU717" s="45"/>
      <c r="CV717" s="45"/>
      <c r="CW717" s="45"/>
      <c r="CX717" s="45"/>
      <c r="CY717" s="45"/>
      <c r="CZ717" s="45"/>
      <c r="DA717" s="45"/>
      <c r="DB717" s="42"/>
      <c r="DC717" s="42"/>
      <c r="DD717" s="112" t="s">
        <v>16</v>
      </c>
      <c r="DE717" s="112"/>
      <c r="DF717" s="45"/>
      <c r="DG717" s="45"/>
      <c r="DH717" s="45"/>
      <c r="DI717" s="45"/>
      <c r="DJ717" s="45"/>
      <c r="DK717" s="45"/>
      <c r="DL717" s="45"/>
      <c r="DM717" s="45"/>
      <c r="DN717" s="45"/>
      <c r="DO717" s="42"/>
    </row>
    <row r="718" spans="2:119" ht="28.9" customHeight="1" x14ac:dyDescent="0.45">
      <c r="B718" s="99"/>
      <c r="C718" s="42"/>
      <c r="D718" s="112"/>
      <c r="E718" s="112"/>
      <c r="F718" s="128" t="s">
        <v>12</v>
      </c>
      <c r="G718" s="129"/>
      <c r="H718" s="129"/>
      <c r="I718" s="129"/>
      <c r="J718" s="129"/>
      <c r="K718" s="129"/>
      <c r="L718" s="129"/>
      <c r="M718" s="129"/>
      <c r="N718" s="130"/>
      <c r="O718" s="102"/>
      <c r="P718" s="102"/>
      <c r="Q718" s="112"/>
      <c r="R718" s="112"/>
      <c r="S718" s="128" t="s">
        <v>12</v>
      </c>
      <c r="T718" s="129"/>
      <c r="U718" s="129"/>
      <c r="V718" s="129"/>
      <c r="W718" s="129"/>
      <c r="X718" s="129"/>
      <c r="Y718" s="129"/>
      <c r="Z718" s="129"/>
      <c r="AA718" s="130"/>
      <c r="AB718" s="102"/>
      <c r="AC718" s="102"/>
      <c r="AD718" s="112"/>
      <c r="AE718" s="112"/>
      <c r="AF718" s="128" t="s">
        <v>12</v>
      </c>
      <c r="AG718" s="129"/>
      <c r="AH718" s="129"/>
      <c r="AI718" s="129"/>
      <c r="AJ718" s="129"/>
      <c r="AK718" s="129"/>
      <c r="AL718" s="129"/>
      <c r="AM718" s="129"/>
      <c r="AN718" s="130"/>
      <c r="AO718" s="42"/>
      <c r="AQ718" s="112"/>
      <c r="AR718" s="112"/>
      <c r="AS718" s="128" t="s">
        <v>12</v>
      </c>
      <c r="AT718" s="129"/>
      <c r="AU718" s="129"/>
      <c r="AV718" s="129"/>
      <c r="AW718" s="129"/>
      <c r="AX718" s="129"/>
      <c r="AY718" s="129"/>
      <c r="AZ718" s="129"/>
      <c r="BA718" s="130"/>
      <c r="BB718" s="42"/>
      <c r="BC718" s="42"/>
      <c r="BD718" s="112"/>
      <c r="BE718" s="112"/>
      <c r="BF718" s="128" t="s">
        <v>12</v>
      </c>
      <c r="BG718" s="129"/>
      <c r="BH718" s="129"/>
      <c r="BI718" s="129"/>
      <c r="BJ718" s="129"/>
      <c r="BK718" s="129"/>
      <c r="BL718" s="129"/>
      <c r="BM718" s="129"/>
      <c r="BN718" s="130"/>
      <c r="BO718" s="42"/>
      <c r="BQ718" s="112"/>
      <c r="BR718" s="112"/>
      <c r="BS718" s="128" t="s">
        <v>12</v>
      </c>
      <c r="BT718" s="129"/>
      <c r="BU718" s="129"/>
      <c r="BV718" s="129"/>
      <c r="BW718" s="129"/>
      <c r="BX718" s="129"/>
      <c r="BY718" s="129"/>
      <c r="BZ718" s="129"/>
      <c r="CA718" s="130"/>
      <c r="CB718" s="42"/>
      <c r="CC718" s="42"/>
      <c r="CD718" s="112"/>
      <c r="CE718" s="112"/>
      <c r="CF718" s="128" t="s">
        <v>12</v>
      </c>
      <c r="CG718" s="129"/>
      <c r="CH718" s="129"/>
      <c r="CI718" s="129"/>
      <c r="CJ718" s="129"/>
      <c r="CK718" s="129"/>
      <c r="CL718" s="129"/>
      <c r="CM718" s="129"/>
      <c r="CN718" s="130"/>
      <c r="CO718" s="42"/>
      <c r="CQ718" s="112"/>
      <c r="CR718" s="112"/>
      <c r="CS718" s="128" t="s">
        <v>12</v>
      </c>
      <c r="CT718" s="129"/>
      <c r="CU718" s="129"/>
      <c r="CV718" s="129"/>
      <c r="CW718" s="129"/>
      <c r="CX718" s="129"/>
      <c r="CY718" s="129"/>
      <c r="CZ718" s="129"/>
      <c r="DA718" s="130"/>
      <c r="DB718" s="42"/>
      <c r="DC718" s="42"/>
      <c r="DD718" s="112"/>
      <c r="DE718" s="112"/>
      <c r="DF718" s="128" t="s">
        <v>12</v>
      </c>
      <c r="DG718" s="129"/>
      <c r="DH718" s="129"/>
      <c r="DI718" s="129"/>
      <c r="DJ718" s="129"/>
      <c r="DK718" s="129"/>
      <c r="DL718" s="129"/>
      <c r="DM718" s="129"/>
      <c r="DN718" s="130"/>
      <c r="DO718" s="42"/>
    </row>
    <row r="719" spans="2:119" ht="15" x14ac:dyDescent="0.45">
      <c r="B719" s="99"/>
      <c r="C719" s="42"/>
      <c r="D719" s="113"/>
      <c r="E719" s="113"/>
      <c r="F719" s="98" t="s">
        <v>0</v>
      </c>
      <c r="G719" s="98" t="s">
        <v>111</v>
      </c>
      <c r="H719" s="98" t="s">
        <v>112</v>
      </c>
      <c r="I719" s="98" t="s">
        <v>113</v>
      </c>
      <c r="J719" s="98" t="s">
        <v>114</v>
      </c>
      <c r="K719" s="98" t="s">
        <v>115</v>
      </c>
      <c r="L719" s="98" t="s">
        <v>116</v>
      </c>
      <c r="M719" s="98" t="s">
        <v>117</v>
      </c>
      <c r="N719" s="98" t="s">
        <v>127</v>
      </c>
      <c r="O719" s="102"/>
      <c r="P719" s="102"/>
      <c r="Q719" s="113"/>
      <c r="R719" s="113"/>
      <c r="S719" s="98" t="s">
        <v>0</v>
      </c>
      <c r="T719" s="98" t="s">
        <v>111</v>
      </c>
      <c r="U719" s="98" t="s">
        <v>112</v>
      </c>
      <c r="V719" s="98" t="s">
        <v>113</v>
      </c>
      <c r="W719" s="98" t="s">
        <v>114</v>
      </c>
      <c r="X719" s="98" t="s">
        <v>115</v>
      </c>
      <c r="Y719" s="98" t="s">
        <v>116</v>
      </c>
      <c r="Z719" s="98" t="s">
        <v>117</v>
      </c>
      <c r="AA719" s="98" t="s">
        <v>127</v>
      </c>
      <c r="AB719" s="102"/>
      <c r="AC719" s="102"/>
      <c r="AD719" s="113"/>
      <c r="AE719" s="113"/>
      <c r="AF719" s="98" t="s">
        <v>0</v>
      </c>
      <c r="AG719" s="98" t="s">
        <v>111</v>
      </c>
      <c r="AH719" s="98" t="s">
        <v>112</v>
      </c>
      <c r="AI719" s="98" t="s">
        <v>113</v>
      </c>
      <c r="AJ719" s="98" t="s">
        <v>114</v>
      </c>
      <c r="AK719" s="98" t="s">
        <v>115</v>
      </c>
      <c r="AL719" s="98" t="s">
        <v>116</v>
      </c>
      <c r="AM719" s="98" t="s">
        <v>117</v>
      </c>
      <c r="AN719" s="98" t="s">
        <v>127</v>
      </c>
      <c r="AO719" s="42"/>
      <c r="AQ719" s="113"/>
      <c r="AR719" s="113"/>
      <c r="AS719" s="98" t="s">
        <v>0</v>
      </c>
      <c r="AT719" s="98" t="s">
        <v>111</v>
      </c>
      <c r="AU719" s="98" t="s">
        <v>112</v>
      </c>
      <c r="AV719" s="98" t="s">
        <v>113</v>
      </c>
      <c r="AW719" s="98" t="s">
        <v>114</v>
      </c>
      <c r="AX719" s="98" t="s">
        <v>115</v>
      </c>
      <c r="AY719" s="98" t="s">
        <v>116</v>
      </c>
      <c r="AZ719" s="98" t="s">
        <v>117</v>
      </c>
      <c r="BA719" s="98" t="s">
        <v>127</v>
      </c>
      <c r="BB719" s="42"/>
      <c r="BC719" s="42"/>
      <c r="BD719" s="113"/>
      <c r="BE719" s="113"/>
      <c r="BF719" s="98" t="s">
        <v>0</v>
      </c>
      <c r="BG719" s="98" t="s">
        <v>111</v>
      </c>
      <c r="BH719" s="98" t="s">
        <v>112</v>
      </c>
      <c r="BI719" s="98" t="s">
        <v>113</v>
      </c>
      <c r="BJ719" s="98" t="s">
        <v>114</v>
      </c>
      <c r="BK719" s="98" t="s">
        <v>115</v>
      </c>
      <c r="BL719" s="98" t="s">
        <v>116</v>
      </c>
      <c r="BM719" s="98" t="s">
        <v>117</v>
      </c>
      <c r="BN719" s="98" t="s">
        <v>127</v>
      </c>
      <c r="BO719" s="42"/>
      <c r="BQ719" s="113"/>
      <c r="BR719" s="113"/>
      <c r="BS719" s="98" t="s">
        <v>0</v>
      </c>
      <c r="BT719" s="98" t="s">
        <v>111</v>
      </c>
      <c r="BU719" s="98" t="s">
        <v>112</v>
      </c>
      <c r="BV719" s="98" t="s">
        <v>113</v>
      </c>
      <c r="BW719" s="98" t="s">
        <v>114</v>
      </c>
      <c r="BX719" s="98" t="s">
        <v>115</v>
      </c>
      <c r="BY719" s="98" t="s">
        <v>116</v>
      </c>
      <c r="BZ719" s="98" t="s">
        <v>117</v>
      </c>
      <c r="CA719" s="98" t="s">
        <v>127</v>
      </c>
      <c r="CB719" s="42"/>
      <c r="CC719" s="42"/>
      <c r="CD719" s="113"/>
      <c r="CE719" s="113"/>
      <c r="CF719" s="98" t="s">
        <v>0</v>
      </c>
      <c r="CG719" s="98" t="s">
        <v>111</v>
      </c>
      <c r="CH719" s="98" t="s">
        <v>112</v>
      </c>
      <c r="CI719" s="98" t="s">
        <v>113</v>
      </c>
      <c r="CJ719" s="98" t="s">
        <v>114</v>
      </c>
      <c r="CK719" s="98" t="s">
        <v>115</v>
      </c>
      <c r="CL719" s="98" t="s">
        <v>116</v>
      </c>
      <c r="CM719" s="98" t="s">
        <v>117</v>
      </c>
      <c r="CN719" s="98" t="s">
        <v>127</v>
      </c>
      <c r="CO719" s="42"/>
      <c r="CQ719" s="113"/>
      <c r="CR719" s="113"/>
      <c r="CS719" s="98" t="s">
        <v>0</v>
      </c>
      <c r="CT719" s="98" t="s">
        <v>111</v>
      </c>
      <c r="CU719" s="98" t="s">
        <v>112</v>
      </c>
      <c r="CV719" s="98" t="s">
        <v>113</v>
      </c>
      <c r="CW719" s="98" t="s">
        <v>114</v>
      </c>
      <c r="CX719" s="98" t="s">
        <v>115</v>
      </c>
      <c r="CY719" s="98" t="s">
        <v>116</v>
      </c>
      <c r="CZ719" s="98" t="s">
        <v>117</v>
      </c>
      <c r="DA719" s="98" t="s">
        <v>127</v>
      </c>
      <c r="DB719" s="42"/>
      <c r="DC719" s="42"/>
      <c r="DD719" s="113"/>
      <c r="DE719" s="113"/>
      <c r="DF719" s="98" t="s">
        <v>0</v>
      </c>
      <c r="DG719" s="98" t="s">
        <v>111</v>
      </c>
      <c r="DH719" s="98" t="s">
        <v>112</v>
      </c>
      <c r="DI719" s="98" t="s">
        <v>113</v>
      </c>
      <c r="DJ719" s="98" t="s">
        <v>114</v>
      </c>
      <c r="DK719" s="98" t="s">
        <v>115</v>
      </c>
      <c r="DL719" s="98" t="s">
        <v>116</v>
      </c>
      <c r="DM719" s="98" t="s">
        <v>117</v>
      </c>
      <c r="DN719" s="98" t="s">
        <v>127</v>
      </c>
      <c r="DO719" s="42"/>
    </row>
    <row r="720" spans="2:119" ht="15.4" x14ac:dyDescent="0.45">
      <c r="B720" s="99"/>
      <c r="C720" s="42"/>
      <c r="D720" s="109" t="s">
        <v>13</v>
      </c>
      <c r="E720" s="46" t="s">
        <v>1</v>
      </c>
      <c r="F720" s="103">
        <v>0</v>
      </c>
      <c r="G720" s="103">
        <v>0</v>
      </c>
      <c r="H720" s="103">
        <v>0</v>
      </c>
      <c r="I720" s="103">
        <v>0</v>
      </c>
      <c r="J720" s="103">
        <v>0</v>
      </c>
      <c r="K720" s="103">
        <v>0</v>
      </c>
      <c r="L720" s="103">
        <v>25</v>
      </c>
      <c r="M720" s="103">
        <v>75</v>
      </c>
      <c r="N720" s="103">
        <v>0</v>
      </c>
      <c r="O720" s="102"/>
      <c r="P720" s="102"/>
      <c r="Q720" s="109" t="s">
        <v>13</v>
      </c>
      <c r="R720" s="46" t="s">
        <v>1</v>
      </c>
      <c r="S720" s="103">
        <v>0</v>
      </c>
      <c r="T720" s="103">
        <v>0</v>
      </c>
      <c r="U720" s="103">
        <v>0</v>
      </c>
      <c r="V720" s="103">
        <v>0</v>
      </c>
      <c r="W720" s="103">
        <v>0</v>
      </c>
      <c r="X720" s="103">
        <v>0</v>
      </c>
      <c r="Y720" s="103">
        <v>0</v>
      </c>
      <c r="Z720" s="103">
        <v>100</v>
      </c>
      <c r="AA720" s="103">
        <v>0</v>
      </c>
      <c r="AB720" s="102"/>
      <c r="AC720" s="102"/>
      <c r="AD720" s="109" t="s">
        <v>13</v>
      </c>
      <c r="AE720" s="46" t="s">
        <v>1</v>
      </c>
      <c r="AF720" s="103">
        <v>0</v>
      </c>
      <c r="AG720" s="103">
        <v>0</v>
      </c>
      <c r="AH720" s="103">
        <v>0</v>
      </c>
      <c r="AI720" s="103">
        <v>0</v>
      </c>
      <c r="AJ720" s="103">
        <v>0</v>
      </c>
      <c r="AK720" s="103">
        <v>0</v>
      </c>
      <c r="AL720" s="103">
        <v>50</v>
      </c>
      <c r="AM720" s="103">
        <v>50</v>
      </c>
      <c r="AN720" s="103">
        <v>0</v>
      </c>
      <c r="AO720" s="42"/>
      <c r="AQ720" s="109" t="s">
        <v>13</v>
      </c>
      <c r="AR720" s="46" t="s">
        <v>1</v>
      </c>
      <c r="AS720" s="103">
        <v>0</v>
      </c>
      <c r="AT720" s="103">
        <v>0</v>
      </c>
      <c r="AU720" s="103">
        <v>0</v>
      </c>
      <c r="AV720" s="103">
        <v>0</v>
      </c>
      <c r="AW720" s="103">
        <v>0</v>
      </c>
      <c r="AX720" s="103">
        <v>0</v>
      </c>
      <c r="AY720" s="103">
        <v>0</v>
      </c>
      <c r="AZ720" s="103">
        <v>100</v>
      </c>
      <c r="BA720" s="103">
        <v>0</v>
      </c>
      <c r="BB720" s="42"/>
      <c r="BC720" s="42"/>
      <c r="BD720" s="109" t="s">
        <v>13</v>
      </c>
      <c r="BE720" s="46" t="s">
        <v>1</v>
      </c>
      <c r="BF720" s="103">
        <v>0</v>
      </c>
      <c r="BG720" s="103">
        <v>0</v>
      </c>
      <c r="BH720" s="103">
        <v>0</v>
      </c>
      <c r="BI720" s="103">
        <v>0</v>
      </c>
      <c r="BJ720" s="103">
        <v>0</v>
      </c>
      <c r="BK720" s="103">
        <v>0</v>
      </c>
      <c r="BL720" s="103">
        <v>50</v>
      </c>
      <c r="BM720" s="103">
        <v>50</v>
      </c>
      <c r="BN720" s="103">
        <v>0</v>
      </c>
      <c r="BO720" s="42"/>
      <c r="BQ720" s="109" t="s">
        <v>13</v>
      </c>
      <c r="BR720" s="46" t="s">
        <v>1</v>
      </c>
      <c r="BS720" s="103" t="s">
        <v>128</v>
      </c>
      <c r="BT720" s="103" t="s">
        <v>128</v>
      </c>
      <c r="BU720" s="103" t="s">
        <v>128</v>
      </c>
      <c r="BV720" s="103" t="s">
        <v>128</v>
      </c>
      <c r="BW720" s="103" t="s">
        <v>128</v>
      </c>
      <c r="BX720" s="103" t="s">
        <v>128</v>
      </c>
      <c r="BY720" s="103" t="s">
        <v>128</v>
      </c>
      <c r="BZ720" s="103" t="s">
        <v>128</v>
      </c>
      <c r="CA720" s="103" t="s">
        <v>128</v>
      </c>
      <c r="CB720" s="42"/>
      <c r="CC720" s="42"/>
      <c r="CD720" s="109" t="s">
        <v>13</v>
      </c>
      <c r="CE720" s="46" t="s">
        <v>1</v>
      </c>
      <c r="CF720" s="103">
        <v>0</v>
      </c>
      <c r="CG720" s="103">
        <v>0</v>
      </c>
      <c r="CH720" s="103">
        <v>0</v>
      </c>
      <c r="CI720" s="103">
        <v>0</v>
      </c>
      <c r="CJ720" s="103">
        <v>0</v>
      </c>
      <c r="CK720" s="103">
        <v>0</v>
      </c>
      <c r="CL720" s="103">
        <v>25</v>
      </c>
      <c r="CM720" s="103">
        <v>75</v>
      </c>
      <c r="CN720" s="103">
        <v>0</v>
      </c>
      <c r="CO720" s="42"/>
      <c r="CQ720" s="109" t="s">
        <v>13</v>
      </c>
      <c r="CR720" s="46" t="s">
        <v>1</v>
      </c>
      <c r="CS720" s="103">
        <v>0</v>
      </c>
      <c r="CT720" s="103">
        <v>0</v>
      </c>
      <c r="CU720" s="103">
        <v>0</v>
      </c>
      <c r="CV720" s="103">
        <v>0</v>
      </c>
      <c r="CW720" s="103">
        <v>0</v>
      </c>
      <c r="CX720" s="103">
        <v>0</v>
      </c>
      <c r="CY720" s="103">
        <v>25</v>
      </c>
      <c r="CZ720" s="103">
        <v>75</v>
      </c>
      <c r="DA720" s="103">
        <v>0</v>
      </c>
      <c r="DB720" s="42"/>
      <c r="DC720" s="42"/>
      <c r="DD720" s="109" t="s">
        <v>13</v>
      </c>
      <c r="DE720" s="46" t="s">
        <v>1</v>
      </c>
      <c r="DF720" s="103" t="s">
        <v>128</v>
      </c>
      <c r="DG720" s="103" t="s">
        <v>128</v>
      </c>
      <c r="DH720" s="103" t="s">
        <v>128</v>
      </c>
      <c r="DI720" s="103" t="s">
        <v>128</v>
      </c>
      <c r="DJ720" s="103" t="s">
        <v>128</v>
      </c>
      <c r="DK720" s="103" t="s">
        <v>128</v>
      </c>
      <c r="DL720" s="103" t="s">
        <v>128</v>
      </c>
      <c r="DM720" s="103" t="s">
        <v>128</v>
      </c>
      <c r="DN720" s="103" t="s">
        <v>128</v>
      </c>
      <c r="DO720" s="42"/>
    </row>
    <row r="721" spans="2:119" ht="15.4" x14ac:dyDescent="0.45">
      <c r="B721" s="99"/>
      <c r="C721" s="42"/>
      <c r="D721" s="110"/>
      <c r="E721" s="46">
        <v>1</v>
      </c>
      <c r="F721" s="103">
        <v>0</v>
      </c>
      <c r="G721" s="103">
        <v>0</v>
      </c>
      <c r="H721" s="103">
        <v>5.8823529411764701</v>
      </c>
      <c r="I721" s="103">
        <v>17.647058823529413</v>
      </c>
      <c r="J721" s="103">
        <v>0</v>
      </c>
      <c r="K721" s="103">
        <v>23.52941176470588</v>
      </c>
      <c r="L721" s="103">
        <v>11.76470588235294</v>
      </c>
      <c r="M721" s="103">
        <v>29.411764705882355</v>
      </c>
      <c r="N721" s="103">
        <v>11.76470588235294</v>
      </c>
      <c r="O721" s="102"/>
      <c r="P721" s="102"/>
      <c r="Q721" s="110"/>
      <c r="R721" s="46">
        <v>1</v>
      </c>
      <c r="S721" s="103">
        <v>0</v>
      </c>
      <c r="T721" s="103">
        <v>0</v>
      </c>
      <c r="U721" s="103">
        <v>0</v>
      </c>
      <c r="V721" s="103">
        <v>12.5</v>
      </c>
      <c r="W721" s="103">
        <v>0</v>
      </c>
      <c r="X721" s="103">
        <v>37.5</v>
      </c>
      <c r="Y721" s="103">
        <v>12.5</v>
      </c>
      <c r="Z721" s="103">
        <v>37.5</v>
      </c>
      <c r="AA721" s="103">
        <v>0</v>
      </c>
      <c r="AB721" s="102"/>
      <c r="AC721" s="102"/>
      <c r="AD721" s="110"/>
      <c r="AE721" s="46">
        <v>1</v>
      </c>
      <c r="AF721" s="103">
        <v>0</v>
      </c>
      <c r="AG721" s="103">
        <v>0</v>
      </c>
      <c r="AH721" s="103">
        <v>11.111111111111111</v>
      </c>
      <c r="AI721" s="103">
        <v>22.222222222222221</v>
      </c>
      <c r="AJ721" s="103">
        <v>0</v>
      </c>
      <c r="AK721" s="103">
        <v>11.111111111111111</v>
      </c>
      <c r="AL721" s="103">
        <v>11.111111111111111</v>
      </c>
      <c r="AM721" s="103">
        <v>22.222222222222221</v>
      </c>
      <c r="AN721" s="103">
        <v>22.222222222222221</v>
      </c>
      <c r="AO721" s="42"/>
      <c r="AQ721" s="110"/>
      <c r="AR721" s="46">
        <v>1</v>
      </c>
      <c r="AS721" s="103">
        <v>0</v>
      </c>
      <c r="AT721" s="103">
        <v>0</v>
      </c>
      <c r="AU721" s="103">
        <v>0</v>
      </c>
      <c r="AV721" s="103">
        <v>0</v>
      </c>
      <c r="AW721" s="103">
        <v>0</v>
      </c>
      <c r="AX721" s="103">
        <v>42.857142857142854</v>
      </c>
      <c r="AY721" s="103">
        <v>28.571428571428569</v>
      </c>
      <c r="AZ721" s="103">
        <v>0</v>
      </c>
      <c r="BA721" s="103">
        <v>28.571428571428569</v>
      </c>
      <c r="BB721" s="42"/>
      <c r="BC721" s="42"/>
      <c r="BD721" s="110"/>
      <c r="BE721" s="46">
        <v>1</v>
      </c>
      <c r="BF721" s="103">
        <v>0</v>
      </c>
      <c r="BG721" s="103">
        <v>0</v>
      </c>
      <c r="BH721" s="103">
        <v>10</v>
      </c>
      <c r="BI721" s="103">
        <v>30</v>
      </c>
      <c r="BJ721" s="103">
        <v>0</v>
      </c>
      <c r="BK721" s="103">
        <v>10</v>
      </c>
      <c r="BL721" s="103">
        <v>0</v>
      </c>
      <c r="BM721" s="103">
        <v>50</v>
      </c>
      <c r="BN721" s="103">
        <v>0</v>
      </c>
      <c r="BO721" s="42"/>
      <c r="BQ721" s="110"/>
      <c r="BR721" s="46">
        <v>1</v>
      </c>
      <c r="BS721" s="103">
        <v>0</v>
      </c>
      <c r="BT721" s="103">
        <v>0</v>
      </c>
      <c r="BU721" s="103">
        <v>0</v>
      </c>
      <c r="BV721" s="103">
        <v>33.333333333333329</v>
      </c>
      <c r="BW721" s="103">
        <v>0</v>
      </c>
      <c r="BX721" s="103">
        <v>33.333333333333329</v>
      </c>
      <c r="BY721" s="103">
        <v>33.333333333333329</v>
      </c>
      <c r="BZ721" s="103">
        <v>0</v>
      </c>
      <c r="CA721" s="103">
        <v>0</v>
      </c>
      <c r="CB721" s="42"/>
      <c r="CC721" s="42"/>
      <c r="CD721" s="110"/>
      <c r="CE721" s="46">
        <v>1</v>
      </c>
      <c r="CF721" s="103">
        <v>0</v>
      </c>
      <c r="CG721" s="103">
        <v>0</v>
      </c>
      <c r="CH721" s="103">
        <v>7.1428571428571423</v>
      </c>
      <c r="CI721" s="103">
        <v>14.285714285714285</v>
      </c>
      <c r="CJ721" s="103">
        <v>0</v>
      </c>
      <c r="CK721" s="103">
        <v>21.428571428571427</v>
      </c>
      <c r="CL721" s="103">
        <v>7.1428571428571423</v>
      </c>
      <c r="CM721" s="103">
        <v>35.714285714285715</v>
      </c>
      <c r="CN721" s="103">
        <v>14.285714285714285</v>
      </c>
      <c r="CO721" s="42"/>
      <c r="CQ721" s="110"/>
      <c r="CR721" s="46">
        <v>1</v>
      </c>
      <c r="CS721" s="103">
        <v>0</v>
      </c>
      <c r="CT721" s="103">
        <v>0</v>
      </c>
      <c r="CU721" s="103">
        <v>5.8823529411764701</v>
      </c>
      <c r="CV721" s="103">
        <v>17.647058823529413</v>
      </c>
      <c r="CW721" s="103">
        <v>0</v>
      </c>
      <c r="CX721" s="103">
        <v>23.52941176470588</v>
      </c>
      <c r="CY721" s="103">
        <v>11.76470588235294</v>
      </c>
      <c r="CZ721" s="103">
        <v>29.411764705882355</v>
      </c>
      <c r="DA721" s="103">
        <v>11.76470588235294</v>
      </c>
      <c r="DB721" s="42"/>
      <c r="DC721" s="42"/>
      <c r="DD721" s="110"/>
      <c r="DE721" s="46">
        <v>1</v>
      </c>
      <c r="DF721" s="103" t="s">
        <v>128</v>
      </c>
      <c r="DG721" s="103" t="s">
        <v>128</v>
      </c>
      <c r="DH721" s="103" t="s">
        <v>128</v>
      </c>
      <c r="DI721" s="103" t="s">
        <v>128</v>
      </c>
      <c r="DJ721" s="103" t="s">
        <v>128</v>
      </c>
      <c r="DK721" s="103" t="s">
        <v>128</v>
      </c>
      <c r="DL721" s="103" t="s">
        <v>128</v>
      </c>
      <c r="DM721" s="103" t="s">
        <v>128</v>
      </c>
      <c r="DN721" s="103" t="s">
        <v>128</v>
      </c>
      <c r="DO721" s="42"/>
    </row>
    <row r="722" spans="2:119" ht="15.4" x14ac:dyDescent="0.45">
      <c r="B722" s="99"/>
      <c r="C722" s="42"/>
      <c r="D722" s="110"/>
      <c r="E722" s="46" t="s">
        <v>2</v>
      </c>
      <c r="F722" s="103">
        <v>0.64935064935064934</v>
      </c>
      <c r="G722" s="103">
        <v>0.64935064935064934</v>
      </c>
      <c r="H722" s="103">
        <v>2.5974025974025974</v>
      </c>
      <c r="I722" s="103">
        <v>8.4415584415584419</v>
      </c>
      <c r="J722" s="103">
        <v>7.1428571428571423</v>
      </c>
      <c r="K722" s="103">
        <v>16.883116883116884</v>
      </c>
      <c r="L722" s="103">
        <v>28.571428571428569</v>
      </c>
      <c r="M722" s="103">
        <v>27.922077922077921</v>
      </c>
      <c r="N722" s="103">
        <v>7.1428571428571423</v>
      </c>
      <c r="O722" s="102"/>
      <c r="P722" s="102"/>
      <c r="Q722" s="110"/>
      <c r="R722" s="46" t="s">
        <v>2</v>
      </c>
      <c r="S722" s="103">
        <v>0</v>
      </c>
      <c r="T722" s="103">
        <v>1.3513513513513513</v>
      </c>
      <c r="U722" s="103">
        <v>0</v>
      </c>
      <c r="V722" s="103">
        <v>4.0540540540540544</v>
      </c>
      <c r="W722" s="103">
        <v>6.756756756756757</v>
      </c>
      <c r="X722" s="103">
        <v>16.216216216216218</v>
      </c>
      <c r="Y722" s="103">
        <v>27.027027027027028</v>
      </c>
      <c r="Z722" s="103">
        <v>33.783783783783782</v>
      </c>
      <c r="AA722" s="103">
        <v>10.810810810810811</v>
      </c>
      <c r="AB722" s="102"/>
      <c r="AC722" s="102"/>
      <c r="AD722" s="110"/>
      <c r="AE722" s="46" t="s">
        <v>2</v>
      </c>
      <c r="AF722" s="103">
        <v>1.25</v>
      </c>
      <c r="AG722" s="103">
        <v>0</v>
      </c>
      <c r="AH722" s="103">
        <v>5</v>
      </c>
      <c r="AI722" s="103">
        <v>12.5</v>
      </c>
      <c r="AJ722" s="103">
        <v>7.5</v>
      </c>
      <c r="AK722" s="103">
        <v>17.5</v>
      </c>
      <c r="AL722" s="103">
        <v>30</v>
      </c>
      <c r="AM722" s="103">
        <v>22.5</v>
      </c>
      <c r="AN722" s="103">
        <v>3.75</v>
      </c>
      <c r="AO722" s="42"/>
      <c r="AQ722" s="110"/>
      <c r="AR722" s="46" t="s">
        <v>2</v>
      </c>
      <c r="AS722" s="103">
        <v>1.5384615384615385</v>
      </c>
      <c r="AT722" s="103">
        <v>1.5384615384615385</v>
      </c>
      <c r="AU722" s="103">
        <v>4.6153846153846159</v>
      </c>
      <c r="AV722" s="103">
        <v>3.0769230769230771</v>
      </c>
      <c r="AW722" s="103">
        <v>4.6153846153846159</v>
      </c>
      <c r="AX722" s="103">
        <v>21.53846153846154</v>
      </c>
      <c r="AY722" s="103">
        <v>29.230769230769234</v>
      </c>
      <c r="AZ722" s="103">
        <v>26.153846153846157</v>
      </c>
      <c r="BA722" s="103">
        <v>7.6923076923076925</v>
      </c>
      <c r="BB722" s="42"/>
      <c r="BC722" s="42"/>
      <c r="BD722" s="110"/>
      <c r="BE722" s="46" t="s">
        <v>2</v>
      </c>
      <c r="BF722" s="103">
        <v>0</v>
      </c>
      <c r="BG722" s="103">
        <v>0</v>
      </c>
      <c r="BH722" s="103">
        <v>1.1235955056179776</v>
      </c>
      <c r="BI722" s="103">
        <v>12.359550561797752</v>
      </c>
      <c r="BJ722" s="103">
        <v>8.9887640449438209</v>
      </c>
      <c r="BK722" s="103">
        <v>13.48314606741573</v>
      </c>
      <c r="BL722" s="103">
        <v>28.08988764044944</v>
      </c>
      <c r="BM722" s="103">
        <v>29.213483146067414</v>
      </c>
      <c r="BN722" s="103">
        <v>6.7415730337078648</v>
      </c>
      <c r="BO722" s="42"/>
      <c r="BQ722" s="110"/>
      <c r="BR722" s="46" t="s">
        <v>2</v>
      </c>
      <c r="BS722" s="103">
        <v>2.2727272727272729</v>
      </c>
      <c r="BT722" s="103">
        <v>2.2727272727272729</v>
      </c>
      <c r="BU722" s="103">
        <v>6.8181818181818175</v>
      </c>
      <c r="BV722" s="103">
        <v>4.5454545454545459</v>
      </c>
      <c r="BW722" s="103">
        <v>13.636363636363635</v>
      </c>
      <c r="BX722" s="103">
        <v>18.181818181818183</v>
      </c>
      <c r="BY722" s="103">
        <v>34.090909090909086</v>
      </c>
      <c r="BZ722" s="103">
        <v>11.363636363636363</v>
      </c>
      <c r="CA722" s="103">
        <v>6.8181818181818175</v>
      </c>
      <c r="CB722" s="42"/>
      <c r="CC722" s="42"/>
      <c r="CD722" s="110"/>
      <c r="CE722" s="46" t="s">
        <v>2</v>
      </c>
      <c r="CF722" s="103">
        <v>0</v>
      </c>
      <c r="CG722" s="103">
        <v>0</v>
      </c>
      <c r="CH722" s="103">
        <v>0.90909090909090906</v>
      </c>
      <c r="CI722" s="103">
        <v>10</v>
      </c>
      <c r="CJ722" s="103">
        <v>4.5454545454545459</v>
      </c>
      <c r="CK722" s="103">
        <v>16.363636363636363</v>
      </c>
      <c r="CL722" s="103">
        <v>26.36363636363636</v>
      </c>
      <c r="CM722" s="103">
        <v>34.545454545454547</v>
      </c>
      <c r="CN722" s="103">
        <v>7.2727272727272725</v>
      </c>
      <c r="CO722" s="42"/>
      <c r="CQ722" s="110"/>
      <c r="CR722" s="46" t="s">
        <v>2</v>
      </c>
      <c r="CS722" s="103">
        <v>0.66666666666666674</v>
      </c>
      <c r="CT722" s="103">
        <v>0.66666666666666674</v>
      </c>
      <c r="CU722" s="103">
        <v>2</v>
      </c>
      <c r="CV722" s="103">
        <v>8</v>
      </c>
      <c r="CW722" s="103">
        <v>7.333333333333333</v>
      </c>
      <c r="CX722" s="103">
        <v>17.333333333333336</v>
      </c>
      <c r="CY722" s="103">
        <v>29.333333333333332</v>
      </c>
      <c r="CZ722" s="103">
        <v>28.000000000000004</v>
      </c>
      <c r="DA722" s="103">
        <v>6.666666666666667</v>
      </c>
      <c r="DB722" s="42"/>
      <c r="DC722" s="42"/>
      <c r="DD722" s="110"/>
      <c r="DE722" s="46" t="s">
        <v>2</v>
      </c>
      <c r="DF722" s="103">
        <v>0</v>
      </c>
      <c r="DG722" s="103">
        <v>0</v>
      </c>
      <c r="DH722" s="103">
        <v>25</v>
      </c>
      <c r="DI722" s="103">
        <v>25</v>
      </c>
      <c r="DJ722" s="103">
        <v>0</v>
      </c>
      <c r="DK722" s="103">
        <v>0</v>
      </c>
      <c r="DL722" s="103">
        <v>0</v>
      </c>
      <c r="DM722" s="103">
        <v>25</v>
      </c>
      <c r="DN722" s="103">
        <v>25</v>
      </c>
      <c r="DO722" s="42"/>
    </row>
    <row r="723" spans="2:119" ht="15.4" x14ac:dyDescent="0.45">
      <c r="B723" s="99"/>
      <c r="C723" s="42"/>
      <c r="D723" s="110"/>
      <c r="E723" s="46" t="s">
        <v>3</v>
      </c>
      <c r="F723" s="103">
        <v>0</v>
      </c>
      <c r="G723" s="103">
        <v>0</v>
      </c>
      <c r="H723" s="103">
        <v>4.5454545454545459</v>
      </c>
      <c r="I723" s="103">
        <v>4.5454545454545459</v>
      </c>
      <c r="J723" s="103">
        <v>9.0909090909090917</v>
      </c>
      <c r="K723" s="103">
        <v>13.636363636363635</v>
      </c>
      <c r="L723" s="103">
        <v>32.954545454545453</v>
      </c>
      <c r="M723" s="103">
        <v>29.545454545454547</v>
      </c>
      <c r="N723" s="103">
        <v>5.6818181818181817</v>
      </c>
      <c r="O723" s="102"/>
      <c r="P723" s="102"/>
      <c r="Q723" s="110"/>
      <c r="R723" s="46" t="s">
        <v>3</v>
      </c>
      <c r="S723" s="103">
        <v>0</v>
      </c>
      <c r="T723" s="103">
        <v>0</v>
      </c>
      <c r="U723" s="103">
        <v>1.9607843137254901</v>
      </c>
      <c r="V723" s="103">
        <v>1.9607843137254901</v>
      </c>
      <c r="W723" s="103">
        <v>9.8039215686274517</v>
      </c>
      <c r="X723" s="103">
        <v>9.8039215686274517</v>
      </c>
      <c r="Y723" s="103">
        <v>37.254901960784316</v>
      </c>
      <c r="Z723" s="103">
        <v>33.333333333333329</v>
      </c>
      <c r="AA723" s="103">
        <v>5.8823529411764701</v>
      </c>
      <c r="AB723" s="102"/>
      <c r="AC723" s="102"/>
      <c r="AD723" s="110"/>
      <c r="AE723" s="46" t="s">
        <v>3</v>
      </c>
      <c r="AF723" s="103">
        <v>0</v>
      </c>
      <c r="AG723" s="103">
        <v>0</v>
      </c>
      <c r="AH723" s="103">
        <v>8.1081081081081088</v>
      </c>
      <c r="AI723" s="103">
        <v>8.1081081081081088</v>
      </c>
      <c r="AJ723" s="103">
        <v>8.1081081081081088</v>
      </c>
      <c r="AK723" s="103">
        <v>18.918918918918919</v>
      </c>
      <c r="AL723" s="103">
        <v>27.027027027027028</v>
      </c>
      <c r="AM723" s="103">
        <v>24.324324324324326</v>
      </c>
      <c r="AN723" s="103">
        <v>5.4054054054054053</v>
      </c>
      <c r="AO723" s="42"/>
      <c r="AQ723" s="110"/>
      <c r="AR723" s="46" t="s">
        <v>3</v>
      </c>
      <c r="AS723" s="103">
        <v>0</v>
      </c>
      <c r="AT723" s="103">
        <v>0</v>
      </c>
      <c r="AU723" s="103">
        <v>3.0303030303030303</v>
      </c>
      <c r="AV723" s="103">
        <v>6.0606060606060606</v>
      </c>
      <c r="AW723" s="103">
        <v>18.181818181818183</v>
      </c>
      <c r="AX723" s="103">
        <v>12.121212121212121</v>
      </c>
      <c r="AY723" s="103">
        <v>36.363636363636367</v>
      </c>
      <c r="AZ723" s="103">
        <v>24.242424242424242</v>
      </c>
      <c r="BA723" s="103">
        <v>0</v>
      </c>
      <c r="BB723" s="42"/>
      <c r="BC723" s="42"/>
      <c r="BD723" s="110"/>
      <c r="BE723" s="46" t="s">
        <v>3</v>
      </c>
      <c r="BF723" s="103">
        <v>0</v>
      </c>
      <c r="BG723" s="103">
        <v>0</v>
      </c>
      <c r="BH723" s="103">
        <v>5.4545454545454541</v>
      </c>
      <c r="BI723" s="103">
        <v>3.6363636363636362</v>
      </c>
      <c r="BJ723" s="103">
        <v>3.6363636363636362</v>
      </c>
      <c r="BK723" s="103">
        <v>14.545454545454545</v>
      </c>
      <c r="BL723" s="103">
        <v>30.909090909090907</v>
      </c>
      <c r="BM723" s="103">
        <v>32.727272727272727</v>
      </c>
      <c r="BN723" s="103">
        <v>9.0909090909090917</v>
      </c>
      <c r="BO723" s="42"/>
      <c r="BQ723" s="110"/>
      <c r="BR723" s="46" t="s">
        <v>3</v>
      </c>
      <c r="BS723" s="103">
        <v>0</v>
      </c>
      <c r="BT723" s="103">
        <v>0</v>
      </c>
      <c r="BU723" s="103">
        <v>6.666666666666667</v>
      </c>
      <c r="BV723" s="103">
        <v>10</v>
      </c>
      <c r="BW723" s="103">
        <v>16.666666666666664</v>
      </c>
      <c r="BX723" s="103">
        <v>10</v>
      </c>
      <c r="BY723" s="103">
        <v>33.333333333333329</v>
      </c>
      <c r="BZ723" s="103">
        <v>23.333333333333332</v>
      </c>
      <c r="CA723" s="103">
        <v>0</v>
      </c>
      <c r="CB723" s="42"/>
      <c r="CC723" s="42"/>
      <c r="CD723" s="110"/>
      <c r="CE723" s="46" t="s">
        <v>3</v>
      </c>
      <c r="CF723" s="103">
        <v>0</v>
      </c>
      <c r="CG723" s="103">
        <v>0</v>
      </c>
      <c r="CH723" s="103">
        <v>3.4482758620689653</v>
      </c>
      <c r="CI723" s="103">
        <v>1.7241379310344827</v>
      </c>
      <c r="CJ723" s="103">
        <v>5.1724137931034484</v>
      </c>
      <c r="CK723" s="103">
        <v>15.517241379310345</v>
      </c>
      <c r="CL723" s="103">
        <v>32.758620689655174</v>
      </c>
      <c r="CM723" s="103">
        <v>32.758620689655174</v>
      </c>
      <c r="CN723" s="103">
        <v>8.6206896551724146</v>
      </c>
      <c r="CO723" s="42"/>
      <c r="CQ723" s="110"/>
      <c r="CR723" s="46" t="s">
        <v>3</v>
      </c>
      <c r="CS723" s="103">
        <v>0</v>
      </c>
      <c r="CT723" s="103">
        <v>0</v>
      </c>
      <c r="CU723" s="103">
        <v>3.75</v>
      </c>
      <c r="CV723" s="103">
        <v>2.5</v>
      </c>
      <c r="CW723" s="103">
        <v>10</v>
      </c>
      <c r="CX723" s="103">
        <v>12.5</v>
      </c>
      <c r="CY723" s="103">
        <v>32.5</v>
      </c>
      <c r="CZ723" s="103">
        <v>32.5</v>
      </c>
      <c r="DA723" s="103">
        <v>6.25</v>
      </c>
      <c r="DB723" s="42"/>
      <c r="DC723" s="42"/>
      <c r="DD723" s="110"/>
      <c r="DE723" s="46" t="s">
        <v>3</v>
      </c>
      <c r="DF723" s="103">
        <v>0</v>
      </c>
      <c r="DG723" s="103">
        <v>0</v>
      </c>
      <c r="DH723" s="103">
        <v>12.5</v>
      </c>
      <c r="DI723" s="103">
        <v>25</v>
      </c>
      <c r="DJ723" s="103">
        <v>0</v>
      </c>
      <c r="DK723" s="103">
        <v>25</v>
      </c>
      <c r="DL723" s="103">
        <v>37.5</v>
      </c>
      <c r="DM723" s="103">
        <v>0</v>
      </c>
      <c r="DN723" s="103">
        <v>0</v>
      </c>
      <c r="DO723" s="42"/>
    </row>
    <row r="724" spans="2:119" ht="15.4" x14ac:dyDescent="0.45">
      <c r="B724" s="99"/>
      <c r="C724" s="42"/>
      <c r="D724" s="110"/>
      <c r="E724" s="46" t="s">
        <v>4</v>
      </c>
      <c r="F724" s="103">
        <v>0</v>
      </c>
      <c r="G724" s="103">
        <v>0</v>
      </c>
      <c r="H724" s="103">
        <v>4.4776119402985071</v>
      </c>
      <c r="I724" s="103">
        <v>2.2388059701492535</v>
      </c>
      <c r="J724" s="103">
        <v>2.9850746268656714</v>
      </c>
      <c r="K724" s="103">
        <v>14.17910447761194</v>
      </c>
      <c r="L724" s="103">
        <v>29.1044776119403</v>
      </c>
      <c r="M724" s="103">
        <v>36.567164179104481</v>
      </c>
      <c r="N724" s="103">
        <v>10.44776119402985</v>
      </c>
      <c r="O724" s="102"/>
      <c r="P724" s="102"/>
      <c r="Q724" s="110"/>
      <c r="R724" s="46" t="s">
        <v>4</v>
      </c>
      <c r="S724" s="103">
        <v>0</v>
      </c>
      <c r="T724" s="103">
        <v>0</v>
      </c>
      <c r="U724" s="103">
        <v>3.296703296703297</v>
      </c>
      <c r="V724" s="103">
        <v>2.197802197802198</v>
      </c>
      <c r="W724" s="103">
        <v>3.296703296703297</v>
      </c>
      <c r="X724" s="103">
        <v>8.791208791208792</v>
      </c>
      <c r="Y724" s="103">
        <v>26.373626373626376</v>
      </c>
      <c r="Z724" s="103">
        <v>43.956043956043956</v>
      </c>
      <c r="AA724" s="103">
        <v>12.087912087912088</v>
      </c>
      <c r="AB724" s="102"/>
      <c r="AC724" s="102"/>
      <c r="AD724" s="110"/>
      <c r="AE724" s="46" t="s">
        <v>4</v>
      </c>
      <c r="AF724" s="103">
        <v>0</v>
      </c>
      <c r="AG724" s="103">
        <v>0</v>
      </c>
      <c r="AH724" s="103">
        <v>6.9767441860465116</v>
      </c>
      <c r="AI724" s="103">
        <v>2.3255813953488373</v>
      </c>
      <c r="AJ724" s="103">
        <v>2.3255813953488373</v>
      </c>
      <c r="AK724" s="103">
        <v>25.581395348837212</v>
      </c>
      <c r="AL724" s="103">
        <v>34.883720930232556</v>
      </c>
      <c r="AM724" s="103">
        <v>20.930232558139537</v>
      </c>
      <c r="AN724" s="103">
        <v>6.9767441860465116</v>
      </c>
      <c r="AO724" s="42"/>
      <c r="AQ724" s="110"/>
      <c r="AR724" s="46" t="s">
        <v>4</v>
      </c>
      <c r="AS724" s="103">
        <v>0</v>
      </c>
      <c r="AT724" s="103">
        <v>0</v>
      </c>
      <c r="AU724" s="103">
        <v>4.10958904109589</v>
      </c>
      <c r="AV724" s="103">
        <v>4.10958904109589</v>
      </c>
      <c r="AW724" s="103">
        <v>2.7397260273972601</v>
      </c>
      <c r="AX724" s="103">
        <v>12.328767123287671</v>
      </c>
      <c r="AY724" s="103">
        <v>27.397260273972602</v>
      </c>
      <c r="AZ724" s="103">
        <v>38.356164383561641</v>
      </c>
      <c r="BA724" s="103">
        <v>10.95890410958904</v>
      </c>
      <c r="BB724" s="42"/>
      <c r="BC724" s="42"/>
      <c r="BD724" s="110"/>
      <c r="BE724" s="46" t="s">
        <v>4</v>
      </c>
      <c r="BF724" s="103">
        <v>0</v>
      </c>
      <c r="BG724" s="103">
        <v>0</v>
      </c>
      <c r="BH724" s="103">
        <v>4.918032786885246</v>
      </c>
      <c r="BI724" s="103">
        <v>0</v>
      </c>
      <c r="BJ724" s="103">
        <v>3.278688524590164</v>
      </c>
      <c r="BK724" s="103">
        <v>16.393442622950818</v>
      </c>
      <c r="BL724" s="103">
        <v>31.147540983606557</v>
      </c>
      <c r="BM724" s="103">
        <v>34.42622950819672</v>
      </c>
      <c r="BN724" s="103">
        <v>9.8360655737704921</v>
      </c>
      <c r="BO724" s="42"/>
      <c r="BQ724" s="110"/>
      <c r="BR724" s="46" t="s">
        <v>4</v>
      </c>
      <c r="BS724" s="103">
        <v>0</v>
      </c>
      <c r="BT724" s="103">
        <v>0</v>
      </c>
      <c r="BU724" s="103">
        <v>6.25</v>
      </c>
      <c r="BV724" s="103">
        <v>3.125</v>
      </c>
      <c r="BW724" s="103">
        <v>3.125</v>
      </c>
      <c r="BX724" s="103">
        <v>25</v>
      </c>
      <c r="BY724" s="103">
        <v>18.75</v>
      </c>
      <c r="BZ724" s="103">
        <v>43.75</v>
      </c>
      <c r="CA724" s="103">
        <v>0</v>
      </c>
      <c r="CB724" s="42"/>
      <c r="CC724" s="42"/>
      <c r="CD724" s="110"/>
      <c r="CE724" s="46" t="s">
        <v>4</v>
      </c>
      <c r="CF724" s="103">
        <v>0</v>
      </c>
      <c r="CG724" s="103">
        <v>0</v>
      </c>
      <c r="CH724" s="103">
        <v>3.9215686274509802</v>
      </c>
      <c r="CI724" s="103">
        <v>1.9607843137254901</v>
      </c>
      <c r="CJ724" s="103">
        <v>2.9411764705882351</v>
      </c>
      <c r="CK724" s="103">
        <v>10.784313725490197</v>
      </c>
      <c r="CL724" s="103">
        <v>32.352941176470587</v>
      </c>
      <c r="CM724" s="103">
        <v>34.313725490196077</v>
      </c>
      <c r="CN724" s="103">
        <v>13.725490196078432</v>
      </c>
      <c r="CO724" s="42"/>
      <c r="CQ724" s="110"/>
      <c r="CR724" s="46" t="s">
        <v>4</v>
      </c>
      <c r="CS724" s="103">
        <v>0</v>
      </c>
      <c r="CT724" s="103">
        <v>0</v>
      </c>
      <c r="CU724" s="103">
        <v>3.3057851239669422</v>
      </c>
      <c r="CV724" s="103">
        <v>1.6528925619834711</v>
      </c>
      <c r="CW724" s="103">
        <v>3.3057851239669422</v>
      </c>
      <c r="CX724" s="103">
        <v>14.049586776859504</v>
      </c>
      <c r="CY724" s="103">
        <v>29.75206611570248</v>
      </c>
      <c r="CZ724" s="103">
        <v>37.190082644628099</v>
      </c>
      <c r="DA724" s="103">
        <v>10.743801652892563</v>
      </c>
      <c r="DB724" s="42"/>
      <c r="DC724" s="42"/>
      <c r="DD724" s="110"/>
      <c r="DE724" s="46" t="s">
        <v>4</v>
      </c>
      <c r="DF724" s="103">
        <v>0</v>
      </c>
      <c r="DG724" s="103">
        <v>0</v>
      </c>
      <c r="DH724" s="103">
        <v>15.384615384615385</v>
      </c>
      <c r="DI724" s="103">
        <v>7.6923076923076925</v>
      </c>
      <c r="DJ724" s="103">
        <v>0</v>
      </c>
      <c r="DK724" s="103">
        <v>15.384615384615385</v>
      </c>
      <c r="DL724" s="103">
        <v>23.076923076923077</v>
      </c>
      <c r="DM724" s="103">
        <v>30.76923076923077</v>
      </c>
      <c r="DN724" s="103">
        <v>7.6923076923076925</v>
      </c>
      <c r="DO724" s="42"/>
    </row>
    <row r="725" spans="2:119" ht="15.4" x14ac:dyDescent="0.45">
      <c r="B725" s="99"/>
      <c r="C725" s="42"/>
      <c r="D725" s="110"/>
      <c r="E725" s="46" t="s">
        <v>5</v>
      </c>
      <c r="F725" s="103">
        <v>0</v>
      </c>
      <c r="G725" s="103">
        <v>0</v>
      </c>
      <c r="H725" s="103">
        <v>0.97087378640776689</v>
      </c>
      <c r="I725" s="103">
        <v>2.912621359223301</v>
      </c>
      <c r="J725" s="103">
        <v>9.2233009708737868</v>
      </c>
      <c r="K725" s="103">
        <v>14.077669902912621</v>
      </c>
      <c r="L725" s="103">
        <v>33.009708737864081</v>
      </c>
      <c r="M725" s="103">
        <v>31.55339805825243</v>
      </c>
      <c r="N725" s="103">
        <v>8.2524271844660202</v>
      </c>
      <c r="O725" s="102"/>
      <c r="P725" s="102"/>
      <c r="Q725" s="110"/>
      <c r="R725" s="46" t="s">
        <v>5</v>
      </c>
      <c r="S725" s="103">
        <v>0</v>
      </c>
      <c r="T725" s="103">
        <v>0</v>
      </c>
      <c r="U725" s="103">
        <v>0.90909090909090906</v>
      </c>
      <c r="V725" s="103">
        <v>2.7272727272727271</v>
      </c>
      <c r="W725" s="103">
        <v>6.3636363636363633</v>
      </c>
      <c r="X725" s="103">
        <v>18.181818181818183</v>
      </c>
      <c r="Y725" s="103">
        <v>27.27272727272727</v>
      </c>
      <c r="Z725" s="103">
        <v>31.818181818181817</v>
      </c>
      <c r="AA725" s="103">
        <v>12.727272727272727</v>
      </c>
      <c r="AB725" s="102"/>
      <c r="AC725" s="102"/>
      <c r="AD725" s="110"/>
      <c r="AE725" s="46" t="s">
        <v>5</v>
      </c>
      <c r="AF725" s="103">
        <v>0</v>
      </c>
      <c r="AG725" s="103">
        <v>0</v>
      </c>
      <c r="AH725" s="103">
        <v>1.0416666666666665</v>
      </c>
      <c r="AI725" s="103">
        <v>3.125</v>
      </c>
      <c r="AJ725" s="103">
        <v>12.5</v>
      </c>
      <c r="AK725" s="103">
        <v>9.375</v>
      </c>
      <c r="AL725" s="103">
        <v>39.583333333333329</v>
      </c>
      <c r="AM725" s="103">
        <v>31.25</v>
      </c>
      <c r="AN725" s="103">
        <v>3.125</v>
      </c>
      <c r="AO725" s="42"/>
      <c r="AQ725" s="110"/>
      <c r="AR725" s="46" t="s">
        <v>5</v>
      </c>
      <c r="AS725" s="103">
        <v>0</v>
      </c>
      <c r="AT725" s="103">
        <v>0</v>
      </c>
      <c r="AU725" s="103">
        <v>1</v>
      </c>
      <c r="AV725" s="103">
        <v>4</v>
      </c>
      <c r="AW725" s="103">
        <v>9</v>
      </c>
      <c r="AX725" s="103">
        <v>20</v>
      </c>
      <c r="AY725" s="103">
        <v>34</v>
      </c>
      <c r="AZ725" s="103">
        <v>27</v>
      </c>
      <c r="BA725" s="103">
        <v>5</v>
      </c>
      <c r="BB725" s="42"/>
      <c r="BC725" s="42"/>
      <c r="BD725" s="110"/>
      <c r="BE725" s="46" t="s">
        <v>5</v>
      </c>
      <c r="BF725" s="103">
        <v>0</v>
      </c>
      <c r="BG725" s="103">
        <v>0</v>
      </c>
      <c r="BH725" s="103">
        <v>0.94339622641509435</v>
      </c>
      <c r="BI725" s="103">
        <v>1.8867924528301887</v>
      </c>
      <c r="BJ725" s="103">
        <v>9.433962264150944</v>
      </c>
      <c r="BK725" s="103">
        <v>8.4905660377358494</v>
      </c>
      <c r="BL725" s="103">
        <v>32.075471698113205</v>
      </c>
      <c r="BM725" s="103">
        <v>35.849056603773583</v>
      </c>
      <c r="BN725" s="103">
        <v>11.320754716981133</v>
      </c>
      <c r="BO725" s="42"/>
      <c r="BQ725" s="110"/>
      <c r="BR725" s="46" t="s">
        <v>5</v>
      </c>
      <c r="BS725" s="103">
        <v>0</v>
      </c>
      <c r="BT725" s="103">
        <v>0</v>
      </c>
      <c r="BU725" s="103">
        <v>0</v>
      </c>
      <c r="BV725" s="103">
        <v>4</v>
      </c>
      <c r="BW725" s="103">
        <v>16</v>
      </c>
      <c r="BX725" s="103">
        <v>16</v>
      </c>
      <c r="BY725" s="103">
        <v>18</v>
      </c>
      <c r="BZ725" s="103">
        <v>32</v>
      </c>
      <c r="CA725" s="103">
        <v>14.000000000000002</v>
      </c>
      <c r="CB725" s="42"/>
      <c r="CC725" s="42"/>
      <c r="CD725" s="110"/>
      <c r="CE725" s="46" t="s">
        <v>5</v>
      </c>
      <c r="CF725" s="103">
        <v>0</v>
      </c>
      <c r="CG725" s="103">
        <v>0</v>
      </c>
      <c r="CH725" s="103">
        <v>1.2820512820512819</v>
      </c>
      <c r="CI725" s="103">
        <v>2.5641025641025639</v>
      </c>
      <c r="CJ725" s="103">
        <v>7.0512820512820511</v>
      </c>
      <c r="CK725" s="103">
        <v>13.461538461538462</v>
      </c>
      <c r="CL725" s="103">
        <v>37.820512820512818</v>
      </c>
      <c r="CM725" s="103">
        <v>31.410256410256409</v>
      </c>
      <c r="CN725" s="103">
        <v>6.4102564102564097</v>
      </c>
      <c r="CO725" s="42"/>
      <c r="CQ725" s="110"/>
      <c r="CR725" s="46" t="s">
        <v>5</v>
      </c>
      <c r="CS725" s="103">
        <v>0</v>
      </c>
      <c r="CT725" s="103">
        <v>0</v>
      </c>
      <c r="CU725" s="103">
        <v>0.52631578947368418</v>
      </c>
      <c r="CV725" s="103">
        <v>3.1578947368421053</v>
      </c>
      <c r="CW725" s="103">
        <v>8.4210526315789469</v>
      </c>
      <c r="CX725" s="103">
        <v>14.210526315789473</v>
      </c>
      <c r="CY725" s="103">
        <v>32.631578947368425</v>
      </c>
      <c r="CZ725" s="103">
        <v>32.10526315789474</v>
      </c>
      <c r="DA725" s="103">
        <v>8.9473684210526319</v>
      </c>
      <c r="DB725" s="42"/>
      <c r="DC725" s="42"/>
      <c r="DD725" s="110"/>
      <c r="DE725" s="46" t="s">
        <v>5</v>
      </c>
      <c r="DF725" s="103">
        <v>0</v>
      </c>
      <c r="DG725" s="103">
        <v>0</v>
      </c>
      <c r="DH725" s="103">
        <v>6.25</v>
      </c>
      <c r="DI725" s="103">
        <v>0</v>
      </c>
      <c r="DJ725" s="103">
        <v>18.75</v>
      </c>
      <c r="DK725" s="103">
        <v>12.5</v>
      </c>
      <c r="DL725" s="103">
        <v>37.5</v>
      </c>
      <c r="DM725" s="103">
        <v>25</v>
      </c>
      <c r="DN725" s="103">
        <v>0</v>
      </c>
      <c r="DO725" s="42"/>
    </row>
    <row r="726" spans="2:119" ht="15.4" x14ac:dyDescent="0.45">
      <c r="B726" s="99"/>
      <c r="C726" s="42"/>
      <c r="D726" s="110"/>
      <c r="E726" s="46" t="s">
        <v>6</v>
      </c>
      <c r="F726" s="103">
        <v>0</v>
      </c>
      <c r="G726" s="103">
        <v>0.52770448548812665</v>
      </c>
      <c r="H726" s="103">
        <v>2.3746701846965697</v>
      </c>
      <c r="I726" s="103">
        <v>1.0554089709762533</v>
      </c>
      <c r="J726" s="103">
        <v>5.8047493403693933</v>
      </c>
      <c r="K726" s="103">
        <v>11.87335092348285</v>
      </c>
      <c r="L726" s="103">
        <v>22.427440633245382</v>
      </c>
      <c r="M726" s="103">
        <v>36.675461741424805</v>
      </c>
      <c r="N726" s="103">
        <v>19.261213720316622</v>
      </c>
      <c r="O726" s="102"/>
      <c r="P726" s="102"/>
      <c r="Q726" s="110"/>
      <c r="R726" s="46" t="s">
        <v>6</v>
      </c>
      <c r="S726" s="103">
        <v>0</v>
      </c>
      <c r="T726" s="103">
        <v>0.44444444444444442</v>
      </c>
      <c r="U726" s="103">
        <v>1.3333333333333335</v>
      </c>
      <c r="V726" s="103">
        <v>0.44444444444444442</v>
      </c>
      <c r="W726" s="103">
        <v>3.5555555555555554</v>
      </c>
      <c r="X726" s="103">
        <v>7.1111111111111107</v>
      </c>
      <c r="Y726" s="103">
        <v>21.777777777777775</v>
      </c>
      <c r="Z726" s="103">
        <v>39.111111111111114</v>
      </c>
      <c r="AA726" s="103">
        <v>26.222222222222225</v>
      </c>
      <c r="AB726" s="102"/>
      <c r="AC726" s="102"/>
      <c r="AD726" s="110"/>
      <c r="AE726" s="46" t="s">
        <v>6</v>
      </c>
      <c r="AF726" s="103">
        <v>0</v>
      </c>
      <c r="AG726" s="103">
        <v>0.64935064935064934</v>
      </c>
      <c r="AH726" s="103">
        <v>3.8961038961038961</v>
      </c>
      <c r="AI726" s="103">
        <v>1.948051948051948</v>
      </c>
      <c r="AJ726" s="103">
        <v>9.0909090909090917</v>
      </c>
      <c r="AK726" s="103">
        <v>18.831168831168831</v>
      </c>
      <c r="AL726" s="103">
        <v>23.376623376623375</v>
      </c>
      <c r="AM726" s="103">
        <v>33.116883116883116</v>
      </c>
      <c r="AN726" s="103">
        <v>9.0909090909090917</v>
      </c>
      <c r="AO726" s="42"/>
      <c r="AQ726" s="110"/>
      <c r="AR726" s="46" t="s">
        <v>6</v>
      </c>
      <c r="AS726" s="103">
        <v>0</v>
      </c>
      <c r="AT726" s="103">
        <v>1.0752688172043012</v>
      </c>
      <c r="AU726" s="103">
        <v>2.1505376344086025</v>
      </c>
      <c r="AV726" s="103">
        <v>0.53763440860215062</v>
      </c>
      <c r="AW726" s="103">
        <v>6.9892473118279561</v>
      </c>
      <c r="AX726" s="103">
        <v>11.827956989247312</v>
      </c>
      <c r="AY726" s="103">
        <v>19.892473118279568</v>
      </c>
      <c r="AZ726" s="103">
        <v>36.021505376344088</v>
      </c>
      <c r="BA726" s="103">
        <v>21.50537634408602</v>
      </c>
      <c r="BB726" s="42"/>
      <c r="BC726" s="42"/>
      <c r="BD726" s="110"/>
      <c r="BE726" s="46" t="s">
        <v>6</v>
      </c>
      <c r="BF726" s="103">
        <v>0</v>
      </c>
      <c r="BG726" s="103">
        <v>0</v>
      </c>
      <c r="BH726" s="103">
        <v>2.5906735751295336</v>
      </c>
      <c r="BI726" s="103">
        <v>1.5544041450777202</v>
      </c>
      <c r="BJ726" s="103">
        <v>4.6632124352331603</v>
      </c>
      <c r="BK726" s="103">
        <v>11.917098445595855</v>
      </c>
      <c r="BL726" s="103">
        <v>24.870466321243523</v>
      </c>
      <c r="BM726" s="103">
        <v>37.305699481865283</v>
      </c>
      <c r="BN726" s="103">
        <v>17.098445595854923</v>
      </c>
      <c r="BO726" s="42"/>
      <c r="BQ726" s="110"/>
      <c r="BR726" s="46" t="s">
        <v>6</v>
      </c>
      <c r="BS726" s="103">
        <v>0</v>
      </c>
      <c r="BT726" s="103">
        <v>2.2222222222222223</v>
      </c>
      <c r="BU726" s="103">
        <v>8.8888888888888893</v>
      </c>
      <c r="BV726" s="103">
        <v>2.2222222222222223</v>
      </c>
      <c r="BW726" s="103">
        <v>8.8888888888888893</v>
      </c>
      <c r="BX726" s="103">
        <v>20</v>
      </c>
      <c r="BY726" s="103">
        <v>26.666666666666668</v>
      </c>
      <c r="BZ726" s="103">
        <v>24.444444444444443</v>
      </c>
      <c r="CA726" s="103">
        <v>6.666666666666667</v>
      </c>
      <c r="CB726" s="42"/>
      <c r="CC726" s="42"/>
      <c r="CD726" s="110"/>
      <c r="CE726" s="46" t="s">
        <v>6</v>
      </c>
      <c r="CF726" s="103">
        <v>0</v>
      </c>
      <c r="CG726" s="103">
        <v>0.29940119760479045</v>
      </c>
      <c r="CH726" s="103">
        <v>1.4970059880239521</v>
      </c>
      <c r="CI726" s="103">
        <v>0.89820359281437123</v>
      </c>
      <c r="CJ726" s="103">
        <v>5.3892215568862278</v>
      </c>
      <c r="CK726" s="103">
        <v>10.778443113772456</v>
      </c>
      <c r="CL726" s="103">
        <v>21.856287425149702</v>
      </c>
      <c r="CM726" s="103">
        <v>38.323353293413177</v>
      </c>
      <c r="CN726" s="103">
        <v>20.958083832335326</v>
      </c>
      <c r="CO726" s="42"/>
      <c r="CQ726" s="110"/>
      <c r="CR726" s="46" t="s">
        <v>6</v>
      </c>
      <c r="CS726" s="103">
        <v>0</v>
      </c>
      <c r="CT726" s="103">
        <v>0.29069767441860467</v>
      </c>
      <c r="CU726" s="103">
        <v>2.0348837209302326</v>
      </c>
      <c r="CV726" s="103">
        <v>0.87209302325581395</v>
      </c>
      <c r="CW726" s="103">
        <v>5.2325581395348841</v>
      </c>
      <c r="CX726" s="103">
        <v>11.337209302325581</v>
      </c>
      <c r="CY726" s="103">
        <v>22.093023255813954</v>
      </c>
      <c r="CZ726" s="103">
        <v>37.790697674418603</v>
      </c>
      <c r="DA726" s="103">
        <v>20.348837209302324</v>
      </c>
      <c r="DB726" s="42"/>
      <c r="DC726" s="42"/>
      <c r="DD726" s="110"/>
      <c r="DE726" s="46" t="s">
        <v>6</v>
      </c>
      <c r="DF726" s="103">
        <v>0</v>
      </c>
      <c r="DG726" s="103">
        <v>2.8571428571428572</v>
      </c>
      <c r="DH726" s="103">
        <v>5.7142857142857144</v>
      </c>
      <c r="DI726" s="103">
        <v>2.8571428571428572</v>
      </c>
      <c r="DJ726" s="103">
        <v>11.428571428571429</v>
      </c>
      <c r="DK726" s="103">
        <v>17.142857142857142</v>
      </c>
      <c r="DL726" s="103">
        <v>25.714285714285712</v>
      </c>
      <c r="DM726" s="103">
        <v>25.714285714285712</v>
      </c>
      <c r="DN726" s="103">
        <v>8.5714285714285712</v>
      </c>
      <c r="DO726" s="42"/>
    </row>
    <row r="727" spans="2:119" ht="15.4" x14ac:dyDescent="0.45">
      <c r="B727" s="99"/>
      <c r="C727" s="42"/>
      <c r="D727" s="110"/>
      <c r="E727" s="46" t="s">
        <v>7</v>
      </c>
      <c r="F727" s="103">
        <v>0.47619047619047622</v>
      </c>
      <c r="G727" s="103">
        <v>0</v>
      </c>
      <c r="H727" s="103">
        <v>0.31746031746031744</v>
      </c>
      <c r="I727" s="103">
        <v>0.79365079365079361</v>
      </c>
      <c r="J727" s="103">
        <v>3.9682539682539679</v>
      </c>
      <c r="K727" s="103">
        <v>10.952380952380953</v>
      </c>
      <c r="L727" s="103">
        <v>22.380952380952383</v>
      </c>
      <c r="M727" s="103">
        <v>38.253968253968253</v>
      </c>
      <c r="N727" s="103">
        <v>22.857142857142858</v>
      </c>
      <c r="O727" s="102"/>
      <c r="P727" s="102"/>
      <c r="Q727" s="110"/>
      <c r="R727" s="46" t="s">
        <v>7</v>
      </c>
      <c r="S727" s="103">
        <v>0.27472527472527475</v>
      </c>
      <c r="T727" s="103">
        <v>0</v>
      </c>
      <c r="U727" s="103">
        <v>0.27472527472527475</v>
      </c>
      <c r="V727" s="103">
        <v>0.27472527472527475</v>
      </c>
      <c r="W727" s="103">
        <v>3.296703296703297</v>
      </c>
      <c r="X727" s="103">
        <v>6.3186813186813184</v>
      </c>
      <c r="Y727" s="103">
        <v>18.681318681318682</v>
      </c>
      <c r="Z727" s="103">
        <v>39.560439560439562</v>
      </c>
      <c r="AA727" s="103">
        <v>31.318681318681318</v>
      </c>
      <c r="AB727" s="102"/>
      <c r="AC727" s="102"/>
      <c r="AD727" s="110"/>
      <c r="AE727" s="46" t="s">
        <v>7</v>
      </c>
      <c r="AF727" s="103">
        <v>0.75187969924812026</v>
      </c>
      <c r="AG727" s="103">
        <v>0</v>
      </c>
      <c r="AH727" s="103">
        <v>0.37593984962406013</v>
      </c>
      <c r="AI727" s="103">
        <v>1.5037593984962405</v>
      </c>
      <c r="AJ727" s="103">
        <v>4.8872180451127818</v>
      </c>
      <c r="AK727" s="103">
        <v>17.293233082706767</v>
      </c>
      <c r="AL727" s="103">
        <v>27.443609022556391</v>
      </c>
      <c r="AM727" s="103">
        <v>36.466165413533837</v>
      </c>
      <c r="AN727" s="103">
        <v>11.278195488721805</v>
      </c>
      <c r="AO727" s="42"/>
      <c r="AQ727" s="110"/>
      <c r="AR727" s="46" t="s">
        <v>7</v>
      </c>
      <c r="AS727" s="103">
        <v>0.36231884057971014</v>
      </c>
      <c r="AT727" s="103">
        <v>0</v>
      </c>
      <c r="AU727" s="103">
        <v>0.36231884057971014</v>
      </c>
      <c r="AV727" s="103">
        <v>0.72463768115942029</v>
      </c>
      <c r="AW727" s="103">
        <v>5.7971014492753623</v>
      </c>
      <c r="AX727" s="103">
        <v>12.681159420289855</v>
      </c>
      <c r="AY727" s="103">
        <v>20.652173913043477</v>
      </c>
      <c r="AZ727" s="103">
        <v>35.869565217391305</v>
      </c>
      <c r="BA727" s="103">
        <v>23.55072463768116</v>
      </c>
      <c r="BB727" s="42"/>
      <c r="BC727" s="42"/>
      <c r="BD727" s="110"/>
      <c r="BE727" s="46" t="s">
        <v>7</v>
      </c>
      <c r="BF727" s="103">
        <v>0.56497175141242939</v>
      </c>
      <c r="BG727" s="103">
        <v>0</v>
      </c>
      <c r="BH727" s="103">
        <v>0.2824858757062147</v>
      </c>
      <c r="BI727" s="103">
        <v>0.84745762711864403</v>
      </c>
      <c r="BJ727" s="103">
        <v>2.5423728813559325</v>
      </c>
      <c r="BK727" s="103">
        <v>9.6045197740112993</v>
      </c>
      <c r="BL727" s="103">
        <v>23.728813559322035</v>
      </c>
      <c r="BM727" s="103">
        <v>40.112994350282491</v>
      </c>
      <c r="BN727" s="103">
        <v>22.316384180790962</v>
      </c>
      <c r="BO727" s="42"/>
      <c r="BQ727" s="110"/>
      <c r="BR727" s="46" t="s">
        <v>7</v>
      </c>
      <c r="BS727" s="103">
        <v>1.5625</v>
      </c>
      <c r="BT727" s="103">
        <v>0</v>
      </c>
      <c r="BU727" s="103">
        <v>0</v>
      </c>
      <c r="BV727" s="103">
        <v>0</v>
      </c>
      <c r="BW727" s="103">
        <v>7.8125</v>
      </c>
      <c r="BX727" s="103">
        <v>17.1875</v>
      </c>
      <c r="BY727" s="103">
        <v>17.1875</v>
      </c>
      <c r="BZ727" s="103">
        <v>37.5</v>
      </c>
      <c r="CA727" s="103">
        <v>18.75</v>
      </c>
      <c r="CB727" s="42"/>
      <c r="CC727" s="42"/>
      <c r="CD727" s="110"/>
      <c r="CE727" s="46" t="s">
        <v>7</v>
      </c>
      <c r="CF727" s="103">
        <v>0.35335689045936397</v>
      </c>
      <c r="CG727" s="103">
        <v>0</v>
      </c>
      <c r="CH727" s="103">
        <v>0.35335689045936397</v>
      </c>
      <c r="CI727" s="103">
        <v>0.88339222614840995</v>
      </c>
      <c r="CJ727" s="103">
        <v>3.5335689045936398</v>
      </c>
      <c r="CK727" s="103">
        <v>10.247349823321555</v>
      </c>
      <c r="CL727" s="103">
        <v>22.968197879858657</v>
      </c>
      <c r="CM727" s="103">
        <v>38.339222614840992</v>
      </c>
      <c r="CN727" s="103">
        <v>23.32155477031802</v>
      </c>
      <c r="CO727" s="42"/>
      <c r="CQ727" s="110"/>
      <c r="CR727" s="46" t="s">
        <v>7</v>
      </c>
      <c r="CS727" s="103">
        <v>0.17543859649122806</v>
      </c>
      <c r="CT727" s="103">
        <v>0</v>
      </c>
      <c r="CU727" s="103">
        <v>0.35087719298245612</v>
      </c>
      <c r="CV727" s="103">
        <v>0.8771929824561403</v>
      </c>
      <c r="CW727" s="103">
        <v>3.6842105263157889</v>
      </c>
      <c r="CX727" s="103">
        <v>11.052631578947368</v>
      </c>
      <c r="CY727" s="103">
        <v>22.105263157894736</v>
      </c>
      <c r="CZ727" s="103">
        <v>38.421052631578945</v>
      </c>
      <c r="DA727" s="103">
        <v>23.333333333333332</v>
      </c>
      <c r="DB727" s="42"/>
      <c r="DC727" s="42"/>
      <c r="DD727" s="110"/>
      <c r="DE727" s="46" t="s">
        <v>7</v>
      </c>
      <c r="DF727" s="103">
        <v>3.3333333333333335</v>
      </c>
      <c r="DG727" s="103">
        <v>0</v>
      </c>
      <c r="DH727" s="103">
        <v>0</v>
      </c>
      <c r="DI727" s="103">
        <v>0</v>
      </c>
      <c r="DJ727" s="103">
        <v>6.666666666666667</v>
      </c>
      <c r="DK727" s="103">
        <v>10</v>
      </c>
      <c r="DL727" s="103">
        <v>25</v>
      </c>
      <c r="DM727" s="103">
        <v>36.666666666666664</v>
      </c>
      <c r="DN727" s="103">
        <v>18.333333333333332</v>
      </c>
      <c r="DO727" s="42"/>
    </row>
    <row r="728" spans="2:119" ht="15.4" x14ac:dyDescent="0.45">
      <c r="B728" s="99"/>
      <c r="C728" s="42"/>
      <c r="D728" s="110"/>
      <c r="E728" s="46" t="s">
        <v>8</v>
      </c>
      <c r="F728" s="103">
        <v>0.43041606886657102</v>
      </c>
      <c r="G728" s="103">
        <v>0.14347202295552369</v>
      </c>
      <c r="H728" s="103">
        <v>0.43041606886657102</v>
      </c>
      <c r="I728" s="103">
        <v>1.2912482065997131</v>
      </c>
      <c r="J728" s="103">
        <v>4.0172166427546623</v>
      </c>
      <c r="K728" s="103">
        <v>6.3127690100430414</v>
      </c>
      <c r="L728" s="103">
        <v>21.807747489239599</v>
      </c>
      <c r="M728" s="103">
        <v>38.020086083213769</v>
      </c>
      <c r="N728" s="103">
        <v>27.546628407460545</v>
      </c>
      <c r="O728" s="102"/>
      <c r="P728" s="102"/>
      <c r="Q728" s="110"/>
      <c r="R728" s="46" t="s">
        <v>8</v>
      </c>
      <c r="S728" s="103">
        <v>0.25641025641025639</v>
      </c>
      <c r="T728" s="103">
        <v>0.25641025641025639</v>
      </c>
      <c r="U728" s="103">
        <v>0.51282051282051277</v>
      </c>
      <c r="V728" s="103">
        <v>1.2820512820512819</v>
      </c>
      <c r="W728" s="103">
        <v>1.7948717948717947</v>
      </c>
      <c r="X728" s="103">
        <v>5.1282051282051277</v>
      </c>
      <c r="Y728" s="103">
        <v>19.743589743589745</v>
      </c>
      <c r="Z728" s="103">
        <v>38.717948717948723</v>
      </c>
      <c r="AA728" s="103">
        <v>32.307692307692307</v>
      </c>
      <c r="AB728" s="102"/>
      <c r="AC728" s="102"/>
      <c r="AD728" s="110"/>
      <c r="AE728" s="46" t="s">
        <v>8</v>
      </c>
      <c r="AF728" s="103">
        <v>0.65146579804560267</v>
      </c>
      <c r="AG728" s="103">
        <v>0</v>
      </c>
      <c r="AH728" s="103">
        <v>0.32573289902280134</v>
      </c>
      <c r="AI728" s="103">
        <v>1.3029315960912053</v>
      </c>
      <c r="AJ728" s="103">
        <v>6.8403908794788277</v>
      </c>
      <c r="AK728" s="103">
        <v>7.8175895765472303</v>
      </c>
      <c r="AL728" s="103">
        <v>24.429967426710096</v>
      </c>
      <c r="AM728" s="103">
        <v>37.133550488599347</v>
      </c>
      <c r="AN728" s="103">
        <v>21.498371335504888</v>
      </c>
      <c r="AO728" s="42"/>
      <c r="AQ728" s="110"/>
      <c r="AR728" s="46" t="s">
        <v>8</v>
      </c>
      <c r="AS728" s="103">
        <v>0</v>
      </c>
      <c r="AT728" s="103">
        <v>0</v>
      </c>
      <c r="AU728" s="103">
        <v>0</v>
      </c>
      <c r="AV728" s="103">
        <v>1.3157894736842104</v>
      </c>
      <c r="AW728" s="103">
        <v>5.5921052631578947</v>
      </c>
      <c r="AX728" s="103">
        <v>6.25</v>
      </c>
      <c r="AY728" s="103">
        <v>21.052631578947366</v>
      </c>
      <c r="AZ728" s="103">
        <v>37.5</v>
      </c>
      <c r="BA728" s="103">
        <v>28.289473684210524</v>
      </c>
      <c r="BB728" s="42"/>
      <c r="BC728" s="42"/>
      <c r="BD728" s="110"/>
      <c r="BE728" s="46" t="s">
        <v>8</v>
      </c>
      <c r="BF728" s="103">
        <v>0.76335877862595414</v>
      </c>
      <c r="BG728" s="103">
        <v>0.2544529262086514</v>
      </c>
      <c r="BH728" s="103">
        <v>0.76335877862595414</v>
      </c>
      <c r="BI728" s="103">
        <v>1.2722646310432568</v>
      </c>
      <c r="BJ728" s="103">
        <v>2.7989821882951653</v>
      </c>
      <c r="BK728" s="103">
        <v>6.3613231552162848</v>
      </c>
      <c r="BL728" s="103">
        <v>22.391857506361323</v>
      </c>
      <c r="BM728" s="103">
        <v>38.422391857506362</v>
      </c>
      <c r="BN728" s="103">
        <v>26.972010178117049</v>
      </c>
      <c r="BO728" s="42"/>
      <c r="BQ728" s="110"/>
      <c r="BR728" s="46" t="s">
        <v>8</v>
      </c>
      <c r="BS728" s="103">
        <v>0</v>
      </c>
      <c r="BT728" s="103">
        <v>0</v>
      </c>
      <c r="BU728" s="103">
        <v>0</v>
      </c>
      <c r="BV728" s="103">
        <v>0</v>
      </c>
      <c r="BW728" s="103">
        <v>8.1632653061224492</v>
      </c>
      <c r="BX728" s="103">
        <v>6.1224489795918364</v>
      </c>
      <c r="BY728" s="103">
        <v>28.571428571428569</v>
      </c>
      <c r="BZ728" s="103">
        <v>32.653061224489797</v>
      </c>
      <c r="CA728" s="103">
        <v>24.489795918367346</v>
      </c>
      <c r="CB728" s="42"/>
      <c r="CC728" s="42"/>
      <c r="CD728" s="110"/>
      <c r="CE728" s="46" t="s">
        <v>8</v>
      </c>
      <c r="CF728" s="103">
        <v>0.46296296296296291</v>
      </c>
      <c r="CG728" s="103">
        <v>0.15432098765432098</v>
      </c>
      <c r="CH728" s="103">
        <v>0.46296296296296291</v>
      </c>
      <c r="CI728" s="103">
        <v>1.3888888888888888</v>
      </c>
      <c r="CJ728" s="103">
        <v>3.7037037037037033</v>
      </c>
      <c r="CK728" s="103">
        <v>6.3271604938271606</v>
      </c>
      <c r="CL728" s="103">
        <v>21.296296296296298</v>
      </c>
      <c r="CM728" s="103">
        <v>38.425925925925924</v>
      </c>
      <c r="CN728" s="103">
        <v>27.777777777777779</v>
      </c>
      <c r="CO728" s="42"/>
      <c r="CQ728" s="110"/>
      <c r="CR728" s="46" t="s">
        <v>8</v>
      </c>
      <c r="CS728" s="103">
        <v>0.5008347245409015</v>
      </c>
      <c r="CT728" s="103">
        <v>0.1669449081803005</v>
      </c>
      <c r="CU728" s="103">
        <v>0.333889816360601</v>
      </c>
      <c r="CV728" s="103">
        <v>1.1686143572621035</v>
      </c>
      <c r="CW728" s="103">
        <v>3.672787979966611</v>
      </c>
      <c r="CX728" s="103">
        <v>6.010016694490818</v>
      </c>
      <c r="CY728" s="103">
        <v>20.868113522537563</v>
      </c>
      <c r="CZ728" s="103">
        <v>38.063439065108511</v>
      </c>
      <c r="DA728" s="103">
        <v>29.215358931552586</v>
      </c>
      <c r="DB728" s="42"/>
      <c r="DC728" s="42"/>
      <c r="DD728" s="110"/>
      <c r="DE728" s="46" t="s">
        <v>8</v>
      </c>
      <c r="DF728" s="103">
        <v>0</v>
      </c>
      <c r="DG728" s="103">
        <v>0</v>
      </c>
      <c r="DH728" s="103">
        <v>1.0204081632653061</v>
      </c>
      <c r="DI728" s="103">
        <v>2.0408163265306123</v>
      </c>
      <c r="DJ728" s="103">
        <v>6.1224489795918364</v>
      </c>
      <c r="DK728" s="103">
        <v>8.1632653061224492</v>
      </c>
      <c r="DL728" s="103">
        <v>27.551020408163261</v>
      </c>
      <c r="DM728" s="103">
        <v>37.755102040816325</v>
      </c>
      <c r="DN728" s="103">
        <v>17.346938775510203</v>
      </c>
      <c r="DO728" s="42"/>
    </row>
    <row r="729" spans="2:119" ht="15.4" x14ac:dyDescent="0.45">
      <c r="B729" s="99"/>
      <c r="C729" s="42"/>
      <c r="D729" s="110"/>
      <c r="E729" s="46" t="s">
        <v>9</v>
      </c>
      <c r="F729" s="103">
        <v>0</v>
      </c>
      <c r="G729" s="103">
        <v>0</v>
      </c>
      <c r="H729" s="103">
        <v>0.34782608695652173</v>
      </c>
      <c r="I729" s="103">
        <v>1.2173913043478262</v>
      </c>
      <c r="J729" s="103">
        <v>1.0434782608695654</v>
      </c>
      <c r="K729" s="103">
        <v>6.9565217391304346</v>
      </c>
      <c r="L729" s="103">
        <v>22.956521739130434</v>
      </c>
      <c r="M729" s="103">
        <v>35.826086956521742</v>
      </c>
      <c r="N729" s="103">
        <v>31.65217391304348</v>
      </c>
      <c r="O729" s="102"/>
      <c r="P729" s="102"/>
      <c r="Q729" s="110"/>
      <c r="R729" s="46" t="s">
        <v>9</v>
      </c>
      <c r="S729" s="103">
        <v>0</v>
      </c>
      <c r="T729" s="103">
        <v>0</v>
      </c>
      <c r="U729" s="103">
        <v>0</v>
      </c>
      <c r="V729" s="103">
        <v>0.34129692832764508</v>
      </c>
      <c r="W729" s="103">
        <v>1.0238907849829351</v>
      </c>
      <c r="X729" s="103">
        <v>6.4846416382252556</v>
      </c>
      <c r="Y729" s="103">
        <v>19.453924914675767</v>
      </c>
      <c r="Z729" s="103">
        <v>36.177474402730375</v>
      </c>
      <c r="AA729" s="103">
        <v>36.518771331058019</v>
      </c>
      <c r="AB729" s="102"/>
      <c r="AC729" s="102"/>
      <c r="AD729" s="110"/>
      <c r="AE729" s="46" t="s">
        <v>9</v>
      </c>
      <c r="AF729" s="103">
        <v>0</v>
      </c>
      <c r="AG729" s="103">
        <v>0</v>
      </c>
      <c r="AH729" s="103">
        <v>0.70921985815602839</v>
      </c>
      <c r="AI729" s="103">
        <v>2.1276595744680851</v>
      </c>
      <c r="AJ729" s="103">
        <v>1.0638297872340425</v>
      </c>
      <c r="AK729" s="103">
        <v>7.4468085106382977</v>
      </c>
      <c r="AL729" s="103">
        <v>26.595744680851062</v>
      </c>
      <c r="AM729" s="103">
        <v>35.460992907801419</v>
      </c>
      <c r="AN729" s="103">
        <v>26.595744680851062</v>
      </c>
      <c r="AO729" s="42"/>
      <c r="AQ729" s="110"/>
      <c r="AR729" s="46" t="s">
        <v>9</v>
      </c>
      <c r="AS729" s="103">
        <v>0</v>
      </c>
      <c r="AT729" s="103">
        <v>0</v>
      </c>
      <c r="AU729" s="103">
        <v>0.4784688995215311</v>
      </c>
      <c r="AV729" s="103">
        <v>0.9569377990430622</v>
      </c>
      <c r="AW729" s="103">
        <v>0.9569377990430622</v>
      </c>
      <c r="AX729" s="103">
        <v>5.741626794258373</v>
      </c>
      <c r="AY729" s="103">
        <v>21.5311004784689</v>
      </c>
      <c r="AZ729" s="103">
        <v>36.363636363636367</v>
      </c>
      <c r="BA729" s="103">
        <v>33.971291866028707</v>
      </c>
      <c r="BB729" s="42"/>
      <c r="BC729" s="42"/>
      <c r="BD729" s="110"/>
      <c r="BE729" s="46" t="s">
        <v>9</v>
      </c>
      <c r="BF729" s="103">
        <v>0</v>
      </c>
      <c r="BG729" s="103">
        <v>0</v>
      </c>
      <c r="BH729" s="103">
        <v>0.27322404371584702</v>
      </c>
      <c r="BI729" s="103">
        <v>1.3661202185792349</v>
      </c>
      <c r="BJ729" s="103">
        <v>1.0928961748633881</v>
      </c>
      <c r="BK729" s="103">
        <v>7.6502732240437163</v>
      </c>
      <c r="BL729" s="103">
        <v>23.770491803278688</v>
      </c>
      <c r="BM729" s="103">
        <v>35.519125683060111</v>
      </c>
      <c r="BN729" s="103">
        <v>30.327868852459016</v>
      </c>
      <c r="BO729" s="42"/>
      <c r="BQ729" s="110"/>
      <c r="BR729" s="46" t="s">
        <v>9</v>
      </c>
      <c r="BS729" s="103">
        <v>0</v>
      </c>
      <c r="BT729" s="103">
        <v>0</v>
      </c>
      <c r="BU729" s="103">
        <v>0</v>
      </c>
      <c r="BV729" s="103">
        <v>0</v>
      </c>
      <c r="BW729" s="103">
        <v>0</v>
      </c>
      <c r="BX729" s="103">
        <v>0</v>
      </c>
      <c r="BY729" s="103">
        <v>38.888888888888893</v>
      </c>
      <c r="BZ729" s="103">
        <v>44.444444444444443</v>
      </c>
      <c r="CA729" s="103">
        <v>16.666666666666664</v>
      </c>
      <c r="CB729" s="42"/>
      <c r="CC729" s="42"/>
      <c r="CD729" s="110"/>
      <c r="CE729" s="46" t="s">
        <v>9</v>
      </c>
      <c r="CF729" s="103">
        <v>0</v>
      </c>
      <c r="CG729" s="103">
        <v>0</v>
      </c>
      <c r="CH729" s="103">
        <v>0.35906642728904847</v>
      </c>
      <c r="CI729" s="103">
        <v>1.2567324955116697</v>
      </c>
      <c r="CJ729" s="103">
        <v>1.0771992818671454</v>
      </c>
      <c r="CK729" s="103">
        <v>7.1813285457809695</v>
      </c>
      <c r="CL729" s="103">
        <v>22.44165170556553</v>
      </c>
      <c r="CM729" s="103">
        <v>35.547576301615798</v>
      </c>
      <c r="CN729" s="103">
        <v>32.136445242369838</v>
      </c>
      <c r="CO729" s="42"/>
      <c r="CQ729" s="110"/>
      <c r="CR729" s="46" t="s">
        <v>9</v>
      </c>
      <c r="CS729" s="103">
        <v>0</v>
      </c>
      <c r="CT729" s="103">
        <v>0</v>
      </c>
      <c r="CU729" s="103">
        <v>0.20202020202020202</v>
      </c>
      <c r="CV729" s="103">
        <v>0.40404040404040403</v>
      </c>
      <c r="CW729" s="103">
        <v>0.60606060606060608</v>
      </c>
      <c r="CX729" s="103">
        <v>7.0707070707070701</v>
      </c>
      <c r="CY729" s="103">
        <v>22.626262626262626</v>
      </c>
      <c r="CZ729" s="103">
        <v>36.565656565656568</v>
      </c>
      <c r="DA729" s="103">
        <v>32.525252525252526</v>
      </c>
      <c r="DB729" s="42"/>
      <c r="DC729" s="42"/>
      <c r="DD729" s="110"/>
      <c r="DE729" s="46" t="s">
        <v>9</v>
      </c>
      <c r="DF729" s="103">
        <v>0</v>
      </c>
      <c r="DG729" s="103">
        <v>0</v>
      </c>
      <c r="DH729" s="103">
        <v>1.25</v>
      </c>
      <c r="DI729" s="103">
        <v>6.25</v>
      </c>
      <c r="DJ729" s="103">
        <v>3.75</v>
      </c>
      <c r="DK729" s="103">
        <v>6.25</v>
      </c>
      <c r="DL729" s="103">
        <v>25</v>
      </c>
      <c r="DM729" s="103">
        <v>31.25</v>
      </c>
      <c r="DN729" s="103">
        <v>26.25</v>
      </c>
      <c r="DO729" s="42"/>
    </row>
    <row r="730" spans="2:119" ht="15.4" x14ac:dyDescent="0.45">
      <c r="B730" s="99"/>
      <c r="C730" s="42"/>
      <c r="D730" s="110"/>
      <c r="E730" s="46" t="s">
        <v>10</v>
      </c>
      <c r="F730" s="103">
        <v>0</v>
      </c>
      <c r="G730" s="103">
        <v>0.50761421319796951</v>
      </c>
      <c r="H730" s="103">
        <v>0</v>
      </c>
      <c r="I730" s="103">
        <v>0.50761421319796951</v>
      </c>
      <c r="J730" s="103">
        <v>0.76142131979695438</v>
      </c>
      <c r="K730" s="103">
        <v>6.091370558375635</v>
      </c>
      <c r="L730" s="103">
        <v>21.319796954314722</v>
      </c>
      <c r="M730" s="103">
        <v>37.56345177664975</v>
      </c>
      <c r="N730" s="103">
        <v>33.248730964467008</v>
      </c>
      <c r="O730" s="102"/>
      <c r="P730" s="102"/>
      <c r="Q730" s="110"/>
      <c r="R730" s="46" t="s">
        <v>10</v>
      </c>
      <c r="S730" s="103">
        <v>0</v>
      </c>
      <c r="T730" s="103">
        <v>0.5</v>
      </c>
      <c r="U730" s="103">
        <v>0</v>
      </c>
      <c r="V730" s="103">
        <v>0</v>
      </c>
      <c r="W730" s="103">
        <v>0.5</v>
      </c>
      <c r="X730" s="103">
        <v>6.5</v>
      </c>
      <c r="Y730" s="103">
        <v>19</v>
      </c>
      <c r="Z730" s="103">
        <v>32.5</v>
      </c>
      <c r="AA730" s="103">
        <v>41</v>
      </c>
      <c r="AB730" s="102"/>
      <c r="AC730" s="102"/>
      <c r="AD730" s="110"/>
      <c r="AE730" s="46" t="s">
        <v>10</v>
      </c>
      <c r="AF730" s="103">
        <v>0</v>
      </c>
      <c r="AG730" s="103">
        <v>0.51546391752577314</v>
      </c>
      <c r="AH730" s="103">
        <v>0</v>
      </c>
      <c r="AI730" s="103">
        <v>1.0309278350515463</v>
      </c>
      <c r="AJ730" s="103">
        <v>1.0309278350515463</v>
      </c>
      <c r="AK730" s="103">
        <v>5.6701030927835054</v>
      </c>
      <c r="AL730" s="103">
        <v>23.711340206185564</v>
      </c>
      <c r="AM730" s="103">
        <v>42.783505154639172</v>
      </c>
      <c r="AN730" s="103">
        <v>25.257731958762886</v>
      </c>
      <c r="AO730" s="42"/>
      <c r="AQ730" s="110"/>
      <c r="AR730" s="46" t="s">
        <v>10</v>
      </c>
      <c r="AS730" s="103">
        <v>0</v>
      </c>
      <c r="AT730" s="103">
        <v>0.96153846153846156</v>
      </c>
      <c r="AU730" s="103">
        <v>0</v>
      </c>
      <c r="AV730" s="103">
        <v>0.96153846153846156</v>
      </c>
      <c r="AW730" s="103">
        <v>1.9230769230769231</v>
      </c>
      <c r="AX730" s="103">
        <v>6.7307692307692308</v>
      </c>
      <c r="AY730" s="103">
        <v>15.384615384615385</v>
      </c>
      <c r="AZ730" s="103">
        <v>31.73076923076923</v>
      </c>
      <c r="BA730" s="103">
        <v>42.307692307692307</v>
      </c>
      <c r="BB730" s="42"/>
      <c r="BC730" s="42"/>
      <c r="BD730" s="110"/>
      <c r="BE730" s="46" t="s">
        <v>10</v>
      </c>
      <c r="BF730" s="103">
        <v>0</v>
      </c>
      <c r="BG730" s="103">
        <v>0.34482758620689657</v>
      </c>
      <c r="BH730" s="103">
        <v>0</v>
      </c>
      <c r="BI730" s="103">
        <v>0.34482758620689657</v>
      </c>
      <c r="BJ730" s="103">
        <v>0.34482758620689657</v>
      </c>
      <c r="BK730" s="103">
        <v>5.8620689655172411</v>
      </c>
      <c r="BL730" s="103">
        <v>23.448275862068964</v>
      </c>
      <c r="BM730" s="103">
        <v>39.655172413793103</v>
      </c>
      <c r="BN730" s="103">
        <v>30</v>
      </c>
      <c r="BO730" s="42"/>
      <c r="BQ730" s="110"/>
      <c r="BR730" s="46" t="s">
        <v>10</v>
      </c>
      <c r="BS730" s="103">
        <v>0</v>
      </c>
      <c r="BT730" s="103">
        <v>0</v>
      </c>
      <c r="BU730" s="103">
        <v>0</v>
      </c>
      <c r="BV730" s="103">
        <v>0</v>
      </c>
      <c r="BW730" s="103">
        <v>0</v>
      </c>
      <c r="BX730" s="103">
        <v>11.111111111111111</v>
      </c>
      <c r="BY730" s="103">
        <v>22.222222222222221</v>
      </c>
      <c r="BZ730" s="103">
        <v>33.333333333333329</v>
      </c>
      <c r="CA730" s="103">
        <v>33.333333333333329</v>
      </c>
      <c r="CB730" s="42"/>
      <c r="CC730" s="42"/>
      <c r="CD730" s="110"/>
      <c r="CE730" s="46" t="s">
        <v>10</v>
      </c>
      <c r="CF730" s="103">
        <v>0</v>
      </c>
      <c r="CG730" s="103">
        <v>0.51948051948051943</v>
      </c>
      <c r="CH730" s="103">
        <v>0</v>
      </c>
      <c r="CI730" s="103">
        <v>0.51948051948051943</v>
      </c>
      <c r="CJ730" s="103">
        <v>0.77922077922077926</v>
      </c>
      <c r="CK730" s="103">
        <v>5.9740259740259738</v>
      </c>
      <c r="CL730" s="103">
        <v>21.298701298701296</v>
      </c>
      <c r="CM730" s="103">
        <v>37.662337662337663</v>
      </c>
      <c r="CN730" s="103">
        <v>33.246753246753244</v>
      </c>
      <c r="CO730" s="42"/>
      <c r="CQ730" s="110"/>
      <c r="CR730" s="46" t="s">
        <v>10</v>
      </c>
      <c r="CS730" s="103">
        <v>0</v>
      </c>
      <c r="CT730" s="103">
        <v>0.64516129032258063</v>
      </c>
      <c r="CU730" s="103">
        <v>0</v>
      </c>
      <c r="CV730" s="103">
        <v>0.32258064516129031</v>
      </c>
      <c r="CW730" s="103">
        <v>0.64516129032258063</v>
      </c>
      <c r="CX730" s="103">
        <v>4.5161290322580641</v>
      </c>
      <c r="CY730" s="103">
        <v>17.419354838709676</v>
      </c>
      <c r="CZ730" s="103">
        <v>39.354838709677423</v>
      </c>
      <c r="DA730" s="103">
        <v>37.096774193548384</v>
      </c>
      <c r="DB730" s="42"/>
      <c r="DC730" s="42"/>
      <c r="DD730" s="110"/>
      <c r="DE730" s="46" t="s">
        <v>10</v>
      </c>
      <c r="DF730" s="103">
        <v>0</v>
      </c>
      <c r="DG730" s="103">
        <v>0</v>
      </c>
      <c r="DH730" s="103">
        <v>0</v>
      </c>
      <c r="DI730" s="103">
        <v>1.1904761904761905</v>
      </c>
      <c r="DJ730" s="103">
        <v>1.1904761904761905</v>
      </c>
      <c r="DK730" s="103">
        <v>11.904761904761903</v>
      </c>
      <c r="DL730" s="103">
        <v>35.714285714285715</v>
      </c>
      <c r="DM730" s="103">
        <v>30.952380952380953</v>
      </c>
      <c r="DN730" s="103">
        <v>19.047619047619047</v>
      </c>
      <c r="DO730" s="42"/>
    </row>
    <row r="731" spans="2:119" ht="15.4" x14ac:dyDescent="0.45">
      <c r="B731" s="99"/>
      <c r="C731" s="42"/>
      <c r="D731" s="111"/>
      <c r="E731" s="46" t="s">
        <v>11</v>
      </c>
      <c r="F731" s="103">
        <v>0</v>
      </c>
      <c r="G731" s="103">
        <v>0</v>
      </c>
      <c r="H731" s="103">
        <v>0</v>
      </c>
      <c r="I731" s="103">
        <v>0</v>
      </c>
      <c r="J731" s="103">
        <v>1.1494252873563218</v>
      </c>
      <c r="K731" s="103">
        <v>8.0459770114942533</v>
      </c>
      <c r="L731" s="103">
        <v>12.643678160919542</v>
      </c>
      <c r="M731" s="103">
        <v>35.632183908045981</v>
      </c>
      <c r="N731" s="103">
        <v>42.528735632183903</v>
      </c>
      <c r="O731" s="102"/>
      <c r="P731" s="102"/>
      <c r="Q731" s="111"/>
      <c r="R731" s="46" t="s">
        <v>11</v>
      </c>
      <c r="S731" s="103">
        <v>0</v>
      </c>
      <c r="T731" s="103">
        <v>0</v>
      </c>
      <c r="U731" s="103">
        <v>0</v>
      </c>
      <c r="V731" s="103">
        <v>0</v>
      </c>
      <c r="W731" s="103">
        <v>1.9607843137254901</v>
      </c>
      <c r="X731" s="103">
        <v>3.9215686274509802</v>
      </c>
      <c r="Y731" s="103">
        <v>11.76470588235294</v>
      </c>
      <c r="Z731" s="103">
        <v>35.294117647058826</v>
      </c>
      <c r="AA731" s="103">
        <v>47.058823529411761</v>
      </c>
      <c r="AB731" s="102"/>
      <c r="AC731" s="102"/>
      <c r="AD731" s="111"/>
      <c r="AE731" s="46" t="s">
        <v>11</v>
      </c>
      <c r="AF731" s="103">
        <v>0</v>
      </c>
      <c r="AG731" s="103">
        <v>0</v>
      </c>
      <c r="AH731" s="103">
        <v>0</v>
      </c>
      <c r="AI731" s="103">
        <v>0</v>
      </c>
      <c r="AJ731" s="103">
        <v>0</v>
      </c>
      <c r="AK731" s="103">
        <v>13.888888888888889</v>
      </c>
      <c r="AL731" s="103">
        <v>13.888888888888889</v>
      </c>
      <c r="AM731" s="103">
        <v>36.111111111111107</v>
      </c>
      <c r="AN731" s="103">
        <v>36.111111111111107</v>
      </c>
      <c r="AO731" s="42"/>
      <c r="AQ731" s="111"/>
      <c r="AR731" s="46" t="s">
        <v>11</v>
      </c>
      <c r="AS731" s="103">
        <v>0</v>
      </c>
      <c r="AT731" s="103">
        <v>0</v>
      </c>
      <c r="AU731" s="103">
        <v>0</v>
      </c>
      <c r="AV731" s="103">
        <v>0</v>
      </c>
      <c r="AW731" s="103">
        <v>5</v>
      </c>
      <c r="AX731" s="103">
        <v>0</v>
      </c>
      <c r="AY731" s="103">
        <v>15</v>
      </c>
      <c r="AZ731" s="103">
        <v>30</v>
      </c>
      <c r="BA731" s="103">
        <v>50</v>
      </c>
      <c r="BB731" s="42"/>
      <c r="BC731" s="42"/>
      <c r="BD731" s="111"/>
      <c r="BE731" s="46" t="s">
        <v>11</v>
      </c>
      <c r="BF731" s="103">
        <v>0</v>
      </c>
      <c r="BG731" s="103">
        <v>0</v>
      </c>
      <c r="BH731" s="103">
        <v>0</v>
      </c>
      <c r="BI731" s="103">
        <v>0</v>
      </c>
      <c r="BJ731" s="103">
        <v>0</v>
      </c>
      <c r="BK731" s="103">
        <v>10.44776119402985</v>
      </c>
      <c r="BL731" s="103">
        <v>11.940298507462686</v>
      </c>
      <c r="BM731" s="103">
        <v>37.313432835820898</v>
      </c>
      <c r="BN731" s="103">
        <v>40.298507462686565</v>
      </c>
      <c r="BO731" s="42"/>
      <c r="BQ731" s="111"/>
      <c r="BR731" s="46" t="s">
        <v>11</v>
      </c>
      <c r="BS731" s="103">
        <v>0</v>
      </c>
      <c r="BT731" s="103">
        <v>0</v>
      </c>
      <c r="BU731" s="103">
        <v>0</v>
      </c>
      <c r="BV731" s="103">
        <v>0</v>
      </c>
      <c r="BW731" s="103">
        <v>0</v>
      </c>
      <c r="BX731" s="103">
        <v>0</v>
      </c>
      <c r="BY731" s="103">
        <v>0</v>
      </c>
      <c r="BZ731" s="103">
        <v>0</v>
      </c>
      <c r="CA731" s="103">
        <v>100</v>
      </c>
      <c r="CB731" s="42"/>
      <c r="CC731" s="42"/>
      <c r="CD731" s="111"/>
      <c r="CE731" s="46" t="s">
        <v>11</v>
      </c>
      <c r="CF731" s="103">
        <v>0</v>
      </c>
      <c r="CG731" s="103">
        <v>0</v>
      </c>
      <c r="CH731" s="103">
        <v>0</v>
      </c>
      <c r="CI731" s="103">
        <v>0</v>
      </c>
      <c r="CJ731" s="103">
        <v>1.1627906976744187</v>
      </c>
      <c r="CK731" s="103">
        <v>8.1395348837209305</v>
      </c>
      <c r="CL731" s="103">
        <v>12.790697674418606</v>
      </c>
      <c r="CM731" s="103">
        <v>36.046511627906973</v>
      </c>
      <c r="CN731" s="103">
        <v>41.860465116279073</v>
      </c>
      <c r="CO731" s="42"/>
      <c r="CQ731" s="111"/>
      <c r="CR731" s="46" t="s">
        <v>11</v>
      </c>
      <c r="CS731" s="103">
        <v>0</v>
      </c>
      <c r="CT731" s="103">
        <v>0</v>
      </c>
      <c r="CU731" s="103">
        <v>0</v>
      </c>
      <c r="CV731" s="103">
        <v>0</v>
      </c>
      <c r="CW731" s="103">
        <v>1.4925373134328357</v>
      </c>
      <c r="CX731" s="103">
        <v>8.9552238805970141</v>
      </c>
      <c r="CY731" s="103">
        <v>16.417910447761194</v>
      </c>
      <c r="CZ731" s="103">
        <v>34.328358208955223</v>
      </c>
      <c r="DA731" s="103">
        <v>38.805970149253731</v>
      </c>
      <c r="DB731" s="42"/>
      <c r="DC731" s="42"/>
      <c r="DD731" s="111"/>
      <c r="DE731" s="46" t="s">
        <v>11</v>
      </c>
      <c r="DF731" s="103">
        <v>0</v>
      </c>
      <c r="DG731" s="103">
        <v>0</v>
      </c>
      <c r="DH731" s="103">
        <v>0</v>
      </c>
      <c r="DI731" s="103">
        <v>0</v>
      </c>
      <c r="DJ731" s="103">
        <v>0</v>
      </c>
      <c r="DK731" s="103">
        <v>5</v>
      </c>
      <c r="DL731" s="103">
        <v>0</v>
      </c>
      <c r="DM731" s="103">
        <v>40</v>
      </c>
      <c r="DN731" s="103">
        <v>55.000000000000007</v>
      </c>
      <c r="DO731" s="42"/>
    </row>
    <row r="732" spans="2:119" x14ac:dyDescent="0.45">
      <c r="B732" s="99"/>
      <c r="C732" s="42"/>
      <c r="D732" s="42"/>
      <c r="E732" s="42"/>
      <c r="F732" s="42"/>
      <c r="G732" s="42"/>
      <c r="H732" s="42"/>
      <c r="I732" s="42"/>
      <c r="J732" s="42"/>
      <c r="K732" s="42"/>
      <c r="L732" s="42"/>
      <c r="M732" s="42"/>
      <c r="N732" s="42"/>
      <c r="O732" s="42"/>
      <c r="P732" s="42"/>
      <c r="Q732" s="42"/>
      <c r="R732" s="42"/>
      <c r="S732" s="42"/>
      <c r="T732" s="42"/>
      <c r="U732" s="42"/>
      <c r="V732" s="42"/>
      <c r="W732" s="42"/>
      <c r="X732" s="42"/>
      <c r="Y732" s="42"/>
      <c r="Z732" s="42"/>
      <c r="AA732" s="42"/>
      <c r="AB732" s="42"/>
      <c r="AC732" s="42"/>
      <c r="AD732" s="42"/>
      <c r="AE732" s="42"/>
      <c r="AF732" s="42"/>
      <c r="AG732" s="42"/>
      <c r="AH732" s="42"/>
      <c r="AI732" s="42"/>
      <c r="AJ732" s="42"/>
      <c r="AK732" s="42"/>
      <c r="AL732" s="42"/>
      <c r="AM732" s="42"/>
      <c r="AN732" s="42"/>
      <c r="AO732" s="42"/>
      <c r="AQ732" s="42"/>
      <c r="AR732" s="42"/>
      <c r="AS732" s="42"/>
      <c r="AT732" s="42"/>
      <c r="AU732" s="42"/>
      <c r="AV732" s="42"/>
      <c r="AW732" s="42"/>
      <c r="AX732" s="42"/>
      <c r="AY732" s="42"/>
      <c r="AZ732" s="42"/>
      <c r="BA732" s="42"/>
      <c r="BB732" s="42"/>
      <c r="BC732" s="42"/>
      <c r="BD732" s="42"/>
      <c r="BE732" s="42"/>
      <c r="BF732" s="42"/>
      <c r="BG732" s="42"/>
      <c r="BH732" s="42"/>
      <c r="BI732" s="42"/>
      <c r="BJ732" s="42"/>
      <c r="BK732" s="42"/>
      <c r="BL732" s="42"/>
      <c r="BM732" s="42"/>
      <c r="BN732" s="42"/>
      <c r="BO732" s="42"/>
      <c r="BQ732" s="42"/>
      <c r="BR732" s="42"/>
      <c r="BS732" s="42"/>
      <c r="BT732" s="42"/>
      <c r="BU732" s="42"/>
      <c r="BV732" s="42"/>
      <c r="BW732" s="42"/>
      <c r="BX732" s="42"/>
      <c r="BY732" s="42"/>
      <c r="BZ732" s="42"/>
      <c r="CA732" s="42"/>
      <c r="CB732" s="42"/>
      <c r="CC732" s="42"/>
      <c r="CD732" s="42"/>
      <c r="CE732" s="42"/>
      <c r="CF732" s="42"/>
      <c r="CG732" s="42"/>
      <c r="CH732" s="42"/>
      <c r="CI732" s="42"/>
      <c r="CJ732" s="42"/>
      <c r="CK732" s="42"/>
      <c r="CL732" s="42"/>
      <c r="CM732" s="42"/>
      <c r="CN732" s="42"/>
      <c r="CO732" s="42"/>
      <c r="CQ732" s="42"/>
      <c r="CR732" s="42"/>
      <c r="CS732" s="42"/>
      <c r="CT732" s="42"/>
      <c r="CU732" s="42"/>
      <c r="CV732" s="42"/>
      <c r="CW732" s="42"/>
      <c r="CX732" s="42"/>
      <c r="CY732" s="42"/>
      <c r="CZ732" s="42"/>
      <c r="DA732" s="42"/>
      <c r="DB732" s="42"/>
      <c r="DC732" s="42"/>
      <c r="DD732" s="42"/>
      <c r="DE732" s="42"/>
      <c r="DF732" s="42"/>
      <c r="DG732" s="42"/>
      <c r="DH732" s="42"/>
      <c r="DI732" s="42"/>
      <c r="DJ732" s="42"/>
      <c r="DK732" s="42"/>
      <c r="DL732" s="42"/>
      <c r="DM732" s="42"/>
      <c r="DN732" s="42"/>
      <c r="DO732" s="42"/>
    </row>
    <row r="733" spans="2:119" x14ac:dyDescent="0.45">
      <c r="B733" s="99"/>
      <c r="C733" s="42"/>
      <c r="D733" s="42"/>
      <c r="E733" s="42"/>
      <c r="F733" s="42"/>
      <c r="G733" s="42"/>
      <c r="H733" s="42"/>
      <c r="I733" s="42"/>
      <c r="J733" s="42"/>
      <c r="K733" s="42"/>
      <c r="L733" s="42"/>
      <c r="M733" s="42"/>
      <c r="N733" s="42"/>
      <c r="O733" s="42"/>
      <c r="P733" s="42"/>
      <c r="Q733" s="42"/>
      <c r="R733" s="42"/>
      <c r="S733" s="42"/>
      <c r="T733" s="42"/>
      <c r="U733" s="42"/>
      <c r="V733" s="42"/>
      <c r="W733" s="42"/>
      <c r="X733" s="42"/>
      <c r="Y733" s="42"/>
      <c r="Z733" s="42"/>
      <c r="AA733" s="42"/>
      <c r="AB733" s="42"/>
      <c r="AC733" s="42"/>
      <c r="AD733" s="42"/>
      <c r="AE733" s="42"/>
      <c r="AF733" s="42"/>
      <c r="AG733" s="42"/>
      <c r="AH733" s="42"/>
      <c r="AI733" s="42"/>
      <c r="AJ733" s="42"/>
      <c r="AK733" s="42"/>
      <c r="AL733" s="42"/>
      <c r="AM733" s="42"/>
      <c r="AN733" s="42"/>
      <c r="AO733" s="42"/>
      <c r="AQ733" s="42"/>
      <c r="AR733" s="42"/>
      <c r="AS733" s="42"/>
      <c r="AT733" s="42"/>
      <c r="AU733" s="42"/>
      <c r="AV733" s="42"/>
      <c r="AW733" s="42"/>
      <c r="AX733" s="42"/>
      <c r="AY733" s="42"/>
      <c r="AZ733" s="42"/>
      <c r="BA733" s="42"/>
      <c r="BB733" s="42"/>
      <c r="BC733" s="42"/>
      <c r="BD733" s="42"/>
      <c r="BE733" s="42"/>
      <c r="BF733" s="42"/>
      <c r="BG733" s="42"/>
      <c r="BH733" s="42"/>
      <c r="BI733" s="42"/>
      <c r="BJ733" s="42"/>
      <c r="BK733" s="42"/>
      <c r="BL733" s="42"/>
      <c r="BM733" s="42"/>
      <c r="BN733" s="42"/>
      <c r="BO733" s="42"/>
      <c r="BQ733" s="42"/>
      <c r="BR733" s="42"/>
      <c r="BS733" s="42"/>
      <c r="BT733" s="42"/>
      <c r="BU733" s="42"/>
      <c r="BV733" s="42"/>
      <c r="BW733" s="42"/>
      <c r="BX733" s="42"/>
      <c r="BY733" s="42"/>
      <c r="BZ733" s="42"/>
      <c r="CA733" s="42"/>
      <c r="CB733" s="42"/>
      <c r="CC733" s="42"/>
      <c r="CD733" s="42"/>
      <c r="CE733" s="42"/>
      <c r="CF733" s="42"/>
      <c r="CG733" s="42"/>
      <c r="CH733" s="42"/>
      <c r="CI733" s="42"/>
      <c r="CJ733" s="42"/>
      <c r="CK733" s="42"/>
      <c r="CL733" s="42"/>
      <c r="CM733" s="42"/>
      <c r="CN733" s="42"/>
      <c r="CO733" s="42"/>
      <c r="CQ733" s="42"/>
      <c r="CR733" s="42"/>
      <c r="CS733" s="42"/>
      <c r="CT733" s="42"/>
      <c r="CU733" s="42"/>
      <c r="CV733" s="42"/>
      <c r="CW733" s="42"/>
      <c r="CX733" s="42"/>
      <c r="CY733" s="42"/>
      <c r="CZ733" s="42"/>
      <c r="DA733" s="42"/>
      <c r="DB733" s="42"/>
      <c r="DC733" s="42"/>
      <c r="DD733" s="42"/>
      <c r="DE733" s="42"/>
      <c r="DF733" s="42"/>
      <c r="DG733" s="42"/>
      <c r="DH733" s="42"/>
      <c r="DI733" s="42"/>
      <c r="DJ733" s="42"/>
      <c r="DK733" s="42"/>
      <c r="DL733" s="42"/>
      <c r="DM733" s="42"/>
      <c r="DN733" s="42"/>
      <c r="DO733" s="42"/>
    </row>
    <row r="734" spans="2:119" ht="18.75" customHeight="1" x14ac:dyDescent="0.55000000000000004">
      <c r="B734" s="99"/>
      <c r="C734" s="42"/>
      <c r="D734" s="112" t="s">
        <v>24</v>
      </c>
      <c r="E734" s="112"/>
      <c r="F734" s="45"/>
      <c r="G734" s="45"/>
      <c r="H734" s="45"/>
      <c r="I734" s="45"/>
      <c r="J734" s="45"/>
      <c r="K734" s="45"/>
      <c r="L734" s="45"/>
      <c r="M734" s="45"/>
      <c r="N734" s="45"/>
      <c r="O734" s="45"/>
      <c r="P734" s="42"/>
      <c r="Q734" s="112" t="s">
        <v>24</v>
      </c>
      <c r="R734" s="112"/>
      <c r="S734" s="45"/>
      <c r="T734" s="45"/>
      <c r="U734" s="45"/>
      <c r="V734" s="45"/>
      <c r="W734" s="45"/>
      <c r="X734" s="45"/>
      <c r="Y734" s="45"/>
      <c r="Z734" s="45"/>
      <c r="AA734" s="45"/>
      <c r="AB734" s="45"/>
      <c r="AC734" s="42"/>
      <c r="AD734" s="112" t="s">
        <v>24</v>
      </c>
      <c r="AE734" s="112"/>
      <c r="AF734" s="45"/>
      <c r="AG734" s="45"/>
      <c r="AH734" s="45"/>
      <c r="AI734" s="45"/>
      <c r="AJ734" s="45"/>
      <c r="AK734" s="45"/>
      <c r="AL734" s="45"/>
      <c r="AM734" s="45"/>
      <c r="AN734" s="45"/>
      <c r="AO734" s="45"/>
      <c r="AP734" s="6"/>
      <c r="AQ734" s="112" t="s">
        <v>24</v>
      </c>
      <c r="AR734" s="112"/>
      <c r="AS734" s="45"/>
      <c r="AT734" s="45"/>
      <c r="AU734" s="45"/>
      <c r="AV734" s="45"/>
      <c r="AW734" s="45"/>
      <c r="AX734" s="45"/>
      <c r="AY734" s="45"/>
      <c r="AZ734" s="45"/>
      <c r="BA734" s="45"/>
      <c r="BB734" s="45"/>
      <c r="BC734" s="42"/>
      <c r="BD734" s="112" t="s">
        <v>24</v>
      </c>
      <c r="BE734" s="112"/>
      <c r="BF734" s="45"/>
      <c r="BG734" s="45"/>
      <c r="BH734" s="45"/>
      <c r="BI734" s="45"/>
      <c r="BJ734" s="45"/>
      <c r="BK734" s="45"/>
      <c r="BL734" s="45"/>
      <c r="BM734" s="45"/>
      <c r="BN734" s="45"/>
      <c r="BO734" s="45"/>
      <c r="BQ734" s="112" t="s">
        <v>24</v>
      </c>
      <c r="BR734" s="112"/>
      <c r="BS734" s="45"/>
      <c r="BT734" s="45"/>
      <c r="BU734" s="45"/>
      <c r="BV734" s="45"/>
      <c r="BW734" s="45"/>
      <c r="BX734" s="45"/>
      <c r="BY734" s="45"/>
      <c r="BZ734" s="45"/>
      <c r="CA734" s="45"/>
      <c r="CB734" s="45"/>
      <c r="CC734" s="42"/>
      <c r="CD734" s="112" t="s">
        <v>24</v>
      </c>
      <c r="CE734" s="112"/>
      <c r="CF734" s="45"/>
      <c r="CG734" s="45"/>
      <c r="CH734" s="45"/>
      <c r="CI734" s="45"/>
      <c r="CJ734" s="45"/>
      <c r="CK734" s="45"/>
      <c r="CL734" s="45"/>
      <c r="CM734" s="45"/>
      <c r="CN734" s="45"/>
      <c r="CO734" s="45"/>
      <c r="CQ734" s="112" t="s">
        <v>24</v>
      </c>
      <c r="CR734" s="112"/>
      <c r="CS734" s="45"/>
      <c r="CT734" s="45"/>
      <c r="CU734" s="45"/>
      <c r="CV734" s="45"/>
      <c r="CW734" s="45"/>
      <c r="CX734" s="45"/>
      <c r="CY734" s="45"/>
      <c r="CZ734" s="45"/>
      <c r="DA734" s="45"/>
      <c r="DB734" s="45"/>
      <c r="DC734" s="42"/>
      <c r="DD734" s="112" t="s">
        <v>24</v>
      </c>
      <c r="DE734" s="112"/>
      <c r="DF734" s="45"/>
      <c r="DG734" s="45"/>
      <c r="DH734" s="45"/>
      <c r="DI734" s="45"/>
      <c r="DJ734" s="45"/>
      <c r="DK734" s="45"/>
      <c r="DL734" s="45"/>
      <c r="DM734" s="45"/>
      <c r="DN734" s="45"/>
      <c r="DO734" s="45"/>
    </row>
    <row r="735" spans="2:119" ht="28.9" customHeight="1" x14ac:dyDescent="0.45">
      <c r="B735" s="99"/>
      <c r="C735" s="42"/>
      <c r="D735" s="112"/>
      <c r="E735" s="112"/>
      <c r="F735" s="108" t="s">
        <v>12</v>
      </c>
      <c r="G735" s="108"/>
      <c r="H735" s="108"/>
      <c r="I735" s="108"/>
      <c r="J735" s="108"/>
      <c r="K735" s="108"/>
      <c r="L735" s="108"/>
      <c r="M735" s="108"/>
      <c r="N735" s="108"/>
      <c r="O735" s="108"/>
      <c r="P735" s="42"/>
      <c r="Q735" s="112"/>
      <c r="R735" s="112"/>
      <c r="S735" s="108" t="s">
        <v>12</v>
      </c>
      <c r="T735" s="108"/>
      <c r="U735" s="108"/>
      <c r="V735" s="108"/>
      <c r="W735" s="108"/>
      <c r="X735" s="108"/>
      <c r="Y735" s="108"/>
      <c r="Z735" s="108"/>
      <c r="AA735" s="108"/>
      <c r="AB735" s="108"/>
      <c r="AC735" s="42"/>
      <c r="AD735" s="112"/>
      <c r="AE735" s="112"/>
      <c r="AF735" s="108" t="s">
        <v>12</v>
      </c>
      <c r="AG735" s="108"/>
      <c r="AH735" s="108"/>
      <c r="AI735" s="108"/>
      <c r="AJ735" s="108"/>
      <c r="AK735" s="108"/>
      <c r="AL735" s="108"/>
      <c r="AM735" s="108"/>
      <c r="AN735" s="108"/>
      <c r="AO735" s="108"/>
      <c r="AP735" s="6"/>
      <c r="AQ735" s="112"/>
      <c r="AR735" s="112"/>
      <c r="AS735" s="108" t="s">
        <v>12</v>
      </c>
      <c r="AT735" s="108"/>
      <c r="AU735" s="108"/>
      <c r="AV735" s="108"/>
      <c r="AW735" s="108"/>
      <c r="AX735" s="108"/>
      <c r="AY735" s="108"/>
      <c r="AZ735" s="108"/>
      <c r="BA735" s="108"/>
      <c r="BB735" s="108"/>
      <c r="BC735" s="42"/>
      <c r="BD735" s="112"/>
      <c r="BE735" s="112"/>
      <c r="BF735" s="108" t="s">
        <v>12</v>
      </c>
      <c r="BG735" s="108"/>
      <c r="BH735" s="108"/>
      <c r="BI735" s="108"/>
      <c r="BJ735" s="108"/>
      <c r="BK735" s="108"/>
      <c r="BL735" s="108"/>
      <c r="BM735" s="108"/>
      <c r="BN735" s="108"/>
      <c r="BO735" s="108"/>
      <c r="BQ735" s="112"/>
      <c r="BR735" s="112"/>
      <c r="BS735" s="108" t="s">
        <v>12</v>
      </c>
      <c r="BT735" s="108"/>
      <c r="BU735" s="108"/>
      <c r="BV735" s="108"/>
      <c r="BW735" s="108"/>
      <c r="BX735" s="108"/>
      <c r="BY735" s="108"/>
      <c r="BZ735" s="108"/>
      <c r="CA735" s="108"/>
      <c r="CB735" s="108"/>
      <c r="CC735" s="42"/>
      <c r="CD735" s="112"/>
      <c r="CE735" s="112"/>
      <c r="CF735" s="108" t="s">
        <v>12</v>
      </c>
      <c r="CG735" s="108"/>
      <c r="CH735" s="108"/>
      <c r="CI735" s="108"/>
      <c r="CJ735" s="108"/>
      <c r="CK735" s="108"/>
      <c r="CL735" s="108"/>
      <c r="CM735" s="108"/>
      <c r="CN735" s="108"/>
      <c r="CO735" s="108"/>
      <c r="CQ735" s="112"/>
      <c r="CR735" s="112"/>
      <c r="CS735" s="108" t="s">
        <v>12</v>
      </c>
      <c r="CT735" s="108"/>
      <c r="CU735" s="108"/>
      <c r="CV735" s="108"/>
      <c r="CW735" s="108"/>
      <c r="CX735" s="108"/>
      <c r="CY735" s="108"/>
      <c r="CZ735" s="108"/>
      <c r="DA735" s="108"/>
      <c r="DB735" s="108"/>
      <c r="DC735" s="42"/>
      <c r="DD735" s="112"/>
      <c r="DE735" s="112"/>
      <c r="DF735" s="108" t="s">
        <v>12</v>
      </c>
      <c r="DG735" s="108"/>
      <c r="DH735" s="108"/>
      <c r="DI735" s="108"/>
      <c r="DJ735" s="108"/>
      <c r="DK735" s="108"/>
      <c r="DL735" s="108"/>
      <c r="DM735" s="108"/>
      <c r="DN735" s="108"/>
      <c r="DO735" s="108"/>
    </row>
    <row r="736" spans="2:119" ht="15" customHeight="1" x14ac:dyDescent="0.45">
      <c r="B736" s="99"/>
      <c r="C736" s="42"/>
      <c r="D736" s="113"/>
      <c r="E736" s="113"/>
      <c r="F736" s="9" t="s">
        <v>0</v>
      </c>
      <c r="G736" s="9">
        <v>1</v>
      </c>
      <c r="H736" s="9">
        <v>2</v>
      </c>
      <c r="I736" s="9">
        <v>3</v>
      </c>
      <c r="J736" s="9">
        <v>4</v>
      </c>
      <c r="K736" s="9">
        <v>5</v>
      </c>
      <c r="L736" s="9">
        <v>6</v>
      </c>
      <c r="M736" s="9">
        <v>7</v>
      </c>
      <c r="N736" s="9">
        <v>8</v>
      </c>
      <c r="O736" s="9">
        <v>9</v>
      </c>
      <c r="P736" s="42"/>
      <c r="Q736" s="113"/>
      <c r="R736" s="113"/>
      <c r="S736" s="9" t="s">
        <v>0</v>
      </c>
      <c r="T736" s="9">
        <v>1</v>
      </c>
      <c r="U736" s="9">
        <v>2</v>
      </c>
      <c r="V736" s="9">
        <v>3</v>
      </c>
      <c r="W736" s="9">
        <v>4</v>
      </c>
      <c r="X736" s="9">
        <v>5</v>
      </c>
      <c r="Y736" s="9">
        <v>6</v>
      </c>
      <c r="Z736" s="9">
        <v>7</v>
      </c>
      <c r="AA736" s="9">
        <v>8</v>
      </c>
      <c r="AB736" s="9">
        <v>9</v>
      </c>
      <c r="AC736" s="42"/>
      <c r="AD736" s="113"/>
      <c r="AE736" s="113"/>
      <c r="AF736" s="9" t="s">
        <v>0</v>
      </c>
      <c r="AG736" s="9">
        <v>1</v>
      </c>
      <c r="AH736" s="9">
        <v>2</v>
      </c>
      <c r="AI736" s="9">
        <v>3</v>
      </c>
      <c r="AJ736" s="9">
        <v>4</v>
      </c>
      <c r="AK736" s="9">
        <v>5</v>
      </c>
      <c r="AL736" s="9">
        <v>6</v>
      </c>
      <c r="AM736" s="9">
        <v>7</v>
      </c>
      <c r="AN736" s="9">
        <v>8</v>
      </c>
      <c r="AO736" s="9">
        <v>9</v>
      </c>
      <c r="AP736" s="6"/>
      <c r="AQ736" s="113"/>
      <c r="AR736" s="113"/>
      <c r="AS736" s="9" t="s">
        <v>0</v>
      </c>
      <c r="AT736" s="9">
        <v>1</v>
      </c>
      <c r="AU736" s="9">
        <v>2</v>
      </c>
      <c r="AV736" s="9">
        <v>3</v>
      </c>
      <c r="AW736" s="9">
        <v>4</v>
      </c>
      <c r="AX736" s="9">
        <v>5</v>
      </c>
      <c r="AY736" s="9">
        <v>6</v>
      </c>
      <c r="AZ736" s="9">
        <v>7</v>
      </c>
      <c r="BA736" s="9">
        <v>8</v>
      </c>
      <c r="BB736" s="9">
        <v>9</v>
      </c>
      <c r="BC736" s="42"/>
      <c r="BD736" s="113"/>
      <c r="BE736" s="113"/>
      <c r="BF736" s="9" t="s">
        <v>0</v>
      </c>
      <c r="BG736" s="9">
        <v>1</v>
      </c>
      <c r="BH736" s="9">
        <v>2</v>
      </c>
      <c r="BI736" s="9">
        <v>3</v>
      </c>
      <c r="BJ736" s="9">
        <v>4</v>
      </c>
      <c r="BK736" s="9">
        <v>5</v>
      </c>
      <c r="BL736" s="9">
        <v>6</v>
      </c>
      <c r="BM736" s="9">
        <v>7</v>
      </c>
      <c r="BN736" s="9">
        <v>8</v>
      </c>
      <c r="BO736" s="9">
        <v>9</v>
      </c>
      <c r="BQ736" s="113"/>
      <c r="BR736" s="113"/>
      <c r="BS736" s="9" t="s">
        <v>0</v>
      </c>
      <c r="BT736" s="9">
        <v>1</v>
      </c>
      <c r="BU736" s="9">
        <v>2</v>
      </c>
      <c r="BV736" s="9">
        <v>3</v>
      </c>
      <c r="BW736" s="9">
        <v>4</v>
      </c>
      <c r="BX736" s="9">
        <v>5</v>
      </c>
      <c r="BY736" s="9">
        <v>6</v>
      </c>
      <c r="BZ736" s="9">
        <v>7</v>
      </c>
      <c r="CA736" s="9">
        <v>8</v>
      </c>
      <c r="CB736" s="9">
        <v>9</v>
      </c>
      <c r="CC736" s="42"/>
      <c r="CD736" s="113"/>
      <c r="CE736" s="113"/>
      <c r="CF736" s="9" t="s">
        <v>0</v>
      </c>
      <c r="CG736" s="9">
        <v>1</v>
      </c>
      <c r="CH736" s="9">
        <v>2</v>
      </c>
      <c r="CI736" s="9">
        <v>3</v>
      </c>
      <c r="CJ736" s="9">
        <v>4</v>
      </c>
      <c r="CK736" s="9">
        <v>5</v>
      </c>
      <c r="CL736" s="9">
        <v>6</v>
      </c>
      <c r="CM736" s="9">
        <v>7</v>
      </c>
      <c r="CN736" s="9">
        <v>8</v>
      </c>
      <c r="CO736" s="9">
        <v>9</v>
      </c>
      <c r="CQ736" s="113"/>
      <c r="CR736" s="113"/>
      <c r="CS736" s="9" t="s">
        <v>0</v>
      </c>
      <c r="CT736" s="9">
        <v>1</v>
      </c>
      <c r="CU736" s="9">
        <v>2</v>
      </c>
      <c r="CV736" s="9">
        <v>3</v>
      </c>
      <c r="CW736" s="9">
        <v>4</v>
      </c>
      <c r="CX736" s="9">
        <v>5</v>
      </c>
      <c r="CY736" s="9">
        <v>6</v>
      </c>
      <c r="CZ736" s="9">
        <v>7</v>
      </c>
      <c r="DA736" s="9">
        <v>8</v>
      </c>
      <c r="DB736" s="9">
        <v>9</v>
      </c>
      <c r="DC736" s="42"/>
      <c r="DD736" s="113"/>
      <c r="DE736" s="113"/>
      <c r="DF736" s="9" t="s">
        <v>0</v>
      </c>
      <c r="DG736" s="9">
        <v>1</v>
      </c>
      <c r="DH736" s="9">
        <v>2</v>
      </c>
      <c r="DI736" s="9">
        <v>3</v>
      </c>
      <c r="DJ736" s="9">
        <v>4</v>
      </c>
      <c r="DK736" s="9">
        <v>5</v>
      </c>
      <c r="DL736" s="9">
        <v>6</v>
      </c>
      <c r="DM736" s="9">
        <v>7</v>
      </c>
      <c r="DN736" s="9">
        <v>8</v>
      </c>
      <c r="DO736" s="9">
        <v>9</v>
      </c>
    </row>
    <row r="737" spans="2:119" ht="16.5" customHeight="1" x14ac:dyDescent="0.45">
      <c r="B737" s="134" t="s">
        <v>41</v>
      </c>
      <c r="C737" s="42"/>
      <c r="D737" s="109" t="s">
        <v>13</v>
      </c>
      <c r="E737" s="46" t="s">
        <v>1</v>
      </c>
      <c r="F737" s="103" t="s">
        <v>129</v>
      </c>
      <c r="G737" s="103" t="s">
        <v>129</v>
      </c>
      <c r="H737" s="103" t="s">
        <v>129</v>
      </c>
      <c r="I737" s="103" t="s">
        <v>129</v>
      </c>
      <c r="J737" s="103" t="s">
        <v>129</v>
      </c>
      <c r="K737" s="103" t="s">
        <v>129</v>
      </c>
      <c r="L737" s="103" t="s">
        <v>129</v>
      </c>
      <c r="M737" s="103" t="s">
        <v>129</v>
      </c>
      <c r="N737" s="103" t="s">
        <v>129</v>
      </c>
      <c r="O737" s="103" t="s">
        <v>129</v>
      </c>
      <c r="P737" s="42"/>
      <c r="Q737" s="109" t="s">
        <v>13</v>
      </c>
      <c r="R737" s="46" t="s">
        <v>1</v>
      </c>
      <c r="S737" s="103" t="s">
        <v>129</v>
      </c>
      <c r="T737" s="103" t="s">
        <v>129</v>
      </c>
      <c r="U737" s="103" t="s">
        <v>129</v>
      </c>
      <c r="V737" s="103" t="s">
        <v>129</v>
      </c>
      <c r="W737" s="103" t="s">
        <v>129</v>
      </c>
      <c r="X737" s="103" t="s">
        <v>129</v>
      </c>
      <c r="Y737" s="103" t="s">
        <v>129</v>
      </c>
      <c r="Z737" s="103" t="s">
        <v>129</v>
      </c>
      <c r="AA737" s="103" t="s">
        <v>129</v>
      </c>
      <c r="AB737" s="103" t="s">
        <v>129</v>
      </c>
      <c r="AC737" s="42"/>
      <c r="AD737" s="109" t="s">
        <v>13</v>
      </c>
      <c r="AE737" s="46" t="s">
        <v>1</v>
      </c>
      <c r="AF737" s="103" t="s">
        <v>129</v>
      </c>
      <c r="AG737" s="103" t="s">
        <v>129</v>
      </c>
      <c r="AH737" s="103" t="s">
        <v>129</v>
      </c>
      <c r="AI737" s="103" t="s">
        <v>129</v>
      </c>
      <c r="AJ737" s="103" t="s">
        <v>129</v>
      </c>
      <c r="AK737" s="103" t="s">
        <v>129</v>
      </c>
      <c r="AL737" s="103" t="s">
        <v>129</v>
      </c>
      <c r="AM737" s="103" t="s">
        <v>129</v>
      </c>
      <c r="AN737" s="103" t="s">
        <v>129</v>
      </c>
      <c r="AO737" s="103" t="s">
        <v>129</v>
      </c>
      <c r="AP737" s="6"/>
      <c r="AQ737" s="109" t="s">
        <v>13</v>
      </c>
      <c r="AR737" s="46" t="s">
        <v>1</v>
      </c>
      <c r="AS737" s="103" t="s">
        <v>129</v>
      </c>
      <c r="AT737" s="103" t="s">
        <v>129</v>
      </c>
      <c r="AU737" s="103" t="s">
        <v>129</v>
      </c>
      <c r="AV737" s="103" t="s">
        <v>129</v>
      </c>
      <c r="AW737" s="103" t="s">
        <v>129</v>
      </c>
      <c r="AX737" s="103" t="s">
        <v>129</v>
      </c>
      <c r="AY737" s="103" t="s">
        <v>129</v>
      </c>
      <c r="AZ737" s="103" t="s">
        <v>129</v>
      </c>
      <c r="BA737" s="103" t="s">
        <v>129</v>
      </c>
      <c r="BB737" s="103" t="s">
        <v>129</v>
      </c>
      <c r="BC737" s="42"/>
      <c r="BD737" s="109" t="s">
        <v>13</v>
      </c>
      <c r="BE737" s="46" t="s">
        <v>1</v>
      </c>
      <c r="BF737" s="103" t="s">
        <v>129</v>
      </c>
      <c r="BG737" s="103" t="s">
        <v>129</v>
      </c>
      <c r="BH737" s="103" t="s">
        <v>129</v>
      </c>
      <c r="BI737" s="103" t="s">
        <v>129</v>
      </c>
      <c r="BJ737" s="103" t="s">
        <v>129</v>
      </c>
      <c r="BK737" s="103" t="s">
        <v>129</v>
      </c>
      <c r="BL737" s="103" t="s">
        <v>129</v>
      </c>
      <c r="BM737" s="103" t="s">
        <v>129</v>
      </c>
      <c r="BN737" s="103" t="s">
        <v>129</v>
      </c>
      <c r="BO737" s="103" t="s">
        <v>129</v>
      </c>
      <c r="BQ737" s="109" t="s">
        <v>13</v>
      </c>
      <c r="BR737" s="46" t="s">
        <v>1</v>
      </c>
      <c r="BS737" s="103" t="s">
        <v>129</v>
      </c>
      <c r="BT737" s="103" t="s">
        <v>129</v>
      </c>
      <c r="BU737" s="103" t="s">
        <v>129</v>
      </c>
      <c r="BV737" s="103" t="s">
        <v>129</v>
      </c>
      <c r="BW737" s="103" t="s">
        <v>129</v>
      </c>
      <c r="BX737" s="103" t="s">
        <v>129</v>
      </c>
      <c r="BY737" s="103" t="s">
        <v>129</v>
      </c>
      <c r="BZ737" s="103" t="s">
        <v>129</v>
      </c>
      <c r="CA737" s="103" t="s">
        <v>129</v>
      </c>
      <c r="CB737" s="103" t="s">
        <v>129</v>
      </c>
      <c r="CC737" s="42"/>
      <c r="CD737" s="109" t="s">
        <v>13</v>
      </c>
      <c r="CE737" s="46" t="s">
        <v>1</v>
      </c>
      <c r="CF737" s="103" t="s">
        <v>129</v>
      </c>
      <c r="CG737" s="103" t="s">
        <v>129</v>
      </c>
      <c r="CH737" s="103" t="s">
        <v>129</v>
      </c>
      <c r="CI737" s="103" t="s">
        <v>129</v>
      </c>
      <c r="CJ737" s="103" t="s">
        <v>129</v>
      </c>
      <c r="CK737" s="103" t="s">
        <v>129</v>
      </c>
      <c r="CL737" s="103" t="s">
        <v>129</v>
      </c>
      <c r="CM737" s="103" t="s">
        <v>129</v>
      </c>
      <c r="CN737" s="103" t="s">
        <v>129</v>
      </c>
      <c r="CO737" s="103" t="s">
        <v>129</v>
      </c>
      <c r="CQ737" s="109" t="s">
        <v>13</v>
      </c>
      <c r="CR737" s="46" t="s">
        <v>1</v>
      </c>
      <c r="CS737" s="103" t="s">
        <v>129</v>
      </c>
      <c r="CT737" s="103" t="s">
        <v>129</v>
      </c>
      <c r="CU737" s="103" t="s">
        <v>129</v>
      </c>
      <c r="CV737" s="103" t="s">
        <v>129</v>
      </c>
      <c r="CW737" s="103" t="s">
        <v>129</v>
      </c>
      <c r="CX737" s="103" t="s">
        <v>129</v>
      </c>
      <c r="CY737" s="103" t="s">
        <v>129</v>
      </c>
      <c r="CZ737" s="103" t="s">
        <v>129</v>
      </c>
      <c r="DA737" s="103" t="s">
        <v>129</v>
      </c>
      <c r="DB737" s="103" t="s">
        <v>129</v>
      </c>
      <c r="DC737" s="42"/>
      <c r="DD737" s="109" t="s">
        <v>13</v>
      </c>
      <c r="DE737" s="46" t="s">
        <v>1</v>
      </c>
      <c r="DF737" s="103" t="s">
        <v>129</v>
      </c>
      <c r="DG737" s="103" t="s">
        <v>129</v>
      </c>
      <c r="DH737" s="103" t="s">
        <v>129</v>
      </c>
      <c r="DI737" s="103" t="s">
        <v>129</v>
      </c>
      <c r="DJ737" s="103" t="s">
        <v>129</v>
      </c>
      <c r="DK737" s="103" t="s">
        <v>129</v>
      </c>
      <c r="DL737" s="103" t="s">
        <v>129</v>
      </c>
      <c r="DM737" s="103" t="s">
        <v>129</v>
      </c>
      <c r="DN737" s="103" t="s">
        <v>129</v>
      </c>
      <c r="DO737" s="103" t="s">
        <v>129</v>
      </c>
    </row>
    <row r="738" spans="2:119" ht="16.5" customHeight="1" x14ac:dyDescent="0.45">
      <c r="B738" s="134"/>
      <c r="C738" s="42"/>
      <c r="D738" s="110"/>
      <c r="E738" s="46">
        <v>1</v>
      </c>
      <c r="F738" s="103" t="s">
        <v>129</v>
      </c>
      <c r="G738" s="103" t="s">
        <v>129</v>
      </c>
      <c r="H738" s="103" t="s">
        <v>129</v>
      </c>
      <c r="I738" s="103" t="s">
        <v>129</v>
      </c>
      <c r="J738" s="103" t="s">
        <v>129</v>
      </c>
      <c r="K738" s="103" t="s">
        <v>129</v>
      </c>
      <c r="L738" s="103" t="s">
        <v>129</v>
      </c>
      <c r="M738" s="103" t="s">
        <v>129</v>
      </c>
      <c r="N738" s="103" t="s">
        <v>129</v>
      </c>
      <c r="O738" s="103" t="s">
        <v>129</v>
      </c>
      <c r="P738" s="42"/>
      <c r="Q738" s="110"/>
      <c r="R738" s="46">
        <v>1</v>
      </c>
      <c r="S738" s="103" t="s">
        <v>129</v>
      </c>
      <c r="T738" s="103" t="s">
        <v>129</v>
      </c>
      <c r="U738" s="103" t="s">
        <v>129</v>
      </c>
      <c r="V738" s="103" t="s">
        <v>129</v>
      </c>
      <c r="W738" s="103" t="s">
        <v>129</v>
      </c>
      <c r="X738" s="103" t="s">
        <v>129</v>
      </c>
      <c r="Y738" s="103" t="s">
        <v>129</v>
      </c>
      <c r="Z738" s="103" t="s">
        <v>129</v>
      </c>
      <c r="AA738" s="103" t="s">
        <v>129</v>
      </c>
      <c r="AB738" s="103" t="s">
        <v>129</v>
      </c>
      <c r="AC738" s="42"/>
      <c r="AD738" s="110"/>
      <c r="AE738" s="46">
        <v>1</v>
      </c>
      <c r="AF738" s="103" t="s">
        <v>129</v>
      </c>
      <c r="AG738" s="103" t="s">
        <v>129</v>
      </c>
      <c r="AH738" s="103" t="s">
        <v>129</v>
      </c>
      <c r="AI738" s="103" t="s">
        <v>129</v>
      </c>
      <c r="AJ738" s="103" t="s">
        <v>129</v>
      </c>
      <c r="AK738" s="103" t="s">
        <v>129</v>
      </c>
      <c r="AL738" s="103" t="s">
        <v>129</v>
      </c>
      <c r="AM738" s="103" t="s">
        <v>129</v>
      </c>
      <c r="AN738" s="103" t="s">
        <v>129</v>
      </c>
      <c r="AO738" s="103" t="s">
        <v>129</v>
      </c>
      <c r="AP738" s="6"/>
      <c r="AQ738" s="110"/>
      <c r="AR738" s="46">
        <v>1</v>
      </c>
      <c r="AS738" s="103" t="s">
        <v>129</v>
      </c>
      <c r="AT738" s="103" t="s">
        <v>129</v>
      </c>
      <c r="AU738" s="103" t="s">
        <v>129</v>
      </c>
      <c r="AV738" s="103" t="s">
        <v>129</v>
      </c>
      <c r="AW738" s="103" t="s">
        <v>129</v>
      </c>
      <c r="AX738" s="103" t="s">
        <v>129</v>
      </c>
      <c r="AY738" s="103" t="s">
        <v>129</v>
      </c>
      <c r="AZ738" s="103" t="s">
        <v>129</v>
      </c>
      <c r="BA738" s="103" t="s">
        <v>129</v>
      </c>
      <c r="BB738" s="103" t="s">
        <v>129</v>
      </c>
      <c r="BC738" s="42"/>
      <c r="BD738" s="110"/>
      <c r="BE738" s="46">
        <v>1</v>
      </c>
      <c r="BF738" s="103" t="s">
        <v>129</v>
      </c>
      <c r="BG738" s="103" t="s">
        <v>129</v>
      </c>
      <c r="BH738" s="103" t="s">
        <v>129</v>
      </c>
      <c r="BI738" s="103" t="s">
        <v>129</v>
      </c>
      <c r="BJ738" s="103" t="s">
        <v>129</v>
      </c>
      <c r="BK738" s="103" t="s">
        <v>129</v>
      </c>
      <c r="BL738" s="103" t="s">
        <v>129</v>
      </c>
      <c r="BM738" s="103" t="s">
        <v>129</v>
      </c>
      <c r="BN738" s="103" t="s">
        <v>129</v>
      </c>
      <c r="BO738" s="103" t="s">
        <v>129</v>
      </c>
      <c r="BQ738" s="110"/>
      <c r="BR738" s="46">
        <v>1</v>
      </c>
      <c r="BS738" s="103" t="s">
        <v>129</v>
      </c>
      <c r="BT738" s="103" t="s">
        <v>129</v>
      </c>
      <c r="BU738" s="103" t="s">
        <v>129</v>
      </c>
      <c r="BV738" s="103" t="s">
        <v>129</v>
      </c>
      <c r="BW738" s="103" t="s">
        <v>129</v>
      </c>
      <c r="BX738" s="103" t="s">
        <v>129</v>
      </c>
      <c r="BY738" s="103" t="s">
        <v>129</v>
      </c>
      <c r="BZ738" s="103" t="s">
        <v>129</v>
      </c>
      <c r="CA738" s="103" t="s">
        <v>129</v>
      </c>
      <c r="CB738" s="103" t="s">
        <v>129</v>
      </c>
      <c r="CC738" s="42"/>
      <c r="CD738" s="110"/>
      <c r="CE738" s="46">
        <v>1</v>
      </c>
      <c r="CF738" s="103" t="s">
        <v>129</v>
      </c>
      <c r="CG738" s="103" t="s">
        <v>129</v>
      </c>
      <c r="CH738" s="103" t="s">
        <v>129</v>
      </c>
      <c r="CI738" s="103" t="s">
        <v>129</v>
      </c>
      <c r="CJ738" s="103" t="s">
        <v>129</v>
      </c>
      <c r="CK738" s="103" t="s">
        <v>129</v>
      </c>
      <c r="CL738" s="103" t="s">
        <v>129</v>
      </c>
      <c r="CM738" s="103" t="s">
        <v>129</v>
      </c>
      <c r="CN738" s="103" t="s">
        <v>129</v>
      </c>
      <c r="CO738" s="103" t="s">
        <v>129</v>
      </c>
      <c r="CQ738" s="110"/>
      <c r="CR738" s="46">
        <v>1</v>
      </c>
      <c r="CS738" s="103" t="s">
        <v>129</v>
      </c>
      <c r="CT738" s="103" t="s">
        <v>129</v>
      </c>
      <c r="CU738" s="103" t="s">
        <v>129</v>
      </c>
      <c r="CV738" s="103" t="s">
        <v>129</v>
      </c>
      <c r="CW738" s="103" t="s">
        <v>129</v>
      </c>
      <c r="CX738" s="103" t="s">
        <v>129</v>
      </c>
      <c r="CY738" s="103" t="s">
        <v>129</v>
      </c>
      <c r="CZ738" s="103" t="s">
        <v>129</v>
      </c>
      <c r="DA738" s="103" t="s">
        <v>129</v>
      </c>
      <c r="DB738" s="103" t="s">
        <v>129</v>
      </c>
      <c r="DC738" s="42"/>
      <c r="DD738" s="110"/>
      <c r="DE738" s="46">
        <v>1</v>
      </c>
      <c r="DF738" s="103" t="s">
        <v>129</v>
      </c>
      <c r="DG738" s="103" t="s">
        <v>129</v>
      </c>
      <c r="DH738" s="103" t="s">
        <v>129</v>
      </c>
      <c r="DI738" s="103" t="s">
        <v>129</v>
      </c>
      <c r="DJ738" s="103" t="s">
        <v>129</v>
      </c>
      <c r="DK738" s="103" t="s">
        <v>129</v>
      </c>
      <c r="DL738" s="103" t="s">
        <v>129</v>
      </c>
      <c r="DM738" s="103" t="s">
        <v>129</v>
      </c>
      <c r="DN738" s="103" t="s">
        <v>129</v>
      </c>
      <c r="DO738" s="103" t="s">
        <v>129</v>
      </c>
    </row>
    <row r="739" spans="2:119" ht="16.5" customHeight="1" x14ac:dyDescent="0.45">
      <c r="B739" s="134"/>
      <c r="C739" s="42"/>
      <c r="D739" s="110"/>
      <c r="E739" s="46" t="s">
        <v>2</v>
      </c>
      <c r="F739" s="103">
        <v>0</v>
      </c>
      <c r="G739" s="103">
        <v>1</v>
      </c>
      <c r="H739" s="103">
        <v>1</v>
      </c>
      <c r="I739" s="103">
        <v>0</v>
      </c>
      <c r="J739" s="103">
        <v>1</v>
      </c>
      <c r="K739" s="103">
        <v>0</v>
      </c>
      <c r="L739" s="103">
        <v>0</v>
      </c>
      <c r="M739" s="103">
        <v>0</v>
      </c>
      <c r="N739" s="103">
        <v>0</v>
      </c>
      <c r="O739" s="103">
        <v>0</v>
      </c>
      <c r="P739" s="42"/>
      <c r="Q739" s="110"/>
      <c r="R739" s="46" t="s">
        <v>2</v>
      </c>
      <c r="S739" s="103">
        <v>0</v>
      </c>
      <c r="T739" s="103">
        <v>0</v>
      </c>
      <c r="U739" s="103">
        <v>0</v>
      </c>
      <c r="V739" s="103">
        <v>0</v>
      </c>
      <c r="W739" s="103">
        <v>1</v>
      </c>
      <c r="X739" s="103">
        <v>0</v>
      </c>
      <c r="Y739" s="103">
        <v>0</v>
      </c>
      <c r="Z739" s="103">
        <v>0</v>
      </c>
      <c r="AA739" s="103">
        <v>0</v>
      </c>
      <c r="AB739" s="103">
        <v>0</v>
      </c>
      <c r="AC739" s="42"/>
      <c r="AD739" s="110"/>
      <c r="AE739" s="46" t="s">
        <v>2</v>
      </c>
      <c r="AF739" s="103">
        <v>0</v>
      </c>
      <c r="AG739" s="103">
        <v>1</v>
      </c>
      <c r="AH739" s="103">
        <v>1</v>
      </c>
      <c r="AI739" s="103">
        <v>0</v>
      </c>
      <c r="AJ739" s="103">
        <v>0</v>
      </c>
      <c r="AK739" s="103">
        <v>0</v>
      </c>
      <c r="AL739" s="103">
        <v>0</v>
      </c>
      <c r="AM739" s="103">
        <v>0</v>
      </c>
      <c r="AN739" s="103">
        <v>0</v>
      </c>
      <c r="AO739" s="103">
        <v>0</v>
      </c>
      <c r="AP739" s="6"/>
      <c r="AQ739" s="110"/>
      <c r="AR739" s="46" t="s">
        <v>2</v>
      </c>
      <c r="AS739" s="103">
        <v>0</v>
      </c>
      <c r="AT739" s="103">
        <v>0</v>
      </c>
      <c r="AU739" s="103">
        <v>0</v>
      </c>
      <c r="AV739" s="103">
        <v>0</v>
      </c>
      <c r="AW739" s="103">
        <v>0</v>
      </c>
      <c r="AX739" s="103">
        <v>0</v>
      </c>
      <c r="AY739" s="103">
        <v>0</v>
      </c>
      <c r="AZ739" s="103">
        <v>0</v>
      </c>
      <c r="BA739" s="103">
        <v>0</v>
      </c>
      <c r="BB739" s="103">
        <v>0</v>
      </c>
      <c r="BC739" s="42"/>
      <c r="BD739" s="110"/>
      <c r="BE739" s="46" t="s">
        <v>2</v>
      </c>
      <c r="BF739" s="103">
        <v>0</v>
      </c>
      <c r="BG739" s="103">
        <v>1</v>
      </c>
      <c r="BH739" s="103">
        <v>1</v>
      </c>
      <c r="BI739" s="103">
        <v>0</v>
      </c>
      <c r="BJ739" s="103">
        <v>1</v>
      </c>
      <c r="BK739" s="103">
        <v>0</v>
      </c>
      <c r="BL739" s="103">
        <v>0</v>
      </c>
      <c r="BM739" s="103">
        <v>0</v>
      </c>
      <c r="BN739" s="103">
        <v>0</v>
      </c>
      <c r="BO739" s="103">
        <v>0</v>
      </c>
      <c r="BQ739" s="110"/>
      <c r="BR739" s="46" t="s">
        <v>2</v>
      </c>
      <c r="BS739" s="103">
        <v>0</v>
      </c>
      <c r="BT739" s="103">
        <v>0</v>
      </c>
      <c r="BU739" s="103">
        <v>0</v>
      </c>
      <c r="BV739" s="103">
        <v>0</v>
      </c>
      <c r="BW739" s="103">
        <v>0</v>
      </c>
      <c r="BX739" s="103">
        <v>0</v>
      </c>
      <c r="BY739" s="103">
        <v>0</v>
      </c>
      <c r="BZ739" s="103">
        <v>0</v>
      </c>
      <c r="CA739" s="103">
        <v>0</v>
      </c>
      <c r="CB739" s="103">
        <v>0</v>
      </c>
      <c r="CC739" s="42"/>
      <c r="CD739" s="110"/>
      <c r="CE739" s="46" t="s">
        <v>2</v>
      </c>
      <c r="CF739" s="103">
        <v>0</v>
      </c>
      <c r="CG739" s="103">
        <v>1</v>
      </c>
      <c r="CH739" s="103">
        <v>1</v>
      </c>
      <c r="CI739" s="103">
        <v>0</v>
      </c>
      <c r="CJ739" s="103">
        <v>1</v>
      </c>
      <c r="CK739" s="103">
        <v>0</v>
      </c>
      <c r="CL739" s="103">
        <v>0</v>
      </c>
      <c r="CM739" s="103">
        <v>0</v>
      </c>
      <c r="CN739" s="103">
        <v>0</v>
      </c>
      <c r="CO739" s="103">
        <v>0</v>
      </c>
      <c r="CQ739" s="110"/>
      <c r="CR739" s="46" t="s">
        <v>2</v>
      </c>
      <c r="CS739" s="103">
        <v>0</v>
      </c>
      <c r="CT739" s="103">
        <v>1</v>
      </c>
      <c r="CU739" s="103">
        <v>1</v>
      </c>
      <c r="CV739" s="103">
        <v>0</v>
      </c>
      <c r="CW739" s="103">
        <v>1</v>
      </c>
      <c r="CX739" s="103">
        <v>0</v>
      </c>
      <c r="CY739" s="103">
        <v>0</v>
      </c>
      <c r="CZ739" s="103">
        <v>0</v>
      </c>
      <c r="DA739" s="103">
        <v>0</v>
      </c>
      <c r="DB739" s="103">
        <v>0</v>
      </c>
      <c r="DC739" s="42"/>
      <c r="DD739" s="110"/>
      <c r="DE739" s="46" t="s">
        <v>2</v>
      </c>
      <c r="DF739" s="103">
        <v>0</v>
      </c>
      <c r="DG739" s="103">
        <v>0</v>
      </c>
      <c r="DH739" s="103">
        <v>0</v>
      </c>
      <c r="DI739" s="103">
        <v>0</v>
      </c>
      <c r="DJ739" s="103">
        <v>0</v>
      </c>
      <c r="DK739" s="103">
        <v>0</v>
      </c>
      <c r="DL739" s="103">
        <v>0</v>
      </c>
      <c r="DM739" s="103">
        <v>0</v>
      </c>
      <c r="DN739" s="103">
        <v>0</v>
      </c>
      <c r="DO739" s="103">
        <v>0</v>
      </c>
    </row>
    <row r="740" spans="2:119" ht="16.5" customHeight="1" x14ac:dyDescent="0.45">
      <c r="B740" s="134"/>
      <c r="C740" s="42"/>
      <c r="D740" s="110"/>
      <c r="E740" s="46" t="s">
        <v>3</v>
      </c>
      <c r="F740" s="103">
        <v>0</v>
      </c>
      <c r="G740" s="103">
        <v>1</v>
      </c>
      <c r="H740" s="103">
        <v>0</v>
      </c>
      <c r="I740" s="103">
        <v>0</v>
      </c>
      <c r="J740" s="103">
        <v>1</v>
      </c>
      <c r="K740" s="103">
        <v>0</v>
      </c>
      <c r="L740" s="103">
        <v>0</v>
      </c>
      <c r="M740" s="103">
        <v>0</v>
      </c>
      <c r="N740" s="103">
        <v>0</v>
      </c>
      <c r="O740" s="103">
        <v>0</v>
      </c>
      <c r="P740" s="42"/>
      <c r="Q740" s="110"/>
      <c r="R740" s="46" t="s">
        <v>3</v>
      </c>
      <c r="S740" s="103">
        <v>0</v>
      </c>
      <c r="T740" s="103">
        <v>1</v>
      </c>
      <c r="U740" s="103">
        <v>0</v>
      </c>
      <c r="V740" s="103">
        <v>0</v>
      </c>
      <c r="W740" s="103">
        <v>1</v>
      </c>
      <c r="X740" s="103">
        <v>0</v>
      </c>
      <c r="Y740" s="103">
        <v>0</v>
      </c>
      <c r="Z740" s="103">
        <v>0</v>
      </c>
      <c r="AA740" s="103">
        <v>0</v>
      </c>
      <c r="AB740" s="103">
        <v>0</v>
      </c>
      <c r="AC740" s="42"/>
      <c r="AD740" s="110"/>
      <c r="AE740" s="46" t="s">
        <v>3</v>
      </c>
      <c r="AF740" s="103">
        <v>0</v>
      </c>
      <c r="AG740" s="103">
        <v>0</v>
      </c>
      <c r="AH740" s="103">
        <v>0</v>
      </c>
      <c r="AI740" s="103">
        <v>0</v>
      </c>
      <c r="AJ740" s="103">
        <v>0</v>
      </c>
      <c r="AK740" s="103">
        <v>0</v>
      </c>
      <c r="AL740" s="103">
        <v>0</v>
      </c>
      <c r="AM740" s="103">
        <v>0</v>
      </c>
      <c r="AN740" s="103">
        <v>0</v>
      </c>
      <c r="AO740" s="103">
        <v>0</v>
      </c>
      <c r="AP740" s="6"/>
      <c r="AQ740" s="110"/>
      <c r="AR740" s="46" t="s">
        <v>3</v>
      </c>
      <c r="AS740" s="103">
        <v>0</v>
      </c>
      <c r="AT740" s="103">
        <v>0</v>
      </c>
      <c r="AU740" s="103">
        <v>0</v>
      </c>
      <c r="AV740" s="103">
        <v>0</v>
      </c>
      <c r="AW740" s="103">
        <v>0</v>
      </c>
      <c r="AX740" s="103">
        <v>0</v>
      </c>
      <c r="AY740" s="103">
        <v>0</v>
      </c>
      <c r="AZ740" s="103">
        <v>0</v>
      </c>
      <c r="BA740" s="103">
        <v>0</v>
      </c>
      <c r="BB740" s="103">
        <v>0</v>
      </c>
      <c r="BC740" s="42"/>
      <c r="BD740" s="110"/>
      <c r="BE740" s="46" t="s">
        <v>3</v>
      </c>
      <c r="BF740" s="103">
        <v>0</v>
      </c>
      <c r="BG740" s="103">
        <v>1</v>
      </c>
      <c r="BH740" s="103">
        <v>0</v>
      </c>
      <c r="BI740" s="103">
        <v>0</v>
      </c>
      <c r="BJ740" s="103">
        <v>1</v>
      </c>
      <c r="BK740" s="103">
        <v>0</v>
      </c>
      <c r="BL740" s="103">
        <v>0</v>
      </c>
      <c r="BM740" s="103">
        <v>0</v>
      </c>
      <c r="BN740" s="103">
        <v>0</v>
      </c>
      <c r="BO740" s="103">
        <v>0</v>
      </c>
      <c r="BQ740" s="110"/>
      <c r="BR740" s="46" t="s">
        <v>3</v>
      </c>
      <c r="BS740" s="103">
        <v>0</v>
      </c>
      <c r="BT740" s="103">
        <v>1</v>
      </c>
      <c r="BU740" s="103">
        <v>0</v>
      </c>
      <c r="BV740" s="103">
        <v>0</v>
      </c>
      <c r="BW740" s="103">
        <v>1</v>
      </c>
      <c r="BX740" s="103">
        <v>0</v>
      </c>
      <c r="BY740" s="103">
        <v>0</v>
      </c>
      <c r="BZ740" s="103">
        <v>0</v>
      </c>
      <c r="CA740" s="103">
        <v>0</v>
      </c>
      <c r="CB740" s="103">
        <v>0</v>
      </c>
      <c r="CC740" s="42"/>
      <c r="CD740" s="110"/>
      <c r="CE740" s="46" t="s">
        <v>3</v>
      </c>
      <c r="CF740" s="103">
        <v>0</v>
      </c>
      <c r="CG740" s="103">
        <v>0</v>
      </c>
      <c r="CH740" s="103">
        <v>0</v>
      </c>
      <c r="CI740" s="103">
        <v>0</v>
      </c>
      <c r="CJ740" s="103">
        <v>0</v>
      </c>
      <c r="CK740" s="103">
        <v>0</v>
      </c>
      <c r="CL740" s="103">
        <v>0</v>
      </c>
      <c r="CM740" s="103">
        <v>0</v>
      </c>
      <c r="CN740" s="103">
        <v>0</v>
      </c>
      <c r="CO740" s="103">
        <v>0</v>
      </c>
      <c r="CQ740" s="110"/>
      <c r="CR740" s="46" t="s">
        <v>3</v>
      </c>
      <c r="CS740" s="103">
        <v>0</v>
      </c>
      <c r="CT740" s="103">
        <v>0</v>
      </c>
      <c r="CU740" s="103">
        <v>0</v>
      </c>
      <c r="CV740" s="103">
        <v>0</v>
      </c>
      <c r="CW740" s="103">
        <v>1</v>
      </c>
      <c r="CX740" s="103">
        <v>0</v>
      </c>
      <c r="CY740" s="103">
        <v>0</v>
      </c>
      <c r="CZ740" s="103">
        <v>0</v>
      </c>
      <c r="DA740" s="103">
        <v>0</v>
      </c>
      <c r="DB740" s="103">
        <v>0</v>
      </c>
      <c r="DC740" s="42"/>
      <c r="DD740" s="110"/>
      <c r="DE740" s="46" t="s">
        <v>3</v>
      </c>
      <c r="DF740" s="103">
        <v>0</v>
      </c>
      <c r="DG740" s="103">
        <v>1</v>
      </c>
      <c r="DH740" s="103">
        <v>0</v>
      </c>
      <c r="DI740" s="103">
        <v>0</v>
      </c>
      <c r="DJ740" s="103">
        <v>0</v>
      </c>
      <c r="DK740" s="103">
        <v>0</v>
      </c>
      <c r="DL740" s="103">
        <v>0</v>
      </c>
      <c r="DM740" s="103">
        <v>0</v>
      </c>
      <c r="DN740" s="103">
        <v>0</v>
      </c>
      <c r="DO740" s="103">
        <v>0</v>
      </c>
    </row>
    <row r="741" spans="2:119" ht="16.5" customHeight="1" x14ac:dyDescent="0.45">
      <c r="B741" s="134"/>
      <c r="C741" s="42"/>
      <c r="D741" s="110"/>
      <c r="E741" s="46" t="s">
        <v>4</v>
      </c>
      <c r="F741" s="103">
        <v>3</v>
      </c>
      <c r="G741" s="103">
        <v>1</v>
      </c>
      <c r="H741" s="103">
        <v>1</v>
      </c>
      <c r="I741" s="103">
        <v>1</v>
      </c>
      <c r="J741" s="103">
        <v>2</v>
      </c>
      <c r="K741" s="103">
        <v>1</v>
      </c>
      <c r="L741" s="103">
        <v>0</v>
      </c>
      <c r="M741" s="103">
        <v>0</v>
      </c>
      <c r="N741" s="103">
        <v>0</v>
      </c>
      <c r="O741" s="103">
        <v>0</v>
      </c>
      <c r="P741" s="42"/>
      <c r="Q741" s="110"/>
      <c r="R741" s="46" t="s">
        <v>4</v>
      </c>
      <c r="S741" s="103">
        <v>1</v>
      </c>
      <c r="T741" s="103">
        <v>1</v>
      </c>
      <c r="U741" s="103">
        <v>1</v>
      </c>
      <c r="V741" s="103">
        <v>1</v>
      </c>
      <c r="W741" s="103">
        <v>2</v>
      </c>
      <c r="X741" s="103">
        <v>0</v>
      </c>
      <c r="Y741" s="103">
        <v>0</v>
      </c>
      <c r="Z741" s="103">
        <v>0</v>
      </c>
      <c r="AA741" s="103">
        <v>0</v>
      </c>
      <c r="AB741" s="103">
        <v>0</v>
      </c>
      <c r="AC741" s="42"/>
      <c r="AD741" s="110"/>
      <c r="AE741" s="46" t="s">
        <v>4</v>
      </c>
      <c r="AF741" s="103">
        <v>2</v>
      </c>
      <c r="AG741" s="103">
        <v>0</v>
      </c>
      <c r="AH741" s="103">
        <v>0</v>
      </c>
      <c r="AI741" s="103">
        <v>0</v>
      </c>
      <c r="AJ741" s="103">
        <v>0</v>
      </c>
      <c r="AK741" s="103">
        <v>1</v>
      </c>
      <c r="AL741" s="103">
        <v>0</v>
      </c>
      <c r="AM741" s="103">
        <v>0</v>
      </c>
      <c r="AN741" s="103">
        <v>0</v>
      </c>
      <c r="AO741" s="103">
        <v>0</v>
      </c>
      <c r="AP741" s="6"/>
      <c r="AQ741" s="110"/>
      <c r="AR741" s="46" t="s">
        <v>4</v>
      </c>
      <c r="AS741" s="103">
        <v>0</v>
      </c>
      <c r="AT741" s="103">
        <v>1</v>
      </c>
      <c r="AU741" s="103">
        <v>0</v>
      </c>
      <c r="AV741" s="103">
        <v>1</v>
      </c>
      <c r="AW741" s="103">
        <v>2</v>
      </c>
      <c r="AX741" s="103">
        <v>1</v>
      </c>
      <c r="AY741" s="103">
        <v>0</v>
      </c>
      <c r="AZ741" s="103">
        <v>0</v>
      </c>
      <c r="BA741" s="103">
        <v>0</v>
      </c>
      <c r="BB741" s="103">
        <v>0</v>
      </c>
      <c r="BC741" s="42"/>
      <c r="BD741" s="110"/>
      <c r="BE741" s="46" t="s">
        <v>4</v>
      </c>
      <c r="BF741" s="103">
        <v>3</v>
      </c>
      <c r="BG741" s="103">
        <v>0</v>
      </c>
      <c r="BH741" s="103">
        <v>1</v>
      </c>
      <c r="BI741" s="103">
        <v>0</v>
      </c>
      <c r="BJ741" s="103">
        <v>0</v>
      </c>
      <c r="BK741" s="103">
        <v>0</v>
      </c>
      <c r="BL741" s="103">
        <v>0</v>
      </c>
      <c r="BM741" s="103">
        <v>0</v>
      </c>
      <c r="BN741" s="103">
        <v>0</v>
      </c>
      <c r="BO741" s="103">
        <v>0</v>
      </c>
      <c r="BQ741" s="110"/>
      <c r="BR741" s="46" t="s">
        <v>4</v>
      </c>
      <c r="BS741" s="103">
        <v>1</v>
      </c>
      <c r="BT741" s="103">
        <v>0</v>
      </c>
      <c r="BU741" s="103">
        <v>0</v>
      </c>
      <c r="BV741" s="103">
        <v>0</v>
      </c>
      <c r="BW741" s="103">
        <v>0</v>
      </c>
      <c r="BX741" s="103">
        <v>0</v>
      </c>
      <c r="BY741" s="103">
        <v>0</v>
      </c>
      <c r="BZ741" s="103">
        <v>0</v>
      </c>
      <c r="CA741" s="103">
        <v>0</v>
      </c>
      <c r="CB741" s="103">
        <v>0</v>
      </c>
      <c r="CC741" s="42"/>
      <c r="CD741" s="110"/>
      <c r="CE741" s="46" t="s">
        <v>4</v>
      </c>
      <c r="CF741" s="103">
        <v>2</v>
      </c>
      <c r="CG741" s="103">
        <v>1</v>
      </c>
      <c r="CH741" s="103">
        <v>1</v>
      </c>
      <c r="CI741" s="103">
        <v>1</v>
      </c>
      <c r="CJ741" s="103">
        <v>2</v>
      </c>
      <c r="CK741" s="103">
        <v>1</v>
      </c>
      <c r="CL741" s="103">
        <v>0</v>
      </c>
      <c r="CM741" s="103">
        <v>0</v>
      </c>
      <c r="CN741" s="103">
        <v>0</v>
      </c>
      <c r="CO741" s="103">
        <v>0</v>
      </c>
      <c r="CQ741" s="110"/>
      <c r="CR741" s="46" t="s">
        <v>4</v>
      </c>
      <c r="CS741" s="103">
        <v>2</v>
      </c>
      <c r="CT741" s="103">
        <v>0</v>
      </c>
      <c r="CU741" s="103">
        <v>0</v>
      </c>
      <c r="CV741" s="103">
        <v>1</v>
      </c>
      <c r="CW741" s="103">
        <v>2</v>
      </c>
      <c r="CX741" s="103">
        <v>1</v>
      </c>
      <c r="CY741" s="103">
        <v>0</v>
      </c>
      <c r="CZ741" s="103">
        <v>0</v>
      </c>
      <c r="DA741" s="103">
        <v>0</v>
      </c>
      <c r="DB741" s="103">
        <v>0</v>
      </c>
      <c r="DC741" s="42"/>
      <c r="DD741" s="110"/>
      <c r="DE741" s="46" t="s">
        <v>4</v>
      </c>
      <c r="DF741" s="103">
        <v>1</v>
      </c>
      <c r="DG741" s="103">
        <v>1</v>
      </c>
      <c r="DH741" s="103">
        <v>1</v>
      </c>
      <c r="DI741" s="103">
        <v>0</v>
      </c>
      <c r="DJ741" s="103">
        <v>0</v>
      </c>
      <c r="DK741" s="103">
        <v>0</v>
      </c>
      <c r="DL741" s="103">
        <v>0</v>
      </c>
      <c r="DM741" s="103">
        <v>0</v>
      </c>
      <c r="DN741" s="103">
        <v>0</v>
      </c>
      <c r="DO741" s="103">
        <v>0</v>
      </c>
    </row>
    <row r="742" spans="2:119" ht="16.5" customHeight="1" x14ac:dyDescent="0.45">
      <c r="B742" s="134"/>
      <c r="C742" s="42"/>
      <c r="D742" s="110"/>
      <c r="E742" s="46" t="s">
        <v>5</v>
      </c>
      <c r="F742" s="103">
        <v>2</v>
      </c>
      <c r="G742" s="103">
        <v>4</v>
      </c>
      <c r="H742" s="103">
        <v>7</v>
      </c>
      <c r="I742" s="103">
        <v>13</v>
      </c>
      <c r="J742" s="103">
        <v>2</v>
      </c>
      <c r="K742" s="103">
        <v>0</v>
      </c>
      <c r="L742" s="103">
        <v>0</v>
      </c>
      <c r="M742" s="103">
        <v>0</v>
      </c>
      <c r="N742" s="103">
        <v>0</v>
      </c>
      <c r="O742" s="103">
        <v>0</v>
      </c>
      <c r="P742" s="42"/>
      <c r="Q742" s="110"/>
      <c r="R742" s="46" t="s">
        <v>5</v>
      </c>
      <c r="S742" s="103">
        <v>2</v>
      </c>
      <c r="T742" s="103">
        <v>4</v>
      </c>
      <c r="U742" s="103">
        <v>3</v>
      </c>
      <c r="V742" s="103">
        <v>8</v>
      </c>
      <c r="W742" s="103">
        <v>2</v>
      </c>
      <c r="X742" s="103">
        <v>0</v>
      </c>
      <c r="Y742" s="103">
        <v>0</v>
      </c>
      <c r="Z742" s="103">
        <v>0</v>
      </c>
      <c r="AA742" s="103">
        <v>0</v>
      </c>
      <c r="AB742" s="103">
        <v>0</v>
      </c>
      <c r="AC742" s="42"/>
      <c r="AD742" s="110"/>
      <c r="AE742" s="46" t="s">
        <v>5</v>
      </c>
      <c r="AF742" s="103">
        <v>0</v>
      </c>
      <c r="AG742" s="103">
        <v>0</v>
      </c>
      <c r="AH742" s="103">
        <v>4</v>
      </c>
      <c r="AI742" s="103">
        <v>5</v>
      </c>
      <c r="AJ742" s="103">
        <v>0</v>
      </c>
      <c r="AK742" s="103">
        <v>0</v>
      </c>
      <c r="AL742" s="103">
        <v>0</v>
      </c>
      <c r="AM742" s="103">
        <v>0</v>
      </c>
      <c r="AN742" s="103">
        <v>0</v>
      </c>
      <c r="AO742" s="103">
        <v>0</v>
      </c>
      <c r="AP742" s="6"/>
      <c r="AQ742" s="110"/>
      <c r="AR742" s="46" t="s">
        <v>5</v>
      </c>
      <c r="AS742" s="103">
        <v>1</v>
      </c>
      <c r="AT742" s="103">
        <v>2</v>
      </c>
      <c r="AU742" s="103">
        <v>3</v>
      </c>
      <c r="AV742" s="103">
        <v>4</v>
      </c>
      <c r="AW742" s="103">
        <v>0</v>
      </c>
      <c r="AX742" s="103">
        <v>0</v>
      </c>
      <c r="AY742" s="103">
        <v>0</v>
      </c>
      <c r="AZ742" s="103">
        <v>0</v>
      </c>
      <c r="BA742" s="103">
        <v>0</v>
      </c>
      <c r="BB742" s="103">
        <v>0</v>
      </c>
      <c r="BC742" s="42"/>
      <c r="BD742" s="110"/>
      <c r="BE742" s="46" t="s">
        <v>5</v>
      </c>
      <c r="BF742" s="103">
        <v>1</v>
      </c>
      <c r="BG742" s="103">
        <v>2</v>
      </c>
      <c r="BH742" s="103">
        <v>4</v>
      </c>
      <c r="BI742" s="103">
        <v>9</v>
      </c>
      <c r="BJ742" s="103">
        <v>2</v>
      </c>
      <c r="BK742" s="103">
        <v>0</v>
      </c>
      <c r="BL742" s="103">
        <v>0</v>
      </c>
      <c r="BM742" s="103">
        <v>0</v>
      </c>
      <c r="BN742" s="103">
        <v>0</v>
      </c>
      <c r="BO742" s="103">
        <v>0</v>
      </c>
      <c r="BQ742" s="110"/>
      <c r="BR742" s="46" t="s">
        <v>5</v>
      </c>
      <c r="BS742" s="103">
        <v>1</v>
      </c>
      <c r="BT742" s="103">
        <v>1</v>
      </c>
      <c r="BU742" s="103">
        <v>2</v>
      </c>
      <c r="BV742" s="103">
        <v>3</v>
      </c>
      <c r="BW742" s="103">
        <v>2</v>
      </c>
      <c r="BX742" s="103">
        <v>0</v>
      </c>
      <c r="BY742" s="103">
        <v>0</v>
      </c>
      <c r="BZ742" s="103">
        <v>0</v>
      </c>
      <c r="CA742" s="103">
        <v>0</v>
      </c>
      <c r="CB742" s="103">
        <v>0</v>
      </c>
      <c r="CC742" s="42"/>
      <c r="CD742" s="110"/>
      <c r="CE742" s="46" t="s">
        <v>5</v>
      </c>
      <c r="CF742" s="103">
        <v>1</v>
      </c>
      <c r="CG742" s="103">
        <v>3</v>
      </c>
      <c r="CH742" s="103">
        <v>5</v>
      </c>
      <c r="CI742" s="103">
        <v>10</v>
      </c>
      <c r="CJ742" s="103">
        <v>0</v>
      </c>
      <c r="CK742" s="103">
        <v>0</v>
      </c>
      <c r="CL742" s="103">
        <v>0</v>
      </c>
      <c r="CM742" s="103">
        <v>0</v>
      </c>
      <c r="CN742" s="103">
        <v>0</v>
      </c>
      <c r="CO742" s="103">
        <v>0</v>
      </c>
      <c r="CQ742" s="110"/>
      <c r="CR742" s="46" t="s">
        <v>5</v>
      </c>
      <c r="CS742" s="103">
        <v>0</v>
      </c>
      <c r="CT742" s="103">
        <v>0</v>
      </c>
      <c r="CU742" s="103">
        <v>3</v>
      </c>
      <c r="CV742" s="103">
        <v>4</v>
      </c>
      <c r="CW742" s="103">
        <v>0</v>
      </c>
      <c r="CX742" s="103">
        <v>0</v>
      </c>
      <c r="CY742" s="103">
        <v>0</v>
      </c>
      <c r="CZ742" s="103">
        <v>0</v>
      </c>
      <c r="DA742" s="103">
        <v>0</v>
      </c>
      <c r="DB742" s="103">
        <v>0</v>
      </c>
      <c r="DC742" s="42"/>
      <c r="DD742" s="110"/>
      <c r="DE742" s="46" t="s">
        <v>5</v>
      </c>
      <c r="DF742" s="103">
        <v>2</v>
      </c>
      <c r="DG742" s="103">
        <v>4</v>
      </c>
      <c r="DH742" s="103">
        <v>4</v>
      </c>
      <c r="DI742" s="103">
        <v>9</v>
      </c>
      <c r="DJ742" s="103">
        <v>2</v>
      </c>
      <c r="DK742" s="103">
        <v>0</v>
      </c>
      <c r="DL742" s="103">
        <v>0</v>
      </c>
      <c r="DM742" s="103">
        <v>0</v>
      </c>
      <c r="DN742" s="103">
        <v>0</v>
      </c>
      <c r="DO742" s="103">
        <v>0</v>
      </c>
    </row>
    <row r="743" spans="2:119" ht="16.5" customHeight="1" x14ac:dyDescent="0.45">
      <c r="B743" s="134"/>
      <c r="C743" s="42"/>
      <c r="D743" s="110"/>
      <c r="E743" s="46" t="s">
        <v>6</v>
      </c>
      <c r="F743" s="103">
        <v>11</v>
      </c>
      <c r="G743" s="103">
        <v>9</v>
      </c>
      <c r="H743" s="103">
        <v>11</v>
      </c>
      <c r="I743" s="103">
        <v>12</v>
      </c>
      <c r="J743" s="103">
        <v>9</v>
      </c>
      <c r="K743" s="103">
        <v>3</v>
      </c>
      <c r="L743" s="103">
        <v>4</v>
      </c>
      <c r="M743" s="103">
        <v>2</v>
      </c>
      <c r="N743" s="103">
        <v>2</v>
      </c>
      <c r="O743" s="103">
        <v>0</v>
      </c>
      <c r="P743" s="42"/>
      <c r="Q743" s="110"/>
      <c r="R743" s="46" t="s">
        <v>6</v>
      </c>
      <c r="S743" s="103">
        <v>5</v>
      </c>
      <c r="T743" s="103">
        <v>6</v>
      </c>
      <c r="U743" s="103">
        <v>10</v>
      </c>
      <c r="V743" s="103">
        <v>8</v>
      </c>
      <c r="W743" s="103">
        <v>6</v>
      </c>
      <c r="X743" s="103">
        <v>3</v>
      </c>
      <c r="Y743" s="103">
        <v>3</v>
      </c>
      <c r="Z743" s="103">
        <v>2</v>
      </c>
      <c r="AA743" s="103">
        <v>1</v>
      </c>
      <c r="AB743" s="103">
        <v>0</v>
      </c>
      <c r="AC743" s="42"/>
      <c r="AD743" s="110"/>
      <c r="AE743" s="46" t="s">
        <v>6</v>
      </c>
      <c r="AF743" s="103">
        <v>6</v>
      </c>
      <c r="AG743" s="103">
        <v>3</v>
      </c>
      <c r="AH743" s="103">
        <v>1</v>
      </c>
      <c r="AI743" s="103">
        <v>4</v>
      </c>
      <c r="AJ743" s="103">
        <v>3</v>
      </c>
      <c r="AK743" s="103">
        <v>0</v>
      </c>
      <c r="AL743" s="103">
        <v>1</v>
      </c>
      <c r="AM743" s="103">
        <v>0</v>
      </c>
      <c r="AN743" s="103">
        <v>1</v>
      </c>
      <c r="AO743" s="103">
        <v>0</v>
      </c>
      <c r="AP743" s="6"/>
      <c r="AQ743" s="110"/>
      <c r="AR743" s="46" t="s">
        <v>6</v>
      </c>
      <c r="AS743" s="103">
        <v>1</v>
      </c>
      <c r="AT743" s="103">
        <v>5</v>
      </c>
      <c r="AU743" s="103">
        <v>5</v>
      </c>
      <c r="AV743" s="103">
        <v>1</v>
      </c>
      <c r="AW743" s="103">
        <v>1</v>
      </c>
      <c r="AX743" s="103">
        <v>0</v>
      </c>
      <c r="AY743" s="103">
        <v>1</v>
      </c>
      <c r="AZ743" s="103">
        <v>1</v>
      </c>
      <c r="BA743" s="103">
        <v>0</v>
      </c>
      <c r="BB743" s="103">
        <v>0</v>
      </c>
      <c r="BC743" s="42"/>
      <c r="BD743" s="110"/>
      <c r="BE743" s="46" t="s">
        <v>6</v>
      </c>
      <c r="BF743" s="103">
        <v>10</v>
      </c>
      <c r="BG743" s="103">
        <v>4</v>
      </c>
      <c r="BH743" s="103">
        <v>6</v>
      </c>
      <c r="BI743" s="103">
        <v>11</v>
      </c>
      <c r="BJ743" s="103">
        <v>8</v>
      </c>
      <c r="BK743" s="103">
        <v>3</v>
      </c>
      <c r="BL743" s="103">
        <v>3</v>
      </c>
      <c r="BM743" s="103">
        <v>1</v>
      </c>
      <c r="BN743" s="103">
        <v>2</v>
      </c>
      <c r="BO743" s="103">
        <v>0</v>
      </c>
      <c r="BQ743" s="110"/>
      <c r="BR743" s="46" t="s">
        <v>6</v>
      </c>
      <c r="BS743" s="103">
        <v>1</v>
      </c>
      <c r="BT743" s="103">
        <v>3</v>
      </c>
      <c r="BU743" s="103">
        <v>0</v>
      </c>
      <c r="BV743" s="103">
        <v>3</v>
      </c>
      <c r="BW743" s="103">
        <v>2</v>
      </c>
      <c r="BX743" s="103">
        <v>1</v>
      </c>
      <c r="BY743" s="103">
        <v>0</v>
      </c>
      <c r="BZ743" s="103">
        <v>0</v>
      </c>
      <c r="CA743" s="103">
        <v>1</v>
      </c>
      <c r="CB743" s="103">
        <v>0</v>
      </c>
      <c r="CC743" s="42"/>
      <c r="CD743" s="110"/>
      <c r="CE743" s="46" t="s">
        <v>6</v>
      </c>
      <c r="CF743" s="103">
        <v>10</v>
      </c>
      <c r="CG743" s="103">
        <v>6</v>
      </c>
      <c r="CH743" s="103">
        <v>11</v>
      </c>
      <c r="CI743" s="103">
        <v>9</v>
      </c>
      <c r="CJ743" s="103">
        <v>7</v>
      </c>
      <c r="CK743" s="103">
        <v>2</v>
      </c>
      <c r="CL743" s="103">
        <v>4</v>
      </c>
      <c r="CM743" s="103">
        <v>2</v>
      </c>
      <c r="CN743" s="103">
        <v>1</v>
      </c>
      <c r="CO743" s="103">
        <v>0</v>
      </c>
      <c r="CQ743" s="110"/>
      <c r="CR743" s="46" t="s">
        <v>6</v>
      </c>
      <c r="CS743" s="103">
        <v>2</v>
      </c>
      <c r="CT743" s="103">
        <v>2</v>
      </c>
      <c r="CU743" s="103">
        <v>3</v>
      </c>
      <c r="CV743" s="103">
        <v>2</v>
      </c>
      <c r="CW743" s="103">
        <v>4</v>
      </c>
      <c r="CX743" s="103">
        <v>0</v>
      </c>
      <c r="CY743" s="103">
        <v>2</v>
      </c>
      <c r="CZ743" s="103">
        <v>1</v>
      </c>
      <c r="DA743" s="103">
        <v>0</v>
      </c>
      <c r="DB743" s="103">
        <v>0</v>
      </c>
      <c r="DC743" s="42"/>
      <c r="DD743" s="110"/>
      <c r="DE743" s="46" t="s">
        <v>6</v>
      </c>
      <c r="DF743" s="103">
        <v>9</v>
      </c>
      <c r="DG743" s="103">
        <v>7</v>
      </c>
      <c r="DH743" s="103">
        <v>8</v>
      </c>
      <c r="DI743" s="103">
        <v>10</v>
      </c>
      <c r="DJ743" s="103">
        <v>5</v>
      </c>
      <c r="DK743" s="103">
        <v>3</v>
      </c>
      <c r="DL743" s="103">
        <v>2</v>
      </c>
      <c r="DM743" s="103">
        <v>1</v>
      </c>
      <c r="DN743" s="103">
        <v>2</v>
      </c>
      <c r="DO743" s="103">
        <v>0</v>
      </c>
    </row>
    <row r="744" spans="2:119" ht="16.5" customHeight="1" x14ac:dyDescent="0.45">
      <c r="B744" s="134"/>
      <c r="C744" s="42"/>
      <c r="D744" s="110"/>
      <c r="E744" s="46" t="s">
        <v>7</v>
      </c>
      <c r="F744" s="103">
        <v>10</v>
      </c>
      <c r="G744" s="103">
        <v>20</v>
      </c>
      <c r="H744" s="103">
        <v>37</v>
      </c>
      <c r="I744" s="103">
        <v>38</v>
      </c>
      <c r="J744" s="103">
        <v>17</v>
      </c>
      <c r="K744" s="103">
        <v>15</v>
      </c>
      <c r="L744" s="103">
        <v>13</v>
      </c>
      <c r="M744" s="103">
        <v>6</v>
      </c>
      <c r="N744" s="103">
        <v>5</v>
      </c>
      <c r="O744" s="103">
        <v>0</v>
      </c>
      <c r="P744" s="42"/>
      <c r="Q744" s="110"/>
      <c r="R744" s="46" t="s">
        <v>7</v>
      </c>
      <c r="S744" s="103">
        <v>3</v>
      </c>
      <c r="T744" s="103">
        <v>6</v>
      </c>
      <c r="U744" s="103">
        <v>23</v>
      </c>
      <c r="V744" s="103">
        <v>22</v>
      </c>
      <c r="W744" s="103">
        <v>8</v>
      </c>
      <c r="X744" s="103">
        <v>12</v>
      </c>
      <c r="Y744" s="103">
        <v>10</v>
      </c>
      <c r="Z744" s="103">
        <v>6</v>
      </c>
      <c r="AA744" s="103">
        <v>3</v>
      </c>
      <c r="AB744" s="103">
        <v>0</v>
      </c>
      <c r="AC744" s="42"/>
      <c r="AD744" s="110"/>
      <c r="AE744" s="46" t="s">
        <v>7</v>
      </c>
      <c r="AF744" s="103">
        <v>7</v>
      </c>
      <c r="AG744" s="103">
        <v>14</v>
      </c>
      <c r="AH744" s="103">
        <v>14</v>
      </c>
      <c r="AI744" s="103">
        <v>16</v>
      </c>
      <c r="AJ744" s="103">
        <v>9</v>
      </c>
      <c r="AK744" s="103">
        <v>3</v>
      </c>
      <c r="AL744" s="103">
        <v>3</v>
      </c>
      <c r="AM744" s="103">
        <v>0</v>
      </c>
      <c r="AN744" s="103">
        <v>2</v>
      </c>
      <c r="AO744" s="103">
        <v>0</v>
      </c>
      <c r="AP744" s="6"/>
      <c r="AQ744" s="110"/>
      <c r="AR744" s="46" t="s">
        <v>7</v>
      </c>
      <c r="AS744" s="103">
        <v>4</v>
      </c>
      <c r="AT744" s="103">
        <v>5</v>
      </c>
      <c r="AU744" s="103">
        <v>8</v>
      </c>
      <c r="AV744" s="103">
        <v>8</v>
      </c>
      <c r="AW744" s="103">
        <v>2</v>
      </c>
      <c r="AX744" s="103">
        <v>3</v>
      </c>
      <c r="AY744" s="103">
        <v>3</v>
      </c>
      <c r="AZ744" s="103">
        <v>2</v>
      </c>
      <c r="BA744" s="103">
        <v>1</v>
      </c>
      <c r="BB744" s="103">
        <v>0</v>
      </c>
      <c r="BC744" s="42"/>
      <c r="BD744" s="110"/>
      <c r="BE744" s="46" t="s">
        <v>7</v>
      </c>
      <c r="BF744" s="103">
        <v>6</v>
      </c>
      <c r="BG744" s="103">
        <v>15</v>
      </c>
      <c r="BH744" s="103">
        <v>29</v>
      </c>
      <c r="BI744" s="103">
        <v>30</v>
      </c>
      <c r="BJ744" s="103">
        <v>15</v>
      </c>
      <c r="BK744" s="103">
        <v>12</v>
      </c>
      <c r="BL744" s="103">
        <v>10</v>
      </c>
      <c r="BM744" s="103">
        <v>4</v>
      </c>
      <c r="BN744" s="103">
        <v>4</v>
      </c>
      <c r="BO744" s="103">
        <v>0</v>
      </c>
      <c r="BQ744" s="110"/>
      <c r="BR744" s="46" t="s">
        <v>7</v>
      </c>
      <c r="BS744" s="103">
        <v>2</v>
      </c>
      <c r="BT744" s="103">
        <v>2</v>
      </c>
      <c r="BU744" s="103">
        <v>12</v>
      </c>
      <c r="BV744" s="103">
        <v>8</v>
      </c>
      <c r="BW744" s="103">
        <v>0</v>
      </c>
      <c r="BX744" s="103">
        <v>3</v>
      </c>
      <c r="BY744" s="103">
        <v>3</v>
      </c>
      <c r="BZ744" s="103">
        <v>0</v>
      </c>
      <c r="CA744" s="103">
        <v>0</v>
      </c>
      <c r="CB744" s="103">
        <v>0</v>
      </c>
      <c r="CC744" s="42"/>
      <c r="CD744" s="110"/>
      <c r="CE744" s="46" t="s">
        <v>7</v>
      </c>
      <c r="CF744" s="103">
        <v>8</v>
      </c>
      <c r="CG744" s="103">
        <v>18</v>
      </c>
      <c r="CH744" s="103">
        <v>25</v>
      </c>
      <c r="CI744" s="103">
        <v>30</v>
      </c>
      <c r="CJ744" s="103">
        <v>17</v>
      </c>
      <c r="CK744" s="103">
        <v>12</v>
      </c>
      <c r="CL744" s="103">
        <v>10</v>
      </c>
      <c r="CM744" s="103">
        <v>6</v>
      </c>
      <c r="CN744" s="103">
        <v>5</v>
      </c>
      <c r="CO744" s="103">
        <v>0</v>
      </c>
      <c r="CQ744" s="110"/>
      <c r="CR744" s="46" t="s">
        <v>7</v>
      </c>
      <c r="CS744" s="103">
        <v>2</v>
      </c>
      <c r="CT744" s="103">
        <v>5</v>
      </c>
      <c r="CU744" s="103">
        <v>6</v>
      </c>
      <c r="CV744" s="103">
        <v>7</v>
      </c>
      <c r="CW744" s="103">
        <v>1</v>
      </c>
      <c r="CX744" s="103">
        <v>6</v>
      </c>
      <c r="CY744" s="103">
        <v>3</v>
      </c>
      <c r="CZ744" s="103">
        <v>2</v>
      </c>
      <c r="DA744" s="103">
        <v>1</v>
      </c>
      <c r="DB744" s="103">
        <v>0</v>
      </c>
      <c r="DC744" s="42"/>
      <c r="DD744" s="110"/>
      <c r="DE744" s="46" t="s">
        <v>7</v>
      </c>
      <c r="DF744" s="103">
        <v>8</v>
      </c>
      <c r="DG744" s="103">
        <v>15</v>
      </c>
      <c r="DH744" s="103">
        <v>31</v>
      </c>
      <c r="DI744" s="103">
        <v>31</v>
      </c>
      <c r="DJ744" s="103">
        <v>16</v>
      </c>
      <c r="DK744" s="103">
        <v>9</v>
      </c>
      <c r="DL744" s="103">
        <v>10</v>
      </c>
      <c r="DM744" s="103">
        <v>4</v>
      </c>
      <c r="DN744" s="103">
        <v>4</v>
      </c>
      <c r="DO744" s="103">
        <v>0</v>
      </c>
    </row>
    <row r="745" spans="2:119" ht="16.5" customHeight="1" x14ac:dyDescent="0.45">
      <c r="B745" s="134"/>
      <c r="C745" s="42"/>
      <c r="D745" s="110"/>
      <c r="E745" s="46" t="s">
        <v>8</v>
      </c>
      <c r="F745" s="103">
        <v>8</v>
      </c>
      <c r="G745" s="103">
        <v>29</v>
      </c>
      <c r="H745" s="103">
        <v>33</v>
      </c>
      <c r="I745" s="103">
        <v>82</v>
      </c>
      <c r="J745" s="103">
        <v>52</v>
      </c>
      <c r="K745" s="103">
        <v>57</v>
      </c>
      <c r="L745" s="103">
        <v>41</v>
      </c>
      <c r="M745" s="103">
        <v>30</v>
      </c>
      <c r="N745" s="103">
        <v>6</v>
      </c>
      <c r="O745" s="103">
        <v>6</v>
      </c>
      <c r="P745" s="42"/>
      <c r="Q745" s="110"/>
      <c r="R745" s="46" t="s">
        <v>8</v>
      </c>
      <c r="S745" s="103">
        <v>5</v>
      </c>
      <c r="T745" s="103">
        <v>14</v>
      </c>
      <c r="U745" s="103">
        <v>16</v>
      </c>
      <c r="V745" s="103">
        <v>47</v>
      </c>
      <c r="W745" s="103">
        <v>36</v>
      </c>
      <c r="X745" s="103">
        <v>40</v>
      </c>
      <c r="Y745" s="103">
        <v>29</v>
      </c>
      <c r="Z745" s="103">
        <v>21</v>
      </c>
      <c r="AA745" s="103">
        <v>4</v>
      </c>
      <c r="AB745" s="103">
        <v>6</v>
      </c>
      <c r="AC745" s="42"/>
      <c r="AD745" s="110"/>
      <c r="AE745" s="46" t="s">
        <v>8</v>
      </c>
      <c r="AF745" s="103">
        <v>3</v>
      </c>
      <c r="AG745" s="103">
        <v>15</v>
      </c>
      <c r="AH745" s="103">
        <v>17</v>
      </c>
      <c r="AI745" s="103">
        <v>35</v>
      </c>
      <c r="AJ745" s="103">
        <v>16</v>
      </c>
      <c r="AK745" s="103">
        <v>17</v>
      </c>
      <c r="AL745" s="103">
        <v>12</v>
      </c>
      <c r="AM745" s="103">
        <v>9</v>
      </c>
      <c r="AN745" s="103">
        <v>2</v>
      </c>
      <c r="AO745" s="103">
        <v>0</v>
      </c>
      <c r="AP745" s="6"/>
      <c r="AQ745" s="110"/>
      <c r="AR745" s="46" t="s">
        <v>8</v>
      </c>
      <c r="AS745" s="103">
        <v>2</v>
      </c>
      <c r="AT745" s="103">
        <v>7</v>
      </c>
      <c r="AU745" s="103">
        <v>11</v>
      </c>
      <c r="AV745" s="103">
        <v>20</v>
      </c>
      <c r="AW745" s="103">
        <v>10</v>
      </c>
      <c r="AX745" s="103">
        <v>12</v>
      </c>
      <c r="AY745" s="103">
        <v>7</v>
      </c>
      <c r="AZ745" s="103">
        <v>5</v>
      </c>
      <c r="BA745" s="103">
        <v>2</v>
      </c>
      <c r="BB745" s="103">
        <v>1</v>
      </c>
      <c r="BC745" s="42"/>
      <c r="BD745" s="110"/>
      <c r="BE745" s="46" t="s">
        <v>8</v>
      </c>
      <c r="BF745" s="103">
        <v>6</v>
      </c>
      <c r="BG745" s="103">
        <v>22</v>
      </c>
      <c r="BH745" s="103">
        <v>22</v>
      </c>
      <c r="BI745" s="103">
        <v>62</v>
      </c>
      <c r="BJ745" s="103">
        <v>42</v>
      </c>
      <c r="BK745" s="103">
        <v>45</v>
      </c>
      <c r="BL745" s="103">
        <v>34</v>
      </c>
      <c r="BM745" s="103">
        <v>25</v>
      </c>
      <c r="BN745" s="103">
        <v>4</v>
      </c>
      <c r="BO745" s="103">
        <v>5</v>
      </c>
      <c r="BQ745" s="110"/>
      <c r="BR745" s="46" t="s">
        <v>8</v>
      </c>
      <c r="BS745" s="103">
        <v>1</v>
      </c>
      <c r="BT745" s="103">
        <v>2</v>
      </c>
      <c r="BU745" s="103">
        <v>3</v>
      </c>
      <c r="BV745" s="103">
        <v>8</v>
      </c>
      <c r="BW745" s="103">
        <v>7</v>
      </c>
      <c r="BX745" s="103">
        <v>3</v>
      </c>
      <c r="BY745" s="103">
        <v>5</v>
      </c>
      <c r="BZ745" s="103">
        <v>6</v>
      </c>
      <c r="CA745" s="103">
        <v>0</v>
      </c>
      <c r="CB745" s="103">
        <v>0</v>
      </c>
      <c r="CC745" s="42"/>
      <c r="CD745" s="110"/>
      <c r="CE745" s="46" t="s">
        <v>8</v>
      </c>
      <c r="CF745" s="103">
        <v>7</v>
      </c>
      <c r="CG745" s="103">
        <v>27</v>
      </c>
      <c r="CH745" s="103">
        <v>30</v>
      </c>
      <c r="CI745" s="103">
        <v>74</v>
      </c>
      <c r="CJ745" s="103">
        <v>45</v>
      </c>
      <c r="CK745" s="103">
        <v>54</v>
      </c>
      <c r="CL745" s="103">
        <v>36</v>
      </c>
      <c r="CM745" s="103">
        <v>24</v>
      </c>
      <c r="CN745" s="103">
        <v>6</v>
      </c>
      <c r="CO745" s="103">
        <v>6</v>
      </c>
      <c r="CQ745" s="110"/>
      <c r="CR745" s="46" t="s">
        <v>8</v>
      </c>
      <c r="CS745" s="103">
        <v>0</v>
      </c>
      <c r="CT745" s="103">
        <v>3</v>
      </c>
      <c r="CU745" s="103">
        <v>5</v>
      </c>
      <c r="CV745" s="103">
        <v>13</v>
      </c>
      <c r="CW745" s="103">
        <v>13</v>
      </c>
      <c r="CX745" s="103">
        <v>7</v>
      </c>
      <c r="CY745" s="103">
        <v>13</v>
      </c>
      <c r="CZ745" s="103">
        <v>4</v>
      </c>
      <c r="DA745" s="103">
        <v>3</v>
      </c>
      <c r="DB745" s="103">
        <v>3</v>
      </c>
      <c r="DC745" s="42"/>
      <c r="DD745" s="110"/>
      <c r="DE745" s="46" t="s">
        <v>8</v>
      </c>
      <c r="DF745" s="103">
        <v>8</v>
      </c>
      <c r="DG745" s="103">
        <v>26</v>
      </c>
      <c r="DH745" s="103">
        <v>28</v>
      </c>
      <c r="DI745" s="103">
        <v>69</v>
      </c>
      <c r="DJ745" s="103">
        <v>39</v>
      </c>
      <c r="DK745" s="103">
        <v>50</v>
      </c>
      <c r="DL745" s="103">
        <v>28</v>
      </c>
      <c r="DM745" s="103">
        <v>26</v>
      </c>
      <c r="DN745" s="103">
        <v>3</v>
      </c>
      <c r="DO745" s="103">
        <v>3</v>
      </c>
    </row>
    <row r="746" spans="2:119" ht="16.5" customHeight="1" x14ac:dyDescent="0.45">
      <c r="B746" s="134"/>
      <c r="C746" s="42"/>
      <c r="D746" s="110"/>
      <c r="E746" s="46" t="s">
        <v>9</v>
      </c>
      <c r="F746" s="103">
        <v>7</v>
      </c>
      <c r="G746" s="103">
        <v>19</v>
      </c>
      <c r="H746" s="103">
        <v>42</v>
      </c>
      <c r="I746" s="103">
        <v>89</v>
      </c>
      <c r="J746" s="103">
        <v>110</v>
      </c>
      <c r="K746" s="103">
        <v>139</v>
      </c>
      <c r="L746" s="103">
        <v>143</v>
      </c>
      <c r="M746" s="103">
        <v>109</v>
      </c>
      <c r="N746" s="103">
        <v>105</v>
      </c>
      <c r="O746" s="103">
        <v>44</v>
      </c>
      <c r="P746" s="42"/>
      <c r="Q746" s="110"/>
      <c r="R746" s="46" t="s">
        <v>9</v>
      </c>
      <c r="S746" s="103">
        <v>3</v>
      </c>
      <c r="T746" s="103">
        <v>8</v>
      </c>
      <c r="U746" s="103">
        <v>19</v>
      </c>
      <c r="V746" s="103">
        <v>41</v>
      </c>
      <c r="W746" s="103">
        <v>68</v>
      </c>
      <c r="X746" s="103">
        <v>91</v>
      </c>
      <c r="Y746" s="103">
        <v>89</v>
      </c>
      <c r="Z746" s="103">
        <v>70</v>
      </c>
      <c r="AA746" s="103">
        <v>68</v>
      </c>
      <c r="AB746" s="103">
        <v>27</v>
      </c>
      <c r="AC746" s="42"/>
      <c r="AD746" s="110"/>
      <c r="AE746" s="46" t="s">
        <v>9</v>
      </c>
      <c r="AF746" s="103">
        <v>4</v>
      </c>
      <c r="AG746" s="103">
        <v>11</v>
      </c>
      <c r="AH746" s="103">
        <v>23</v>
      </c>
      <c r="AI746" s="103">
        <v>48</v>
      </c>
      <c r="AJ746" s="103">
        <v>42</v>
      </c>
      <c r="AK746" s="103">
        <v>48</v>
      </c>
      <c r="AL746" s="103">
        <v>54</v>
      </c>
      <c r="AM746" s="103">
        <v>39</v>
      </c>
      <c r="AN746" s="103">
        <v>37</v>
      </c>
      <c r="AO746" s="103">
        <v>17</v>
      </c>
      <c r="AP746" s="6"/>
      <c r="AQ746" s="110"/>
      <c r="AR746" s="46" t="s">
        <v>9</v>
      </c>
      <c r="AS746" s="103">
        <v>1</v>
      </c>
      <c r="AT746" s="103">
        <v>4</v>
      </c>
      <c r="AU746" s="103">
        <v>8</v>
      </c>
      <c r="AV746" s="103">
        <v>10</v>
      </c>
      <c r="AW746" s="103">
        <v>14</v>
      </c>
      <c r="AX746" s="103">
        <v>19</v>
      </c>
      <c r="AY746" s="103">
        <v>17</v>
      </c>
      <c r="AZ746" s="103">
        <v>10</v>
      </c>
      <c r="BA746" s="103">
        <v>17</v>
      </c>
      <c r="BB746" s="103">
        <v>4</v>
      </c>
      <c r="BC746" s="42"/>
      <c r="BD746" s="110"/>
      <c r="BE746" s="46" t="s">
        <v>9</v>
      </c>
      <c r="BF746" s="103">
        <v>6</v>
      </c>
      <c r="BG746" s="103">
        <v>15</v>
      </c>
      <c r="BH746" s="103">
        <v>34</v>
      </c>
      <c r="BI746" s="103">
        <v>79</v>
      </c>
      <c r="BJ746" s="103">
        <v>96</v>
      </c>
      <c r="BK746" s="103">
        <v>120</v>
      </c>
      <c r="BL746" s="103">
        <v>126</v>
      </c>
      <c r="BM746" s="103">
        <v>99</v>
      </c>
      <c r="BN746" s="103">
        <v>88</v>
      </c>
      <c r="BO746" s="103">
        <v>40</v>
      </c>
      <c r="BQ746" s="110"/>
      <c r="BR746" s="46" t="s">
        <v>9</v>
      </c>
      <c r="BS746" s="103">
        <v>1</v>
      </c>
      <c r="BT746" s="103">
        <v>1</v>
      </c>
      <c r="BU746" s="103">
        <v>2</v>
      </c>
      <c r="BV746" s="103">
        <v>6</v>
      </c>
      <c r="BW746" s="103">
        <v>7</v>
      </c>
      <c r="BX746" s="103">
        <v>10</v>
      </c>
      <c r="BY746" s="103">
        <v>7</v>
      </c>
      <c r="BZ746" s="103">
        <v>13</v>
      </c>
      <c r="CA746" s="103">
        <v>10</v>
      </c>
      <c r="CB746" s="103">
        <v>3</v>
      </c>
      <c r="CC746" s="42"/>
      <c r="CD746" s="110"/>
      <c r="CE746" s="46" t="s">
        <v>9</v>
      </c>
      <c r="CF746" s="103">
        <v>6</v>
      </c>
      <c r="CG746" s="103">
        <v>18</v>
      </c>
      <c r="CH746" s="103">
        <v>40</v>
      </c>
      <c r="CI746" s="103">
        <v>83</v>
      </c>
      <c r="CJ746" s="103">
        <v>103</v>
      </c>
      <c r="CK746" s="103">
        <v>129</v>
      </c>
      <c r="CL746" s="103">
        <v>136</v>
      </c>
      <c r="CM746" s="103">
        <v>96</v>
      </c>
      <c r="CN746" s="103">
        <v>95</v>
      </c>
      <c r="CO746" s="103">
        <v>41</v>
      </c>
      <c r="CQ746" s="110"/>
      <c r="CR746" s="46" t="s">
        <v>9</v>
      </c>
      <c r="CS746" s="103">
        <v>0</v>
      </c>
      <c r="CT746" s="103">
        <v>2</v>
      </c>
      <c r="CU746" s="103">
        <v>4</v>
      </c>
      <c r="CV746" s="103">
        <v>14</v>
      </c>
      <c r="CW746" s="103">
        <v>21</v>
      </c>
      <c r="CX746" s="103">
        <v>21</v>
      </c>
      <c r="CY746" s="103">
        <v>24</v>
      </c>
      <c r="CZ746" s="103">
        <v>22</v>
      </c>
      <c r="DA746" s="103">
        <v>21</v>
      </c>
      <c r="DB746" s="103">
        <v>12</v>
      </c>
      <c r="DC746" s="42"/>
      <c r="DD746" s="110"/>
      <c r="DE746" s="46" t="s">
        <v>9</v>
      </c>
      <c r="DF746" s="103">
        <v>7</v>
      </c>
      <c r="DG746" s="103">
        <v>17</v>
      </c>
      <c r="DH746" s="103">
        <v>38</v>
      </c>
      <c r="DI746" s="103">
        <v>75</v>
      </c>
      <c r="DJ746" s="103">
        <v>89</v>
      </c>
      <c r="DK746" s="103">
        <v>118</v>
      </c>
      <c r="DL746" s="103">
        <v>119</v>
      </c>
      <c r="DM746" s="103">
        <v>87</v>
      </c>
      <c r="DN746" s="103">
        <v>84</v>
      </c>
      <c r="DO746" s="103">
        <v>32</v>
      </c>
    </row>
    <row r="747" spans="2:119" ht="16.5" customHeight="1" x14ac:dyDescent="0.45">
      <c r="B747" s="134"/>
      <c r="C747" s="42"/>
      <c r="D747" s="110"/>
      <c r="E747" s="46" t="s">
        <v>10</v>
      </c>
      <c r="F747" s="103">
        <v>4</v>
      </c>
      <c r="G747" s="103">
        <v>7</v>
      </c>
      <c r="H747" s="103">
        <v>29</v>
      </c>
      <c r="I747" s="103">
        <v>85</v>
      </c>
      <c r="J747" s="103">
        <v>124</v>
      </c>
      <c r="K747" s="103">
        <v>203</v>
      </c>
      <c r="L747" s="103">
        <v>325</v>
      </c>
      <c r="M747" s="103">
        <v>393</v>
      </c>
      <c r="N747" s="103">
        <v>410</v>
      </c>
      <c r="O747" s="103">
        <v>317</v>
      </c>
      <c r="P747" s="42"/>
      <c r="Q747" s="110"/>
      <c r="R747" s="46" t="s">
        <v>10</v>
      </c>
      <c r="S747" s="103">
        <v>1</v>
      </c>
      <c r="T747" s="103">
        <v>2</v>
      </c>
      <c r="U747" s="103">
        <v>13</v>
      </c>
      <c r="V747" s="103">
        <v>44</v>
      </c>
      <c r="W747" s="103">
        <v>70</v>
      </c>
      <c r="X747" s="103">
        <v>102</v>
      </c>
      <c r="Y747" s="103">
        <v>181</v>
      </c>
      <c r="Z747" s="103">
        <v>221</v>
      </c>
      <c r="AA747" s="103">
        <v>259</v>
      </c>
      <c r="AB747" s="103">
        <v>199</v>
      </c>
      <c r="AC747" s="42"/>
      <c r="AD747" s="110"/>
      <c r="AE747" s="46" t="s">
        <v>10</v>
      </c>
      <c r="AF747" s="103">
        <v>3</v>
      </c>
      <c r="AG747" s="103">
        <v>5</v>
      </c>
      <c r="AH747" s="103">
        <v>16</v>
      </c>
      <c r="AI747" s="103">
        <v>41</v>
      </c>
      <c r="AJ747" s="103">
        <v>54</v>
      </c>
      <c r="AK747" s="103">
        <v>101</v>
      </c>
      <c r="AL747" s="103">
        <v>144</v>
      </c>
      <c r="AM747" s="103">
        <v>172</v>
      </c>
      <c r="AN747" s="103">
        <v>151</v>
      </c>
      <c r="AO747" s="103">
        <v>118</v>
      </c>
      <c r="AP747" s="6"/>
      <c r="AQ747" s="110"/>
      <c r="AR747" s="46" t="s">
        <v>10</v>
      </c>
      <c r="AS747" s="103">
        <v>0</v>
      </c>
      <c r="AT747" s="103">
        <v>1</v>
      </c>
      <c r="AU747" s="103">
        <v>3</v>
      </c>
      <c r="AV747" s="103">
        <v>11</v>
      </c>
      <c r="AW747" s="103">
        <v>14</v>
      </c>
      <c r="AX747" s="103">
        <v>16</v>
      </c>
      <c r="AY747" s="103">
        <v>27</v>
      </c>
      <c r="AZ747" s="103">
        <v>36</v>
      </c>
      <c r="BA747" s="103">
        <v>22</v>
      </c>
      <c r="BB747" s="103">
        <v>13</v>
      </c>
      <c r="BC747" s="42"/>
      <c r="BD747" s="110"/>
      <c r="BE747" s="46" t="s">
        <v>10</v>
      </c>
      <c r="BF747" s="103">
        <v>4</v>
      </c>
      <c r="BG747" s="103">
        <v>6</v>
      </c>
      <c r="BH747" s="103">
        <v>26</v>
      </c>
      <c r="BI747" s="103">
        <v>74</v>
      </c>
      <c r="BJ747" s="103">
        <v>110</v>
      </c>
      <c r="BK747" s="103">
        <v>187</v>
      </c>
      <c r="BL747" s="103">
        <v>298</v>
      </c>
      <c r="BM747" s="103">
        <v>357</v>
      </c>
      <c r="BN747" s="103">
        <v>388</v>
      </c>
      <c r="BO747" s="103">
        <v>304</v>
      </c>
      <c r="BQ747" s="110"/>
      <c r="BR747" s="46" t="s">
        <v>10</v>
      </c>
      <c r="BS747" s="103">
        <v>1</v>
      </c>
      <c r="BT747" s="103">
        <v>1</v>
      </c>
      <c r="BU747" s="103">
        <v>2</v>
      </c>
      <c r="BV747" s="103">
        <v>6</v>
      </c>
      <c r="BW747" s="103">
        <v>5</v>
      </c>
      <c r="BX747" s="103">
        <v>17</v>
      </c>
      <c r="BY747" s="103">
        <v>25</v>
      </c>
      <c r="BZ747" s="103">
        <v>16</v>
      </c>
      <c r="CA747" s="103">
        <v>23</v>
      </c>
      <c r="CB747" s="103">
        <v>9</v>
      </c>
      <c r="CC747" s="42"/>
      <c r="CD747" s="110"/>
      <c r="CE747" s="46" t="s">
        <v>10</v>
      </c>
      <c r="CF747" s="103">
        <v>3</v>
      </c>
      <c r="CG747" s="103">
        <v>6</v>
      </c>
      <c r="CH747" s="103">
        <v>27</v>
      </c>
      <c r="CI747" s="103">
        <v>79</v>
      </c>
      <c r="CJ747" s="103">
        <v>119</v>
      </c>
      <c r="CK747" s="103">
        <v>186</v>
      </c>
      <c r="CL747" s="103">
        <v>300</v>
      </c>
      <c r="CM747" s="103">
        <v>377</v>
      </c>
      <c r="CN747" s="103">
        <v>387</v>
      </c>
      <c r="CO747" s="103">
        <v>308</v>
      </c>
      <c r="CQ747" s="110"/>
      <c r="CR747" s="46" t="s">
        <v>10</v>
      </c>
      <c r="CS747" s="103">
        <v>0</v>
      </c>
      <c r="CT747" s="103">
        <v>0</v>
      </c>
      <c r="CU747" s="103">
        <v>3</v>
      </c>
      <c r="CV747" s="103">
        <v>10</v>
      </c>
      <c r="CW747" s="103">
        <v>15</v>
      </c>
      <c r="CX747" s="103">
        <v>26</v>
      </c>
      <c r="CY747" s="103">
        <v>46</v>
      </c>
      <c r="CZ747" s="103">
        <v>62</v>
      </c>
      <c r="DA747" s="103">
        <v>80</v>
      </c>
      <c r="DB747" s="103">
        <v>61</v>
      </c>
      <c r="DC747" s="42"/>
      <c r="DD747" s="110"/>
      <c r="DE747" s="46" t="s">
        <v>10</v>
      </c>
      <c r="DF747" s="103">
        <v>4</v>
      </c>
      <c r="DG747" s="103">
        <v>7</v>
      </c>
      <c r="DH747" s="103">
        <v>26</v>
      </c>
      <c r="DI747" s="103">
        <v>75</v>
      </c>
      <c r="DJ747" s="103">
        <v>109</v>
      </c>
      <c r="DK747" s="103">
        <v>177</v>
      </c>
      <c r="DL747" s="103">
        <v>279</v>
      </c>
      <c r="DM747" s="103">
        <v>331</v>
      </c>
      <c r="DN747" s="103">
        <v>330</v>
      </c>
      <c r="DO747" s="103">
        <v>256</v>
      </c>
    </row>
    <row r="748" spans="2:119" ht="16.5" customHeight="1" x14ac:dyDescent="0.45">
      <c r="B748" s="134"/>
      <c r="C748" s="42"/>
      <c r="D748" s="111"/>
      <c r="E748" s="46" t="s">
        <v>11</v>
      </c>
      <c r="F748" s="103">
        <v>0</v>
      </c>
      <c r="G748" s="103">
        <v>1</v>
      </c>
      <c r="H748" s="103">
        <v>7</v>
      </c>
      <c r="I748" s="103">
        <v>14</v>
      </c>
      <c r="J748" s="103">
        <v>16</v>
      </c>
      <c r="K748" s="103">
        <v>60</v>
      </c>
      <c r="L748" s="103">
        <v>99</v>
      </c>
      <c r="M748" s="103">
        <v>172</v>
      </c>
      <c r="N748" s="103">
        <v>327</v>
      </c>
      <c r="O748" s="103">
        <v>513</v>
      </c>
      <c r="P748" s="42"/>
      <c r="Q748" s="111"/>
      <c r="R748" s="46" t="s">
        <v>11</v>
      </c>
      <c r="S748" s="103">
        <v>0</v>
      </c>
      <c r="T748" s="103">
        <v>1</v>
      </c>
      <c r="U748" s="103">
        <v>3</v>
      </c>
      <c r="V748" s="103">
        <v>3</v>
      </c>
      <c r="W748" s="103">
        <v>8</v>
      </c>
      <c r="X748" s="103">
        <v>28</v>
      </c>
      <c r="Y748" s="103">
        <v>51</v>
      </c>
      <c r="Z748" s="103">
        <v>99</v>
      </c>
      <c r="AA748" s="103">
        <v>193</v>
      </c>
      <c r="AB748" s="103">
        <v>313</v>
      </c>
      <c r="AC748" s="42"/>
      <c r="AD748" s="111"/>
      <c r="AE748" s="46" t="s">
        <v>11</v>
      </c>
      <c r="AF748" s="103">
        <v>0</v>
      </c>
      <c r="AG748" s="103">
        <v>0</v>
      </c>
      <c r="AH748" s="103">
        <v>4</v>
      </c>
      <c r="AI748" s="103">
        <v>11</v>
      </c>
      <c r="AJ748" s="103">
        <v>8</v>
      </c>
      <c r="AK748" s="103">
        <v>32</v>
      </c>
      <c r="AL748" s="103">
        <v>48</v>
      </c>
      <c r="AM748" s="103">
        <v>73</v>
      </c>
      <c r="AN748" s="103">
        <v>134</v>
      </c>
      <c r="AO748" s="103">
        <v>200</v>
      </c>
      <c r="AP748" s="6"/>
      <c r="AQ748" s="111"/>
      <c r="AR748" s="46" t="s">
        <v>11</v>
      </c>
      <c r="AS748" s="103">
        <v>0</v>
      </c>
      <c r="AT748" s="103">
        <v>0</v>
      </c>
      <c r="AU748" s="103">
        <v>0</v>
      </c>
      <c r="AV748" s="103">
        <v>2</v>
      </c>
      <c r="AW748" s="103">
        <v>1</v>
      </c>
      <c r="AX748" s="103">
        <v>7</v>
      </c>
      <c r="AY748" s="103">
        <v>4</v>
      </c>
      <c r="AZ748" s="103">
        <v>12</v>
      </c>
      <c r="BA748" s="103">
        <v>20</v>
      </c>
      <c r="BB748" s="103">
        <v>20</v>
      </c>
      <c r="BC748" s="42"/>
      <c r="BD748" s="111"/>
      <c r="BE748" s="46" t="s">
        <v>11</v>
      </c>
      <c r="BF748" s="103">
        <v>0</v>
      </c>
      <c r="BG748" s="103">
        <v>1</v>
      </c>
      <c r="BH748" s="103">
        <v>7</v>
      </c>
      <c r="BI748" s="103">
        <v>12</v>
      </c>
      <c r="BJ748" s="103">
        <v>15</v>
      </c>
      <c r="BK748" s="103">
        <v>53</v>
      </c>
      <c r="BL748" s="103">
        <v>95</v>
      </c>
      <c r="BM748" s="103">
        <v>160</v>
      </c>
      <c r="BN748" s="103">
        <v>307</v>
      </c>
      <c r="BO748" s="103">
        <v>493</v>
      </c>
      <c r="BQ748" s="111"/>
      <c r="BR748" s="46" t="s">
        <v>11</v>
      </c>
      <c r="BS748" s="103">
        <v>0</v>
      </c>
      <c r="BT748" s="103">
        <v>0</v>
      </c>
      <c r="BU748" s="103">
        <v>0</v>
      </c>
      <c r="BV748" s="103">
        <v>1</v>
      </c>
      <c r="BW748" s="103">
        <v>0</v>
      </c>
      <c r="BX748" s="103">
        <v>5</v>
      </c>
      <c r="BY748" s="103">
        <v>6</v>
      </c>
      <c r="BZ748" s="103">
        <v>11</v>
      </c>
      <c r="CA748" s="103">
        <v>10</v>
      </c>
      <c r="CB748" s="103">
        <v>11</v>
      </c>
      <c r="CC748" s="42"/>
      <c r="CD748" s="111"/>
      <c r="CE748" s="46" t="s">
        <v>11</v>
      </c>
      <c r="CF748" s="103">
        <v>0</v>
      </c>
      <c r="CG748" s="103">
        <v>1</v>
      </c>
      <c r="CH748" s="103">
        <v>7</v>
      </c>
      <c r="CI748" s="103">
        <v>13</v>
      </c>
      <c r="CJ748" s="103">
        <v>16</v>
      </c>
      <c r="CK748" s="103">
        <v>55</v>
      </c>
      <c r="CL748" s="103">
        <v>93</v>
      </c>
      <c r="CM748" s="103">
        <v>161</v>
      </c>
      <c r="CN748" s="103">
        <v>317</v>
      </c>
      <c r="CO748" s="103">
        <v>502</v>
      </c>
      <c r="CQ748" s="111"/>
      <c r="CR748" s="46" t="s">
        <v>11</v>
      </c>
      <c r="CS748" s="103">
        <v>0</v>
      </c>
      <c r="CT748" s="103">
        <v>0</v>
      </c>
      <c r="CU748" s="103">
        <v>1</v>
      </c>
      <c r="CV748" s="103">
        <v>2</v>
      </c>
      <c r="CW748" s="103">
        <v>3</v>
      </c>
      <c r="CX748" s="103">
        <v>8</v>
      </c>
      <c r="CY748" s="103">
        <v>16</v>
      </c>
      <c r="CZ748" s="103">
        <v>23</v>
      </c>
      <c r="DA748" s="103">
        <v>50</v>
      </c>
      <c r="DB748" s="103">
        <v>107</v>
      </c>
      <c r="DC748" s="42"/>
      <c r="DD748" s="111"/>
      <c r="DE748" s="46" t="s">
        <v>11</v>
      </c>
      <c r="DF748" s="103">
        <v>0</v>
      </c>
      <c r="DG748" s="103">
        <v>1</v>
      </c>
      <c r="DH748" s="103">
        <v>6</v>
      </c>
      <c r="DI748" s="103">
        <v>12</v>
      </c>
      <c r="DJ748" s="103">
        <v>13</v>
      </c>
      <c r="DK748" s="103">
        <v>52</v>
      </c>
      <c r="DL748" s="103">
        <v>83</v>
      </c>
      <c r="DM748" s="103">
        <v>149</v>
      </c>
      <c r="DN748" s="103">
        <v>277</v>
      </c>
      <c r="DO748" s="103">
        <v>406</v>
      </c>
    </row>
    <row r="749" spans="2:119" ht="16.5" customHeight="1" x14ac:dyDescent="0.45">
      <c r="B749" s="99"/>
      <c r="C749" s="42"/>
      <c r="D749" s="42"/>
      <c r="E749" s="42"/>
      <c r="F749" s="42"/>
      <c r="G749" s="42"/>
      <c r="H749" s="42"/>
      <c r="I749" s="42"/>
      <c r="J749" s="42"/>
      <c r="K749" s="42"/>
      <c r="L749" s="42"/>
      <c r="M749" s="42"/>
      <c r="N749" s="42"/>
      <c r="O749" s="42"/>
      <c r="P749" s="42"/>
      <c r="Q749" s="42"/>
      <c r="R749" s="42"/>
      <c r="S749" s="42"/>
      <c r="T749" s="42"/>
      <c r="U749" s="42"/>
      <c r="V749" s="42"/>
      <c r="W749" s="42"/>
      <c r="X749" s="42"/>
      <c r="Y749" s="42"/>
      <c r="Z749" s="42"/>
      <c r="AA749" s="42"/>
      <c r="AB749" s="42"/>
      <c r="AC749" s="42"/>
      <c r="AD749" s="42"/>
      <c r="AE749" s="42"/>
      <c r="AF749" s="42"/>
      <c r="AG749" s="42"/>
      <c r="AH749" s="42"/>
      <c r="AI749" s="42"/>
      <c r="AJ749" s="42"/>
      <c r="AK749" s="42"/>
      <c r="AL749" s="42"/>
      <c r="AM749" s="42"/>
      <c r="AN749" s="42"/>
      <c r="AO749" s="42"/>
      <c r="AP749" s="6"/>
      <c r="AQ749" s="42"/>
      <c r="AR749" s="42"/>
      <c r="AS749" s="42"/>
      <c r="AT749" s="42"/>
      <c r="AU749" s="42"/>
      <c r="AV749" s="42"/>
      <c r="AW749" s="42"/>
      <c r="AX749" s="42"/>
      <c r="AY749" s="42"/>
      <c r="AZ749" s="42"/>
      <c r="BA749" s="42"/>
      <c r="BB749" s="42"/>
      <c r="BC749" s="42"/>
      <c r="BD749" s="42"/>
      <c r="BE749" s="42"/>
      <c r="BF749" s="42"/>
      <c r="BG749" s="42"/>
      <c r="BH749" s="42"/>
      <c r="BI749" s="42"/>
      <c r="BJ749" s="42"/>
      <c r="BK749" s="42"/>
      <c r="BL749" s="42"/>
      <c r="BM749" s="42"/>
      <c r="BN749" s="42"/>
      <c r="BO749" s="42"/>
      <c r="BQ749" s="42"/>
      <c r="BR749" s="42"/>
      <c r="BS749" s="42"/>
      <c r="BT749" s="42"/>
      <c r="BU749" s="42"/>
      <c r="BV749" s="42"/>
      <c r="BW749" s="42"/>
      <c r="BX749" s="42"/>
      <c r="BY749" s="42"/>
      <c r="BZ749" s="42"/>
      <c r="CA749" s="42"/>
      <c r="CB749" s="42"/>
      <c r="CC749" s="42"/>
      <c r="CD749" s="42"/>
      <c r="CE749" s="42"/>
      <c r="CF749" s="42"/>
      <c r="CG749" s="42"/>
      <c r="CH749" s="42"/>
      <c r="CI749" s="42"/>
      <c r="CJ749" s="42"/>
      <c r="CK749" s="42"/>
      <c r="CL749" s="42"/>
      <c r="CM749" s="42"/>
      <c r="CN749" s="42"/>
      <c r="CO749" s="42"/>
      <c r="CQ749" s="42"/>
      <c r="CR749" s="42"/>
      <c r="CS749" s="42"/>
      <c r="CT749" s="42"/>
      <c r="CU749" s="42"/>
      <c r="CV749" s="42"/>
      <c r="CW749" s="42"/>
      <c r="CX749" s="42"/>
      <c r="CY749" s="42"/>
      <c r="CZ749" s="42"/>
      <c r="DA749" s="42"/>
      <c r="DB749" s="42"/>
      <c r="DC749" s="42"/>
      <c r="DD749" s="42"/>
      <c r="DE749" s="42"/>
      <c r="DF749" s="42"/>
      <c r="DG749" s="42"/>
      <c r="DH749" s="42"/>
      <c r="DI749" s="42"/>
      <c r="DJ749" s="42"/>
      <c r="DK749" s="42"/>
      <c r="DL749" s="42"/>
      <c r="DM749" s="42"/>
      <c r="DN749" s="42"/>
      <c r="DO749" s="42"/>
    </row>
    <row r="750" spans="2:119" ht="16.5" customHeight="1" x14ac:dyDescent="0.55000000000000004">
      <c r="B750" s="99"/>
      <c r="C750" s="42"/>
      <c r="D750" s="112" t="s">
        <v>16</v>
      </c>
      <c r="E750" s="112"/>
      <c r="F750" s="45"/>
      <c r="G750" s="45"/>
      <c r="H750" s="45"/>
      <c r="I750" s="45"/>
      <c r="J750" s="45"/>
      <c r="K750" s="45"/>
      <c r="L750" s="45"/>
      <c r="M750" s="45"/>
      <c r="N750" s="45"/>
      <c r="O750" s="45"/>
      <c r="P750" s="42"/>
      <c r="Q750" s="112" t="s">
        <v>16</v>
      </c>
      <c r="R750" s="112"/>
      <c r="S750" s="45"/>
      <c r="T750" s="45"/>
      <c r="U750" s="45"/>
      <c r="V750" s="45"/>
      <c r="W750" s="45"/>
      <c r="X750" s="45"/>
      <c r="Y750" s="45"/>
      <c r="Z750" s="45"/>
      <c r="AA750" s="45"/>
      <c r="AB750" s="45"/>
      <c r="AC750" s="42"/>
      <c r="AD750" s="112" t="s">
        <v>16</v>
      </c>
      <c r="AE750" s="112"/>
      <c r="AF750" s="45"/>
      <c r="AG750" s="45"/>
      <c r="AH750" s="45"/>
      <c r="AI750" s="45"/>
      <c r="AJ750" s="45"/>
      <c r="AK750" s="45"/>
      <c r="AL750" s="45"/>
      <c r="AM750" s="45"/>
      <c r="AN750" s="45"/>
      <c r="AO750" s="45"/>
      <c r="AP750" s="6"/>
      <c r="AQ750" s="112" t="s">
        <v>16</v>
      </c>
      <c r="AR750" s="112"/>
      <c r="AS750" s="45"/>
      <c r="AT750" s="45"/>
      <c r="AU750" s="45"/>
      <c r="AV750" s="45"/>
      <c r="AW750" s="45"/>
      <c r="AX750" s="45"/>
      <c r="AY750" s="45"/>
      <c r="AZ750" s="45"/>
      <c r="BA750" s="45"/>
      <c r="BB750" s="45"/>
      <c r="BC750" s="42"/>
      <c r="BD750" s="112" t="s">
        <v>16</v>
      </c>
      <c r="BE750" s="112"/>
      <c r="BF750" s="45"/>
      <c r="BG750" s="45"/>
      <c r="BH750" s="45"/>
      <c r="BI750" s="45"/>
      <c r="BJ750" s="45"/>
      <c r="BK750" s="45"/>
      <c r="BL750" s="45"/>
      <c r="BM750" s="45"/>
      <c r="BN750" s="45"/>
      <c r="BO750" s="45"/>
      <c r="BQ750" s="112" t="s">
        <v>16</v>
      </c>
      <c r="BR750" s="112"/>
      <c r="BS750" s="45"/>
      <c r="BT750" s="45"/>
      <c r="BU750" s="45"/>
      <c r="BV750" s="45"/>
      <c r="BW750" s="45"/>
      <c r="BX750" s="45"/>
      <c r="BY750" s="45"/>
      <c r="BZ750" s="45"/>
      <c r="CA750" s="45"/>
      <c r="CB750" s="45"/>
      <c r="CC750" s="42"/>
      <c r="CD750" s="112" t="s">
        <v>16</v>
      </c>
      <c r="CE750" s="112"/>
      <c r="CF750" s="45"/>
      <c r="CG750" s="45"/>
      <c r="CH750" s="45"/>
      <c r="CI750" s="45"/>
      <c r="CJ750" s="45"/>
      <c r="CK750" s="45"/>
      <c r="CL750" s="45"/>
      <c r="CM750" s="45"/>
      <c r="CN750" s="45"/>
      <c r="CO750" s="45"/>
      <c r="CQ750" s="112" t="s">
        <v>16</v>
      </c>
      <c r="CR750" s="112"/>
      <c r="CS750" s="45"/>
      <c r="CT750" s="45"/>
      <c r="CU750" s="45"/>
      <c r="CV750" s="45"/>
      <c r="CW750" s="45"/>
      <c r="CX750" s="45"/>
      <c r="CY750" s="45"/>
      <c r="CZ750" s="45"/>
      <c r="DA750" s="45"/>
      <c r="DB750" s="45"/>
      <c r="DC750" s="42"/>
      <c r="DD750" s="112" t="s">
        <v>16</v>
      </c>
      <c r="DE750" s="112"/>
      <c r="DF750" s="45"/>
      <c r="DG750" s="45"/>
      <c r="DH750" s="45"/>
      <c r="DI750" s="45"/>
      <c r="DJ750" s="45"/>
      <c r="DK750" s="45"/>
      <c r="DL750" s="45"/>
      <c r="DM750" s="45"/>
      <c r="DN750" s="45"/>
      <c r="DO750" s="45"/>
    </row>
    <row r="751" spans="2:119" ht="28.9" customHeight="1" x14ac:dyDescent="0.45">
      <c r="B751" s="99"/>
      <c r="C751" s="42"/>
      <c r="D751" s="112"/>
      <c r="E751" s="112"/>
      <c r="F751" s="108" t="s">
        <v>12</v>
      </c>
      <c r="G751" s="108"/>
      <c r="H751" s="108"/>
      <c r="I751" s="108"/>
      <c r="J751" s="108"/>
      <c r="K751" s="108"/>
      <c r="L751" s="108"/>
      <c r="M751" s="108"/>
      <c r="N751" s="108"/>
      <c r="O751" s="108"/>
      <c r="P751" s="42"/>
      <c r="Q751" s="112"/>
      <c r="R751" s="112"/>
      <c r="S751" s="108" t="s">
        <v>12</v>
      </c>
      <c r="T751" s="108"/>
      <c r="U751" s="108"/>
      <c r="V751" s="108"/>
      <c r="W751" s="108"/>
      <c r="X751" s="108"/>
      <c r="Y751" s="108"/>
      <c r="Z751" s="108"/>
      <c r="AA751" s="108"/>
      <c r="AB751" s="108"/>
      <c r="AC751" s="42"/>
      <c r="AD751" s="112"/>
      <c r="AE751" s="112"/>
      <c r="AF751" s="131" t="s">
        <v>12</v>
      </c>
      <c r="AG751" s="132"/>
      <c r="AH751" s="132"/>
      <c r="AI751" s="132"/>
      <c r="AJ751" s="132"/>
      <c r="AK751" s="132"/>
      <c r="AL751" s="132"/>
      <c r="AM751" s="132"/>
      <c r="AN751" s="132"/>
      <c r="AO751" s="133"/>
      <c r="AP751" s="6"/>
      <c r="AQ751" s="112"/>
      <c r="AR751" s="112"/>
      <c r="AS751" s="108" t="s">
        <v>12</v>
      </c>
      <c r="AT751" s="108"/>
      <c r="AU751" s="108"/>
      <c r="AV751" s="108"/>
      <c r="AW751" s="108"/>
      <c r="AX751" s="108"/>
      <c r="AY751" s="108"/>
      <c r="AZ751" s="108"/>
      <c r="BA751" s="108"/>
      <c r="BB751" s="108"/>
      <c r="BC751" s="42"/>
      <c r="BD751" s="112"/>
      <c r="BE751" s="112"/>
      <c r="BF751" s="108" t="s">
        <v>12</v>
      </c>
      <c r="BG751" s="108"/>
      <c r="BH751" s="108"/>
      <c r="BI751" s="108"/>
      <c r="BJ751" s="108"/>
      <c r="BK751" s="108"/>
      <c r="BL751" s="108"/>
      <c r="BM751" s="108"/>
      <c r="BN751" s="108"/>
      <c r="BO751" s="108"/>
      <c r="BQ751" s="112"/>
      <c r="BR751" s="112"/>
      <c r="BS751" s="108" t="s">
        <v>12</v>
      </c>
      <c r="BT751" s="108"/>
      <c r="BU751" s="108"/>
      <c r="BV751" s="108"/>
      <c r="BW751" s="108"/>
      <c r="BX751" s="108"/>
      <c r="BY751" s="108"/>
      <c r="BZ751" s="108"/>
      <c r="CA751" s="108"/>
      <c r="CB751" s="108"/>
      <c r="CC751" s="42"/>
      <c r="CD751" s="112"/>
      <c r="CE751" s="112"/>
      <c r="CF751" s="108" t="s">
        <v>12</v>
      </c>
      <c r="CG751" s="108"/>
      <c r="CH751" s="108"/>
      <c r="CI751" s="108"/>
      <c r="CJ751" s="108"/>
      <c r="CK751" s="108"/>
      <c r="CL751" s="108"/>
      <c r="CM751" s="108"/>
      <c r="CN751" s="108"/>
      <c r="CO751" s="108"/>
      <c r="CQ751" s="112"/>
      <c r="CR751" s="112"/>
      <c r="CS751" s="108" t="s">
        <v>12</v>
      </c>
      <c r="CT751" s="108"/>
      <c r="CU751" s="108"/>
      <c r="CV751" s="108"/>
      <c r="CW751" s="108"/>
      <c r="CX751" s="108"/>
      <c r="CY751" s="108"/>
      <c r="CZ751" s="108"/>
      <c r="DA751" s="108"/>
      <c r="DB751" s="108"/>
      <c r="DC751" s="42"/>
      <c r="DD751" s="112"/>
      <c r="DE751" s="112"/>
      <c r="DF751" s="108" t="s">
        <v>12</v>
      </c>
      <c r="DG751" s="108"/>
      <c r="DH751" s="108"/>
      <c r="DI751" s="108"/>
      <c r="DJ751" s="108"/>
      <c r="DK751" s="108"/>
      <c r="DL751" s="108"/>
      <c r="DM751" s="108"/>
      <c r="DN751" s="108"/>
      <c r="DO751" s="108"/>
    </row>
    <row r="752" spans="2:119" ht="15" customHeight="1" x14ac:dyDescent="0.45">
      <c r="B752" s="99"/>
      <c r="C752" s="42"/>
      <c r="D752" s="113"/>
      <c r="E752" s="113"/>
      <c r="F752" s="9" t="s">
        <v>0</v>
      </c>
      <c r="G752" s="9">
        <v>1</v>
      </c>
      <c r="H752" s="9">
        <v>2</v>
      </c>
      <c r="I752" s="9">
        <v>3</v>
      </c>
      <c r="J752" s="9">
        <v>4</v>
      </c>
      <c r="K752" s="9">
        <v>5</v>
      </c>
      <c r="L752" s="9">
        <v>6</v>
      </c>
      <c r="M752" s="9">
        <v>7</v>
      </c>
      <c r="N752" s="9">
        <v>8</v>
      </c>
      <c r="O752" s="9">
        <v>9</v>
      </c>
      <c r="P752" s="42"/>
      <c r="Q752" s="113"/>
      <c r="R752" s="113"/>
      <c r="S752" s="9" t="s">
        <v>0</v>
      </c>
      <c r="T752" s="9">
        <v>1</v>
      </c>
      <c r="U752" s="9">
        <v>2</v>
      </c>
      <c r="V752" s="9">
        <v>3</v>
      </c>
      <c r="W752" s="9">
        <v>4</v>
      </c>
      <c r="X752" s="9">
        <v>5</v>
      </c>
      <c r="Y752" s="9">
        <v>6</v>
      </c>
      <c r="Z752" s="9">
        <v>7</v>
      </c>
      <c r="AA752" s="9">
        <v>8</v>
      </c>
      <c r="AB752" s="9">
        <v>9</v>
      </c>
      <c r="AC752" s="42"/>
      <c r="AD752" s="113"/>
      <c r="AE752" s="113"/>
      <c r="AF752" s="9" t="s">
        <v>0</v>
      </c>
      <c r="AG752" s="9">
        <v>1</v>
      </c>
      <c r="AH752" s="9">
        <v>2</v>
      </c>
      <c r="AI752" s="9">
        <v>3</v>
      </c>
      <c r="AJ752" s="9">
        <v>4</v>
      </c>
      <c r="AK752" s="9">
        <v>5</v>
      </c>
      <c r="AL752" s="9">
        <v>6</v>
      </c>
      <c r="AM752" s="9">
        <v>7</v>
      </c>
      <c r="AN752" s="9">
        <v>8</v>
      </c>
      <c r="AO752" s="9">
        <v>9</v>
      </c>
      <c r="AP752" s="6"/>
      <c r="AQ752" s="113"/>
      <c r="AR752" s="113"/>
      <c r="AS752" s="9" t="s">
        <v>0</v>
      </c>
      <c r="AT752" s="9">
        <v>1</v>
      </c>
      <c r="AU752" s="9">
        <v>2</v>
      </c>
      <c r="AV752" s="9">
        <v>3</v>
      </c>
      <c r="AW752" s="9">
        <v>4</v>
      </c>
      <c r="AX752" s="9">
        <v>5</v>
      </c>
      <c r="AY752" s="9">
        <v>6</v>
      </c>
      <c r="AZ752" s="9">
        <v>7</v>
      </c>
      <c r="BA752" s="9">
        <v>8</v>
      </c>
      <c r="BB752" s="9">
        <v>9</v>
      </c>
      <c r="BC752" s="42"/>
      <c r="BD752" s="113"/>
      <c r="BE752" s="113"/>
      <c r="BF752" s="9" t="s">
        <v>0</v>
      </c>
      <c r="BG752" s="9">
        <v>1</v>
      </c>
      <c r="BH752" s="9">
        <v>2</v>
      </c>
      <c r="BI752" s="9">
        <v>3</v>
      </c>
      <c r="BJ752" s="9">
        <v>4</v>
      </c>
      <c r="BK752" s="9">
        <v>5</v>
      </c>
      <c r="BL752" s="9">
        <v>6</v>
      </c>
      <c r="BM752" s="9">
        <v>7</v>
      </c>
      <c r="BN752" s="9">
        <v>8</v>
      </c>
      <c r="BO752" s="9">
        <v>9</v>
      </c>
      <c r="BQ752" s="113"/>
      <c r="BR752" s="113"/>
      <c r="BS752" s="9" t="s">
        <v>0</v>
      </c>
      <c r="BT752" s="9">
        <v>1</v>
      </c>
      <c r="BU752" s="9">
        <v>2</v>
      </c>
      <c r="BV752" s="9">
        <v>3</v>
      </c>
      <c r="BW752" s="9">
        <v>4</v>
      </c>
      <c r="BX752" s="9">
        <v>5</v>
      </c>
      <c r="BY752" s="9">
        <v>6</v>
      </c>
      <c r="BZ752" s="9">
        <v>7</v>
      </c>
      <c r="CA752" s="9">
        <v>8</v>
      </c>
      <c r="CB752" s="9">
        <v>9</v>
      </c>
      <c r="CC752" s="42"/>
      <c r="CD752" s="113"/>
      <c r="CE752" s="113"/>
      <c r="CF752" s="9" t="s">
        <v>0</v>
      </c>
      <c r="CG752" s="9">
        <v>1</v>
      </c>
      <c r="CH752" s="9">
        <v>2</v>
      </c>
      <c r="CI752" s="9">
        <v>3</v>
      </c>
      <c r="CJ752" s="9">
        <v>4</v>
      </c>
      <c r="CK752" s="9">
        <v>5</v>
      </c>
      <c r="CL752" s="9">
        <v>6</v>
      </c>
      <c r="CM752" s="9">
        <v>7</v>
      </c>
      <c r="CN752" s="9">
        <v>8</v>
      </c>
      <c r="CO752" s="9">
        <v>9</v>
      </c>
      <c r="CQ752" s="113"/>
      <c r="CR752" s="113"/>
      <c r="CS752" s="9" t="s">
        <v>0</v>
      </c>
      <c r="CT752" s="9">
        <v>1</v>
      </c>
      <c r="CU752" s="9">
        <v>2</v>
      </c>
      <c r="CV752" s="9">
        <v>3</v>
      </c>
      <c r="CW752" s="9">
        <v>4</v>
      </c>
      <c r="CX752" s="9">
        <v>5</v>
      </c>
      <c r="CY752" s="9">
        <v>6</v>
      </c>
      <c r="CZ752" s="9">
        <v>7</v>
      </c>
      <c r="DA752" s="9">
        <v>8</v>
      </c>
      <c r="DB752" s="9">
        <v>9</v>
      </c>
      <c r="DC752" s="42"/>
      <c r="DD752" s="113"/>
      <c r="DE752" s="113"/>
      <c r="DF752" s="9" t="s">
        <v>0</v>
      </c>
      <c r="DG752" s="9">
        <v>1</v>
      </c>
      <c r="DH752" s="9">
        <v>2</v>
      </c>
      <c r="DI752" s="9">
        <v>3</v>
      </c>
      <c r="DJ752" s="9">
        <v>4</v>
      </c>
      <c r="DK752" s="9">
        <v>5</v>
      </c>
      <c r="DL752" s="9">
        <v>6</v>
      </c>
      <c r="DM752" s="9">
        <v>7</v>
      </c>
      <c r="DN752" s="9">
        <v>8</v>
      </c>
      <c r="DO752" s="9">
        <v>9</v>
      </c>
    </row>
    <row r="753" spans="2:119" ht="16.5" customHeight="1" x14ac:dyDescent="0.45">
      <c r="B753" s="99"/>
      <c r="C753" s="42"/>
      <c r="D753" s="109" t="s">
        <v>13</v>
      </c>
      <c r="E753" s="47" t="s">
        <v>1</v>
      </c>
      <c r="F753" s="103" t="s">
        <v>128</v>
      </c>
      <c r="G753" s="103" t="s">
        <v>128</v>
      </c>
      <c r="H753" s="103" t="s">
        <v>128</v>
      </c>
      <c r="I753" s="103" t="s">
        <v>128</v>
      </c>
      <c r="J753" s="103" t="s">
        <v>128</v>
      </c>
      <c r="K753" s="103" t="s">
        <v>128</v>
      </c>
      <c r="L753" s="103" t="s">
        <v>128</v>
      </c>
      <c r="M753" s="103" t="s">
        <v>128</v>
      </c>
      <c r="N753" s="103" t="s">
        <v>128</v>
      </c>
      <c r="O753" s="17" t="s">
        <v>128</v>
      </c>
      <c r="P753" s="42"/>
      <c r="Q753" s="109" t="s">
        <v>13</v>
      </c>
      <c r="R753" s="46" t="s">
        <v>1</v>
      </c>
      <c r="S753" s="103" t="s">
        <v>128</v>
      </c>
      <c r="T753" s="103" t="s">
        <v>128</v>
      </c>
      <c r="U753" s="103" t="s">
        <v>128</v>
      </c>
      <c r="V753" s="103" t="s">
        <v>128</v>
      </c>
      <c r="W753" s="103" t="s">
        <v>128</v>
      </c>
      <c r="X753" s="103" t="s">
        <v>128</v>
      </c>
      <c r="Y753" s="103" t="s">
        <v>128</v>
      </c>
      <c r="Z753" s="103" t="s">
        <v>128</v>
      </c>
      <c r="AA753" s="103" t="s">
        <v>128</v>
      </c>
      <c r="AB753" s="17" t="s">
        <v>128</v>
      </c>
      <c r="AC753" s="42"/>
      <c r="AD753" s="109" t="s">
        <v>13</v>
      </c>
      <c r="AE753" s="46" t="s">
        <v>1</v>
      </c>
      <c r="AF753" s="103" t="s">
        <v>128</v>
      </c>
      <c r="AG753" s="103" t="s">
        <v>128</v>
      </c>
      <c r="AH753" s="103" t="s">
        <v>128</v>
      </c>
      <c r="AI753" s="103" t="s">
        <v>128</v>
      </c>
      <c r="AJ753" s="103" t="s">
        <v>128</v>
      </c>
      <c r="AK753" s="103" t="s">
        <v>128</v>
      </c>
      <c r="AL753" s="103" t="s">
        <v>128</v>
      </c>
      <c r="AM753" s="103" t="s">
        <v>128</v>
      </c>
      <c r="AN753" s="103" t="s">
        <v>128</v>
      </c>
      <c r="AO753" s="17" t="s">
        <v>128</v>
      </c>
      <c r="AP753" s="6"/>
      <c r="AQ753" s="109" t="s">
        <v>13</v>
      </c>
      <c r="AR753" s="46" t="s">
        <v>1</v>
      </c>
      <c r="AS753" s="103" t="s">
        <v>128</v>
      </c>
      <c r="AT753" s="103" t="s">
        <v>128</v>
      </c>
      <c r="AU753" s="103" t="s">
        <v>128</v>
      </c>
      <c r="AV753" s="103" t="s">
        <v>128</v>
      </c>
      <c r="AW753" s="103" t="s">
        <v>128</v>
      </c>
      <c r="AX753" s="103" t="s">
        <v>128</v>
      </c>
      <c r="AY753" s="103" t="s">
        <v>128</v>
      </c>
      <c r="AZ753" s="103" t="s">
        <v>128</v>
      </c>
      <c r="BA753" s="103" t="s">
        <v>128</v>
      </c>
      <c r="BB753" s="17" t="s">
        <v>128</v>
      </c>
      <c r="BC753" s="42"/>
      <c r="BD753" s="109" t="s">
        <v>13</v>
      </c>
      <c r="BE753" s="46" t="s">
        <v>1</v>
      </c>
      <c r="BF753" s="103" t="s">
        <v>128</v>
      </c>
      <c r="BG753" s="103" t="s">
        <v>128</v>
      </c>
      <c r="BH753" s="103" t="s">
        <v>128</v>
      </c>
      <c r="BI753" s="103" t="s">
        <v>128</v>
      </c>
      <c r="BJ753" s="103" t="s">
        <v>128</v>
      </c>
      <c r="BK753" s="103" t="s">
        <v>128</v>
      </c>
      <c r="BL753" s="103" t="s">
        <v>128</v>
      </c>
      <c r="BM753" s="103" t="s">
        <v>128</v>
      </c>
      <c r="BN753" s="103" t="s">
        <v>128</v>
      </c>
      <c r="BO753" s="17" t="s">
        <v>128</v>
      </c>
      <c r="BQ753" s="109" t="s">
        <v>13</v>
      </c>
      <c r="BR753" s="46" t="s">
        <v>1</v>
      </c>
      <c r="BS753" s="103" t="s">
        <v>128</v>
      </c>
      <c r="BT753" s="103" t="s">
        <v>128</v>
      </c>
      <c r="BU753" s="103" t="s">
        <v>128</v>
      </c>
      <c r="BV753" s="103" t="s">
        <v>128</v>
      </c>
      <c r="BW753" s="103" t="s">
        <v>128</v>
      </c>
      <c r="BX753" s="103" t="s">
        <v>128</v>
      </c>
      <c r="BY753" s="103" t="s">
        <v>128</v>
      </c>
      <c r="BZ753" s="103" t="s">
        <v>128</v>
      </c>
      <c r="CA753" s="103" t="s">
        <v>128</v>
      </c>
      <c r="CB753" s="17" t="s">
        <v>128</v>
      </c>
      <c r="CC753" s="42"/>
      <c r="CD753" s="109" t="s">
        <v>13</v>
      </c>
      <c r="CE753" s="46" t="s">
        <v>1</v>
      </c>
      <c r="CF753" s="103" t="s">
        <v>128</v>
      </c>
      <c r="CG753" s="103" t="s">
        <v>128</v>
      </c>
      <c r="CH753" s="103" t="s">
        <v>128</v>
      </c>
      <c r="CI753" s="103" t="s">
        <v>128</v>
      </c>
      <c r="CJ753" s="103" t="s">
        <v>128</v>
      </c>
      <c r="CK753" s="103" t="s">
        <v>128</v>
      </c>
      <c r="CL753" s="103" t="s">
        <v>128</v>
      </c>
      <c r="CM753" s="103" t="s">
        <v>128</v>
      </c>
      <c r="CN753" s="103" t="s">
        <v>128</v>
      </c>
      <c r="CO753" s="17" t="s">
        <v>128</v>
      </c>
      <c r="CQ753" s="109" t="s">
        <v>13</v>
      </c>
      <c r="CR753" s="46" t="s">
        <v>1</v>
      </c>
      <c r="CS753" s="103" t="s">
        <v>128</v>
      </c>
      <c r="CT753" s="103" t="s">
        <v>128</v>
      </c>
      <c r="CU753" s="103" t="s">
        <v>128</v>
      </c>
      <c r="CV753" s="103" t="s">
        <v>128</v>
      </c>
      <c r="CW753" s="103" t="s">
        <v>128</v>
      </c>
      <c r="CX753" s="103" t="s">
        <v>128</v>
      </c>
      <c r="CY753" s="103" t="s">
        <v>128</v>
      </c>
      <c r="CZ753" s="103" t="s">
        <v>128</v>
      </c>
      <c r="DA753" s="103" t="s">
        <v>128</v>
      </c>
      <c r="DB753" s="17" t="s">
        <v>128</v>
      </c>
      <c r="DC753" s="42"/>
      <c r="DD753" s="109" t="s">
        <v>13</v>
      </c>
      <c r="DE753" s="46" t="s">
        <v>1</v>
      </c>
      <c r="DF753" s="103" t="s">
        <v>128</v>
      </c>
      <c r="DG753" s="103" t="s">
        <v>128</v>
      </c>
      <c r="DH753" s="103" t="s">
        <v>128</v>
      </c>
      <c r="DI753" s="103" t="s">
        <v>128</v>
      </c>
      <c r="DJ753" s="103" t="s">
        <v>128</v>
      </c>
      <c r="DK753" s="103" t="s">
        <v>128</v>
      </c>
      <c r="DL753" s="103" t="s">
        <v>128</v>
      </c>
      <c r="DM753" s="103" t="s">
        <v>128</v>
      </c>
      <c r="DN753" s="103" t="s">
        <v>128</v>
      </c>
      <c r="DO753" s="17" t="s">
        <v>128</v>
      </c>
    </row>
    <row r="754" spans="2:119" ht="16.5" customHeight="1" x14ac:dyDescent="0.45">
      <c r="B754" s="99"/>
      <c r="C754" s="42"/>
      <c r="D754" s="110"/>
      <c r="E754" s="47">
        <v>1</v>
      </c>
      <c r="F754" s="103" t="s">
        <v>128</v>
      </c>
      <c r="G754" s="103" t="s">
        <v>128</v>
      </c>
      <c r="H754" s="103" t="s">
        <v>128</v>
      </c>
      <c r="I754" s="103" t="s">
        <v>128</v>
      </c>
      <c r="J754" s="103" t="s">
        <v>128</v>
      </c>
      <c r="K754" s="103" t="s">
        <v>128</v>
      </c>
      <c r="L754" s="103" t="s">
        <v>128</v>
      </c>
      <c r="M754" s="103" t="s">
        <v>128</v>
      </c>
      <c r="N754" s="103" t="s">
        <v>128</v>
      </c>
      <c r="O754" s="103" t="s">
        <v>128</v>
      </c>
      <c r="P754" s="42"/>
      <c r="Q754" s="110"/>
      <c r="R754" s="46">
        <v>1</v>
      </c>
      <c r="S754" s="103" t="s">
        <v>128</v>
      </c>
      <c r="T754" s="103" t="s">
        <v>128</v>
      </c>
      <c r="U754" s="103" t="s">
        <v>128</v>
      </c>
      <c r="V754" s="103" t="s">
        <v>128</v>
      </c>
      <c r="W754" s="103" t="s">
        <v>128</v>
      </c>
      <c r="X754" s="103" t="s">
        <v>128</v>
      </c>
      <c r="Y754" s="103" t="s">
        <v>128</v>
      </c>
      <c r="Z754" s="103" t="s">
        <v>128</v>
      </c>
      <c r="AA754" s="103" t="s">
        <v>128</v>
      </c>
      <c r="AB754" s="103" t="s">
        <v>128</v>
      </c>
      <c r="AC754" s="42"/>
      <c r="AD754" s="110"/>
      <c r="AE754" s="46">
        <v>1</v>
      </c>
      <c r="AF754" s="103" t="s">
        <v>128</v>
      </c>
      <c r="AG754" s="103" t="s">
        <v>128</v>
      </c>
      <c r="AH754" s="103" t="s">
        <v>128</v>
      </c>
      <c r="AI754" s="103" t="s">
        <v>128</v>
      </c>
      <c r="AJ754" s="103" t="s">
        <v>128</v>
      </c>
      <c r="AK754" s="103" t="s">
        <v>128</v>
      </c>
      <c r="AL754" s="103" t="s">
        <v>128</v>
      </c>
      <c r="AM754" s="103" t="s">
        <v>128</v>
      </c>
      <c r="AN754" s="103" t="s">
        <v>128</v>
      </c>
      <c r="AO754" s="103" t="s">
        <v>128</v>
      </c>
      <c r="AP754" s="6"/>
      <c r="AQ754" s="110"/>
      <c r="AR754" s="46">
        <v>1</v>
      </c>
      <c r="AS754" s="103" t="s">
        <v>128</v>
      </c>
      <c r="AT754" s="103" t="s">
        <v>128</v>
      </c>
      <c r="AU754" s="103" t="s">
        <v>128</v>
      </c>
      <c r="AV754" s="103" t="s">
        <v>128</v>
      </c>
      <c r="AW754" s="103" t="s">
        <v>128</v>
      </c>
      <c r="AX754" s="103" t="s">
        <v>128</v>
      </c>
      <c r="AY754" s="103" t="s">
        <v>128</v>
      </c>
      <c r="AZ754" s="103" t="s">
        <v>128</v>
      </c>
      <c r="BA754" s="103" t="s">
        <v>128</v>
      </c>
      <c r="BB754" s="103" t="s">
        <v>128</v>
      </c>
      <c r="BC754" s="42"/>
      <c r="BD754" s="110"/>
      <c r="BE754" s="46">
        <v>1</v>
      </c>
      <c r="BF754" s="103" t="s">
        <v>128</v>
      </c>
      <c r="BG754" s="103" t="s">
        <v>128</v>
      </c>
      <c r="BH754" s="103" t="s">
        <v>128</v>
      </c>
      <c r="BI754" s="103" t="s">
        <v>128</v>
      </c>
      <c r="BJ754" s="103" t="s">
        <v>128</v>
      </c>
      <c r="BK754" s="103" t="s">
        <v>128</v>
      </c>
      <c r="BL754" s="103" t="s">
        <v>128</v>
      </c>
      <c r="BM754" s="103" t="s">
        <v>128</v>
      </c>
      <c r="BN754" s="103" t="s">
        <v>128</v>
      </c>
      <c r="BO754" s="103" t="s">
        <v>128</v>
      </c>
      <c r="BQ754" s="110"/>
      <c r="BR754" s="46">
        <v>1</v>
      </c>
      <c r="BS754" s="103" t="s">
        <v>128</v>
      </c>
      <c r="BT754" s="103" t="s">
        <v>128</v>
      </c>
      <c r="BU754" s="103" t="s">
        <v>128</v>
      </c>
      <c r="BV754" s="103" t="s">
        <v>128</v>
      </c>
      <c r="BW754" s="103" t="s">
        <v>128</v>
      </c>
      <c r="BX754" s="103" t="s">
        <v>128</v>
      </c>
      <c r="BY754" s="103" t="s">
        <v>128</v>
      </c>
      <c r="BZ754" s="103" t="s">
        <v>128</v>
      </c>
      <c r="CA754" s="103" t="s">
        <v>128</v>
      </c>
      <c r="CB754" s="103" t="s">
        <v>128</v>
      </c>
      <c r="CC754" s="42"/>
      <c r="CD754" s="110"/>
      <c r="CE754" s="46">
        <v>1</v>
      </c>
      <c r="CF754" s="103" t="s">
        <v>128</v>
      </c>
      <c r="CG754" s="103" t="s">
        <v>128</v>
      </c>
      <c r="CH754" s="103" t="s">
        <v>128</v>
      </c>
      <c r="CI754" s="103" t="s">
        <v>128</v>
      </c>
      <c r="CJ754" s="103" t="s">
        <v>128</v>
      </c>
      <c r="CK754" s="103" t="s">
        <v>128</v>
      </c>
      <c r="CL754" s="103" t="s">
        <v>128</v>
      </c>
      <c r="CM754" s="103" t="s">
        <v>128</v>
      </c>
      <c r="CN754" s="103" t="s">
        <v>128</v>
      </c>
      <c r="CO754" s="103" t="s">
        <v>128</v>
      </c>
      <c r="CQ754" s="110"/>
      <c r="CR754" s="46">
        <v>1</v>
      </c>
      <c r="CS754" s="103" t="s">
        <v>128</v>
      </c>
      <c r="CT754" s="103" t="s">
        <v>128</v>
      </c>
      <c r="CU754" s="103" t="s">
        <v>128</v>
      </c>
      <c r="CV754" s="103" t="s">
        <v>128</v>
      </c>
      <c r="CW754" s="103" t="s">
        <v>128</v>
      </c>
      <c r="CX754" s="103" t="s">
        <v>128</v>
      </c>
      <c r="CY754" s="103" t="s">
        <v>128</v>
      </c>
      <c r="CZ754" s="103" t="s">
        <v>128</v>
      </c>
      <c r="DA754" s="103" t="s">
        <v>128</v>
      </c>
      <c r="DB754" s="103" t="s">
        <v>128</v>
      </c>
      <c r="DC754" s="42"/>
      <c r="DD754" s="110"/>
      <c r="DE754" s="46">
        <v>1</v>
      </c>
      <c r="DF754" s="103" t="s">
        <v>128</v>
      </c>
      <c r="DG754" s="103" t="s">
        <v>128</v>
      </c>
      <c r="DH754" s="103" t="s">
        <v>128</v>
      </c>
      <c r="DI754" s="103" t="s">
        <v>128</v>
      </c>
      <c r="DJ754" s="103" t="s">
        <v>128</v>
      </c>
      <c r="DK754" s="103" t="s">
        <v>128</v>
      </c>
      <c r="DL754" s="103" t="s">
        <v>128</v>
      </c>
      <c r="DM754" s="103" t="s">
        <v>128</v>
      </c>
      <c r="DN754" s="103" t="s">
        <v>128</v>
      </c>
      <c r="DO754" s="103" t="s">
        <v>128</v>
      </c>
    </row>
    <row r="755" spans="2:119" ht="16.5" customHeight="1" x14ac:dyDescent="0.45">
      <c r="B755" s="99"/>
      <c r="C755" s="42"/>
      <c r="D755" s="110"/>
      <c r="E755" s="47" t="s">
        <v>2</v>
      </c>
      <c r="F755" s="103">
        <v>0</v>
      </c>
      <c r="G755" s="103">
        <v>33.333333333333329</v>
      </c>
      <c r="H755" s="103">
        <v>33.333333333333329</v>
      </c>
      <c r="I755" s="103">
        <v>0</v>
      </c>
      <c r="J755" s="103">
        <v>33.333333333333329</v>
      </c>
      <c r="K755" s="103">
        <v>0</v>
      </c>
      <c r="L755" s="103">
        <v>0</v>
      </c>
      <c r="M755" s="103">
        <v>0</v>
      </c>
      <c r="N755" s="103">
        <v>0</v>
      </c>
      <c r="O755" s="103">
        <v>0</v>
      </c>
      <c r="P755" s="42"/>
      <c r="Q755" s="110"/>
      <c r="R755" s="46" t="s">
        <v>2</v>
      </c>
      <c r="S755" s="103">
        <v>0</v>
      </c>
      <c r="T755" s="103">
        <v>0</v>
      </c>
      <c r="U755" s="103">
        <v>0</v>
      </c>
      <c r="V755" s="103">
        <v>0</v>
      </c>
      <c r="W755" s="103">
        <v>100</v>
      </c>
      <c r="X755" s="103">
        <v>0</v>
      </c>
      <c r="Y755" s="103">
        <v>0</v>
      </c>
      <c r="Z755" s="103">
        <v>0</v>
      </c>
      <c r="AA755" s="103">
        <v>0</v>
      </c>
      <c r="AB755" s="103">
        <v>0</v>
      </c>
      <c r="AC755" s="42"/>
      <c r="AD755" s="110"/>
      <c r="AE755" s="46" t="s">
        <v>2</v>
      </c>
      <c r="AF755" s="103">
        <v>0</v>
      </c>
      <c r="AG755" s="103">
        <v>50</v>
      </c>
      <c r="AH755" s="103">
        <v>50</v>
      </c>
      <c r="AI755" s="103">
        <v>0</v>
      </c>
      <c r="AJ755" s="103">
        <v>0</v>
      </c>
      <c r="AK755" s="103">
        <v>0</v>
      </c>
      <c r="AL755" s="103">
        <v>0</v>
      </c>
      <c r="AM755" s="103">
        <v>0</v>
      </c>
      <c r="AN755" s="103">
        <v>0</v>
      </c>
      <c r="AO755" s="103">
        <v>0</v>
      </c>
      <c r="AP755" s="6"/>
      <c r="AQ755" s="110"/>
      <c r="AR755" s="46" t="s">
        <v>2</v>
      </c>
      <c r="AS755" s="103" t="s">
        <v>128</v>
      </c>
      <c r="AT755" s="103" t="s">
        <v>128</v>
      </c>
      <c r="AU755" s="103" t="s">
        <v>128</v>
      </c>
      <c r="AV755" s="103" t="s">
        <v>128</v>
      </c>
      <c r="AW755" s="103" t="s">
        <v>128</v>
      </c>
      <c r="AX755" s="103" t="s">
        <v>128</v>
      </c>
      <c r="AY755" s="103" t="s">
        <v>128</v>
      </c>
      <c r="AZ755" s="103" t="s">
        <v>128</v>
      </c>
      <c r="BA755" s="103" t="s">
        <v>128</v>
      </c>
      <c r="BB755" s="103" t="s">
        <v>128</v>
      </c>
      <c r="BC755" s="42"/>
      <c r="BD755" s="110"/>
      <c r="BE755" s="46" t="s">
        <v>2</v>
      </c>
      <c r="BF755" s="103">
        <v>0</v>
      </c>
      <c r="BG755" s="103">
        <v>33.333333333333329</v>
      </c>
      <c r="BH755" s="103">
        <v>33.333333333333329</v>
      </c>
      <c r="BI755" s="103">
        <v>0</v>
      </c>
      <c r="BJ755" s="103">
        <v>33.333333333333329</v>
      </c>
      <c r="BK755" s="103">
        <v>0</v>
      </c>
      <c r="BL755" s="103">
        <v>0</v>
      </c>
      <c r="BM755" s="103">
        <v>0</v>
      </c>
      <c r="BN755" s="103">
        <v>0</v>
      </c>
      <c r="BO755" s="103">
        <v>0</v>
      </c>
      <c r="BQ755" s="110"/>
      <c r="BR755" s="46" t="s">
        <v>2</v>
      </c>
      <c r="BS755" s="103" t="s">
        <v>128</v>
      </c>
      <c r="BT755" s="103" t="s">
        <v>128</v>
      </c>
      <c r="BU755" s="103" t="s">
        <v>128</v>
      </c>
      <c r="BV755" s="103" t="s">
        <v>128</v>
      </c>
      <c r="BW755" s="103" t="s">
        <v>128</v>
      </c>
      <c r="BX755" s="103" t="s">
        <v>128</v>
      </c>
      <c r="BY755" s="103" t="s">
        <v>128</v>
      </c>
      <c r="BZ755" s="103" t="s">
        <v>128</v>
      </c>
      <c r="CA755" s="103" t="s">
        <v>128</v>
      </c>
      <c r="CB755" s="103" t="s">
        <v>128</v>
      </c>
      <c r="CC755" s="42"/>
      <c r="CD755" s="110"/>
      <c r="CE755" s="46" t="s">
        <v>2</v>
      </c>
      <c r="CF755" s="103">
        <v>0</v>
      </c>
      <c r="CG755" s="103">
        <v>33.333333333333329</v>
      </c>
      <c r="CH755" s="103">
        <v>33.333333333333329</v>
      </c>
      <c r="CI755" s="103">
        <v>0</v>
      </c>
      <c r="CJ755" s="103">
        <v>33.333333333333329</v>
      </c>
      <c r="CK755" s="103">
        <v>0</v>
      </c>
      <c r="CL755" s="103">
        <v>0</v>
      </c>
      <c r="CM755" s="103">
        <v>0</v>
      </c>
      <c r="CN755" s="103">
        <v>0</v>
      </c>
      <c r="CO755" s="103">
        <v>0</v>
      </c>
      <c r="CQ755" s="110"/>
      <c r="CR755" s="46" t="s">
        <v>2</v>
      </c>
      <c r="CS755" s="103">
        <v>0</v>
      </c>
      <c r="CT755" s="103">
        <v>33.333333333333329</v>
      </c>
      <c r="CU755" s="103">
        <v>33.333333333333329</v>
      </c>
      <c r="CV755" s="103">
        <v>0</v>
      </c>
      <c r="CW755" s="103">
        <v>33.333333333333329</v>
      </c>
      <c r="CX755" s="103">
        <v>0</v>
      </c>
      <c r="CY755" s="103">
        <v>0</v>
      </c>
      <c r="CZ755" s="103">
        <v>0</v>
      </c>
      <c r="DA755" s="103">
        <v>0</v>
      </c>
      <c r="DB755" s="103">
        <v>0</v>
      </c>
      <c r="DC755" s="42"/>
      <c r="DD755" s="110"/>
      <c r="DE755" s="46" t="s">
        <v>2</v>
      </c>
      <c r="DF755" s="103" t="s">
        <v>128</v>
      </c>
      <c r="DG755" s="103" t="s">
        <v>128</v>
      </c>
      <c r="DH755" s="103" t="s">
        <v>128</v>
      </c>
      <c r="DI755" s="103" t="s">
        <v>128</v>
      </c>
      <c r="DJ755" s="103" t="s">
        <v>128</v>
      </c>
      <c r="DK755" s="103" t="s">
        <v>128</v>
      </c>
      <c r="DL755" s="103" t="s">
        <v>128</v>
      </c>
      <c r="DM755" s="103" t="s">
        <v>128</v>
      </c>
      <c r="DN755" s="103" t="s">
        <v>128</v>
      </c>
      <c r="DO755" s="103" t="s">
        <v>128</v>
      </c>
    </row>
    <row r="756" spans="2:119" ht="16.5" customHeight="1" x14ac:dyDescent="0.45">
      <c r="B756" s="99"/>
      <c r="C756" s="42"/>
      <c r="D756" s="110"/>
      <c r="E756" s="47" t="s">
        <v>3</v>
      </c>
      <c r="F756" s="103">
        <v>0</v>
      </c>
      <c r="G756" s="103">
        <v>50</v>
      </c>
      <c r="H756" s="103">
        <v>0</v>
      </c>
      <c r="I756" s="103">
        <v>0</v>
      </c>
      <c r="J756" s="103">
        <v>50</v>
      </c>
      <c r="K756" s="103">
        <v>0</v>
      </c>
      <c r="L756" s="103">
        <v>0</v>
      </c>
      <c r="M756" s="103">
        <v>0</v>
      </c>
      <c r="N756" s="103">
        <v>0</v>
      </c>
      <c r="O756" s="103">
        <v>0</v>
      </c>
      <c r="P756" s="42"/>
      <c r="Q756" s="110"/>
      <c r="R756" s="46" t="s">
        <v>3</v>
      </c>
      <c r="S756" s="103">
        <v>0</v>
      </c>
      <c r="T756" s="103">
        <v>50</v>
      </c>
      <c r="U756" s="103">
        <v>0</v>
      </c>
      <c r="V756" s="103">
        <v>0</v>
      </c>
      <c r="W756" s="103">
        <v>50</v>
      </c>
      <c r="X756" s="103">
        <v>0</v>
      </c>
      <c r="Y756" s="103">
        <v>0</v>
      </c>
      <c r="Z756" s="103">
        <v>0</v>
      </c>
      <c r="AA756" s="103">
        <v>0</v>
      </c>
      <c r="AB756" s="103">
        <v>0</v>
      </c>
      <c r="AC756" s="42"/>
      <c r="AD756" s="110"/>
      <c r="AE756" s="46" t="s">
        <v>3</v>
      </c>
      <c r="AF756" s="103" t="s">
        <v>128</v>
      </c>
      <c r="AG756" s="103" t="s">
        <v>128</v>
      </c>
      <c r="AH756" s="103" t="s">
        <v>128</v>
      </c>
      <c r="AI756" s="103" t="s">
        <v>128</v>
      </c>
      <c r="AJ756" s="103" t="s">
        <v>128</v>
      </c>
      <c r="AK756" s="103" t="s">
        <v>128</v>
      </c>
      <c r="AL756" s="103" t="s">
        <v>128</v>
      </c>
      <c r="AM756" s="103" t="s">
        <v>128</v>
      </c>
      <c r="AN756" s="103" t="s">
        <v>128</v>
      </c>
      <c r="AO756" s="103" t="s">
        <v>128</v>
      </c>
      <c r="AP756" s="6"/>
      <c r="AQ756" s="110"/>
      <c r="AR756" s="46" t="s">
        <v>3</v>
      </c>
      <c r="AS756" s="103" t="s">
        <v>128</v>
      </c>
      <c r="AT756" s="103" t="s">
        <v>128</v>
      </c>
      <c r="AU756" s="103" t="s">
        <v>128</v>
      </c>
      <c r="AV756" s="103" t="s">
        <v>128</v>
      </c>
      <c r="AW756" s="103" t="s">
        <v>128</v>
      </c>
      <c r="AX756" s="103" t="s">
        <v>128</v>
      </c>
      <c r="AY756" s="103" t="s">
        <v>128</v>
      </c>
      <c r="AZ756" s="103" t="s">
        <v>128</v>
      </c>
      <c r="BA756" s="103" t="s">
        <v>128</v>
      </c>
      <c r="BB756" s="103" t="s">
        <v>128</v>
      </c>
      <c r="BC756" s="42"/>
      <c r="BD756" s="110"/>
      <c r="BE756" s="46" t="s">
        <v>3</v>
      </c>
      <c r="BF756" s="103">
        <v>0</v>
      </c>
      <c r="BG756" s="103">
        <v>50</v>
      </c>
      <c r="BH756" s="103">
        <v>0</v>
      </c>
      <c r="BI756" s="103">
        <v>0</v>
      </c>
      <c r="BJ756" s="103">
        <v>50</v>
      </c>
      <c r="BK756" s="103">
        <v>0</v>
      </c>
      <c r="BL756" s="103">
        <v>0</v>
      </c>
      <c r="BM756" s="103">
        <v>0</v>
      </c>
      <c r="BN756" s="103">
        <v>0</v>
      </c>
      <c r="BO756" s="103">
        <v>0</v>
      </c>
      <c r="BQ756" s="110"/>
      <c r="BR756" s="46" t="s">
        <v>3</v>
      </c>
      <c r="BS756" s="103">
        <v>0</v>
      </c>
      <c r="BT756" s="103">
        <v>50</v>
      </c>
      <c r="BU756" s="103">
        <v>0</v>
      </c>
      <c r="BV756" s="103">
        <v>0</v>
      </c>
      <c r="BW756" s="103">
        <v>50</v>
      </c>
      <c r="BX756" s="103">
        <v>0</v>
      </c>
      <c r="BY756" s="103">
        <v>0</v>
      </c>
      <c r="BZ756" s="103">
        <v>0</v>
      </c>
      <c r="CA756" s="103">
        <v>0</v>
      </c>
      <c r="CB756" s="103">
        <v>0</v>
      </c>
      <c r="CC756" s="42"/>
      <c r="CD756" s="110"/>
      <c r="CE756" s="46" t="s">
        <v>3</v>
      </c>
      <c r="CF756" s="103" t="s">
        <v>128</v>
      </c>
      <c r="CG756" s="103" t="s">
        <v>128</v>
      </c>
      <c r="CH756" s="103" t="s">
        <v>128</v>
      </c>
      <c r="CI756" s="103" t="s">
        <v>128</v>
      </c>
      <c r="CJ756" s="103" t="s">
        <v>128</v>
      </c>
      <c r="CK756" s="103" t="s">
        <v>128</v>
      </c>
      <c r="CL756" s="103" t="s">
        <v>128</v>
      </c>
      <c r="CM756" s="103" t="s">
        <v>128</v>
      </c>
      <c r="CN756" s="103" t="s">
        <v>128</v>
      </c>
      <c r="CO756" s="103" t="s">
        <v>128</v>
      </c>
      <c r="CQ756" s="110"/>
      <c r="CR756" s="46" t="s">
        <v>3</v>
      </c>
      <c r="CS756" s="103">
        <v>0</v>
      </c>
      <c r="CT756" s="103">
        <v>0</v>
      </c>
      <c r="CU756" s="103">
        <v>0</v>
      </c>
      <c r="CV756" s="103">
        <v>0</v>
      </c>
      <c r="CW756" s="103">
        <v>100</v>
      </c>
      <c r="CX756" s="103">
        <v>0</v>
      </c>
      <c r="CY756" s="103">
        <v>0</v>
      </c>
      <c r="CZ756" s="103">
        <v>0</v>
      </c>
      <c r="DA756" s="103">
        <v>0</v>
      </c>
      <c r="DB756" s="103">
        <v>0</v>
      </c>
      <c r="DC756" s="42"/>
      <c r="DD756" s="110"/>
      <c r="DE756" s="46" t="s">
        <v>3</v>
      </c>
      <c r="DF756" s="103">
        <v>0</v>
      </c>
      <c r="DG756" s="103">
        <v>100</v>
      </c>
      <c r="DH756" s="103">
        <v>0</v>
      </c>
      <c r="DI756" s="103">
        <v>0</v>
      </c>
      <c r="DJ756" s="103">
        <v>0</v>
      </c>
      <c r="DK756" s="103">
        <v>0</v>
      </c>
      <c r="DL756" s="103">
        <v>0</v>
      </c>
      <c r="DM756" s="103">
        <v>0</v>
      </c>
      <c r="DN756" s="103">
        <v>0</v>
      </c>
      <c r="DO756" s="103">
        <v>0</v>
      </c>
    </row>
    <row r="757" spans="2:119" ht="16.5" customHeight="1" x14ac:dyDescent="0.45">
      <c r="B757" s="99"/>
      <c r="C757" s="42"/>
      <c r="D757" s="110"/>
      <c r="E757" s="47" t="s">
        <v>4</v>
      </c>
      <c r="F757" s="103">
        <v>33.333333333333329</v>
      </c>
      <c r="G757" s="103">
        <v>11.111111111111111</v>
      </c>
      <c r="H757" s="103">
        <v>11.111111111111111</v>
      </c>
      <c r="I757" s="103">
        <v>11.111111111111111</v>
      </c>
      <c r="J757" s="103">
        <v>22.222222222222221</v>
      </c>
      <c r="K757" s="103">
        <v>11.111111111111111</v>
      </c>
      <c r="L757" s="103">
        <v>0</v>
      </c>
      <c r="M757" s="103">
        <v>0</v>
      </c>
      <c r="N757" s="103">
        <v>0</v>
      </c>
      <c r="O757" s="103">
        <v>0</v>
      </c>
      <c r="P757" s="42"/>
      <c r="Q757" s="110"/>
      <c r="R757" s="46" t="s">
        <v>4</v>
      </c>
      <c r="S757" s="103">
        <v>16.666666666666664</v>
      </c>
      <c r="T757" s="103">
        <v>16.666666666666664</v>
      </c>
      <c r="U757" s="103">
        <v>16.666666666666664</v>
      </c>
      <c r="V757" s="103">
        <v>16.666666666666664</v>
      </c>
      <c r="W757" s="103">
        <v>33.333333333333329</v>
      </c>
      <c r="X757" s="103">
        <v>0</v>
      </c>
      <c r="Y757" s="103">
        <v>0</v>
      </c>
      <c r="Z757" s="103">
        <v>0</v>
      </c>
      <c r="AA757" s="103">
        <v>0</v>
      </c>
      <c r="AB757" s="103">
        <v>0</v>
      </c>
      <c r="AC757" s="42"/>
      <c r="AD757" s="110"/>
      <c r="AE757" s="46" t="s">
        <v>4</v>
      </c>
      <c r="AF757" s="103">
        <v>66.666666666666657</v>
      </c>
      <c r="AG757" s="103">
        <v>0</v>
      </c>
      <c r="AH757" s="103">
        <v>0</v>
      </c>
      <c r="AI757" s="103">
        <v>0</v>
      </c>
      <c r="AJ757" s="103">
        <v>0</v>
      </c>
      <c r="AK757" s="103">
        <v>33.333333333333329</v>
      </c>
      <c r="AL757" s="103">
        <v>0</v>
      </c>
      <c r="AM757" s="103">
        <v>0</v>
      </c>
      <c r="AN757" s="103">
        <v>0</v>
      </c>
      <c r="AO757" s="103">
        <v>0</v>
      </c>
      <c r="AP757" s="6"/>
      <c r="AQ757" s="110"/>
      <c r="AR757" s="46" t="s">
        <v>4</v>
      </c>
      <c r="AS757" s="103">
        <v>0</v>
      </c>
      <c r="AT757" s="103">
        <v>20</v>
      </c>
      <c r="AU757" s="103">
        <v>0</v>
      </c>
      <c r="AV757" s="103">
        <v>20</v>
      </c>
      <c r="AW757" s="103">
        <v>40</v>
      </c>
      <c r="AX757" s="103">
        <v>20</v>
      </c>
      <c r="AY757" s="103">
        <v>0</v>
      </c>
      <c r="AZ757" s="103">
        <v>0</v>
      </c>
      <c r="BA757" s="103">
        <v>0</v>
      </c>
      <c r="BB757" s="103">
        <v>0</v>
      </c>
      <c r="BC757" s="42"/>
      <c r="BD757" s="110"/>
      <c r="BE757" s="46" t="s">
        <v>4</v>
      </c>
      <c r="BF757" s="103">
        <v>75</v>
      </c>
      <c r="BG757" s="103">
        <v>0</v>
      </c>
      <c r="BH757" s="103">
        <v>25</v>
      </c>
      <c r="BI757" s="103">
        <v>0</v>
      </c>
      <c r="BJ757" s="103">
        <v>0</v>
      </c>
      <c r="BK757" s="103">
        <v>0</v>
      </c>
      <c r="BL757" s="103">
        <v>0</v>
      </c>
      <c r="BM757" s="103">
        <v>0</v>
      </c>
      <c r="BN757" s="103">
        <v>0</v>
      </c>
      <c r="BO757" s="103">
        <v>0</v>
      </c>
      <c r="BQ757" s="110"/>
      <c r="BR757" s="46" t="s">
        <v>4</v>
      </c>
      <c r="BS757" s="103">
        <v>100</v>
      </c>
      <c r="BT757" s="103">
        <v>0</v>
      </c>
      <c r="BU757" s="103">
        <v>0</v>
      </c>
      <c r="BV757" s="103">
        <v>0</v>
      </c>
      <c r="BW757" s="103">
        <v>0</v>
      </c>
      <c r="BX757" s="103">
        <v>0</v>
      </c>
      <c r="BY757" s="103">
        <v>0</v>
      </c>
      <c r="BZ757" s="103">
        <v>0</v>
      </c>
      <c r="CA757" s="103">
        <v>0</v>
      </c>
      <c r="CB757" s="103">
        <v>0</v>
      </c>
      <c r="CC757" s="42"/>
      <c r="CD757" s="110"/>
      <c r="CE757" s="46" t="s">
        <v>4</v>
      </c>
      <c r="CF757" s="103">
        <v>25</v>
      </c>
      <c r="CG757" s="103">
        <v>12.5</v>
      </c>
      <c r="CH757" s="103">
        <v>12.5</v>
      </c>
      <c r="CI757" s="103">
        <v>12.5</v>
      </c>
      <c r="CJ757" s="103">
        <v>25</v>
      </c>
      <c r="CK757" s="103">
        <v>12.5</v>
      </c>
      <c r="CL757" s="103">
        <v>0</v>
      </c>
      <c r="CM757" s="103">
        <v>0</v>
      </c>
      <c r="CN757" s="103">
        <v>0</v>
      </c>
      <c r="CO757" s="103">
        <v>0</v>
      </c>
      <c r="CQ757" s="110"/>
      <c r="CR757" s="46" t="s">
        <v>4</v>
      </c>
      <c r="CS757" s="103">
        <v>33.333333333333329</v>
      </c>
      <c r="CT757" s="103">
        <v>0</v>
      </c>
      <c r="CU757" s="103">
        <v>0</v>
      </c>
      <c r="CV757" s="103">
        <v>16.666666666666664</v>
      </c>
      <c r="CW757" s="103">
        <v>33.333333333333329</v>
      </c>
      <c r="CX757" s="103">
        <v>16.666666666666664</v>
      </c>
      <c r="CY757" s="103">
        <v>0</v>
      </c>
      <c r="CZ757" s="103">
        <v>0</v>
      </c>
      <c r="DA757" s="103">
        <v>0</v>
      </c>
      <c r="DB757" s="103">
        <v>0</v>
      </c>
      <c r="DC757" s="42"/>
      <c r="DD757" s="110"/>
      <c r="DE757" s="46" t="s">
        <v>4</v>
      </c>
      <c r="DF757" s="103">
        <v>33.333333333333329</v>
      </c>
      <c r="DG757" s="103">
        <v>33.333333333333329</v>
      </c>
      <c r="DH757" s="103">
        <v>33.333333333333329</v>
      </c>
      <c r="DI757" s="103">
        <v>0</v>
      </c>
      <c r="DJ757" s="103">
        <v>0</v>
      </c>
      <c r="DK757" s="103">
        <v>0</v>
      </c>
      <c r="DL757" s="103">
        <v>0</v>
      </c>
      <c r="DM757" s="103">
        <v>0</v>
      </c>
      <c r="DN757" s="103">
        <v>0</v>
      </c>
      <c r="DO757" s="103">
        <v>0</v>
      </c>
    </row>
    <row r="758" spans="2:119" ht="16.5" customHeight="1" x14ac:dyDescent="0.45">
      <c r="B758" s="99"/>
      <c r="C758" s="42"/>
      <c r="D758" s="110"/>
      <c r="E758" s="47" t="s">
        <v>5</v>
      </c>
      <c r="F758" s="103">
        <v>7.1428571428571423</v>
      </c>
      <c r="G758" s="103">
        <v>14.285714285714285</v>
      </c>
      <c r="H758" s="103">
        <v>25</v>
      </c>
      <c r="I758" s="103">
        <v>46.428571428571431</v>
      </c>
      <c r="J758" s="103">
        <v>7.1428571428571423</v>
      </c>
      <c r="K758" s="103">
        <v>0</v>
      </c>
      <c r="L758" s="103">
        <v>0</v>
      </c>
      <c r="M758" s="103">
        <v>0</v>
      </c>
      <c r="N758" s="103">
        <v>0</v>
      </c>
      <c r="O758" s="103">
        <v>0</v>
      </c>
      <c r="P758" s="42"/>
      <c r="Q758" s="110"/>
      <c r="R758" s="46" t="s">
        <v>5</v>
      </c>
      <c r="S758" s="103">
        <v>10.526315789473683</v>
      </c>
      <c r="T758" s="103">
        <v>21.052631578947366</v>
      </c>
      <c r="U758" s="103">
        <v>15.789473684210526</v>
      </c>
      <c r="V758" s="103">
        <v>42.105263157894733</v>
      </c>
      <c r="W758" s="103">
        <v>10.526315789473683</v>
      </c>
      <c r="X758" s="103">
        <v>0</v>
      </c>
      <c r="Y758" s="103">
        <v>0</v>
      </c>
      <c r="Z758" s="103">
        <v>0</v>
      </c>
      <c r="AA758" s="103">
        <v>0</v>
      </c>
      <c r="AB758" s="103">
        <v>0</v>
      </c>
      <c r="AC758" s="42"/>
      <c r="AD758" s="110"/>
      <c r="AE758" s="46" t="s">
        <v>5</v>
      </c>
      <c r="AF758" s="103">
        <v>0</v>
      </c>
      <c r="AG758" s="103">
        <v>0</v>
      </c>
      <c r="AH758" s="103">
        <v>44.444444444444443</v>
      </c>
      <c r="AI758" s="103">
        <v>55.555555555555557</v>
      </c>
      <c r="AJ758" s="103">
        <v>0</v>
      </c>
      <c r="AK758" s="103">
        <v>0</v>
      </c>
      <c r="AL758" s="103">
        <v>0</v>
      </c>
      <c r="AM758" s="103">
        <v>0</v>
      </c>
      <c r="AN758" s="103">
        <v>0</v>
      </c>
      <c r="AO758" s="103">
        <v>0</v>
      </c>
      <c r="AP758" s="6"/>
      <c r="AQ758" s="110"/>
      <c r="AR758" s="46" t="s">
        <v>5</v>
      </c>
      <c r="AS758" s="103">
        <v>10</v>
      </c>
      <c r="AT758" s="103">
        <v>20</v>
      </c>
      <c r="AU758" s="103">
        <v>30</v>
      </c>
      <c r="AV758" s="103">
        <v>40</v>
      </c>
      <c r="AW758" s="103">
        <v>0</v>
      </c>
      <c r="AX758" s="103">
        <v>0</v>
      </c>
      <c r="AY758" s="103">
        <v>0</v>
      </c>
      <c r="AZ758" s="103">
        <v>0</v>
      </c>
      <c r="BA758" s="103">
        <v>0</v>
      </c>
      <c r="BB758" s="103">
        <v>0</v>
      </c>
      <c r="BC758" s="42"/>
      <c r="BD758" s="110"/>
      <c r="BE758" s="46" t="s">
        <v>5</v>
      </c>
      <c r="BF758" s="103">
        <v>5.5555555555555554</v>
      </c>
      <c r="BG758" s="103">
        <v>11.111111111111111</v>
      </c>
      <c r="BH758" s="103">
        <v>22.222222222222221</v>
      </c>
      <c r="BI758" s="103">
        <v>50</v>
      </c>
      <c r="BJ758" s="103">
        <v>11.111111111111111</v>
      </c>
      <c r="BK758" s="103">
        <v>0</v>
      </c>
      <c r="BL758" s="103">
        <v>0</v>
      </c>
      <c r="BM758" s="103">
        <v>0</v>
      </c>
      <c r="BN758" s="103">
        <v>0</v>
      </c>
      <c r="BO758" s="103">
        <v>0</v>
      </c>
      <c r="BQ758" s="110"/>
      <c r="BR758" s="46" t="s">
        <v>5</v>
      </c>
      <c r="BS758" s="103">
        <v>11.111111111111111</v>
      </c>
      <c r="BT758" s="103">
        <v>11.111111111111111</v>
      </c>
      <c r="BU758" s="103">
        <v>22.222222222222221</v>
      </c>
      <c r="BV758" s="103">
        <v>33.333333333333329</v>
      </c>
      <c r="BW758" s="103">
        <v>22.222222222222221</v>
      </c>
      <c r="BX758" s="103">
        <v>0</v>
      </c>
      <c r="BY758" s="103">
        <v>0</v>
      </c>
      <c r="BZ758" s="103">
        <v>0</v>
      </c>
      <c r="CA758" s="103">
        <v>0</v>
      </c>
      <c r="CB758" s="103">
        <v>0</v>
      </c>
      <c r="CC758" s="42"/>
      <c r="CD758" s="110"/>
      <c r="CE758" s="46" t="s">
        <v>5</v>
      </c>
      <c r="CF758" s="103">
        <v>5.2631578947368416</v>
      </c>
      <c r="CG758" s="103">
        <v>15.789473684210526</v>
      </c>
      <c r="CH758" s="103">
        <v>26.315789473684209</v>
      </c>
      <c r="CI758" s="103">
        <v>52.631578947368418</v>
      </c>
      <c r="CJ758" s="103">
        <v>0</v>
      </c>
      <c r="CK758" s="103">
        <v>0</v>
      </c>
      <c r="CL758" s="103">
        <v>0</v>
      </c>
      <c r="CM758" s="103">
        <v>0</v>
      </c>
      <c r="CN758" s="103">
        <v>0</v>
      </c>
      <c r="CO758" s="103">
        <v>0</v>
      </c>
      <c r="CQ758" s="110"/>
      <c r="CR758" s="46" t="s">
        <v>5</v>
      </c>
      <c r="CS758" s="103">
        <v>0</v>
      </c>
      <c r="CT758" s="103">
        <v>0</v>
      </c>
      <c r="CU758" s="103">
        <v>42.857142857142854</v>
      </c>
      <c r="CV758" s="103">
        <v>57.142857142857139</v>
      </c>
      <c r="CW758" s="103">
        <v>0</v>
      </c>
      <c r="CX758" s="103">
        <v>0</v>
      </c>
      <c r="CY758" s="103">
        <v>0</v>
      </c>
      <c r="CZ758" s="103">
        <v>0</v>
      </c>
      <c r="DA758" s="103">
        <v>0</v>
      </c>
      <c r="DB758" s="103">
        <v>0</v>
      </c>
      <c r="DC758" s="42"/>
      <c r="DD758" s="110"/>
      <c r="DE758" s="46" t="s">
        <v>5</v>
      </c>
      <c r="DF758" s="103">
        <v>9.5238095238095237</v>
      </c>
      <c r="DG758" s="103">
        <v>19.047619047619047</v>
      </c>
      <c r="DH758" s="103">
        <v>19.047619047619047</v>
      </c>
      <c r="DI758" s="103">
        <v>42.857142857142854</v>
      </c>
      <c r="DJ758" s="103">
        <v>9.5238095238095237</v>
      </c>
      <c r="DK758" s="103">
        <v>0</v>
      </c>
      <c r="DL758" s="103">
        <v>0</v>
      </c>
      <c r="DM758" s="103">
        <v>0</v>
      </c>
      <c r="DN758" s="103">
        <v>0</v>
      </c>
      <c r="DO758" s="103">
        <v>0</v>
      </c>
    </row>
    <row r="759" spans="2:119" ht="16.5" customHeight="1" x14ac:dyDescent="0.45">
      <c r="B759" s="99"/>
      <c r="C759" s="42"/>
      <c r="D759" s="110"/>
      <c r="E759" s="47" t="s">
        <v>6</v>
      </c>
      <c r="F759" s="103">
        <v>17.460317460317459</v>
      </c>
      <c r="G759" s="103">
        <v>14.285714285714285</v>
      </c>
      <c r="H759" s="103">
        <v>17.460317460317459</v>
      </c>
      <c r="I759" s="103">
        <v>19.047619047619047</v>
      </c>
      <c r="J759" s="103">
        <v>14.285714285714285</v>
      </c>
      <c r="K759" s="103">
        <v>4.7619047619047619</v>
      </c>
      <c r="L759" s="103">
        <v>6.3492063492063489</v>
      </c>
      <c r="M759" s="103">
        <v>3.1746031746031744</v>
      </c>
      <c r="N759" s="103">
        <v>3.1746031746031744</v>
      </c>
      <c r="O759" s="103">
        <v>0</v>
      </c>
      <c r="P759" s="42"/>
      <c r="Q759" s="110"/>
      <c r="R759" s="46" t="s">
        <v>6</v>
      </c>
      <c r="S759" s="103">
        <v>11.363636363636363</v>
      </c>
      <c r="T759" s="103">
        <v>13.636363636363635</v>
      </c>
      <c r="U759" s="103">
        <v>22.727272727272727</v>
      </c>
      <c r="V759" s="103">
        <v>18.181818181818183</v>
      </c>
      <c r="W759" s="103">
        <v>13.636363636363635</v>
      </c>
      <c r="X759" s="103">
        <v>6.8181818181818175</v>
      </c>
      <c r="Y759" s="103">
        <v>6.8181818181818175</v>
      </c>
      <c r="Z759" s="103">
        <v>4.5454545454545459</v>
      </c>
      <c r="AA759" s="103">
        <v>2.2727272727272729</v>
      </c>
      <c r="AB759" s="103">
        <v>0</v>
      </c>
      <c r="AC759" s="42"/>
      <c r="AD759" s="110"/>
      <c r="AE759" s="46" t="s">
        <v>6</v>
      </c>
      <c r="AF759" s="103">
        <v>31.578947368421051</v>
      </c>
      <c r="AG759" s="103">
        <v>15.789473684210526</v>
      </c>
      <c r="AH759" s="103">
        <v>5.2631578947368416</v>
      </c>
      <c r="AI759" s="103">
        <v>21.052631578947366</v>
      </c>
      <c r="AJ759" s="103">
        <v>15.789473684210526</v>
      </c>
      <c r="AK759" s="103">
        <v>0</v>
      </c>
      <c r="AL759" s="103">
        <v>5.2631578947368416</v>
      </c>
      <c r="AM759" s="103">
        <v>0</v>
      </c>
      <c r="AN759" s="103">
        <v>5.2631578947368416</v>
      </c>
      <c r="AO759" s="103">
        <v>0</v>
      </c>
      <c r="AP759" s="6"/>
      <c r="AQ759" s="110"/>
      <c r="AR759" s="46" t="s">
        <v>6</v>
      </c>
      <c r="AS759" s="103">
        <v>6.666666666666667</v>
      </c>
      <c r="AT759" s="103">
        <v>33.333333333333329</v>
      </c>
      <c r="AU759" s="103">
        <v>33.333333333333329</v>
      </c>
      <c r="AV759" s="103">
        <v>6.666666666666667</v>
      </c>
      <c r="AW759" s="103">
        <v>6.666666666666667</v>
      </c>
      <c r="AX759" s="103">
        <v>0</v>
      </c>
      <c r="AY759" s="103">
        <v>6.666666666666667</v>
      </c>
      <c r="AZ759" s="103">
        <v>6.666666666666667</v>
      </c>
      <c r="BA759" s="103">
        <v>0</v>
      </c>
      <c r="BB759" s="103">
        <v>0</v>
      </c>
      <c r="BC759" s="42"/>
      <c r="BD759" s="110"/>
      <c r="BE759" s="46" t="s">
        <v>6</v>
      </c>
      <c r="BF759" s="103">
        <v>20.833333333333336</v>
      </c>
      <c r="BG759" s="103">
        <v>8.3333333333333321</v>
      </c>
      <c r="BH759" s="103">
        <v>12.5</v>
      </c>
      <c r="BI759" s="103">
        <v>22.916666666666664</v>
      </c>
      <c r="BJ759" s="103">
        <v>16.666666666666664</v>
      </c>
      <c r="BK759" s="103">
        <v>6.25</v>
      </c>
      <c r="BL759" s="103">
        <v>6.25</v>
      </c>
      <c r="BM759" s="103">
        <v>2.083333333333333</v>
      </c>
      <c r="BN759" s="103">
        <v>4.1666666666666661</v>
      </c>
      <c r="BO759" s="103">
        <v>0</v>
      </c>
      <c r="BQ759" s="110"/>
      <c r="BR759" s="46" t="s">
        <v>6</v>
      </c>
      <c r="BS759" s="103">
        <v>9.0909090909090917</v>
      </c>
      <c r="BT759" s="103">
        <v>27.27272727272727</v>
      </c>
      <c r="BU759" s="103">
        <v>0</v>
      </c>
      <c r="BV759" s="103">
        <v>27.27272727272727</v>
      </c>
      <c r="BW759" s="103">
        <v>18.181818181818183</v>
      </c>
      <c r="BX759" s="103">
        <v>9.0909090909090917</v>
      </c>
      <c r="BY759" s="103">
        <v>0</v>
      </c>
      <c r="BZ759" s="103">
        <v>0</v>
      </c>
      <c r="CA759" s="103">
        <v>9.0909090909090917</v>
      </c>
      <c r="CB759" s="103">
        <v>0</v>
      </c>
      <c r="CC759" s="42"/>
      <c r="CD759" s="110"/>
      <c r="CE759" s="46" t="s">
        <v>6</v>
      </c>
      <c r="CF759" s="103">
        <v>19.230769230769234</v>
      </c>
      <c r="CG759" s="103">
        <v>11.538461538461538</v>
      </c>
      <c r="CH759" s="103">
        <v>21.153846153846153</v>
      </c>
      <c r="CI759" s="103">
        <v>17.307692307692307</v>
      </c>
      <c r="CJ759" s="103">
        <v>13.461538461538462</v>
      </c>
      <c r="CK759" s="103">
        <v>3.8461538461538463</v>
      </c>
      <c r="CL759" s="103">
        <v>7.6923076923076925</v>
      </c>
      <c r="CM759" s="103">
        <v>3.8461538461538463</v>
      </c>
      <c r="CN759" s="103">
        <v>1.9230769230769231</v>
      </c>
      <c r="CO759" s="103">
        <v>0</v>
      </c>
      <c r="CQ759" s="110"/>
      <c r="CR759" s="46" t="s">
        <v>6</v>
      </c>
      <c r="CS759" s="103">
        <v>12.5</v>
      </c>
      <c r="CT759" s="103">
        <v>12.5</v>
      </c>
      <c r="CU759" s="103">
        <v>18.75</v>
      </c>
      <c r="CV759" s="103">
        <v>12.5</v>
      </c>
      <c r="CW759" s="103">
        <v>25</v>
      </c>
      <c r="CX759" s="103">
        <v>0</v>
      </c>
      <c r="CY759" s="103">
        <v>12.5</v>
      </c>
      <c r="CZ759" s="103">
        <v>6.25</v>
      </c>
      <c r="DA759" s="103">
        <v>0</v>
      </c>
      <c r="DB759" s="103">
        <v>0</v>
      </c>
      <c r="DC759" s="42"/>
      <c r="DD759" s="110"/>
      <c r="DE759" s="46" t="s">
        <v>6</v>
      </c>
      <c r="DF759" s="103">
        <v>19.148936170212767</v>
      </c>
      <c r="DG759" s="103">
        <v>14.893617021276595</v>
      </c>
      <c r="DH759" s="103">
        <v>17.021276595744681</v>
      </c>
      <c r="DI759" s="103">
        <v>21.276595744680851</v>
      </c>
      <c r="DJ759" s="103">
        <v>10.638297872340425</v>
      </c>
      <c r="DK759" s="103">
        <v>6.3829787234042552</v>
      </c>
      <c r="DL759" s="103">
        <v>4.2553191489361701</v>
      </c>
      <c r="DM759" s="103">
        <v>2.1276595744680851</v>
      </c>
      <c r="DN759" s="103">
        <v>4.2553191489361701</v>
      </c>
      <c r="DO759" s="103">
        <v>0</v>
      </c>
    </row>
    <row r="760" spans="2:119" ht="16.5" customHeight="1" x14ac:dyDescent="0.45">
      <c r="B760" s="99"/>
      <c r="C760" s="42"/>
      <c r="D760" s="110"/>
      <c r="E760" s="47" t="s">
        <v>7</v>
      </c>
      <c r="F760" s="103">
        <v>6.2111801242236027</v>
      </c>
      <c r="G760" s="103">
        <v>12.422360248447205</v>
      </c>
      <c r="H760" s="103">
        <v>22.981366459627328</v>
      </c>
      <c r="I760" s="103">
        <v>23.602484472049689</v>
      </c>
      <c r="J760" s="103">
        <v>10.559006211180124</v>
      </c>
      <c r="K760" s="103">
        <v>9.316770186335404</v>
      </c>
      <c r="L760" s="103">
        <v>8.0745341614906838</v>
      </c>
      <c r="M760" s="103">
        <v>3.7267080745341614</v>
      </c>
      <c r="N760" s="103">
        <v>3.1055900621118013</v>
      </c>
      <c r="O760" s="103">
        <v>0</v>
      </c>
      <c r="P760" s="42"/>
      <c r="Q760" s="110"/>
      <c r="R760" s="46" t="s">
        <v>7</v>
      </c>
      <c r="S760" s="103">
        <v>3.225806451612903</v>
      </c>
      <c r="T760" s="103">
        <v>6.4516129032258061</v>
      </c>
      <c r="U760" s="103">
        <v>24.731182795698924</v>
      </c>
      <c r="V760" s="103">
        <v>23.655913978494624</v>
      </c>
      <c r="W760" s="103">
        <v>8.6021505376344098</v>
      </c>
      <c r="X760" s="103">
        <v>12.903225806451612</v>
      </c>
      <c r="Y760" s="103">
        <v>10.75268817204301</v>
      </c>
      <c r="Z760" s="103">
        <v>6.4516129032258061</v>
      </c>
      <c r="AA760" s="103">
        <v>3.225806451612903</v>
      </c>
      <c r="AB760" s="103">
        <v>0</v>
      </c>
      <c r="AC760" s="42"/>
      <c r="AD760" s="110"/>
      <c r="AE760" s="46" t="s">
        <v>7</v>
      </c>
      <c r="AF760" s="103">
        <v>10.294117647058822</v>
      </c>
      <c r="AG760" s="103">
        <v>20.588235294117645</v>
      </c>
      <c r="AH760" s="103">
        <v>20.588235294117645</v>
      </c>
      <c r="AI760" s="103">
        <v>23.52941176470588</v>
      </c>
      <c r="AJ760" s="103">
        <v>13.23529411764706</v>
      </c>
      <c r="AK760" s="103">
        <v>4.4117647058823533</v>
      </c>
      <c r="AL760" s="103">
        <v>4.4117647058823533</v>
      </c>
      <c r="AM760" s="103">
        <v>0</v>
      </c>
      <c r="AN760" s="103">
        <v>2.9411764705882351</v>
      </c>
      <c r="AO760" s="103">
        <v>0</v>
      </c>
      <c r="AP760" s="6"/>
      <c r="AQ760" s="110"/>
      <c r="AR760" s="46" t="s">
        <v>7</v>
      </c>
      <c r="AS760" s="103">
        <v>11.111111111111111</v>
      </c>
      <c r="AT760" s="103">
        <v>13.888888888888889</v>
      </c>
      <c r="AU760" s="103">
        <v>22.222222222222221</v>
      </c>
      <c r="AV760" s="103">
        <v>22.222222222222221</v>
      </c>
      <c r="AW760" s="103">
        <v>5.5555555555555554</v>
      </c>
      <c r="AX760" s="103">
        <v>8.3333333333333321</v>
      </c>
      <c r="AY760" s="103">
        <v>8.3333333333333321</v>
      </c>
      <c r="AZ760" s="103">
        <v>5.5555555555555554</v>
      </c>
      <c r="BA760" s="103">
        <v>2.7777777777777777</v>
      </c>
      <c r="BB760" s="103">
        <v>0</v>
      </c>
      <c r="BC760" s="42"/>
      <c r="BD760" s="110"/>
      <c r="BE760" s="46" t="s">
        <v>7</v>
      </c>
      <c r="BF760" s="103">
        <v>4.8</v>
      </c>
      <c r="BG760" s="103">
        <v>12</v>
      </c>
      <c r="BH760" s="103">
        <v>23.200000000000003</v>
      </c>
      <c r="BI760" s="103">
        <v>24</v>
      </c>
      <c r="BJ760" s="103">
        <v>12</v>
      </c>
      <c r="BK760" s="103">
        <v>9.6</v>
      </c>
      <c r="BL760" s="103">
        <v>8</v>
      </c>
      <c r="BM760" s="103">
        <v>3.2</v>
      </c>
      <c r="BN760" s="103">
        <v>3.2</v>
      </c>
      <c r="BO760" s="103">
        <v>0</v>
      </c>
      <c r="BQ760" s="110"/>
      <c r="BR760" s="46" t="s">
        <v>7</v>
      </c>
      <c r="BS760" s="103">
        <v>6.666666666666667</v>
      </c>
      <c r="BT760" s="103">
        <v>6.666666666666667</v>
      </c>
      <c r="BU760" s="103">
        <v>40</v>
      </c>
      <c r="BV760" s="103">
        <v>26.666666666666668</v>
      </c>
      <c r="BW760" s="103">
        <v>0</v>
      </c>
      <c r="BX760" s="103">
        <v>10</v>
      </c>
      <c r="BY760" s="103">
        <v>10</v>
      </c>
      <c r="BZ760" s="103">
        <v>0</v>
      </c>
      <c r="CA760" s="103">
        <v>0</v>
      </c>
      <c r="CB760" s="103">
        <v>0</v>
      </c>
      <c r="CC760" s="42"/>
      <c r="CD760" s="110"/>
      <c r="CE760" s="46" t="s">
        <v>7</v>
      </c>
      <c r="CF760" s="103">
        <v>6.1068702290076331</v>
      </c>
      <c r="CG760" s="103">
        <v>13.740458015267176</v>
      </c>
      <c r="CH760" s="103">
        <v>19.083969465648856</v>
      </c>
      <c r="CI760" s="103">
        <v>22.900763358778626</v>
      </c>
      <c r="CJ760" s="103">
        <v>12.977099236641221</v>
      </c>
      <c r="CK760" s="103">
        <v>9.1603053435114496</v>
      </c>
      <c r="CL760" s="103">
        <v>7.6335877862595423</v>
      </c>
      <c r="CM760" s="103">
        <v>4.5801526717557248</v>
      </c>
      <c r="CN760" s="103">
        <v>3.8167938931297711</v>
      </c>
      <c r="CO760" s="103">
        <v>0</v>
      </c>
      <c r="CQ760" s="110"/>
      <c r="CR760" s="46" t="s">
        <v>7</v>
      </c>
      <c r="CS760" s="103">
        <v>6.0606060606060606</v>
      </c>
      <c r="CT760" s="103">
        <v>15.151515151515152</v>
      </c>
      <c r="CU760" s="103">
        <v>18.181818181818183</v>
      </c>
      <c r="CV760" s="103">
        <v>21.212121212121211</v>
      </c>
      <c r="CW760" s="103">
        <v>3.0303030303030303</v>
      </c>
      <c r="CX760" s="103">
        <v>18.181818181818183</v>
      </c>
      <c r="CY760" s="103">
        <v>9.0909090909090917</v>
      </c>
      <c r="CZ760" s="103">
        <v>6.0606060606060606</v>
      </c>
      <c r="DA760" s="103">
        <v>3.0303030303030303</v>
      </c>
      <c r="DB760" s="103">
        <v>0</v>
      </c>
      <c r="DC760" s="42"/>
      <c r="DD760" s="110"/>
      <c r="DE760" s="46" t="s">
        <v>7</v>
      </c>
      <c r="DF760" s="103">
        <v>6.25</v>
      </c>
      <c r="DG760" s="103">
        <v>11.71875</v>
      </c>
      <c r="DH760" s="103">
        <v>24.21875</v>
      </c>
      <c r="DI760" s="103">
        <v>24.21875</v>
      </c>
      <c r="DJ760" s="103">
        <v>12.5</v>
      </c>
      <c r="DK760" s="103">
        <v>7.03125</v>
      </c>
      <c r="DL760" s="103">
        <v>7.8125</v>
      </c>
      <c r="DM760" s="103">
        <v>3.125</v>
      </c>
      <c r="DN760" s="103">
        <v>3.125</v>
      </c>
      <c r="DO760" s="103">
        <v>0</v>
      </c>
    </row>
    <row r="761" spans="2:119" ht="16.5" customHeight="1" x14ac:dyDescent="0.45">
      <c r="B761" s="99"/>
      <c r="C761" s="42"/>
      <c r="D761" s="110"/>
      <c r="E761" s="47" t="s">
        <v>8</v>
      </c>
      <c r="F761" s="103">
        <v>2.3255813953488373</v>
      </c>
      <c r="G761" s="103">
        <v>8.4302325581395348</v>
      </c>
      <c r="H761" s="103">
        <v>9.5930232558139537</v>
      </c>
      <c r="I761" s="103">
        <v>23.837209302325583</v>
      </c>
      <c r="J761" s="103">
        <v>15.11627906976744</v>
      </c>
      <c r="K761" s="103">
        <v>16.569767441860463</v>
      </c>
      <c r="L761" s="103">
        <v>11.918604651162791</v>
      </c>
      <c r="M761" s="103">
        <v>8.720930232558139</v>
      </c>
      <c r="N761" s="103">
        <v>1.7441860465116279</v>
      </c>
      <c r="O761" s="103">
        <v>1.7441860465116279</v>
      </c>
      <c r="P761" s="42"/>
      <c r="Q761" s="110"/>
      <c r="R761" s="46" t="s">
        <v>8</v>
      </c>
      <c r="S761" s="103">
        <v>2.2935779816513762</v>
      </c>
      <c r="T761" s="103">
        <v>6.4220183486238538</v>
      </c>
      <c r="U761" s="103">
        <v>7.3394495412844041</v>
      </c>
      <c r="V761" s="103">
        <v>21.559633027522938</v>
      </c>
      <c r="W761" s="103">
        <v>16.513761467889911</v>
      </c>
      <c r="X761" s="103">
        <v>18.348623853211009</v>
      </c>
      <c r="Y761" s="103">
        <v>13.302752293577983</v>
      </c>
      <c r="Z761" s="103">
        <v>9.6330275229357802</v>
      </c>
      <c r="AA761" s="103">
        <v>1.834862385321101</v>
      </c>
      <c r="AB761" s="103">
        <v>2.7522935779816518</v>
      </c>
      <c r="AC761" s="42"/>
      <c r="AD761" s="110"/>
      <c r="AE761" s="46" t="s">
        <v>8</v>
      </c>
      <c r="AF761" s="103">
        <v>2.3809523809523809</v>
      </c>
      <c r="AG761" s="103">
        <v>11.904761904761903</v>
      </c>
      <c r="AH761" s="103">
        <v>13.492063492063492</v>
      </c>
      <c r="AI761" s="103">
        <v>27.777777777777779</v>
      </c>
      <c r="AJ761" s="103">
        <v>12.698412698412698</v>
      </c>
      <c r="AK761" s="103">
        <v>13.492063492063492</v>
      </c>
      <c r="AL761" s="103">
        <v>9.5238095238095237</v>
      </c>
      <c r="AM761" s="103">
        <v>7.1428571428571423</v>
      </c>
      <c r="AN761" s="103">
        <v>1.5873015873015872</v>
      </c>
      <c r="AO761" s="103">
        <v>0</v>
      </c>
      <c r="AP761" s="6"/>
      <c r="AQ761" s="110"/>
      <c r="AR761" s="46" t="s">
        <v>8</v>
      </c>
      <c r="AS761" s="103">
        <v>2.5974025974025974</v>
      </c>
      <c r="AT761" s="103">
        <v>9.0909090909090917</v>
      </c>
      <c r="AU761" s="103">
        <v>14.285714285714285</v>
      </c>
      <c r="AV761" s="103">
        <v>25.97402597402597</v>
      </c>
      <c r="AW761" s="103">
        <v>12.987012987012985</v>
      </c>
      <c r="AX761" s="103">
        <v>15.584415584415584</v>
      </c>
      <c r="AY761" s="103">
        <v>9.0909090909090917</v>
      </c>
      <c r="AZ761" s="103">
        <v>6.4935064935064926</v>
      </c>
      <c r="BA761" s="103">
        <v>2.5974025974025974</v>
      </c>
      <c r="BB761" s="103">
        <v>1.2987012987012987</v>
      </c>
      <c r="BC761" s="42"/>
      <c r="BD761" s="110"/>
      <c r="BE761" s="46" t="s">
        <v>8</v>
      </c>
      <c r="BF761" s="103">
        <v>2.2471910112359552</v>
      </c>
      <c r="BG761" s="103">
        <v>8.239700374531834</v>
      </c>
      <c r="BH761" s="103">
        <v>8.239700374531834</v>
      </c>
      <c r="BI761" s="103">
        <v>23.220973782771537</v>
      </c>
      <c r="BJ761" s="103">
        <v>15.730337078651685</v>
      </c>
      <c r="BK761" s="103">
        <v>16.853932584269664</v>
      </c>
      <c r="BL761" s="103">
        <v>12.734082397003746</v>
      </c>
      <c r="BM761" s="103">
        <v>9.3632958801498134</v>
      </c>
      <c r="BN761" s="103">
        <v>1.4981273408239701</v>
      </c>
      <c r="BO761" s="103">
        <v>1.8726591760299627</v>
      </c>
      <c r="BQ761" s="110"/>
      <c r="BR761" s="46" t="s">
        <v>8</v>
      </c>
      <c r="BS761" s="103">
        <v>2.8571428571428572</v>
      </c>
      <c r="BT761" s="103">
        <v>5.7142857142857144</v>
      </c>
      <c r="BU761" s="103">
        <v>8.5714285714285712</v>
      </c>
      <c r="BV761" s="103">
        <v>22.857142857142858</v>
      </c>
      <c r="BW761" s="103">
        <v>20</v>
      </c>
      <c r="BX761" s="103">
        <v>8.5714285714285712</v>
      </c>
      <c r="BY761" s="103">
        <v>14.285714285714285</v>
      </c>
      <c r="BZ761" s="103">
        <v>17.142857142857142</v>
      </c>
      <c r="CA761" s="103">
        <v>0</v>
      </c>
      <c r="CB761" s="103">
        <v>0</v>
      </c>
      <c r="CC761" s="42"/>
      <c r="CD761" s="110"/>
      <c r="CE761" s="46" t="s">
        <v>8</v>
      </c>
      <c r="CF761" s="103">
        <v>2.2653721682847898</v>
      </c>
      <c r="CG761" s="103">
        <v>8.7378640776699026</v>
      </c>
      <c r="CH761" s="103">
        <v>9.7087378640776691</v>
      </c>
      <c r="CI761" s="103">
        <v>23.948220064724918</v>
      </c>
      <c r="CJ761" s="103">
        <v>14.563106796116504</v>
      </c>
      <c r="CK761" s="103">
        <v>17.475728155339805</v>
      </c>
      <c r="CL761" s="103">
        <v>11.650485436893204</v>
      </c>
      <c r="CM761" s="103">
        <v>7.7669902912621351</v>
      </c>
      <c r="CN761" s="103">
        <v>1.9417475728155338</v>
      </c>
      <c r="CO761" s="103">
        <v>1.9417475728155338</v>
      </c>
      <c r="CQ761" s="110"/>
      <c r="CR761" s="46" t="s">
        <v>8</v>
      </c>
      <c r="CS761" s="103">
        <v>0</v>
      </c>
      <c r="CT761" s="103">
        <v>4.6875</v>
      </c>
      <c r="CU761" s="103">
        <v>7.8125</v>
      </c>
      <c r="CV761" s="103">
        <v>20.3125</v>
      </c>
      <c r="CW761" s="103">
        <v>20.3125</v>
      </c>
      <c r="CX761" s="103">
        <v>10.9375</v>
      </c>
      <c r="CY761" s="103">
        <v>20.3125</v>
      </c>
      <c r="CZ761" s="103">
        <v>6.25</v>
      </c>
      <c r="DA761" s="103">
        <v>4.6875</v>
      </c>
      <c r="DB761" s="103">
        <v>4.6875</v>
      </c>
      <c r="DC761" s="42"/>
      <c r="DD761" s="110"/>
      <c r="DE761" s="46" t="s">
        <v>8</v>
      </c>
      <c r="DF761" s="103">
        <v>2.8571428571428572</v>
      </c>
      <c r="DG761" s="103">
        <v>9.2857142857142865</v>
      </c>
      <c r="DH761" s="103">
        <v>10</v>
      </c>
      <c r="DI761" s="103">
        <v>24.642857142857146</v>
      </c>
      <c r="DJ761" s="103">
        <v>13.928571428571429</v>
      </c>
      <c r="DK761" s="103">
        <v>17.857142857142858</v>
      </c>
      <c r="DL761" s="103">
        <v>10</v>
      </c>
      <c r="DM761" s="103">
        <v>9.2857142857142865</v>
      </c>
      <c r="DN761" s="103">
        <v>1.0714285714285714</v>
      </c>
      <c r="DO761" s="103">
        <v>1.0714285714285714</v>
      </c>
    </row>
    <row r="762" spans="2:119" ht="16.5" customHeight="1" x14ac:dyDescent="0.45">
      <c r="B762" s="99"/>
      <c r="C762" s="42"/>
      <c r="D762" s="110"/>
      <c r="E762" s="47" t="s">
        <v>9</v>
      </c>
      <c r="F762" s="103">
        <v>0.86741016109045854</v>
      </c>
      <c r="G762" s="103">
        <v>2.3543990086741013</v>
      </c>
      <c r="H762" s="103">
        <v>5.2044609665427508</v>
      </c>
      <c r="I762" s="103">
        <v>11.028500619578686</v>
      </c>
      <c r="J762" s="103">
        <v>13.630731102850064</v>
      </c>
      <c r="K762" s="103">
        <v>17.224287484510533</v>
      </c>
      <c r="L762" s="103">
        <v>17.71995043370508</v>
      </c>
      <c r="M762" s="103">
        <v>13.506815365551425</v>
      </c>
      <c r="N762" s="103">
        <v>13.011152416356877</v>
      </c>
      <c r="O762" s="103">
        <v>5.4522924411400249</v>
      </c>
      <c r="P762" s="42"/>
      <c r="Q762" s="110"/>
      <c r="R762" s="46" t="s">
        <v>9</v>
      </c>
      <c r="S762" s="103">
        <v>0.6198347107438017</v>
      </c>
      <c r="T762" s="103">
        <v>1.6528925619834711</v>
      </c>
      <c r="U762" s="103">
        <v>3.9256198347107438</v>
      </c>
      <c r="V762" s="103">
        <v>8.4710743801652892</v>
      </c>
      <c r="W762" s="103">
        <v>14.049586776859504</v>
      </c>
      <c r="X762" s="103">
        <v>18.801652892561986</v>
      </c>
      <c r="Y762" s="103">
        <v>18.388429752066116</v>
      </c>
      <c r="Z762" s="103">
        <v>14.46280991735537</v>
      </c>
      <c r="AA762" s="103">
        <v>14.049586776859504</v>
      </c>
      <c r="AB762" s="103">
        <v>5.5785123966942152</v>
      </c>
      <c r="AC762" s="42"/>
      <c r="AD762" s="110"/>
      <c r="AE762" s="46" t="s">
        <v>9</v>
      </c>
      <c r="AF762" s="103">
        <v>1.2383900928792571</v>
      </c>
      <c r="AG762" s="103">
        <v>3.4055727554179565</v>
      </c>
      <c r="AH762" s="103">
        <v>7.1207430340557281</v>
      </c>
      <c r="AI762" s="103">
        <v>14.860681114551083</v>
      </c>
      <c r="AJ762" s="103">
        <v>13.003095975232199</v>
      </c>
      <c r="AK762" s="103">
        <v>14.860681114551083</v>
      </c>
      <c r="AL762" s="103">
        <v>16.718266253869967</v>
      </c>
      <c r="AM762" s="103">
        <v>12.074303405572756</v>
      </c>
      <c r="AN762" s="103">
        <v>11.455108359133128</v>
      </c>
      <c r="AO762" s="103">
        <v>5.2631578947368416</v>
      </c>
      <c r="AP762" s="6"/>
      <c r="AQ762" s="110"/>
      <c r="AR762" s="46" t="s">
        <v>9</v>
      </c>
      <c r="AS762" s="103">
        <v>0.96153846153846156</v>
      </c>
      <c r="AT762" s="103">
        <v>3.8461538461538463</v>
      </c>
      <c r="AU762" s="103">
        <v>7.6923076923076925</v>
      </c>
      <c r="AV762" s="103">
        <v>9.6153846153846168</v>
      </c>
      <c r="AW762" s="103">
        <v>13.461538461538462</v>
      </c>
      <c r="AX762" s="103">
        <v>18.269230769230766</v>
      </c>
      <c r="AY762" s="103">
        <v>16.346153846153847</v>
      </c>
      <c r="AZ762" s="103">
        <v>9.6153846153846168</v>
      </c>
      <c r="BA762" s="103">
        <v>16.346153846153847</v>
      </c>
      <c r="BB762" s="103">
        <v>3.8461538461538463</v>
      </c>
      <c r="BC762" s="42"/>
      <c r="BD762" s="110"/>
      <c r="BE762" s="46" t="s">
        <v>9</v>
      </c>
      <c r="BF762" s="103">
        <v>0.85348506401137991</v>
      </c>
      <c r="BG762" s="103">
        <v>2.1337126600284493</v>
      </c>
      <c r="BH762" s="103">
        <v>4.8364153627311524</v>
      </c>
      <c r="BI762" s="103">
        <v>11.237553342816501</v>
      </c>
      <c r="BJ762" s="103">
        <v>13.655761024182079</v>
      </c>
      <c r="BK762" s="103">
        <v>17.069701280227594</v>
      </c>
      <c r="BL762" s="103">
        <v>17.923186344238974</v>
      </c>
      <c r="BM762" s="103">
        <v>14.082503556187767</v>
      </c>
      <c r="BN762" s="103">
        <v>12.517780938833569</v>
      </c>
      <c r="BO762" s="103">
        <v>5.6899004267425317</v>
      </c>
      <c r="BQ762" s="110"/>
      <c r="BR762" s="46" t="s">
        <v>9</v>
      </c>
      <c r="BS762" s="103">
        <v>1.6666666666666667</v>
      </c>
      <c r="BT762" s="103">
        <v>1.6666666666666667</v>
      </c>
      <c r="BU762" s="103">
        <v>3.3333333333333335</v>
      </c>
      <c r="BV762" s="103">
        <v>10</v>
      </c>
      <c r="BW762" s="103">
        <v>11.666666666666666</v>
      </c>
      <c r="BX762" s="103">
        <v>16.666666666666664</v>
      </c>
      <c r="BY762" s="103">
        <v>11.666666666666666</v>
      </c>
      <c r="BZ762" s="103">
        <v>21.666666666666668</v>
      </c>
      <c r="CA762" s="103">
        <v>16.666666666666664</v>
      </c>
      <c r="CB762" s="103">
        <v>5</v>
      </c>
      <c r="CC762" s="42"/>
      <c r="CD762" s="110"/>
      <c r="CE762" s="46" t="s">
        <v>9</v>
      </c>
      <c r="CF762" s="103">
        <v>0.80321285140562237</v>
      </c>
      <c r="CG762" s="103">
        <v>2.4096385542168677</v>
      </c>
      <c r="CH762" s="103">
        <v>5.3547523427041499</v>
      </c>
      <c r="CI762" s="103">
        <v>11.111111111111111</v>
      </c>
      <c r="CJ762" s="103">
        <v>13.788487282463185</v>
      </c>
      <c r="CK762" s="103">
        <v>17.269076305220885</v>
      </c>
      <c r="CL762" s="103">
        <v>18.206157965194109</v>
      </c>
      <c r="CM762" s="103">
        <v>12.851405622489958</v>
      </c>
      <c r="CN762" s="103">
        <v>12.717536813922356</v>
      </c>
      <c r="CO762" s="103">
        <v>5.4886211512717535</v>
      </c>
      <c r="CQ762" s="110"/>
      <c r="CR762" s="46" t="s">
        <v>9</v>
      </c>
      <c r="CS762" s="103">
        <v>0</v>
      </c>
      <c r="CT762" s="103">
        <v>1.4184397163120568</v>
      </c>
      <c r="CU762" s="103">
        <v>2.8368794326241136</v>
      </c>
      <c r="CV762" s="103">
        <v>9.9290780141843982</v>
      </c>
      <c r="CW762" s="103">
        <v>14.893617021276595</v>
      </c>
      <c r="CX762" s="103">
        <v>14.893617021276595</v>
      </c>
      <c r="CY762" s="103">
        <v>17.021276595744681</v>
      </c>
      <c r="CZ762" s="103">
        <v>15.602836879432624</v>
      </c>
      <c r="DA762" s="103">
        <v>14.893617021276595</v>
      </c>
      <c r="DB762" s="103">
        <v>8.5106382978723403</v>
      </c>
      <c r="DC762" s="42"/>
      <c r="DD762" s="110"/>
      <c r="DE762" s="46" t="s">
        <v>9</v>
      </c>
      <c r="DF762" s="103">
        <v>1.0510510510510511</v>
      </c>
      <c r="DG762" s="103">
        <v>2.5525525525525525</v>
      </c>
      <c r="DH762" s="103">
        <v>5.7057057057057055</v>
      </c>
      <c r="DI762" s="103">
        <v>11.261261261261261</v>
      </c>
      <c r="DJ762" s="103">
        <v>13.363363363363364</v>
      </c>
      <c r="DK762" s="103">
        <v>17.717717717717719</v>
      </c>
      <c r="DL762" s="103">
        <v>17.867867867867869</v>
      </c>
      <c r="DM762" s="103">
        <v>13.063063063063062</v>
      </c>
      <c r="DN762" s="103">
        <v>12.612612612612612</v>
      </c>
      <c r="DO762" s="103">
        <v>4.8048048048048049</v>
      </c>
    </row>
    <row r="763" spans="2:119" ht="16.5" customHeight="1" x14ac:dyDescent="0.45">
      <c r="B763" s="99"/>
      <c r="C763" s="42"/>
      <c r="D763" s="110"/>
      <c r="E763" s="47" t="s">
        <v>10</v>
      </c>
      <c r="F763" s="103">
        <v>0.21085925144965736</v>
      </c>
      <c r="G763" s="103">
        <v>0.36900369003690037</v>
      </c>
      <c r="H763" s="103">
        <v>1.5287295730100159</v>
      </c>
      <c r="I763" s="103">
        <v>4.4807590933052186</v>
      </c>
      <c r="J763" s="103">
        <v>6.536636794939378</v>
      </c>
      <c r="K763" s="103">
        <v>10.701107011070111</v>
      </c>
      <c r="L763" s="103">
        <v>17.132314180284659</v>
      </c>
      <c r="M763" s="103">
        <v>20.716921454928837</v>
      </c>
      <c r="N763" s="103">
        <v>21.613073273589876</v>
      </c>
      <c r="O763" s="103">
        <v>16.710595677385346</v>
      </c>
      <c r="P763" s="42"/>
      <c r="Q763" s="110"/>
      <c r="R763" s="46" t="s">
        <v>10</v>
      </c>
      <c r="S763" s="103">
        <v>9.1575091575091569E-2</v>
      </c>
      <c r="T763" s="103">
        <v>0.18315018315018314</v>
      </c>
      <c r="U763" s="103">
        <v>1.1904761904761905</v>
      </c>
      <c r="V763" s="103">
        <v>4.0293040293040292</v>
      </c>
      <c r="W763" s="103">
        <v>6.4102564102564097</v>
      </c>
      <c r="X763" s="103">
        <v>9.3406593406593412</v>
      </c>
      <c r="Y763" s="103">
        <v>16.575091575091573</v>
      </c>
      <c r="Z763" s="103">
        <v>20.238095238095237</v>
      </c>
      <c r="AA763" s="103">
        <v>23.717948717948715</v>
      </c>
      <c r="AB763" s="103">
        <v>18.223443223443223</v>
      </c>
      <c r="AC763" s="42"/>
      <c r="AD763" s="110"/>
      <c r="AE763" s="46" t="s">
        <v>10</v>
      </c>
      <c r="AF763" s="103">
        <v>0.37267080745341613</v>
      </c>
      <c r="AG763" s="103">
        <v>0.6211180124223602</v>
      </c>
      <c r="AH763" s="103">
        <v>1.9875776397515528</v>
      </c>
      <c r="AI763" s="103">
        <v>5.0931677018633543</v>
      </c>
      <c r="AJ763" s="103">
        <v>6.70807453416149</v>
      </c>
      <c r="AK763" s="103">
        <v>12.546583850931677</v>
      </c>
      <c r="AL763" s="103">
        <v>17.888198757763977</v>
      </c>
      <c r="AM763" s="103">
        <v>21.366459627329192</v>
      </c>
      <c r="AN763" s="103">
        <v>18.757763975155278</v>
      </c>
      <c r="AO763" s="103">
        <v>14.658385093167702</v>
      </c>
      <c r="AP763" s="6"/>
      <c r="AQ763" s="110"/>
      <c r="AR763" s="46" t="s">
        <v>10</v>
      </c>
      <c r="AS763" s="103">
        <v>0</v>
      </c>
      <c r="AT763" s="103">
        <v>0.69930069930069927</v>
      </c>
      <c r="AU763" s="103">
        <v>2.0979020979020979</v>
      </c>
      <c r="AV763" s="103">
        <v>7.6923076923076925</v>
      </c>
      <c r="AW763" s="103">
        <v>9.79020979020979</v>
      </c>
      <c r="AX763" s="103">
        <v>11.188811188811188</v>
      </c>
      <c r="AY763" s="103">
        <v>18.88111888111888</v>
      </c>
      <c r="AZ763" s="103">
        <v>25.174825174825177</v>
      </c>
      <c r="BA763" s="103">
        <v>15.384615384615385</v>
      </c>
      <c r="BB763" s="103">
        <v>9.0909090909090917</v>
      </c>
      <c r="BC763" s="42"/>
      <c r="BD763" s="110"/>
      <c r="BE763" s="46" t="s">
        <v>10</v>
      </c>
      <c r="BF763" s="103">
        <v>0.22805017103762829</v>
      </c>
      <c r="BG763" s="103">
        <v>0.34207525655644244</v>
      </c>
      <c r="BH763" s="103">
        <v>1.4823261117445838</v>
      </c>
      <c r="BI763" s="103">
        <v>4.2189281641961234</v>
      </c>
      <c r="BJ763" s="103">
        <v>6.2713797035347785</v>
      </c>
      <c r="BK763" s="103">
        <v>10.661345496009123</v>
      </c>
      <c r="BL763" s="103">
        <v>16.989737742303308</v>
      </c>
      <c r="BM763" s="103">
        <v>20.353477765108323</v>
      </c>
      <c r="BN763" s="103">
        <v>22.120866590649943</v>
      </c>
      <c r="BO763" s="103">
        <v>17.33181299885975</v>
      </c>
      <c r="BQ763" s="110"/>
      <c r="BR763" s="46" t="s">
        <v>10</v>
      </c>
      <c r="BS763" s="103">
        <v>0.95238095238095244</v>
      </c>
      <c r="BT763" s="103">
        <v>0.95238095238095244</v>
      </c>
      <c r="BU763" s="103">
        <v>1.9047619047619049</v>
      </c>
      <c r="BV763" s="103">
        <v>5.7142857142857144</v>
      </c>
      <c r="BW763" s="103">
        <v>4.7619047619047619</v>
      </c>
      <c r="BX763" s="103">
        <v>16.19047619047619</v>
      </c>
      <c r="BY763" s="103">
        <v>23.809523809523807</v>
      </c>
      <c r="BZ763" s="103">
        <v>15.238095238095239</v>
      </c>
      <c r="CA763" s="103">
        <v>21.904761904761905</v>
      </c>
      <c r="CB763" s="103">
        <v>8.5714285714285712</v>
      </c>
      <c r="CC763" s="42"/>
      <c r="CD763" s="110"/>
      <c r="CE763" s="46" t="s">
        <v>10</v>
      </c>
      <c r="CF763" s="103">
        <v>0.16741071428571427</v>
      </c>
      <c r="CG763" s="103">
        <v>0.33482142857142855</v>
      </c>
      <c r="CH763" s="103">
        <v>1.5066964285714286</v>
      </c>
      <c r="CI763" s="103">
        <v>4.4084821428571432</v>
      </c>
      <c r="CJ763" s="103">
        <v>6.640625</v>
      </c>
      <c r="CK763" s="103">
        <v>10.379464285714286</v>
      </c>
      <c r="CL763" s="103">
        <v>16.741071428571427</v>
      </c>
      <c r="CM763" s="103">
        <v>21.037946428571427</v>
      </c>
      <c r="CN763" s="103">
        <v>21.595982142857142</v>
      </c>
      <c r="CO763" s="103">
        <v>17.1875</v>
      </c>
      <c r="CQ763" s="110"/>
      <c r="CR763" s="46" t="s">
        <v>10</v>
      </c>
      <c r="CS763" s="103">
        <v>0</v>
      </c>
      <c r="CT763" s="103">
        <v>0</v>
      </c>
      <c r="CU763" s="103">
        <v>0.99009900990099009</v>
      </c>
      <c r="CV763" s="103">
        <v>3.3003300330032999</v>
      </c>
      <c r="CW763" s="103">
        <v>4.9504950495049505</v>
      </c>
      <c r="CX763" s="103">
        <v>8.5808580858085808</v>
      </c>
      <c r="CY763" s="103">
        <v>15.181518151815181</v>
      </c>
      <c r="CZ763" s="103">
        <v>20.462046204620464</v>
      </c>
      <c r="DA763" s="103">
        <v>26.402640264026399</v>
      </c>
      <c r="DB763" s="103">
        <v>20.132013201320131</v>
      </c>
      <c r="DC763" s="42"/>
      <c r="DD763" s="110"/>
      <c r="DE763" s="46" t="s">
        <v>10</v>
      </c>
      <c r="DF763" s="103">
        <v>0.25094102885821828</v>
      </c>
      <c r="DG763" s="103">
        <v>0.43914680050188204</v>
      </c>
      <c r="DH763" s="103">
        <v>1.6311166875784191</v>
      </c>
      <c r="DI763" s="103">
        <v>4.7051442910915933</v>
      </c>
      <c r="DJ763" s="103">
        <v>6.838143036386449</v>
      </c>
      <c r="DK763" s="103">
        <v>11.104140526976161</v>
      </c>
      <c r="DL763" s="103">
        <v>17.503136762860727</v>
      </c>
      <c r="DM763" s="103">
        <v>20.765370138017566</v>
      </c>
      <c r="DN763" s="103">
        <v>20.702634880803011</v>
      </c>
      <c r="DO763" s="103">
        <v>16.06022584692597</v>
      </c>
    </row>
    <row r="764" spans="2:119" ht="16.5" customHeight="1" x14ac:dyDescent="0.45">
      <c r="B764" s="99"/>
      <c r="C764" s="42"/>
      <c r="D764" s="111"/>
      <c r="E764" s="47" t="s">
        <v>11</v>
      </c>
      <c r="F764" s="103">
        <v>0</v>
      </c>
      <c r="G764" s="103">
        <v>8.2712985938792394E-2</v>
      </c>
      <c r="H764" s="103">
        <v>0.57899090157154676</v>
      </c>
      <c r="I764" s="103">
        <v>1.1579818031430935</v>
      </c>
      <c r="J764" s="103">
        <v>1.3234077750206783</v>
      </c>
      <c r="K764" s="103">
        <v>4.9627791563275441</v>
      </c>
      <c r="L764" s="103">
        <v>8.1885856079404462</v>
      </c>
      <c r="M764" s="103">
        <v>14.226633581472292</v>
      </c>
      <c r="N764" s="103">
        <v>27.04714640198511</v>
      </c>
      <c r="O764" s="103">
        <v>42.431761786600497</v>
      </c>
      <c r="P764" s="42"/>
      <c r="Q764" s="111"/>
      <c r="R764" s="46" t="s">
        <v>11</v>
      </c>
      <c r="S764" s="103">
        <v>0</v>
      </c>
      <c r="T764" s="103">
        <v>0.14306151645207438</v>
      </c>
      <c r="U764" s="103">
        <v>0.42918454935622319</v>
      </c>
      <c r="V764" s="103">
        <v>0.42918454935622319</v>
      </c>
      <c r="W764" s="103">
        <v>1.144492131616595</v>
      </c>
      <c r="X764" s="103">
        <v>4.0057224606580828</v>
      </c>
      <c r="Y764" s="103">
        <v>7.296137339055794</v>
      </c>
      <c r="Z764" s="103">
        <v>14.163090128755366</v>
      </c>
      <c r="AA764" s="103">
        <v>27.610872675250359</v>
      </c>
      <c r="AB764" s="103">
        <v>44.778254649499281</v>
      </c>
      <c r="AC764" s="42"/>
      <c r="AD764" s="111"/>
      <c r="AE764" s="46" t="s">
        <v>11</v>
      </c>
      <c r="AF764" s="103">
        <v>0</v>
      </c>
      <c r="AG764" s="103">
        <v>0</v>
      </c>
      <c r="AH764" s="103">
        <v>0.78431372549019607</v>
      </c>
      <c r="AI764" s="103">
        <v>2.1568627450980391</v>
      </c>
      <c r="AJ764" s="103">
        <v>1.5686274509803921</v>
      </c>
      <c r="AK764" s="103">
        <v>6.2745098039215685</v>
      </c>
      <c r="AL764" s="103">
        <v>9.4117647058823533</v>
      </c>
      <c r="AM764" s="103">
        <v>14.313725490196077</v>
      </c>
      <c r="AN764" s="103">
        <v>26.274509803921571</v>
      </c>
      <c r="AO764" s="103">
        <v>39.215686274509807</v>
      </c>
      <c r="AP764" s="6"/>
      <c r="AQ764" s="111"/>
      <c r="AR764" s="46" t="s">
        <v>11</v>
      </c>
      <c r="AS764" s="103">
        <v>0</v>
      </c>
      <c r="AT764" s="103">
        <v>0</v>
      </c>
      <c r="AU764" s="103">
        <v>0</v>
      </c>
      <c r="AV764" s="103">
        <v>3.0303030303030303</v>
      </c>
      <c r="AW764" s="103">
        <v>1.5151515151515151</v>
      </c>
      <c r="AX764" s="103">
        <v>10.606060606060606</v>
      </c>
      <c r="AY764" s="103">
        <v>6.0606060606060606</v>
      </c>
      <c r="AZ764" s="103">
        <v>18.181818181818183</v>
      </c>
      <c r="BA764" s="103">
        <v>30.303030303030305</v>
      </c>
      <c r="BB764" s="103">
        <v>30.303030303030305</v>
      </c>
      <c r="BC764" s="42"/>
      <c r="BD764" s="111"/>
      <c r="BE764" s="46" t="s">
        <v>11</v>
      </c>
      <c r="BF764" s="103">
        <v>0</v>
      </c>
      <c r="BG764" s="103">
        <v>8.7489063867016631E-2</v>
      </c>
      <c r="BH764" s="103">
        <v>0.61242344706911633</v>
      </c>
      <c r="BI764" s="103">
        <v>1.0498687664041995</v>
      </c>
      <c r="BJ764" s="103">
        <v>1.3123359580052494</v>
      </c>
      <c r="BK764" s="103">
        <v>4.636920384951881</v>
      </c>
      <c r="BL764" s="103">
        <v>8.3114610673665794</v>
      </c>
      <c r="BM764" s="103">
        <v>13.99825021872266</v>
      </c>
      <c r="BN764" s="103">
        <v>26.859142607174103</v>
      </c>
      <c r="BO764" s="103">
        <v>43.132108486439193</v>
      </c>
      <c r="BQ764" s="111"/>
      <c r="BR764" s="46" t="s">
        <v>11</v>
      </c>
      <c r="BS764" s="103">
        <v>0</v>
      </c>
      <c r="BT764" s="103">
        <v>0</v>
      </c>
      <c r="BU764" s="103">
        <v>0</v>
      </c>
      <c r="BV764" s="103">
        <v>2.2727272727272729</v>
      </c>
      <c r="BW764" s="103">
        <v>0</v>
      </c>
      <c r="BX764" s="103">
        <v>11.363636363636363</v>
      </c>
      <c r="BY764" s="103">
        <v>13.636363636363635</v>
      </c>
      <c r="BZ764" s="103">
        <v>25</v>
      </c>
      <c r="CA764" s="103">
        <v>22.727272727272727</v>
      </c>
      <c r="CB764" s="103">
        <v>25</v>
      </c>
      <c r="CC764" s="42"/>
      <c r="CD764" s="111"/>
      <c r="CE764" s="46" t="s">
        <v>11</v>
      </c>
      <c r="CF764" s="103">
        <v>0</v>
      </c>
      <c r="CG764" s="103">
        <v>8.5836909871244635E-2</v>
      </c>
      <c r="CH764" s="103">
        <v>0.60085836909871249</v>
      </c>
      <c r="CI764" s="103">
        <v>1.1158798283261802</v>
      </c>
      <c r="CJ764" s="103">
        <v>1.3733905579399142</v>
      </c>
      <c r="CK764" s="103">
        <v>4.7210300429184553</v>
      </c>
      <c r="CL764" s="103">
        <v>7.9828326180257507</v>
      </c>
      <c r="CM764" s="103">
        <v>13.819742489270388</v>
      </c>
      <c r="CN764" s="103">
        <v>27.210300429184546</v>
      </c>
      <c r="CO764" s="103">
        <v>43.090128755364809</v>
      </c>
      <c r="CQ764" s="111"/>
      <c r="CR764" s="46" t="s">
        <v>11</v>
      </c>
      <c r="CS764" s="103">
        <v>0</v>
      </c>
      <c r="CT764" s="103">
        <v>0</v>
      </c>
      <c r="CU764" s="103">
        <v>0.47619047619047622</v>
      </c>
      <c r="CV764" s="103">
        <v>0.95238095238095244</v>
      </c>
      <c r="CW764" s="103">
        <v>1.4285714285714286</v>
      </c>
      <c r="CX764" s="103">
        <v>3.8095238095238098</v>
      </c>
      <c r="CY764" s="103">
        <v>7.6190476190476195</v>
      </c>
      <c r="CZ764" s="103">
        <v>10.952380952380953</v>
      </c>
      <c r="DA764" s="103">
        <v>23.809523809523807</v>
      </c>
      <c r="DB764" s="103">
        <v>50.952380952380949</v>
      </c>
      <c r="DC764" s="42"/>
      <c r="DD764" s="111"/>
      <c r="DE764" s="46" t="s">
        <v>11</v>
      </c>
      <c r="DF764" s="103">
        <v>0</v>
      </c>
      <c r="DG764" s="103">
        <v>0.10010010010010009</v>
      </c>
      <c r="DH764" s="103">
        <v>0.60060060060060061</v>
      </c>
      <c r="DI764" s="103">
        <v>1.2012012012012012</v>
      </c>
      <c r="DJ764" s="103">
        <v>1.3013013013013013</v>
      </c>
      <c r="DK764" s="103">
        <v>5.2052052052052051</v>
      </c>
      <c r="DL764" s="103">
        <v>8.3083083083083089</v>
      </c>
      <c r="DM764" s="103">
        <v>14.914914914914915</v>
      </c>
      <c r="DN764" s="103">
        <v>27.727727727727729</v>
      </c>
      <c r="DO764" s="103">
        <v>40.64064064064064</v>
      </c>
    </row>
    <row r="765" spans="2:119" ht="16.5" customHeight="1" x14ac:dyDescent="0.45">
      <c r="B765" s="99"/>
      <c r="C765" s="42"/>
      <c r="D765" s="42"/>
      <c r="E765" s="42"/>
      <c r="F765" s="42"/>
      <c r="G765" s="42"/>
      <c r="H765" s="42"/>
      <c r="I765" s="42"/>
      <c r="J765" s="42"/>
      <c r="K765" s="42"/>
      <c r="L765" s="42"/>
      <c r="M765" s="42"/>
      <c r="N765" s="42"/>
      <c r="O765" s="42"/>
      <c r="P765" s="42"/>
      <c r="Q765" s="42"/>
      <c r="R765" s="42"/>
      <c r="S765" s="42"/>
      <c r="T765" s="42"/>
      <c r="U765" s="42"/>
      <c r="V765" s="42"/>
      <c r="W765" s="42"/>
      <c r="X765" s="42"/>
      <c r="Y765" s="42"/>
      <c r="Z765" s="42"/>
      <c r="AA765" s="42"/>
      <c r="AB765" s="42"/>
      <c r="AC765" s="42"/>
      <c r="AD765" s="42"/>
      <c r="AE765" s="42"/>
      <c r="AF765" s="42"/>
      <c r="AG765" s="42"/>
      <c r="AH765" s="42"/>
      <c r="AI765" s="42"/>
      <c r="AJ765" s="42"/>
      <c r="AK765" s="42"/>
      <c r="AL765" s="42"/>
      <c r="AM765" s="42"/>
      <c r="AN765" s="42"/>
      <c r="AO765" s="42"/>
      <c r="AQ765" s="42"/>
      <c r="AR765" s="42"/>
      <c r="AS765" s="42"/>
      <c r="AT765" s="42"/>
      <c r="AU765" s="42"/>
      <c r="AV765" s="42"/>
      <c r="AW765" s="42"/>
      <c r="AX765" s="42"/>
      <c r="AY765" s="42"/>
      <c r="AZ765" s="42"/>
      <c r="BA765" s="42"/>
      <c r="BB765" s="42"/>
      <c r="BC765" s="42"/>
      <c r="BD765" s="42"/>
      <c r="BE765" s="42"/>
      <c r="BF765" s="42"/>
      <c r="BG765" s="42"/>
      <c r="BH765" s="42"/>
      <c r="BI765" s="42"/>
      <c r="BJ765" s="42"/>
      <c r="BK765" s="42"/>
      <c r="BL765" s="42"/>
      <c r="BM765" s="42"/>
      <c r="BN765" s="42"/>
      <c r="BO765" s="42"/>
      <c r="BQ765" s="42"/>
      <c r="BR765" s="42"/>
      <c r="BS765" s="42"/>
      <c r="BT765" s="42"/>
      <c r="BU765" s="42"/>
      <c r="BV765" s="42"/>
      <c r="BW765" s="42"/>
      <c r="BX765" s="42"/>
      <c r="BY765" s="42"/>
      <c r="BZ765" s="42"/>
      <c r="CA765" s="42"/>
      <c r="CB765" s="42"/>
      <c r="CC765" s="42"/>
      <c r="CD765" s="42"/>
      <c r="CE765" s="42"/>
      <c r="CF765" s="42"/>
      <c r="CG765" s="42"/>
      <c r="CH765" s="42"/>
      <c r="CI765" s="42"/>
      <c r="CJ765" s="42"/>
      <c r="CK765" s="42"/>
      <c r="CL765" s="42"/>
      <c r="CM765" s="42"/>
      <c r="CN765" s="42"/>
      <c r="CO765" s="42"/>
      <c r="CQ765" s="42"/>
      <c r="CR765" s="42"/>
      <c r="CS765" s="42"/>
      <c r="CT765" s="42"/>
      <c r="CU765" s="42"/>
      <c r="CV765" s="42"/>
      <c r="CW765" s="42"/>
      <c r="CX765" s="42"/>
      <c r="CY765" s="42"/>
      <c r="CZ765" s="42"/>
      <c r="DA765" s="42"/>
      <c r="DB765" s="42"/>
      <c r="DC765" s="42"/>
      <c r="DD765" s="42"/>
      <c r="DE765" s="42"/>
      <c r="DF765" s="42"/>
      <c r="DG765" s="42"/>
      <c r="DH765" s="42"/>
      <c r="DI765" s="42"/>
      <c r="DJ765" s="42"/>
      <c r="DK765" s="42"/>
      <c r="DL765" s="42"/>
      <c r="DM765" s="42"/>
      <c r="DN765" s="42"/>
      <c r="DO765" s="42"/>
    </row>
    <row r="766" spans="2:119" ht="16.5" customHeight="1" x14ac:dyDescent="0.45">
      <c r="B766" s="99"/>
      <c r="C766" s="42"/>
      <c r="D766" s="42"/>
      <c r="E766" s="42"/>
      <c r="F766" s="42"/>
      <c r="G766" s="42"/>
      <c r="H766" s="42"/>
      <c r="I766" s="42"/>
      <c r="J766" s="42"/>
      <c r="K766" s="42"/>
      <c r="L766" s="42"/>
      <c r="M766" s="42"/>
      <c r="N766" s="42"/>
      <c r="O766" s="42"/>
      <c r="P766" s="42"/>
      <c r="Q766" s="42"/>
      <c r="R766" s="42"/>
      <c r="S766" s="42"/>
      <c r="T766" s="42"/>
      <c r="U766" s="42"/>
      <c r="V766" s="42"/>
      <c r="W766" s="42"/>
      <c r="X766" s="42"/>
      <c r="Y766" s="42"/>
      <c r="Z766" s="42"/>
      <c r="AA766" s="42"/>
      <c r="AB766" s="42"/>
      <c r="AC766" s="42"/>
      <c r="AD766" s="42"/>
      <c r="AE766" s="42"/>
      <c r="AF766" s="42"/>
      <c r="AG766" s="42"/>
      <c r="AH766" s="42"/>
      <c r="AI766" s="42"/>
      <c r="AJ766" s="42"/>
      <c r="AK766" s="42"/>
      <c r="AL766" s="42"/>
      <c r="AM766" s="42"/>
      <c r="AN766" s="42"/>
      <c r="AO766" s="42"/>
      <c r="AQ766" s="42"/>
      <c r="AR766" s="42"/>
      <c r="AS766" s="42"/>
      <c r="AT766" s="42"/>
      <c r="AU766" s="42"/>
      <c r="AV766" s="42"/>
      <c r="AW766" s="42"/>
      <c r="AX766" s="42"/>
      <c r="AY766" s="42"/>
      <c r="AZ766" s="42"/>
      <c r="BA766" s="42"/>
      <c r="BB766" s="42"/>
      <c r="BC766" s="42"/>
      <c r="BD766" s="42"/>
      <c r="BE766" s="42"/>
      <c r="BF766" s="42"/>
      <c r="BG766" s="42"/>
      <c r="BH766" s="42"/>
      <c r="BI766" s="42"/>
      <c r="BJ766" s="42"/>
      <c r="BK766" s="42"/>
      <c r="BL766" s="42"/>
      <c r="BM766" s="42"/>
      <c r="BN766" s="42"/>
      <c r="BO766" s="42"/>
      <c r="BQ766" s="42"/>
      <c r="BR766" s="42"/>
      <c r="BS766" s="42"/>
      <c r="BT766" s="42"/>
      <c r="BU766" s="42"/>
      <c r="BV766" s="42"/>
      <c r="BW766" s="42"/>
      <c r="BX766" s="42"/>
      <c r="BY766" s="42"/>
      <c r="BZ766" s="42"/>
      <c r="CA766" s="42"/>
      <c r="CB766" s="42"/>
      <c r="CC766" s="42"/>
      <c r="CD766" s="42"/>
      <c r="CE766" s="42"/>
      <c r="CF766" s="42"/>
      <c r="CG766" s="42"/>
      <c r="CH766" s="42"/>
      <c r="CI766" s="42"/>
      <c r="CJ766" s="42"/>
      <c r="CK766" s="42"/>
      <c r="CL766" s="42"/>
      <c r="CM766" s="42"/>
      <c r="CN766" s="42"/>
      <c r="CO766" s="42"/>
      <c r="CQ766" s="42"/>
      <c r="CR766" s="42"/>
      <c r="CS766" s="42"/>
      <c r="CT766" s="42"/>
      <c r="CU766" s="42"/>
      <c r="CV766" s="42"/>
      <c r="CW766" s="42"/>
      <c r="CX766" s="42"/>
      <c r="CY766" s="42"/>
      <c r="CZ766" s="42"/>
      <c r="DA766" s="42"/>
      <c r="DB766" s="42"/>
      <c r="DC766" s="42"/>
      <c r="DD766" s="42"/>
      <c r="DE766" s="42"/>
      <c r="DF766" s="42"/>
      <c r="DG766" s="42"/>
      <c r="DH766" s="42"/>
      <c r="DI766" s="42"/>
      <c r="DJ766" s="42"/>
      <c r="DK766" s="42"/>
      <c r="DL766" s="42"/>
      <c r="DM766" s="42"/>
      <c r="DN766" s="42"/>
      <c r="DO766" s="42"/>
    </row>
    <row r="767" spans="2:119" ht="16.5" customHeight="1" x14ac:dyDescent="0.55000000000000004">
      <c r="B767" s="99"/>
      <c r="C767" s="42"/>
      <c r="D767" s="112" t="s">
        <v>24</v>
      </c>
      <c r="E767" s="112"/>
      <c r="F767" s="45"/>
      <c r="G767" s="45"/>
      <c r="H767" s="45"/>
      <c r="I767" s="45"/>
      <c r="J767" s="45"/>
      <c r="K767" s="45"/>
      <c r="L767" s="45"/>
      <c r="M767" s="45"/>
      <c r="N767" s="45"/>
      <c r="O767" s="102"/>
      <c r="P767" s="102"/>
      <c r="Q767" s="112" t="s">
        <v>24</v>
      </c>
      <c r="R767" s="112"/>
      <c r="S767" s="45"/>
      <c r="T767" s="45"/>
      <c r="U767" s="45"/>
      <c r="V767" s="45"/>
      <c r="W767" s="45"/>
      <c r="X767" s="45"/>
      <c r="Y767" s="45"/>
      <c r="Z767" s="45"/>
      <c r="AA767" s="45"/>
      <c r="AB767" s="102"/>
      <c r="AC767" s="102"/>
      <c r="AD767" s="112" t="s">
        <v>24</v>
      </c>
      <c r="AE767" s="112"/>
      <c r="AF767" s="45"/>
      <c r="AG767" s="45"/>
      <c r="AH767" s="45"/>
      <c r="AI767" s="45"/>
      <c r="AJ767" s="45"/>
      <c r="AK767" s="45"/>
      <c r="AL767" s="45"/>
      <c r="AM767" s="45"/>
      <c r="AN767" s="45"/>
      <c r="AO767" s="42"/>
      <c r="AQ767" s="112" t="s">
        <v>24</v>
      </c>
      <c r="AR767" s="112"/>
      <c r="AS767" s="45"/>
      <c r="AT767" s="45"/>
      <c r="AU767" s="45"/>
      <c r="AV767" s="45"/>
      <c r="AW767" s="45"/>
      <c r="AX767" s="45"/>
      <c r="AY767" s="45"/>
      <c r="AZ767" s="45"/>
      <c r="BA767" s="45"/>
      <c r="BB767" s="42"/>
      <c r="BC767" s="42"/>
      <c r="BD767" s="112" t="s">
        <v>24</v>
      </c>
      <c r="BE767" s="112"/>
      <c r="BF767" s="45"/>
      <c r="BG767" s="45"/>
      <c r="BH767" s="45"/>
      <c r="BI767" s="45"/>
      <c r="BJ767" s="45"/>
      <c r="BK767" s="45"/>
      <c r="BL767" s="45"/>
      <c r="BM767" s="45"/>
      <c r="BN767" s="45"/>
      <c r="BO767" s="42"/>
      <c r="BQ767" s="112" t="s">
        <v>24</v>
      </c>
      <c r="BR767" s="112"/>
      <c r="BS767" s="45"/>
      <c r="BT767" s="45"/>
      <c r="BU767" s="45"/>
      <c r="BV767" s="45"/>
      <c r="BW767" s="45"/>
      <c r="BX767" s="45"/>
      <c r="BY767" s="45"/>
      <c r="BZ767" s="45"/>
      <c r="CA767" s="45"/>
      <c r="CB767" s="42"/>
      <c r="CC767" s="42"/>
      <c r="CD767" s="112" t="s">
        <v>24</v>
      </c>
      <c r="CE767" s="112"/>
      <c r="CF767" s="45"/>
      <c r="CG767" s="45"/>
      <c r="CH767" s="45"/>
      <c r="CI767" s="45"/>
      <c r="CJ767" s="45"/>
      <c r="CK767" s="45"/>
      <c r="CL767" s="45"/>
      <c r="CM767" s="45"/>
      <c r="CN767" s="45"/>
      <c r="CO767" s="42"/>
      <c r="CQ767" s="112" t="s">
        <v>24</v>
      </c>
      <c r="CR767" s="112"/>
      <c r="CS767" s="45"/>
      <c r="CT767" s="45"/>
      <c r="CU767" s="45"/>
      <c r="CV767" s="45"/>
      <c r="CW767" s="45"/>
      <c r="CX767" s="45"/>
      <c r="CY767" s="45"/>
      <c r="CZ767" s="45"/>
      <c r="DA767" s="45"/>
      <c r="DB767" s="42"/>
      <c r="DC767" s="42"/>
      <c r="DD767" s="112" t="s">
        <v>24</v>
      </c>
      <c r="DE767" s="112"/>
      <c r="DF767" s="45"/>
      <c r="DG767" s="45"/>
      <c r="DH767" s="45"/>
      <c r="DI767" s="45"/>
      <c r="DJ767" s="45"/>
      <c r="DK767" s="45"/>
      <c r="DL767" s="45"/>
      <c r="DM767" s="45"/>
      <c r="DN767" s="45"/>
      <c r="DO767" s="42"/>
    </row>
    <row r="768" spans="2:119" ht="28.9" customHeight="1" x14ac:dyDescent="0.45">
      <c r="B768" s="99"/>
      <c r="C768" s="42"/>
      <c r="D768" s="112"/>
      <c r="E768" s="112"/>
      <c r="F768" s="128" t="s">
        <v>12</v>
      </c>
      <c r="G768" s="129"/>
      <c r="H768" s="129"/>
      <c r="I768" s="129"/>
      <c r="J768" s="129"/>
      <c r="K768" s="129"/>
      <c r="L768" s="129"/>
      <c r="M768" s="129"/>
      <c r="N768" s="130"/>
      <c r="O768" s="102"/>
      <c r="P768" s="102"/>
      <c r="Q768" s="112"/>
      <c r="R768" s="112"/>
      <c r="S768" s="128" t="s">
        <v>12</v>
      </c>
      <c r="T768" s="129"/>
      <c r="U768" s="129"/>
      <c r="V768" s="129"/>
      <c r="W768" s="129"/>
      <c r="X768" s="129"/>
      <c r="Y768" s="129"/>
      <c r="Z768" s="129"/>
      <c r="AA768" s="130"/>
      <c r="AB768" s="102"/>
      <c r="AC768" s="102"/>
      <c r="AD768" s="112"/>
      <c r="AE768" s="112"/>
      <c r="AF768" s="128" t="s">
        <v>12</v>
      </c>
      <c r="AG768" s="129"/>
      <c r="AH768" s="129"/>
      <c r="AI768" s="129"/>
      <c r="AJ768" s="129"/>
      <c r="AK768" s="129"/>
      <c r="AL768" s="129"/>
      <c r="AM768" s="129"/>
      <c r="AN768" s="130"/>
      <c r="AO768" s="42"/>
      <c r="AQ768" s="112"/>
      <c r="AR768" s="112"/>
      <c r="AS768" s="128" t="s">
        <v>12</v>
      </c>
      <c r="AT768" s="129"/>
      <c r="AU768" s="129"/>
      <c r="AV768" s="129"/>
      <c r="AW768" s="129"/>
      <c r="AX768" s="129"/>
      <c r="AY768" s="129"/>
      <c r="AZ768" s="129"/>
      <c r="BA768" s="130"/>
      <c r="BB768" s="42"/>
      <c r="BC768" s="42"/>
      <c r="BD768" s="112"/>
      <c r="BE768" s="112"/>
      <c r="BF768" s="128" t="s">
        <v>12</v>
      </c>
      <c r="BG768" s="129"/>
      <c r="BH768" s="129"/>
      <c r="BI768" s="129"/>
      <c r="BJ768" s="129"/>
      <c r="BK768" s="129"/>
      <c r="BL768" s="129"/>
      <c r="BM768" s="129"/>
      <c r="BN768" s="130"/>
      <c r="BO768" s="42"/>
      <c r="BQ768" s="112"/>
      <c r="BR768" s="112"/>
      <c r="BS768" s="128" t="s">
        <v>12</v>
      </c>
      <c r="BT768" s="129"/>
      <c r="BU768" s="129"/>
      <c r="BV768" s="129"/>
      <c r="BW768" s="129"/>
      <c r="BX768" s="129"/>
      <c r="BY768" s="129"/>
      <c r="BZ768" s="129"/>
      <c r="CA768" s="130"/>
      <c r="CB768" s="42"/>
      <c r="CC768" s="42"/>
      <c r="CD768" s="112"/>
      <c r="CE768" s="112"/>
      <c r="CF768" s="128" t="s">
        <v>12</v>
      </c>
      <c r="CG768" s="129"/>
      <c r="CH768" s="129"/>
      <c r="CI768" s="129"/>
      <c r="CJ768" s="129"/>
      <c r="CK768" s="129"/>
      <c r="CL768" s="129"/>
      <c r="CM768" s="129"/>
      <c r="CN768" s="130"/>
      <c r="CO768" s="42"/>
      <c r="CQ768" s="112"/>
      <c r="CR768" s="112"/>
      <c r="CS768" s="128" t="s">
        <v>12</v>
      </c>
      <c r="CT768" s="129"/>
      <c r="CU768" s="129"/>
      <c r="CV768" s="129"/>
      <c r="CW768" s="129"/>
      <c r="CX768" s="129"/>
      <c r="CY768" s="129"/>
      <c r="CZ768" s="129"/>
      <c r="DA768" s="130"/>
      <c r="DB768" s="42"/>
      <c r="DC768" s="42"/>
      <c r="DD768" s="112"/>
      <c r="DE768" s="112"/>
      <c r="DF768" s="128" t="s">
        <v>12</v>
      </c>
      <c r="DG768" s="129"/>
      <c r="DH768" s="129"/>
      <c r="DI768" s="129"/>
      <c r="DJ768" s="129"/>
      <c r="DK768" s="129"/>
      <c r="DL768" s="129"/>
      <c r="DM768" s="129"/>
      <c r="DN768" s="130"/>
      <c r="DO768" s="42"/>
    </row>
    <row r="769" spans="2:119" ht="16.5" customHeight="1" x14ac:dyDescent="0.45">
      <c r="B769" s="99"/>
      <c r="C769" s="42"/>
      <c r="D769" s="113"/>
      <c r="E769" s="113"/>
      <c r="F769" s="98" t="s">
        <v>0</v>
      </c>
      <c r="G769" s="98" t="s">
        <v>111</v>
      </c>
      <c r="H769" s="98" t="s">
        <v>112</v>
      </c>
      <c r="I769" s="98" t="s">
        <v>113</v>
      </c>
      <c r="J769" s="98" t="s">
        <v>114</v>
      </c>
      <c r="K769" s="98" t="s">
        <v>115</v>
      </c>
      <c r="L769" s="98" t="s">
        <v>116</v>
      </c>
      <c r="M769" s="98" t="s">
        <v>117</v>
      </c>
      <c r="N769" s="98" t="s">
        <v>127</v>
      </c>
      <c r="O769" s="102"/>
      <c r="P769" s="102"/>
      <c r="Q769" s="113"/>
      <c r="R769" s="113"/>
      <c r="S769" s="98" t="s">
        <v>0</v>
      </c>
      <c r="T769" s="98" t="s">
        <v>111</v>
      </c>
      <c r="U769" s="98" t="s">
        <v>112</v>
      </c>
      <c r="V769" s="98" t="s">
        <v>113</v>
      </c>
      <c r="W769" s="98" t="s">
        <v>114</v>
      </c>
      <c r="X769" s="98" t="s">
        <v>115</v>
      </c>
      <c r="Y769" s="98" t="s">
        <v>116</v>
      </c>
      <c r="Z769" s="98" t="s">
        <v>117</v>
      </c>
      <c r="AA769" s="98" t="s">
        <v>127</v>
      </c>
      <c r="AB769" s="102"/>
      <c r="AC769" s="102"/>
      <c r="AD769" s="113"/>
      <c r="AE769" s="113"/>
      <c r="AF769" s="98" t="s">
        <v>0</v>
      </c>
      <c r="AG769" s="98" t="s">
        <v>111</v>
      </c>
      <c r="AH769" s="98" t="s">
        <v>112</v>
      </c>
      <c r="AI769" s="98" t="s">
        <v>113</v>
      </c>
      <c r="AJ769" s="98" t="s">
        <v>114</v>
      </c>
      <c r="AK769" s="98" t="s">
        <v>115</v>
      </c>
      <c r="AL769" s="98" t="s">
        <v>116</v>
      </c>
      <c r="AM769" s="98" t="s">
        <v>117</v>
      </c>
      <c r="AN769" s="98" t="s">
        <v>127</v>
      </c>
      <c r="AO769" s="42"/>
      <c r="AQ769" s="113"/>
      <c r="AR769" s="113"/>
      <c r="AS769" s="98" t="s">
        <v>0</v>
      </c>
      <c r="AT769" s="98" t="s">
        <v>111</v>
      </c>
      <c r="AU769" s="98" t="s">
        <v>112</v>
      </c>
      <c r="AV769" s="98" t="s">
        <v>113</v>
      </c>
      <c r="AW769" s="98" t="s">
        <v>114</v>
      </c>
      <c r="AX769" s="98" t="s">
        <v>115</v>
      </c>
      <c r="AY769" s="98" t="s">
        <v>116</v>
      </c>
      <c r="AZ769" s="98" t="s">
        <v>117</v>
      </c>
      <c r="BA769" s="98" t="s">
        <v>127</v>
      </c>
      <c r="BB769" s="42"/>
      <c r="BC769" s="42"/>
      <c r="BD769" s="113"/>
      <c r="BE769" s="113"/>
      <c r="BF769" s="98" t="s">
        <v>0</v>
      </c>
      <c r="BG769" s="98" t="s">
        <v>111</v>
      </c>
      <c r="BH769" s="98" t="s">
        <v>112</v>
      </c>
      <c r="BI769" s="98" t="s">
        <v>113</v>
      </c>
      <c r="BJ769" s="98" t="s">
        <v>114</v>
      </c>
      <c r="BK769" s="98" t="s">
        <v>115</v>
      </c>
      <c r="BL769" s="98" t="s">
        <v>116</v>
      </c>
      <c r="BM769" s="98" t="s">
        <v>117</v>
      </c>
      <c r="BN769" s="98" t="s">
        <v>127</v>
      </c>
      <c r="BO769" s="42"/>
      <c r="BQ769" s="113"/>
      <c r="BR769" s="113"/>
      <c r="BS769" s="98" t="s">
        <v>0</v>
      </c>
      <c r="BT769" s="98" t="s">
        <v>111</v>
      </c>
      <c r="BU769" s="98" t="s">
        <v>112</v>
      </c>
      <c r="BV769" s="98" t="s">
        <v>113</v>
      </c>
      <c r="BW769" s="98" t="s">
        <v>114</v>
      </c>
      <c r="BX769" s="98" t="s">
        <v>115</v>
      </c>
      <c r="BY769" s="98" t="s">
        <v>116</v>
      </c>
      <c r="BZ769" s="98" t="s">
        <v>117</v>
      </c>
      <c r="CA769" s="98" t="s">
        <v>127</v>
      </c>
      <c r="CB769" s="42"/>
      <c r="CC769" s="42"/>
      <c r="CD769" s="113"/>
      <c r="CE769" s="113"/>
      <c r="CF769" s="98" t="s">
        <v>0</v>
      </c>
      <c r="CG769" s="98" t="s">
        <v>111</v>
      </c>
      <c r="CH769" s="98" t="s">
        <v>112</v>
      </c>
      <c r="CI769" s="98" t="s">
        <v>113</v>
      </c>
      <c r="CJ769" s="98" t="s">
        <v>114</v>
      </c>
      <c r="CK769" s="98" t="s">
        <v>115</v>
      </c>
      <c r="CL769" s="98" t="s">
        <v>116</v>
      </c>
      <c r="CM769" s="98" t="s">
        <v>117</v>
      </c>
      <c r="CN769" s="98" t="s">
        <v>127</v>
      </c>
      <c r="CO769" s="42"/>
      <c r="CQ769" s="113"/>
      <c r="CR769" s="113"/>
      <c r="CS769" s="98" t="s">
        <v>0</v>
      </c>
      <c r="CT769" s="98" t="s">
        <v>111</v>
      </c>
      <c r="CU769" s="98" t="s">
        <v>112</v>
      </c>
      <c r="CV769" s="98" t="s">
        <v>113</v>
      </c>
      <c r="CW769" s="98" t="s">
        <v>114</v>
      </c>
      <c r="CX769" s="98" t="s">
        <v>115</v>
      </c>
      <c r="CY769" s="98" t="s">
        <v>116</v>
      </c>
      <c r="CZ769" s="98" t="s">
        <v>117</v>
      </c>
      <c r="DA769" s="98" t="s">
        <v>127</v>
      </c>
      <c r="DB769" s="42"/>
      <c r="DC769" s="42"/>
      <c r="DD769" s="113"/>
      <c r="DE769" s="113"/>
      <c r="DF769" s="98" t="s">
        <v>0</v>
      </c>
      <c r="DG769" s="98" t="s">
        <v>111</v>
      </c>
      <c r="DH769" s="98" t="s">
        <v>112</v>
      </c>
      <c r="DI769" s="98" t="s">
        <v>113</v>
      </c>
      <c r="DJ769" s="98" t="s">
        <v>114</v>
      </c>
      <c r="DK769" s="98" t="s">
        <v>115</v>
      </c>
      <c r="DL769" s="98" t="s">
        <v>116</v>
      </c>
      <c r="DM769" s="98" t="s">
        <v>117</v>
      </c>
      <c r="DN769" s="98" t="s">
        <v>127</v>
      </c>
      <c r="DO769" s="42"/>
    </row>
    <row r="770" spans="2:119" ht="16.5" customHeight="1" x14ac:dyDescent="0.45">
      <c r="B770" s="134" t="s">
        <v>120</v>
      </c>
      <c r="C770" s="42"/>
      <c r="D770" s="109" t="s">
        <v>13</v>
      </c>
      <c r="E770" s="46" t="s">
        <v>1</v>
      </c>
      <c r="F770" s="103" t="s">
        <v>129</v>
      </c>
      <c r="G770" s="103" t="s">
        <v>129</v>
      </c>
      <c r="H770" s="103" t="s">
        <v>129</v>
      </c>
      <c r="I770" s="103" t="s">
        <v>129</v>
      </c>
      <c r="J770" s="103" t="s">
        <v>129</v>
      </c>
      <c r="K770" s="103" t="s">
        <v>129</v>
      </c>
      <c r="L770" s="103" t="s">
        <v>129</v>
      </c>
      <c r="M770" s="103" t="s">
        <v>129</v>
      </c>
      <c r="N770" s="103" t="s">
        <v>129</v>
      </c>
      <c r="O770" s="102"/>
      <c r="P770" s="102"/>
      <c r="Q770" s="109" t="s">
        <v>13</v>
      </c>
      <c r="R770" s="46" t="s">
        <v>1</v>
      </c>
      <c r="S770" s="103" t="s">
        <v>129</v>
      </c>
      <c r="T770" s="103" t="s">
        <v>129</v>
      </c>
      <c r="U770" s="103" t="s">
        <v>129</v>
      </c>
      <c r="V770" s="103" t="s">
        <v>129</v>
      </c>
      <c r="W770" s="103" t="s">
        <v>129</v>
      </c>
      <c r="X770" s="103" t="s">
        <v>129</v>
      </c>
      <c r="Y770" s="103" t="s">
        <v>129</v>
      </c>
      <c r="Z770" s="103" t="s">
        <v>129</v>
      </c>
      <c r="AA770" s="103" t="s">
        <v>129</v>
      </c>
      <c r="AB770" s="102"/>
      <c r="AC770" s="102"/>
      <c r="AD770" s="109" t="s">
        <v>13</v>
      </c>
      <c r="AE770" s="46" t="s">
        <v>1</v>
      </c>
      <c r="AF770" s="103" t="s">
        <v>129</v>
      </c>
      <c r="AG770" s="103" t="s">
        <v>129</v>
      </c>
      <c r="AH770" s="103" t="s">
        <v>129</v>
      </c>
      <c r="AI770" s="103" t="s">
        <v>129</v>
      </c>
      <c r="AJ770" s="103" t="s">
        <v>129</v>
      </c>
      <c r="AK770" s="103" t="s">
        <v>129</v>
      </c>
      <c r="AL770" s="103" t="s">
        <v>129</v>
      </c>
      <c r="AM770" s="103" t="s">
        <v>129</v>
      </c>
      <c r="AN770" s="103" t="s">
        <v>129</v>
      </c>
      <c r="AO770" s="42"/>
      <c r="AQ770" s="109" t="s">
        <v>13</v>
      </c>
      <c r="AR770" s="46" t="s">
        <v>1</v>
      </c>
      <c r="AS770" s="103" t="s">
        <v>129</v>
      </c>
      <c r="AT770" s="103" t="s">
        <v>129</v>
      </c>
      <c r="AU770" s="103" t="s">
        <v>129</v>
      </c>
      <c r="AV770" s="103" t="s">
        <v>129</v>
      </c>
      <c r="AW770" s="103" t="s">
        <v>129</v>
      </c>
      <c r="AX770" s="103" t="s">
        <v>129</v>
      </c>
      <c r="AY770" s="103" t="s">
        <v>129</v>
      </c>
      <c r="AZ770" s="103" t="s">
        <v>129</v>
      </c>
      <c r="BA770" s="103" t="s">
        <v>129</v>
      </c>
      <c r="BB770" s="42"/>
      <c r="BC770" s="42"/>
      <c r="BD770" s="109" t="s">
        <v>13</v>
      </c>
      <c r="BE770" s="46" t="s">
        <v>1</v>
      </c>
      <c r="BF770" s="103" t="s">
        <v>129</v>
      </c>
      <c r="BG770" s="103" t="s">
        <v>129</v>
      </c>
      <c r="BH770" s="103" t="s">
        <v>129</v>
      </c>
      <c r="BI770" s="103" t="s">
        <v>129</v>
      </c>
      <c r="BJ770" s="103" t="s">
        <v>129</v>
      </c>
      <c r="BK770" s="103" t="s">
        <v>129</v>
      </c>
      <c r="BL770" s="103" t="s">
        <v>129</v>
      </c>
      <c r="BM770" s="103" t="s">
        <v>129</v>
      </c>
      <c r="BN770" s="103" t="s">
        <v>129</v>
      </c>
      <c r="BO770" s="42"/>
      <c r="BQ770" s="109" t="s">
        <v>13</v>
      </c>
      <c r="BR770" s="46" t="s">
        <v>1</v>
      </c>
      <c r="BS770" s="103" t="s">
        <v>129</v>
      </c>
      <c r="BT770" s="103" t="s">
        <v>129</v>
      </c>
      <c r="BU770" s="103" t="s">
        <v>129</v>
      </c>
      <c r="BV770" s="103" t="s">
        <v>129</v>
      </c>
      <c r="BW770" s="103" t="s">
        <v>129</v>
      </c>
      <c r="BX770" s="103" t="s">
        <v>129</v>
      </c>
      <c r="BY770" s="103" t="s">
        <v>129</v>
      </c>
      <c r="BZ770" s="103" t="s">
        <v>129</v>
      </c>
      <c r="CA770" s="103" t="s">
        <v>129</v>
      </c>
      <c r="CB770" s="42"/>
      <c r="CC770" s="42"/>
      <c r="CD770" s="109" t="s">
        <v>13</v>
      </c>
      <c r="CE770" s="46" t="s">
        <v>1</v>
      </c>
      <c r="CF770" s="103" t="s">
        <v>129</v>
      </c>
      <c r="CG770" s="103" t="s">
        <v>129</v>
      </c>
      <c r="CH770" s="103" t="s">
        <v>129</v>
      </c>
      <c r="CI770" s="103" t="s">
        <v>129</v>
      </c>
      <c r="CJ770" s="103" t="s">
        <v>129</v>
      </c>
      <c r="CK770" s="103" t="s">
        <v>129</v>
      </c>
      <c r="CL770" s="103" t="s">
        <v>129</v>
      </c>
      <c r="CM770" s="103" t="s">
        <v>129</v>
      </c>
      <c r="CN770" s="103" t="s">
        <v>129</v>
      </c>
      <c r="CO770" s="42"/>
      <c r="CQ770" s="109" t="s">
        <v>13</v>
      </c>
      <c r="CR770" s="46" t="s">
        <v>1</v>
      </c>
      <c r="CS770" s="103" t="s">
        <v>129</v>
      </c>
      <c r="CT770" s="103" t="s">
        <v>129</v>
      </c>
      <c r="CU770" s="103" t="s">
        <v>129</v>
      </c>
      <c r="CV770" s="103" t="s">
        <v>129</v>
      </c>
      <c r="CW770" s="103" t="s">
        <v>129</v>
      </c>
      <c r="CX770" s="103" t="s">
        <v>129</v>
      </c>
      <c r="CY770" s="103" t="s">
        <v>129</v>
      </c>
      <c r="CZ770" s="103" t="s">
        <v>129</v>
      </c>
      <c r="DA770" s="103" t="s">
        <v>129</v>
      </c>
      <c r="DB770" s="42"/>
      <c r="DC770" s="42"/>
      <c r="DD770" s="109" t="s">
        <v>13</v>
      </c>
      <c r="DE770" s="46" t="s">
        <v>1</v>
      </c>
      <c r="DF770" s="103" t="s">
        <v>129</v>
      </c>
      <c r="DG770" s="103" t="s">
        <v>129</v>
      </c>
      <c r="DH770" s="103" t="s">
        <v>129</v>
      </c>
      <c r="DI770" s="103" t="s">
        <v>129</v>
      </c>
      <c r="DJ770" s="103" t="s">
        <v>129</v>
      </c>
      <c r="DK770" s="103" t="s">
        <v>129</v>
      </c>
      <c r="DL770" s="103" t="s">
        <v>129</v>
      </c>
      <c r="DM770" s="103" t="s">
        <v>129</v>
      </c>
      <c r="DN770" s="103" t="s">
        <v>129</v>
      </c>
      <c r="DO770" s="42"/>
    </row>
    <row r="771" spans="2:119" ht="16.5" customHeight="1" x14ac:dyDescent="0.45">
      <c r="B771" s="134"/>
      <c r="C771" s="42"/>
      <c r="D771" s="110"/>
      <c r="E771" s="46">
        <v>1</v>
      </c>
      <c r="F771" s="103" t="s">
        <v>129</v>
      </c>
      <c r="G771" s="103" t="s">
        <v>129</v>
      </c>
      <c r="H771" s="103" t="s">
        <v>129</v>
      </c>
      <c r="I771" s="103" t="s">
        <v>129</v>
      </c>
      <c r="J771" s="103" t="s">
        <v>129</v>
      </c>
      <c r="K771" s="103" t="s">
        <v>129</v>
      </c>
      <c r="L771" s="103" t="s">
        <v>129</v>
      </c>
      <c r="M771" s="103" t="s">
        <v>129</v>
      </c>
      <c r="N771" s="103" t="s">
        <v>129</v>
      </c>
      <c r="O771" s="102"/>
      <c r="P771" s="102"/>
      <c r="Q771" s="110"/>
      <c r="R771" s="46">
        <v>1</v>
      </c>
      <c r="S771" s="103" t="s">
        <v>129</v>
      </c>
      <c r="T771" s="103" t="s">
        <v>129</v>
      </c>
      <c r="U771" s="103" t="s">
        <v>129</v>
      </c>
      <c r="V771" s="103" t="s">
        <v>129</v>
      </c>
      <c r="W771" s="103" t="s">
        <v>129</v>
      </c>
      <c r="X771" s="103" t="s">
        <v>129</v>
      </c>
      <c r="Y771" s="103" t="s">
        <v>129</v>
      </c>
      <c r="Z771" s="103" t="s">
        <v>129</v>
      </c>
      <c r="AA771" s="103" t="s">
        <v>129</v>
      </c>
      <c r="AB771" s="102"/>
      <c r="AC771" s="102"/>
      <c r="AD771" s="110"/>
      <c r="AE771" s="46">
        <v>1</v>
      </c>
      <c r="AF771" s="103" t="s">
        <v>129</v>
      </c>
      <c r="AG771" s="103" t="s">
        <v>129</v>
      </c>
      <c r="AH771" s="103" t="s">
        <v>129</v>
      </c>
      <c r="AI771" s="103" t="s">
        <v>129</v>
      </c>
      <c r="AJ771" s="103" t="s">
        <v>129</v>
      </c>
      <c r="AK771" s="103" t="s">
        <v>129</v>
      </c>
      <c r="AL771" s="103" t="s">
        <v>129</v>
      </c>
      <c r="AM771" s="103" t="s">
        <v>129</v>
      </c>
      <c r="AN771" s="103" t="s">
        <v>129</v>
      </c>
      <c r="AO771" s="42"/>
      <c r="AQ771" s="110"/>
      <c r="AR771" s="46">
        <v>1</v>
      </c>
      <c r="AS771" s="103" t="s">
        <v>129</v>
      </c>
      <c r="AT771" s="103" t="s">
        <v>129</v>
      </c>
      <c r="AU771" s="103" t="s">
        <v>129</v>
      </c>
      <c r="AV771" s="103" t="s">
        <v>129</v>
      </c>
      <c r="AW771" s="103" t="s">
        <v>129</v>
      </c>
      <c r="AX771" s="103" t="s">
        <v>129</v>
      </c>
      <c r="AY771" s="103" t="s">
        <v>129</v>
      </c>
      <c r="AZ771" s="103" t="s">
        <v>129</v>
      </c>
      <c r="BA771" s="103" t="s">
        <v>129</v>
      </c>
      <c r="BB771" s="42"/>
      <c r="BC771" s="42"/>
      <c r="BD771" s="110"/>
      <c r="BE771" s="46">
        <v>1</v>
      </c>
      <c r="BF771" s="103" t="s">
        <v>129</v>
      </c>
      <c r="BG771" s="103" t="s">
        <v>129</v>
      </c>
      <c r="BH771" s="103" t="s">
        <v>129</v>
      </c>
      <c r="BI771" s="103" t="s">
        <v>129</v>
      </c>
      <c r="BJ771" s="103" t="s">
        <v>129</v>
      </c>
      <c r="BK771" s="103" t="s">
        <v>129</v>
      </c>
      <c r="BL771" s="103" t="s">
        <v>129</v>
      </c>
      <c r="BM771" s="103" t="s">
        <v>129</v>
      </c>
      <c r="BN771" s="103" t="s">
        <v>129</v>
      </c>
      <c r="BO771" s="42"/>
      <c r="BQ771" s="110"/>
      <c r="BR771" s="46">
        <v>1</v>
      </c>
      <c r="BS771" s="103" t="s">
        <v>129</v>
      </c>
      <c r="BT771" s="103" t="s">
        <v>129</v>
      </c>
      <c r="BU771" s="103" t="s">
        <v>129</v>
      </c>
      <c r="BV771" s="103" t="s">
        <v>129</v>
      </c>
      <c r="BW771" s="103" t="s">
        <v>129</v>
      </c>
      <c r="BX771" s="103" t="s">
        <v>129</v>
      </c>
      <c r="BY771" s="103" t="s">
        <v>129</v>
      </c>
      <c r="BZ771" s="103" t="s">
        <v>129</v>
      </c>
      <c r="CA771" s="103" t="s">
        <v>129</v>
      </c>
      <c r="CB771" s="42"/>
      <c r="CC771" s="42"/>
      <c r="CD771" s="110"/>
      <c r="CE771" s="46">
        <v>1</v>
      </c>
      <c r="CF771" s="103" t="s">
        <v>129</v>
      </c>
      <c r="CG771" s="103" t="s">
        <v>129</v>
      </c>
      <c r="CH771" s="103" t="s">
        <v>129</v>
      </c>
      <c r="CI771" s="103" t="s">
        <v>129</v>
      </c>
      <c r="CJ771" s="103" t="s">
        <v>129</v>
      </c>
      <c r="CK771" s="103" t="s">
        <v>129</v>
      </c>
      <c r="CL771" s="103" t="s">
        <v>129</v>
      </c>
      <c r="CM771" s="103" t="s">
        <v>129</v>
      </c>
      <c r="CN771" s="103" t="s">
        <v>129</v>
      </c>
      <c r="CO771" s="42"/>
      <c r="CQ771" s="110"/>
      <c r="CR771" s="46">
        <v>1</v>
      </c>
      <c r="CS771" s="103" t="s">
        <v>129</v>
      </c>
      <c r="CT771" s="103" t="s">
        <v>129</v>
      </c>
      <c r="CU771" s="103" t="s">
        <v>129</v>
      </c>
      <c r="CV771" s="103" t="s">
        <v>129</v>
      </c>
      <c r="CW771" s="103" t="s">
        <v>129</v>
      </c>
      <c r="CX771" s="103" t="s">
        <v>129</v>
      </c>
      <c r="CY771" s="103" t="s">
        <v>129</v>
      </c>
      <c r="CZ771" s="103" t="s">
        <v>129</v>
      </c>
      <c r="DA771" s="103" t="s">
        <v>129</v>
      </c>
      <c r="DB771" s="42"/>
      <c r="DC771" s="42"/>
      <c r="DD771" s="110"/>
      <c r="DE771" s="46">
        <v>1</v>
      </c>
      <c r="DF771" s="103" t="s">
        <v>129</v>
      </c>
      <c r="DG771" s="103" t="s">
        <v>129</v>
      </c>
      <c r="DH771" s="103" t="s">
        <v>129</v>
      </c>
      <c r="DI771" s="103" t="s">
        <v>129</v>
      </c>
      <c r="DJ771" s="103" t="s">
        <v>129</v>
      </c>
      <c r="DK771" s="103" t="s">
        <v>129</v>
      </c>
      <c r="DL771" s="103" t="s">
        <v>129</v>
      </c>
      <c r="DM771" s="103" t="s">
        <v>129</v>
      </c>
      <c r="DN771" s="103" t="s">
        <v>129</v>
      </c>
      <c r="DO771" s="42"/>
    </row>
    <row r="772" spans="2:119" ht="16.5" customHeight="1" x14ac:dyDescent="0.45">
      <c r="B772" s="134"/>
      <c r="C772" s="42"/>
      <c r="D772" s="110"/>
      <c r="E772" s="46" t="s">
        <v>2</v>
      </c>
      <c r="F772" s="103" t="s">
        <v>129</v>
      </c>
      <c r="G772" s="103" t="s">
        <v>129</v>
      </c>
      <c r="H772" s="103" t="s">
        <v>129</v>
      </c>
      <c r="I772" s="103" t="s">
        <v>129</v>
      </c>
      <c r="J772" s="103" t="s">
        <v>129</v>
      </c>
      <c r="K772" s="103" t="s">
        <v>129</v>
      </c>
      <c r="L772" s="103" t="s">
        <v>129</v>
      </c>
      <c r="M772" s="103" t="s">
        <v>129</v>
      </c>
      <c r="N772" s="103" t="s">
        <v>129</v>
      </c>
      <c r="O772" s="102"/>
      <c r="P772" s="102"/>
      <c r="Q772" s="110"/>
      <c r="R772" s="46" t="s">
        <v>2</v>
      </c>
      <c r="S772" s="103" t="s">
        <v>129</v>
      </c>
      <c r="T772" s="103" t="s">
        <v>129</v>
      </c>
      <c r="U772" s="103" t="s">
        <v>129</v>
      </c>
      <c r="V772" s="103" t="s">
        <v>129</v>
      </c>
      <c r="W772" s="103" t="s">
        <v>129</v>
      </c>
      <c r="X772" s="103" t="s">
        <v>129</v>
      </c>
      <c r="Y772" s="103" t="s">
        <v>129</v>
      </c>
      <c r="Z772" s="103" t="s">
        <v>129</v>
      </c>
      <c r="AA772" s="103" t="s">
        <v>129</v>
      </c>
      <c r="AB772" s="102"/>
      <c r="AC772" s="102"/>
      <c r="AD772" s="110"/>
      <c r="AE772" s="46" t="s">
        <v>2</v>
      </c>
      <c r="AF772" s="103" t="s">
        <v>129</v>
      </c>
      <c r="AG772" s="103" t="s">
        <v>129</v>
      </c>
      <c r="AH772" s="103" t="s">
        <v>129</v>
      </c>
      <c r="AI772" s="103" t="s">
        <v>129</v>
      </c>
      <c r="AJ772" s="103" t="s">
        <v>129</v>
      </c>
      <c r="AK772" s="103" t="s">
        <v>129</v>
      </c>
      <c r="AL772" s="103" t="s">
        <v>129</v>
      </c>
      <c r="AM772" s="103" t="s">
        <v>129</v>
      </c>
      <c r="AN772" s="103" t="s">
        <v>129</v>
      </c>
      <c r="AO772" s="42"/>
      <c r="AQ772" s="110"/>
      <c r="AR772" s="46" t="s">
        <v>2</v>
      </c>
      <c r="AS772" s="103" t="s">
        <v>129</v>
      </c>
      <c r="AT772" s="103" t="s">
        <v>129</v>
      </c>
      <c r="AU772" s="103" t="s">
        <v>129</v>
      </c>
      <c r="AV772" s="103" t="s">
        <v>129</v>
      </c>
      <c r="AW772" s="103" t="s">
        <v>129</v>
      </c>
      <c r="AX772" s="103" t="s">
        <v>129</v>
      </c>
      <c r="AY772" s="103" t="s">
        <v>129</v>
      </c>
      <c r="AZ772" s="103" t="s">
        <v>129</v>
      </c>
      <c r="BA772" s="103" t="s">
        <v>129</v>
      </c>
      <c r="BB772" s="42"/>
      <c r="BC772" s="42"/>
      <c r="BD772" s="110"/>
      <c r="BE772" s="46" t="s">
        <v>2</v>
      </c>
      <c r="BF772" s="103" t="s">
        <v>129</v>
      </c>
      <c r="BG772" s="103" t="s">
        <v>129</v>
      </c>
      <c r="BH772" s="103" t="s">
        <v>129</v>
      </c>
      <c r="BI772" s="103" t="s">
        <v>129</v>
      </c>
      <c r="BJ772" s="103" t="s">
        <v>129</v>
      </c>
      <c r="BK772" s="103" t="s">
        <v>129</v>
      </c>
      <c r="BL772" s="103" t="s">
        <v>129</v>
      </c>
      <c r="BM772" s="103" t="s">
        <v>129</v>
      </c>
      <c r="BN772" s="103" t="s">
        <v>129</v>
      </c>
      <c r="BO772" s="42"/>
      <c r="BQ772" s="110"/>
      <c r="BR772" s="46" t="s">
        <v>2</v>
      </c>
      <c r="BS772" s="103" t="s">
        <v>129</v>
      </c>
      <c r="BT772" s="103" t="s">
        <v>129</v>
      </c>
      <c r="BU772" s="103" t="s">
        <v>129</v>
      </c>
      <c r="BV772" s="103" t="s">
        <v>129</v>
      </c>
      <c r="BW772" s="103" t="s">
        <v>129</v>
      </c>
      <c r="BX772" s="103" t="s">
        <v>129</v>
      </c>
      <c r="BY772" s="103" t="s">
        <v>129</v>
      </c>
      <c r="BZ772" s="103" t="s">
        <v>129</v>
      </c>
      <c r="CA772" s="103" t="s">
        <v>129</v>
      </c>
      <c r="CB772" s="42"/>
      <c r="CC772" s="42"/>
      <c r="CD772" s="110"/>
      <c r="CE772" s="46" t="s">
        <v>2</v>
      </c>
      <c r="CF772" s="103" t="s">
        <v>129</v>
      </c>
      <c r="CG772" s="103" t="s">
        <v>129</v>
      </c>
      <c r="CH772" s="103" t="s">
        <v>129</v>
      </c>
      <c r="CI772" s="103" t="s">
        <v>129</v>
      </c>
      <c r="CJ772" s="103" t="s">
        <v>129</v>
      </c>
      <c r="CK772" s="103" t="s">
        <v>129</v>
      </c>
      <c r="CL772" s="103" t="s">
        <v>129</v>
      </c>
      <c r="CM772" s="103" t="s">
        <v>129</v>
      </c>
      <c r="CN772" s="103" t="s">
        <v>129</v>
      </c>
      <c r="CO772" s="42"/>
      <c r="CQ772" s="110"/>
      <c r="CR772" s="46" t="s">
        <v>2</v>
      </c>
      <c r="CS772" s="103" t="s">
        <v>129</v>
      </c>
      <c r="CT772" s="103" t="s">
        <v>129</v>
      </c>
      <c r="CU772" s="103" t="s">
        <v>129</v>
      </c>
      <c r="CV772" s="103" t="s">
        <v>129</v>
      </c>
      <c r="CW772" s="103" t="s">
        <v>129</v>
      </c>
      <c r="CX772" s="103" t="s">
        <v>129</v>
      </c>
      <c r="CY772" s="103" t="s">
        <v>129</v>
      </c>
      <c r="CZ772" s="103" t="s">
        <v>129</v>
      </c>
      <c r="DA772" s="103" t="s">
        <v>129</v>
      </c>
      <c r="DB772" s="42"/>
      <c r="DC772" s="42"/>
      <c r="DD772" s="110"/>
      <c r="DE772" s="46" t="s">
        <v>2</v>
      </c>
      <c r="DF772" s="103" t="s">
        <v>129</v>
      </c>
      <c r="DG772" s="103" t="s">
        <v>129</v>
      </c>
      <c r="DH772" s="103" t="s">
        <v>129</v>
      </c>
      <c r="DI772" s="103" t="s">
        <v>129</v>
      </c>
      <c r="DJ772" s="103" t="s">
        <v>129</v>
      </c>
      <c r="DK772" s="103" t="s">
        <v>129</v>
      </c>
      <c r="DL772" s="103" t="s">
        <v>129</v>
      </c>
      <c r="DM772" s="103" t="s">
        <v>129</v>
      </c>
      <c r="DN772" s="103" t="s">
        <v>129</v>
      </c>
      <c r="DO772" s="42"/>
    </row>
    <row r="773" spans="2:119" ht="16.5" customHeight="1" x14ac:dyDescent="0.45">
      <c r="B773" s="134"/>
      <c r="C773" s="42"/>
      <c r="D773" s="110"/>
      <c r="E773" s="46" t="s">
        <v>3</v>
      </c>
      <c r="F773" s="103">
        <v>1</v>
      </c>
      <c r="G773" s="103">
        <v>0</v>
      </c>
      <c r="H773" s="103">
        <v>1</v>
      </c>
      <c r="I773" s="103">
        <v>0</v>
      </c>
      <c r="J773" s="103">
        <v>0</v>
      </c>
      <c r="K773" s="103">
        <v>0</v>
      </c>
      <c r="L773" s="103">
        <v>0</v>
      </c>
      <c r="M773" s="103">
        <v>0</v>
      </c>
      <c r="N773" s="103">
        <v>0</v>
      </c>
      <c r="O773" s="102"/>
      <c r="P773" s="102"/>
      <c r="Q773" s="110"/>
      <c r="R773" s="46" t="s">
        <v>3</v>
      </c>
      <c r="S773" s="103">
        <v>1</v>
      </c>
      <c r="T773" s="103">
        <v>0</v>
      </c>
      <c r="U773" s="103">
        <v>1</v>
      </c>
      <c r="V773" s="103">
        <v>0</v>
      </c>
      <c r="W773" s="103">
        <v>0</v>
      </c>
      <c r="X773" s="103">
        <v>0</v>
      </c>
      <c r="Y773" s="103">
        <v>0</v>
      </c>
      <c r="Z773" s="103">
        <v>0</v>
      </c>
      <c r="AA773" s="103">
        <v>0</v>
      </c>
      <c r="AB773" s="102"/>
      <c r="AC773" s="102"/>
      <c r="AD773" s="110"/>
      <c r="AE773" s="46" t="s">
        <v>3</v>
      </c>
      <c r="AF773" s="103">
        <v>0</v>
      </c>
      <c r="AG773" s="103">
        <v>0</v>
      </c>
      <c r="AH773" s="103">
        <v>0</v>
      </c>
      <c r="AI773" s="103">
        <v>0</v>
      </c>
      <c r="AJ773" s="103">
        <v>0</v>
      </c>
      <c r="AK773" s="103">
        <v>0</v>
      </c>
      <c r="AL773" s="103">
        <v>0</v>
      </c>
      <c r="AM773" s="103">
        <v>0</v>
      </c>
      <c r="AN773" s="103">
        <v>0</v>
      </c>
      <c r="AO773" s="42"/>
      <c r="AQ773" s="110"/>
      <c r="AR773" s="46" t="s">
        <v>3</v>
      </c>
      <c r="AS773" s="103">
        <v>0</v>
      </c>
      <c r="AT773" s="103">
        <v>0</v>
      </c>
      <c r="AU773" s="103">
        <v>0</v>
      </c>
      <c r="AV773" s="103">
        <v>0</v>
      </c>
      <c r="AW773" s="103">
        <v>0</v>
      </c>
      <c r="AX773" s="103">
        <v>0</v>
      </c>
      <c r="AY773" s="103">
        <v>0</v>
      </c>
      <c r="AZ773" s="103">
        <v>0</v>
      </c>
      <c r="BA773" s="103">
        <v>0</v>
      </c>
      <c r="BB773" s="42"/>
      <c r="BC773" s="42"/>
      <c r="BD773" s="110"/>
      <c r="BE773" s="46" t="s">
        <v>3</v>
      </c>
      <c r="BF773" s="103">
        <v>1</v>
      </c>
      <c r="BG773" s="103">
        <v>0</v>
      </c>
      <c r="BH773" s="103">
        <v>1</v>
      </c>
      <c r="BI773" s="103">
        <v>0</v>
      </c>
      <c r="BJ773" s="103">
        <v>0</v>
      </c>
      <c r="BK773" s="103">
        <v>0</v>
      </c>
      <c r="BL773" s="103">
        <v>0</v>
      </c>
      <c r="BM773" s="103">
        <v>0</v>
      </c>
      <c r="BN773" s="103">
        <v>0</v>
      </c>
      <c r="BO773" s="42"/>
      <c r="BQ773" s="110"/>
      <c r="BR773" s="46" t="s">
        <v>3</v>
      </c>
      <c r="BS773" s="103">
        <v>1</v>
      </c>
      <c r="BT773" s="103">
        <v>0</v>
      </c>
      <c r="BU773" s="103">
        <v>0</v>
      </c>
      <c r="BV773" s="103">
        <v>0</v>
      </c>
      <c r="BW773" s="103">
        <v>0</v>
      </c>
      <c r="BX773" s="103">
        <v>0</v>
      </c>
      <c r="BY773" s="103">
        <v>0</v>
      </c>
      <c r="BZ773" s="103">
        <v>0</v>
      </c>
      <c r="CA773" s="103">
        <v>0</v>
      </c>
      <c r="CB773" s="42"/>
      <c r="CC773" s="42"/>
      <c r="CD773" s="110"/>
      <c r="CE773" s="46" t="s">
        <v>3</v>
      </c>
      <c r="CF773" s="103">
        <v>0</v>
      </c>
      <c r="CG773" s="103">
        <v>0</v>
      </c>
      <c r="CH773" s="103">
        <v>1</v>
      </c>
      <c r="CI773" s="103">
        <v>0</v>
      </c>
      <c r="CJ773" s="103">
        <v>0</v>
      </c>
      <c r="CK773" s="103">
        <v>0</v>
      </c>
      <c r="CL773" s="103">
        <v>0</v>
      </c>
      <c r="CM773" s="103">
        <v>0</v>
      </c>
      <c r="CN773" s="103">
        <v>0</v>
      </c>
      <c r="CO773" s="42"/>
      <c r="CQ773" s="110"/>
      <c r="CR773" s="46" t="s">
        <v>3</v>
      </c>
      <c r="CS773" s="103">
        <v>0</v>
      </c>
      <c r="CT773" s="103">
        <v>0</v>
      </c>
      <c r="CU773" s="103">
        <v>0</v>
      </c>
      <c r="CV773" s="103">
        <v>0</v>
      </c>
      <c r="CW773" s="103">
        <v>0</v>
      </c>
      <c r="CX773" s="103">
        <v>0</v>
      </c>
      <c r="CY773" s="103">
        <v>0</v>
      </c>
      <c r="CZ773" s="103">
        <v>0</v>
      </c>
      <c r="DA773" s="103">
        <v>0</v>
      </c>
      <c r="DB773" s="42"/>
      <c r="DC773" s="42"/>
      <c r="DD773" s="110"/>
      <c r="DE773" s="46" t="s">
        <v>3</v>
      </c>
      <c r="DF773" s="103">
        <v>1</v>
      </c>
      <c r="DG773" s="103">
        <v>0</v>
      </c>
      <c r="DH773" s="103">
        <v>1</v>
      </c>
      <c r="DI773" s="103">
        <v>0</v>
      </c>
      <c r="DJ773" s="103">
        <v>0</v>
      </c>
      <c r="DK773" s="103">
        <v>0</v>
      </c>
      <c r="DL773" s="103">
        <v>0</v>
      </c>
      <c r="DM773" s="103">
        <v>0</v>
      </c>
      <c r="DN773" s="103">
        <v>0</v>
      </c>
      <c r="DO773" s="42"/>
    </row>
    <row r="774" spans="2:119" ht="16.5" customHeight="1" x14ac:dyDescent="0.45">
      <c r="B774" s="134"/>
      <c r="C774" s="42"/>
      <c r="D774" s="110"/>
      <c r="E774" s="46" t="s">
        <v>4</v>
      </c>
      <c r="F774" s="103">
        <v>0</v>
      </c>
      <c r="G774" s="103">
        <v>0</v>
      </c>
      <c r="H774" s="103">
        <v>0</v>
      </c>
      <c r="I774" s="103">
        <v>1</v>
      </c>
      <c r="J774" s="103">
        <v>0</v>
      </c>
      <c r="K774" s="103">
        <v>0</v>
      </c>
      <c r="L774" s="103">
        <v>0</v>
      </c>
      <c r="M774" s="103">
        <v>0</v>
      </c>
      <c r="N774" s="103">
        <v>0</v>
      </c>
      <c r="O774" s="102"/>
      <c r="P774" s="102"/>
      <c r="Q774" s="110"/>
      <c r="R774" s="46" t="s">
        <v>4</v>
      </c>
      <c r="S774" s="103">
        <v>0</v>
      </c>
      <c r="T774" s="103">
        <v>0</v>
      </c>
      <c r="U774" s="103">
        <v>0</v>
      </c>
      <c r="V774" s="103">
        <v>1</v>
      </c>
      <c r="W774" s="103">
        <v>0</v>
      </c>
      <c r="X774" s="103">
        <v>0</v>
      </c>
      <c r="Y774" s="103">
        <v>0</v>
      </c>
      <c r="Z774" s="103">
        <v>0</v>
      </c>
      <c r="AA774" s="103">
        <v>0</v>
      </c>
      <c r="AB774" s="102"/>
      <c r="AC774" s="102"/>
      <c r="AD774" s="110"/>
      <c r="AE774" s="46" t="s">
        <v>4</v>
      </c>
      <c r="AF774" s="103">
        <v>0</v>
      </c>
      <c r="AG774" s="103">
        <v>0</v>
      </c>
      <c r="AH774" s="103">
        <v>0</v>
      </c>
      <c r="AI774" s="103">
        <v>0</v>
      </c>
      <c r="AJ774" s="103">
        <v>0</v>
      </c>
      <c r="AK774" s="103">
        <v>0</v>
      </c>
      <c r="AL774" s="103">
        <v>0</v>
      </c>
      <c r="AM774" s="103">
        <v>0</v>
      </c>
      <c r="AN774" s="103">
        <v>0</v>
      </c>
      <c r="AO774" s="42"/>
      <c r="AQ774" s="110"/>
      <c r="AR774" s="46" t="s">
        <v>4</v>
      </c>
      <c r="AS774" s="103">
        <v>0</v>
      </c>
      <c r="AT774" s="103">
        <v>0</v>
      </c>
      <c r="AU774" s="103">
        <v>0</v>
      </c>
      <c r="AV774" s="103">
        <v>0</v>
      </c>
      <c r="AW774" s="103">
        <v>0</v>
      </c>
      <c r="AX774" s="103">
        <v>0</v>
      </c>
      <c r="AY774" s="103">
        <v>0</v>
      </c>
      <c r="AZ774" s="103">
        <v>0</v>
      </c>
      <c r="BA774" s="103">
        <v>0</v>
      </c>
      <c r="BB774" s="42"/>
      <c r="BC774" s="42"/>
      <c r="BD774" s="110"/>
      <c r="BE774" s="46" t="s">
        <v>4</v>
      </c>
      <c r="BF774" s="103">
        <v>0</v>
      </c>
      <c r="BG774" s="103">
        <v>0</v>
      </c>
      <c r="BH774" s="103">
        <v>0</v>
      </c>
      <c r="BI774" s="103">
        <v>1</v>
      </c>
      <c r="BJ774" s="103">
        <v>0</v>
      </c>
      <c r="BK774" s="103">
        <v>0</v>
      </c>
      <c r="BL774" s="103">
        <v>0</v>
      </c>
      <c r="BM774" s="103">
        <v>0</v>
      </c>
      <c r="BN774" s="103">
        <v>0</v>
      </c>
      <c r="BO774" s="42"/>
      <c r="BQ774" s="110"/>
      <c r="BR774" s="46" t="s">
        <v>4</v>
      </c>
      <c r="BS774" s="103">
        <v>0</v>
      </c>
      <c r="BT774" s="103">
        <v>0</v>
      </c>
      <c r="BU774" s="103">
        <v>0</v>
      </c>
      <c r="BV774" s="103">
        <v>0</v>
      </c>
      <c r="BW774" s="103">
        <v>0</v>
      </c>
      <c r="BX774" s="103">
        <v>0</v>
      </c>
      <c r="BY774" s="103">
        <v>0</v>
      </c>
      <c r="BZ774" s="103">
        <v>0</v>
      </c>
      <c r="CA774" s="103">
        <v>0</v>
      </c>
      <c r="CB774" s="42"/>
      <c r="CC774" s="42"/>
      <c r="CD774" s="110"/>
      <c r="CE774" s="46" t="s">
        <v>4</v>
      </c>
      <c r="CF774" s="103">
        <v>0</v>
      </c>
      <c r="CG774" s="103">
        <v>0</v>
      </c>
      <c r="CH774" s="103">
        <v>0</v>
      </c>
      <c r="CI774" s="103">
        <v>1</v>
      </c>
      <c r="CJ774" s="103">
        <v>0</v>
      </c>
      <c r="CK774" s="103">
        <v>0</v>
      </c>
      <c r="CL774" s="103">
        <v>0</v>
      </c>
      <c r="CM774" s="103">
        <v>0</v>
      </c>
      <c r="CN774" s="103">
        <v>0</v>
      </c>
      <c r="CO774" s="42"/>
      <c r="CQ774" s="110"/>
      <c r="CR774" s="46" t="s">
        <v>4</v>
      </c>
      <c r="CS774" s="103">
        <v>0</v>
      </c>
      <c r="CT774" s="103">
        <v>0</v>
      </c>
      <c r="CU774" s="103">
        <v>0</v>
      </c>
      <c r="CV774" s="103">
        <v>1</v>
      </c>
      <c r="CW774" s="103">
        <v>0</v>
      </c>
      <c r="CX774" s="103">
        <v>0</v>
      </c>
      <c r="CY774" s="103">
        <v>0</v>
      </c>
      <c r="CZ774" s="103">
        <v>0</v>
      </c>
      <c r="DA774" s="103">
        <v>0</v>
      </c>
      <c r="DB774" s="42"/>
      <c r="DC774" s="42"/>
      <c r="DD774" s="110"/>
      <c r="DE774" s="46" t="s">
        <v>4</v>
      </c>
      <c r="DF774" s="103">
        <v>0</v>
      </c>
      <c r="DG774" s="103">
        <v>0</v>
      </c>
      <c r="DH774" s="103">
        <v>0</v>
      </c>
      <c r="DI774" s="103">
        <v>0</v>
      </c>
      <c r="DJ774" s="103">
        <v>0</v>
      </c>
      <c r="DK774" s="103">
        <v>0</v>
      </c>
      <c r="DL774" s="103">
        <v>0</v>
      </c>
      <c r="DM774" s="103">
        <v>0</v>
      </c>
      <c r="DN774" s="103">
        <v>0</v>
      </c>
      <c r="DO774" s="42"/>
    </row>
    <row r="775" spans="2:119" ht="16.5" customHeight="1" x14ac:dyDescent="0.45">
      <c r="B775" s="134"/>
      <c r="C775" s="42"/>
      <c r="D775" s="110"/>
      <c r="E775" s="46" t="s">
        <v>5</v>
      </c>
      <c r="F775" s="103">
        <v>1</v>
      </c>
      <c r="G775" s="103">
        <v>1</v>
      </c>
      <c r="H775" s="103">
        <v>0</v>
      </c>
      <c r="I775" s="103">
        <v>0</v>
      </c>
      <c r="J775" s="103">
        <v>0</v>
      </c>
      <c r="K775" s="103">
        <v>1</v>
      </c>
      <c r="L775" s="103">
        <v>1</v>
      </c>
      <c r="M775" s="103">
        <v>0</v>
      </c>
      <c r="N775" s="103">
        <v>0</v>
      </c>
      <c r="O775" s="102"/>
      <c r="P775" s="102"/>
      <c r="Q775" s="110"/>
      <c r="R775" s="46" t="s">
        <v>5</v>
      </c>
      <c r="S775" s="103">
        <v>1</v>
      </c>
      <c r="T775" s="103">
        <v>1</v>
      </c>
      <c r="U775" s="103">
        <v>0</v>
      </c>
      <c r="V775" s="103">
        <v>0</v>
      </c>
      <c r="W775" s="103">
        <v>0</v>
      </c>
      <c r="X775" s="103">
        <v>1</v>
      </c>
      <c r="Y775" s="103">
        <v>1</v>
      </c>
      <c r="Z775" s="103">
        <v>0</v>
      </c>
      <c r="AA775" s="103">
        <v>0</v>
      </c>
      <c r="AB775" s="102"/>
      <c r="AC775" s="102"/>
      <c r="AD775" s="110"/>
      <c r="AE775" s="46" t="s">
        <v>5</v>
      </c>
      <c r="AF775" s="103">
        <v>0</v>
      </c>
      <c r="AG775" s="103">
        <v>0</v>
      </c>
      <c r="AH775" s="103">
        <v>0</v>
      </c>
      <c r="AI775" s="103">
        <v>0</v>
      </c>
      <c r="AJ775" s="103">
        <v>0</v>
      </c>
      <c r="AK775" s="103">
        <v>0</v>
      </c>
      <c r="AL775" s="103">
        <v>0</v>
      </c>
      <c r="AM775" s="103">
        <v>0</v>
      </c>
      <c r="AN775" s="103">
        <v>0</v>
      </c>
      <c r="AO775" s="42"/>
      <c r="AQ775" s="110"/>
      <c r="AR775" s="46" t="s">
        <v>5</v>
      </c>
      <c r="AS775" s="103">
        <v>0</v>
      </c>
      <c r="AT775" s="103">
        <v>0</v>
      </c>
      <c r="AU775" s="103">
        <v>0</v>
      </c>
      <c r="AV775" s="103">
        <v>0</v>
      </c>
      <c r="AW775" s="103">
        <v>0</v>
      </c>
      <c r="AX775" s="103">
        <v>0</v>
      </c>
      <c r="AY775" s="103">
        <v>0</v>
      </c>
      <c r="AZ775" s="103">
        <v>0</v>
      </c>
      <c r="BA775" s="103">
        <v>0</v>
      </c>
      <c r="BB775" s="42"/>
      <c r="BC775" s="42"/>
      <c r="BD775" s="110"/>
      <c r="BE775" s="46" t="s">
        <v>5</v>
      </c>
      <c r="BF775" s="103">
        <v>1</v>
      </c>
      <c r="BG775" s="103">
        <v>1</v>
      </c>
      <c r="BH775" s="103">
        <v>0</v>
      </c>
      <c r="BI775" s="103">
        <v>0</v>
      </c>
      <c r="BJ775" s="103">
        <v>0</v>
      </c>
      <c r="BK775" s="103">
        <v>1</v>
      </c>
      <c r="BL775" s="103">
        <v>1</v>
      </c>
      <c r="BM775" s="103">
        <v>0</v>
      </c>
      <c r="BN775" s="103">
        <v>0</v>
      </c>
      <c r="BO775" s="42"/>
      <c r="BQ775" s="110"/>
      <c r="BR775" s="46" t="s">
        <v>5</v>
      </c>
      <c r="BS775" s="103">
        <v>0</v>
      </c>
      <c r="BT775" s="103">
        <v>1</v>
      </c>
      <c r="BU775" s="103">
        <v>0</v>
      </c>
      <c r="BV775" s="103">
        <v>0</v>
      </c>
      <c r="BW775" s="103">
        <v>0</v>
      </c>
      <c r="BX775" s="103">
        <v>0</v>
      </c>
      <c r="BY775" s="103">
        <v>0</v>
      </c>
      <c r="BZ775" s="103">
        <v>0</v>
      </c>
      <c r="CA775" s="103">
        <v>0</v>
      </c>
      <c r="CB775" s="42"/>
      <c r="CC775" s="42"/>
      <c r="CD775" s="110"/>
      <c r="CE775" s="46" t="s">
        <v>5</v>
      </c>
      <c r="CF775" s="103">
        <v>1</v>
      </c>
      <c r="CG775" s="103">
        <v>0</v>
      </c>
      <c r="CH775" s="103">
        <v>0</v>
      </c>
      <c r="CI775" s="103">
        <v>0</v>
      </c>
      <c r="CJ775" s="103">
        <v>0</v>
      </c>
      <c r="CK775" s="103">
        <v>1</v>
      </c>
      <c r="CL775" s="103">
        <v>1</v>
      </c>
      <c r="CM775" s="103">
        <v>0</v>
      </c>
      <c r="CN775" s="103">
        <v>0</v>
      </c>
      <c r="CO775" s="42"/>
      <c r="CQ775" s="110"/>
      <c r="CR775" s="46" t="s">
        <v>5</v>
      </c>
      <c r="CS775" s="103">
        <v>0</v>
      </c>
      <c r="CT775" s="103">
        <v>0</v>
      </c>
      <c r="CU775" s="103">
        <v>0</v>
      </c>
      <c r="CV775" s="103">
        <v>0</v>
      </c>
      <c r="CW775" s="103">
        <v>0</v>
      </c>
      <c r="CX775" s="103">
        <v>0</v>
      </c>
      <c r="CY775" s="103">
        <v>0</v>
      </c>
      <c r="CZ775" s="103">
        <v>0</v>
      </c>
      <c r="DA775" s="103">
        <v>0</v>
      </c>
      <c r="DB775" s="42"/>
      <c r="DC775" s="42"/>
      <c r="DD775" s="110"/>
      <c r="DE775" s="46" t="s">
        <v>5</v>
      </c>
      <c r="DF775" s="103">
        <v>1</v>
      </c>
      <c r="DG775" s="103">
        <v>1</v>
      </c>
      <c r="DH775" s="103">
        <v>0</v>
      </c>
      <c r="DI775" s="103">
        <v>0</v>
      </c>
      <c r="DJ775" s="103">
        <v>0</v>
      </c>
      <c r="DK775" s="103">
        <v>1</v>
      </c>
      <c r="DL775" s="103">
        <v>1</v>
      </c>
      <c r="DM775" s="103">
        <v>0</v>
      </c>
      <c r="DN775" s="103">
        <v>0</v>
      </c>
      <c r="DO775" s="42"/>
    </row>
    <row r="776" spans="2:119" ht="16.5" customHeight="1" x14ac:dyDescent="0.45">
      <c r="B776" s="134"/>
      <c r="C776" s="42"/>
      <c r="D776" s="110"/>
      <c r="E776" s="46" t="s">
        <v>6</v>
      </c>
      <c r="F776" s="103">
        <v>0</v>
      </c>
      <c r="G776" s="103">
        <v>0</v>
      </c>
      <c r="H776" s="103">
        <v>3</v>
      </c>
      <c r="I776" s="103">
        <v>2</v>
      </c>
      <c r="J776" s="103">
        <v>6</v>
      </c>
      <c r="K776" s="103">
        <v>2</v>
      </c>
      <c r="L776" s="103">
        <v>2</v>
      </c>
      <c r="M776" s="103">
        <v>0</v>
      </c>
      <c r="N776" s="103">
        <v>0</v>
      </c>
      <c r="O776" s="102"/>
      <c r="P776" s="102"/>
      <c r="Q776" s="110"/>
      <c r="R776" s="46" t="s">
        <v>6</v>
      </c>
      <c r="S776" s="103">
        <v>0</v>
      </c>
      <c r="T776" s="103">
        <v>0</v>
      </c>
      <c r="U776" s="103">
        <v>3</v>
      </c>
      <c r="V776" s="103">
        <v>2</v>
      </c>
      <c r="W776" s="103">
        <v>6</v>
      </c>
      <c r="X776" s="103">
        <v>2</v>
      </c>
      <c r="Y776" s="103">
        <v>1</v>
      </c>
      <c r="Z776" s="103">
        <v>0</v>
      </c>
      <c r="AA776" s="103">
        <v>0</v>
      </c>
      <c r="AB776" s="102"/>
      <c r="AC776" s="102"/>
      <c r="AD776" s="110"/>
      <c r="AE776" s="46" t="s">
        <v>6</v>
      </c>
      <c r="AF776" s="103">
        <v>0</v>
      </c>
      <c r="AG776" s="103">
        <v>0</v>
      </c>
      <c r="AH776" s="103">
        <v>0</v>
      </c>
      <c r="AI776" s="103">
        <v>0</v>
      </c>
      <c r="AJ776" s="103">
        <v>0</v>
      </c>
      <c r="AK776" s="103">
        <v>0</v>
      </c>
      <c r="AL776" s="103">
        <v>1</v>
      </c>
      <c r="AM776" s="103">
        <v>0</v>
      </c>
      <c r="AN776" s="103">
        <v>0</v>
      </c>
      <c r="AO776" s="42"/>
      <c r="AQ776" s="110"/>
      <c r="AR776" s="46" t="s">
        <v>6</v>
      </c>
      <c r="AS776" s="103">
        <v>0</v>
      </c>
      <c r="AT776" s="103">
        <v>0</v>
      </c>
      <c r="AU776" s="103">
        <v>0</v>
      </c>
      <c r="AV776" s="103">
        <v>0</v>
      </c>
      <c r="AW776" s="103">
        <v>1</v>
      </c>
      <c r="AX776" s="103">
        <v>0</v>
      </c>
      <c r="AY776" s="103">
        <v>0</v>
      </c>
      <c r="AZ776" s="103">
        <v>0</v>
      </c>
      <c r="BA776" s="103">
        <v>0</v>
      </c>
      <c r="BB776" s="42"/>
      <c r="BC776" s="42"/>
      <c r="BD776" s="110"/>
      <c r="BE776" s="46" t="s">
        <v>6</v>
      </c>
      <c r="BF776" s="103">
        <v>0</v>
      </c>
      <c r="BG776" s="103">
        <v>0</v>
      </c>
      <c r="BH776" s="103">
        <v>3</v>
      </c>
      <c r="BI776" s="103">
        <v>2</v>
      </c>
      <c r="BJ776" s="103">
        <v>5</v>
      </c>
      <c r="BK776" s="103">
        <v>2</v>
      </c>
      <c r="BL776" s="103">
        <v>2</v>
      </c>
      <c r="BM776" s="103">
        <v>0</v>
      </c>
      <c r="BN776" s="103">
        <v>0</v>
      </c>
      <c r="BO776" s="42"/>
      <c r="BQ776" s="110"/>
      <c r="BR776" s="46" t="s">
        <v>6</v>
      </c>
      <c r="BS776" s="103">
        <v>0</v>
      </c>
      <c r="BT776" s="103">
        <v>0</v>
      </c>
      <c r="BU776" s="103">
        <v>1</v>
      </c>
      <c r="BV776" s="103">
        <v>0</v>
      </c>
      <c r="BW776" s="103">
        <v>1</v>
      </c>
      <c r="BX776" s="103">
        <v>0</v>
      </c>
      <c r="BY776" s="103">
        <v>0</v>
      </c>
      <c r="BZ776" s="103">
        <v>0</v>
      </c>
      <c r="CA776" s="103">
        <v>0</v>
      </c>
      <c r="CB776" s="42"/>
      <c r="CC776" s="42"/>
      <c r="CD776" s="110"/>
      <c r="CE776" s="46" t="s">
        <v>6</v>
      </c>
      <c r="CF776" s="103">
        <v>0</v>
      </c>
      <c r="CG776" s="103">
        <v>0</v>
      </c>
      <c r="CH776" s="103">
        <v>2</v>
      </c>
      <c r="CI776" s="103">
        <v>2</v>
      </c>
      <c r="CJ776" s="103">
        <v>5</v>
      </c>
      <c r="CK776" s="103">
        <v>2</v>
      </c>
      <c r="CL776" s="103">
        <v>2</v>
      </c>
      <c r="CM776" s="103">
        <v>0</v>
      </c>
      <c r="CN776" s="103">
        <v>0</v>
      </c>
      <c r="CO776" s="42"/>
      <c r="CQ776" s="110"/>
      <c r="CR776" s="46" t="s">
        <v>6</v>
      </c>
      <c r="CS776" s="103">
        <v>0</v>
      </c>
      <c r="CT776" s="103">
        <v>0</v>
      </c>
      <c r="CU776" s="103">
        <v>0</v>
      </c>
      <c r="CV776" s="103">
        <v>0</v>
      </c>
      <c r="CW776" s="103">
        <v>0</v>
      </c>
      <c r="CX776" s="103">
        <v>0</v>
      </c>
      <c r="CY776" s="103">
        <v>1</v>
      </c>
      <c r="CZ776" s="103">
        <v>0</v>
      </c>
      <c r="DA776" s="103">
        <v>0</v>
      </c>
      <c r="DB776" s="42"/>
      <c r="DC776" s="42"/>
      <c r="DD776" s="110"/>
      <c r="DE776" s="46" t="s">
        <v>6</v>
      </c>
      <c r="DF776" s="103">
        <v>0</v>
      </c>
      <c r="DG776" s="103">
        <v>0</v>
      </c>
      <c r="DH776" s="103">
        <v>3</v>
      </c>
      <c r="DI776" s="103">
        <v>2</v>
      </c>
      <c r="DJ776" s="103">
        <v>6</v>
      </c>
      <c r="DK776" s="103">
        <v>2</v>
      </c>
      <c r="DL776" s="103">
        <v>1</v>
      </c>
      <c r="DM776" s="103">
        <v>0</v>
      </c>
      <c r="DN776" s="103">
        <v>0</v>
      </c>
      <c r="DO776" s="42"/>
    </row>
    <row r="777" spans="2:119" ht="16.5" customHeight="1" x14ac:dyDescent="0.45">
      <c r="B777" s="134"/>
      <c r="C777" s="42"/>
      <c r="D777" s="110"/>
      <c r="E777" s="46" t="s">
        <v>7</v>
      </c>
      <c r="F777" s="103">
        <v>2</v>
      </c>
      <c r="G777" s="103">
        <v>0</v>
      </c>
      <c r="H777" s="103">
        <v>2</v>
      </c>
      <c r="I777" s="103">
        <v>1</v>
      </c>
      <c r="J777" s="103">
        <v>2</v>
      </c>
      <c r="K777" s="103">
        <v>8</v>
      </c>
      <c r="L777" s="103">
        <v>11</v>
      </c>
      <c r="M777" s="103">
        <v>2</v>
      </c>
      <c r="N777" s="103">
        <v>0</v>
      </c>
      <c r="O777" s="102"/>
      <c r="P777" s="102"/>
      <c r="Q777" s="110"/>
      <c r="R777" s="46" t="s">
        <v>7</v>
      </c>
      <c r="S777" s="103">
        <v>2</v>
      </c>
      <c r="T777" s="103">
        <v>0</v>
      </c>
      <c r="U777" s="103">
        <v>2</v>
      </c>
      <c r="V777" s="103">
        <v>0</v>
      </c>
      <c r="W777" s="103">
        <v>1</v>
      </c>
      <c r="X777" s="103">
        <v>8</v>
      </c>
      <c r="Y777" s="103">
        <v>11</v>
      </c>
      <c r="Z777" s="103">
        <v>2</v>
      </c>
      <c r="AA777" s="103">
        <v>0</v>
      </c>
      <c r="AB777" s="102"/>
      <c r="AC777" s="102"/>
      <c r="AD777" s="110"/>
      <c r="AE777" s="46" t="s">
        <v>7</v>
      </c>
      <c r="AF777" s="103">
        <v>0</v>
      </c>
      <c r="AG777" s="103">
        <v>0</v>
      </c>
      <c r="AH777" s="103">
        <v>0</v>
      </c>
      <c r="AI777" s="103">
        <v>1</v>
      </c>
      <c r="AJ777" s="103">
        <v>1</v>
      </c>
      <c r="AK777" s="103">
        <v>0</v>
      </c>
      <c r="AL777" s="103">
        <v>0</v>
      </c>
      <c r="AM777" s="103">
        <v>0</v>
      </c>
      <c r="AN777" s="103">
        <v>0</v>
      </c>
      <c r="AO777" s="42"/>
      <c r="AQ777" s="110"/>
      <c r="AR777" s="46" t="s">
        <v>7</v>
      </c>
      <c r="AS777" s="103">
        <v>0</v>
      </c>
      <c r="AT777" s="103">
        <v>0</v>
      </c>
      <c r="AU777" s="103">
        <v>0</v>
      </c>
      <c r="AV777" s="103">
        <v>0</v>
      </c>
      <c r="AW777" s="103">
        <v>0</v>
      </c>
      <c r="AX777" s="103">
        <v>0</v>
      </c>
      <c r="AY777" s="103">
        <v>0</v>
      </c>
      <c r="AZ777" s="103">
        <v>0</v>
      </c>
      <c r="BA777" s="103">
        <v>0</v>
      </c>
      <c r="BB777" s="42"/>
      <c r="BC777" s="42"/>
      <c r="BD777" s="110"/>
      <c r="BE777" s="46" t="s">
        <v>7</v>
      </c>
      <c r="BF777" s="103">
        <v>2</v>
      </c>
      <c r="BG777" s="103">
        <v>0</v>
      </c>
      <c r="BH777" s="103">
        <v>2</v>
      </c>
      <c r="BI777" s="103">
        <v>1</v>
      </c>
      <c r="BJ777" s="103">
        <v>2</v>
      </c>
      <c r="BK777" s="103">
        <v>8</v>
      </c>
      <c r="BL777" s="103">
        <v>11</v>
      </c>
      <c r="BM777" s="103">
        <v>2</v>
      </c>
      <c r="BN777" s="103">
        <v>0</v>
      </c>
      <c r="BO777" s="42"/>
      <c r="BQ777" s="110"/>
      <c r="BR777" s="46" t="s">
        <v>7</v>
      </c>
      <c r="BS777" s="103">
        <v>1</v>
      </c>
      <c r="BT777" s="103">
        <v>0</v>
      </c>
      <c r="BU777" s="103">
        <v>0</v>
      </c>
      <c r="BV777" s="103">
        <v>0</v>
      </c>
      <c r="BW777" s="103">
        <v>0</v>
      </c>
      <c r="BX777" s="103">
        <v>0</v>
      </c>
      <c r="BY777" s="103">
        <v>0</v>
      </c>
      <c r="BZ777" s="103">
        <v>0</v>
      </c>
      <c r="CA777" s="103">
        <v>0</v>
      </c>
      <c r="CB777" s="42"/>
      <c r="CC777" s="42"/>
      <c r="CD777" s="110"/>
      <c r="CE777" s="46" t="s">
        <v>7</v>
      </c>
      <c r="CF777" s="103">
        <v>1</v>
      </c>
      <c r="CG777" s="103">
        <v>0</v>
      </c>
      <c r="CH777" s="103">
        <v>2</v>
      </c>
      <c r="CI777" s="103">
        <v>1</v>
      </c>
      <c r="CJ777" s="103">
        <v>2</v>
      </c>
      <c r="CK777" s="103">
        <v>8</v>
      </c>
      <c r="CL777" s="103">
        <v>11</v>
      </c>
      <c r="CM777" s="103">
        <v>2</v>
      </c>
      <c r="CN777" s="103">
        <v>0</v>
      </c>
      <c r="CO777" s="42"/>
      <c r="CQ777" s="110"/>
      <c r="CR777" s="46" t="s">
        <v>7</v>
      </c>
      <c r="CS777" s="103">
        <v>0</v>
      </c>
      <c r="CT777" s="103">
        <v>0</v>
      </c>
      <c r="CU777" s="103">
        <v>0</v>
      </c>
      <c r="CV777" s="103">
        <v>1</v>
      </c>
      <c r="CW777" s="103">
        <v>0</v>
      </c>
      <c r="CX777" s="103">
        <v>0</v>
      </c>
      <c r="CY777" s="103">
        <v>1</v>
      </c>
      <c r="CZ777" s="103">
        <v>0</v>
      </c>
      <c r="DA777" s="103">
        <v>0</v>
      </c>
      <c r="DB777" s="42"/>
      <c r="DC777" s="42"/>
      <c r="DD777" s="110"/>
      <c r="DE777" s="46" t="s">
        <v>7</v>
      </c>
      <c r="DF777" s="103">
        <v>2</v>
      </c>
      <c r="DG777" s="103">
        <v>0</v>
      </c>
      <c r="DH777" s="103">
        <v>2</v>
      </c>
      <c r="DI777" s="103">
        <v>0</v>
      </c>
      <c r="DJ777" s="103">
        <v>2</v>
      </c>
      <c r="DK777" s="103">
        <v>8</v>
      </c>
      <c r="DL777" s="103">
        <v>10</v>
      </c>
      <c r="DM777" s="103">
        <v>2</v>
      </c>
      <c r="DN777" s="103">
        <v>0</v>
      </c>
      <c r="DO777" s="42"/>
    </row>
    <row r="778" spans="2:119" ht="16.5" customHeight="1" x14ac:dyDescent="0.45">
      <c r="B778" s="134"/>
      <c r="C778" s="42"/>
      <c r="D778" s="110"/>
      <c r="E778" s="46" t="s">
        <v>8</v>
      </c>
      <c r="F778" s="103">
        <v>1</v>
      </c>
      <c r="G778" s="103">
        <v>0</v>
      </c>
      <c r="H778" s="103">
        <v>1</v>
      </c>
      <c r="I778" s="103">
        <v>1</v>
      </c>
      <c r="J778" s="103">
        <v>2</v>
      </c>
      <c r="K778" s="103">
        <v>9</v>
      </c>
      <c r="L778" s="103">
        <v>17</v>
      </c>
      <c r="M778" s="103">
        <v>4</v>
      </c>
      <c r="N778" s="103">
        <v>0</v>
      </c>
      <c r="O778" s="102"/>
      <c r="P778" s="102"/>
      <c r="Q778" s="110"/>
      <c r="R778" s="46" t="s">
        <v>8</v>
      </c>
      <c r="S778" s="103">
        <v>1</v>
      </c>
      <c r="T778" s="103">
        <v>0</v>
      </c>
      <c r="U778" s="103">
        <v>1</v>
      </c>
      <c r="V778" s="103">
        <v>0</v>
      </c>
      <c r="W778" s="103">
        <v>2</v>
      </c>
      <c r="X778" s="103">
        <v>7</v>
      </c>
      <c r="Y778" s="103">
        <v>16</v>
      </c>
      <c r="Z778" s="103">
        <v>4</v>
      </c>
      <c r="AA778" s="103">
        <v>0</v>
      </c>
      <c r="AB778" s="102"/>
      <c r="AC778" s="102"/>
      <c r="AD778" s="110"/>
      <c r="AE778" s="46" t="s">
        <v>8</v>
      </c>
      <c r="AF778" s="103">
        <v>0</v>
      </c>
      <c r="AG778" s="103">
        <v>0</v>
      </c>
      <c r="AH778" s="103">
        <v>0</v>
      </c>
      <c r="AI778" s="103">
        <v>1</v>
      </c>
      <c r="AJ778" s="103">
        <v>0</v>
      </c>
      <c r="AK778" s="103">
        <v>2</v>
      </c>
      <c r="AL778" s="103">
        <v>1</v>
      </c>
      <c r="AM778" s="103">
        <v>0</v>
      </c>
      <c r="AN778" s="103">
        <v>0</v>
      </c>
      <c r="AO778" s="42"/>
      <c r="AQ778" s="110"/>
      <c r="AR778" s="46" t="s">
        <v>8</v>
      </c>
      <c r="AS778" s="103">
        <v>0</v>
      </c>
      <c r="AT778" s="103">
        <v>0</v>
      </c>
      <c r="AU778" s="103">
        <v>0</v>
      </c>
      <c r="AV778" s="103">
        <v>0</v>
      </c>
      <c r="AW778" s="103">
        <v>1</v>
      </c>
      <c r="AX778" s="103">
        <v>0</v>
      </c>
      <c r="AY778" s="103">
        <v>2</v>
      </c>
      <c r="AZ778" s="103">
        <v>0</v>
      </c>
      <c r="BA778" s="103">
        <v>0</v>
      </c>
      <c r="BB778" s="42"/>
      <c r="BC778" s="42"/>
      <c r="BD778" s="110"/>
      <c r="BE778" s="46" t="s">
        <v>8</v>
      </c>
      <c r="BF778" s="103">
        <v>1</v>
      </c>
      <c r="BG778" s="103">
        <v>0</v>
      </c>
      <c r="BH778" s="103">
        <v>1</v>
      </c>
      <c r="BI778" s="103">
        <v>1</v>
      </c>
      <c r="BJ778" s="103">
        <v>1</v>
      </c>
      <c r="BK778" s="103">
        <v>9</v>
      </c>
      <c r="BL778" s="103">
        <v>15</v>
      </c>
      <c r="BM778" s="103">
        <v>4</v>
      </c>
      <c r="BN778" s="103">
        <v>0</v>
      </c>
      <c r="BO778" s="42"/>
      <c r="BQ778" s="110"/>
      <c r="BR778" s="46" t="s">
        <v>8</v>
      </c>
      <c r="BS778" s="103">
        <v>0</v>
      </c>
      <c r="BT778" s="103">
        <v>0</v>
      </c>
      <c r="BU778" s="103">
        <v>0</v>
      </c>
      <c r="BV778" s="103">
        <v>0</v>
      </c>
      <c r="BW778" s="103">
        <v>1</v>
      </c>
      <c r="BX778" s="103">
        <v>0</v>
      </c>
      <c r="BY778" s="103">
        <v>0</v>
      </c>
      <c r="BZ778" s="103">
        <v>0</v>
      </c>
      <c r="CA778" s="103">
        <v>0</v>
      </c>
      <c r="CB778" s="42"/>
      <c r="CC778" s="42"/>
      <c r="CD778" s="110"/>
      <c r="CE778" s="46" t="s">
        <v>8</v>
      </c>
      <c r="CF778" s="103">
        <v>1</v>
      </c>
      <c r="CG778" s="103">
        <v>0</v>
      </c>
      <c r="CH778" s="103">
        <v>1</v>
      </c>
      <c r="CI778" s="103">
        <v>1</v>
      </c>
      <c r="CJ778" s="103">
        <v>1</v>
      </c>
      <c r="CK778" s="103">
        <v>9</v>
      </c>
      <c r="CL778" s="103">
        <v>17</v>
      </c>
      <c r="CM778" s="103">
        <v>4</v>
      </c>
      <c r="CN778" s="103">
        <v>0</v>
      </c>
      <c r="CO778" s="42"/>
      <c r="CQ778" s="110"/>
      <c r="CR778" s="46" t="s">
        <v>8</v>
      </c>
      <c r="CS778" s="103">
        <v>0</v>
      </c>
      <c r="CT778" s="103">
        <v>0</v>
      </c>
      <c r="CU778" s="103">
        <v>0</v>
      </c>
      <c r="CV778" s="103">
        <v>0</v>
      </c>
      <c r="CW778" s="103">
        <v>0</v>
      </c>
      <c r="CX778" s="103">
        <v>1</v>
      </c>
      <c r="CY778" s="103">
        <v>2</v>
      </c>
      <c r="CZ778" s="103">
        <v>1</v>
      </c>
      <c r="DA778" s="103">
        <v>0</v>
      </c>
      <c r="DB778" s="42"/>
      <c r="DC778" s="42"/>
      <c r="DD778" s="110"/>
      <c r="DE778" s="46" t="s">
        <v>8</v>
      </c>
      <c r="DF778" s="103">
        <v>1</v>
      </c>
      <c r="DG778" s="103">
        <v>0</v>
      </c>
      <c r="DH778" s="103">
        <v>1</v>
      </c>
      <c r="DI778" s="103">
        <v>1</v>
      </c>
      <c r="DJ778" s="103">
        <v>2</v>
      </c>
      <c r="DK778" s="103">
        <v>8</v>
      </c>
      <c r="DL778" s="103">
        <v>15</v>
      </c>
      <c r="DM778" s="103">
        <v>3</v>
      </c>
      <c r="DN778" s="103">
        <v>0</v>
      </c>
      <c r="DO778" s="42"/>
    </row>
    <row r="779" spans="2:119" ht="16.5" customHeight="1" x14ac:dyDescent="0.45">
      <c r="B779" s="134"/>
      <c r="C779" s="42"/>
      <c r="D779" s="110"/>
      <c r="E779" s="46" t="s">
        <v>9</v>
      </c>
      <c r="F779" s="103">
        <v>0</v>
      </c>
      <c r="G779" s="103">
        <v>0</v>
      </c>
      <c r="H779" s="103">
        <v>0</v>
      </c>
      <c r="I779" s="103">
        <v>3</v>
      </c>
      <c r="J779" s="103">
        <v>1</v>
      </c>
      <c r="K779" s="103">
        <v>3</v>
      </c>
      <c r="L779" s="103">
        <v>12</v>
      </c>
      <c r="M779" s="103">
        <v>20</v>
      </c>
      <c r="N779" s="103">
        <v>5</v>
      </c>
      <c r="O779" s="102"/>
      <c r="P779" s="102"/>
      <c r="Q779" s="110"/>
      <c r="R779" s="46" t="s">
        <v>9</v>
      </c>
      <c r="S779" s="103">
        <v>0</v>
      </c>
      <c r="T779" s="103">
        <v>0</v>
      </c>
      <c r="U779" s="103">
        <v>0</v>
      </c>
      <c r="V779" s="103">
        <v>3</v>
      </c>
      <c r="W779" s="103">
        <v>0</v>
      </c>
      <c r="X779" s="103">
        <v>3</v>
      </c>
      <c r="Y779" s="103">
        <v>9</v>
      </c>
      <c r="Z779" s="103">
        <v>18</v>
      </c>
      <c r="AA779" s="103">
        <v>4</v>
      </c>
      <c r="AB779" s="102"/>
      <c r="AC779" s="102"/>
      <c r="AD779" s="110"/>
      <c r="AE779" s="46" t="s">
        <v>9</v>
      </c>
      <c r="AF779" s="103">
        <v>0</v>
      </c>
      <c r="AG779" s="103">
        <v>0</v>
      </c>
      <c r="AH779" s="103">
        <v>0</v>
      </c>
      <c r="AI779" s="103">
        <v>0</v>
      </c>
      <c r="AJ779" s="103">
        <v>1</v>
      </c>
      <c r="AK779" s="103">
        <v>0</v>
      </c>
      <c r="AL779" s="103">
        <v>3</v>
      </c>
      <c r="AM779" s="103">
        <v>2</v>
      </c>
      <c r="AN779" s="103">
        <v>1</v>
      </c>
      <c r="AO779" s="42"/>
      <c r="AQ779" s="110"/>
      <c r="AR779" s="46" t="s">
        <v>9</v>
      </c>
      <c r="AS779" s="103">
        <v>0</v>
      </c>
      <c r="AT779" s="103">
        <v>0</v>
      </c>
      <c r="AU779" s="103">
        <v>0</v>
      </c>
      <c r="AV779" s="103">
        <v>0</v>
      </c>
      <c r="AW779" s="103">
        <v>0</v>
      </c>
      <c r="AX779" s="103">
        <v>0</v>
      </c>
      <c r="AY779" s="103">
        <v>0</v>
      </c>
      <c r="AZ779" s="103">
        <v>1</v>
      </c>
      <c r="BA779" s="103">
        <v>0</v>
      </c>
      <c r="BB779" s="42"/>
      <c r="BC779" s="42"/>
      <c r="BD779" s="110"/>
      <c r="BE779" s="46" t="s">
        <v>9</v>
      </c>
      <c r="BF779" s="103">
        <v>0</v>
      </c>
      <c r="BG779" s="103">
        <v>0</v>
      </c>
      <c r="BH779" s="103">
        <v>0</v>
      </c>
      <c r="BI779" s="103">
        <v>3</v>
      </c>
      <c r="BJ779" s="103">
        <v>1</v>
      </c>
      <c r="BK779" s="103">
        <v>3</v>
      </c>
      <c r="BL779" s="103">
        <v>12</v>
      </c>
      <c r="BM779" s="103">
        <v>19</v>
      </c>
      <c r="BN779" s="103">
        <v>5</v>
      </c>
      <c r="BO779" s="42"/>
      <c r="BQ779" s="110"/>
      <c r="BR779" s="46" t="s">
        <v>9</v>
      </c>
      <c r="BS779" s="103">
        <v>0</v>
      </c>
      <c r="BT779" s="103">
        <v>0</v>
      </c>
      <c r="BU779" s="103">
        <v>0</v>
      </c>
      <c r="BV779" s="103">
        <v>0</v>
      </c>
      <c r="BW779" s="103">
        <v>0</v>
      </c>
      <c r="BX779" s="103">
        <v>0</v>
      </c>
      <c r="BY779" s="103">
        <v>0</v>
      </c>
      <c r="BZ779" s="103">
        <v>1</v>
      </c>
      <c r="CA779" s="103">
        <v>0</v>
      </c>
      <c r="CB779" s="42"/>
      <c r="CC779" s="42"/>
      <c r="CD779" s="110"/>
      <c r="CE779" s="46" t="s">
        <v>9</v>
      </c>
      <c r="CF779" s="103">
        <v>0</v>
      </c>
      <c r="CG779" s="103">
        <v>0</v>
      </c>
      <c r="CH779" s="103">
        <v>0</v>
      </c>
      <c r="CI779" s="103">
        <v>3</v>
      </c>
      <c r="CJ779" s="103">
        <v>1</v>
      </c>
      <c r="CK779" s="103">
        <v>3</v>
      </c>
      <c r="CL779" s="103">
        <v>12</v>
      </c>
      <c r="CM779" s="103">
        <v>19</v>
      </c>
      <c r="CN779" s="103">
        <v>5</v>
      </c>
      <c r="CO779" s="42"/>
      <c r="CQ779" s="110"/>
      <c r="CR779" s="46" t="s">
        <v>9</v>
      </c>
      <c r="CS779" s="103">
        <v>0</v>
      </c>
      <c r="CT779" s="103">
        <v>0</v>
      </c>
      <c r="CU779" s="103">
        <v>0</v>
      </c>
      <c r="CV779" s="103">
        <v>0</v>
      </c>
      <c r="CW779" s="103">
        <v>0</v>
      </c>
      <c r="CX779" s="103">
        <v>1</v>
      </c>
      <c r="CY779" s="103">
        <v>1</v>
      </c>
      <c r="CZ779" s="103">
        <v>1</v>
      </c>
      <c r="DA779" s="103">
        <v>0</v>
      </c>
      <c r="DB779" s="42"/>
      <c r="DC779" s="42"/>
      <c r="DD779" s="110"/>
      <c r="DE779" s="46" t="s">
        <v>9</v>
      </c>
      <c r="DF779" s="103">
        <v>0</v>
      </c>
      <c r="DG779" s="103">
        <v>0</v>
      </c>
      <c r="DH779" s="103">
        <v>0</v>
      </c>
      <c r="DI779" s="103">
        <v>3</v>
      </c>
      <c r="DJ779" s="103">
        <v>1</v>
      </c>
      <c r="DK779" s="103">
        <v>2</v>
      </c>
      <c r="DL779" s="103">
        <v>11</v>
      </c>
      <c r="DM779" s="103">
        <v>19</v>
      </c>
      <c r="DN779" s="103">
        <v>5</v>
      </c>
      <c r="DO779" s="42"/>
    </row>
    <row r="780" spans="2:119" ht="16.5" customHeight="1" x14ac:dyDescent="0.45">
      <c r="B780" s="134"/>
      <c r="C780" s="42"/>
      <c r="D780" s="110"/>
      <c r="E780" s="46" t="s">
        <v>10</v>
      </c>
      <c r="F780" s="103">
        <v>1</v>
      </c>
      <c r="G780" s="103">
        <v>0</v>
      </c>
      <c r="H780" s="103">
        <v>0</v>
      </c>
      <c r="I780" s="103">
        <v>0</v>
      </c>
      <c r="J780" s="103">
        <v>3</v>
      </c>
      <c r="K780" s="103">
        <v>4</v>
      </c>
      <c r="L780" s="103">
        <v>8</v>
      </c>
      <c r="M780" s="103">
        <v>30</v>
      </c>
      <c r="N780" s="103">
        <v>16</v>
      </c>
      <c r="O780" s="102"/>
      <c r="P780" s="102"/>
      <c r="Q780" s="110"/>
      <c r="R780" s="46" t="s">
        <v>10</v>
      </c>
      <c r="S780" s="103">
        <v>1</v>
      </c>
      <c r="T780" s="103">
        <v>0</v>
      </c>
      <c r="U780" s="103">
        <v>0</v>
      </c>
      <c r="V780" s="103">
        <v>0</v>
      </c>
      <c r="W780" s="103">
        <v>3</v>
      </c>
      <c r="X780" s="103">
        <v>1</v>
      </c>
      <c r="Y780" s="103">
        <v>4</v>
      </c>
      <c r="Z780" s="103">
        <v>25</v>
      </c>
      <c r="AA780" s="103">
        <v>11</v>
      </c>
      <c r="AB780" s="102"/>
      <c r="AC780" s="102"/>
      <c r="AD780" s="110"/>
      <c r="AE780" s="46" t="s">
        <v>10</v>
      </c>
      <c r="AF780" s="103">
        <v>0</v>
      </c>
      <c r="AG780" s="103">
        <v>0</v>
      </c>
      <c r="AH780" s="103">
        <v>0</v>
      </c>
      <c r="AI780" s="103">
        <v>0</v>
      </c>
      <c r="AJ780" s="103">
        <v>0</v>
      </c>
      <c r="AK780" s="103">
        <v>3</v>
      </c>
      <c r="AL780" s="103">
        <v>4</v>
      </c>
      <c r="AM780" s="103">
        <v>5</v>
      </c>
      <c r="AN780" s="103">
        <v>5</v>
      </c>
      <c r="AO780" s="42"/>
      <c r="AQ780" s="110"/>
      <c r="AR780" s="46" t="s">
        <v>10</v>
      </c>
      <c r="AS780" s="103">
        <v>0</v>
      </c>
      <c r="AT780" s="103">
        <v>0</v>
      </c>
      <c r="AU780" s="103">
        <v>0</v>
      </c>
      <c r="AV780" s="103">
        <v>0</v>
      </c>
      <c r="AW780" s="103">
        <v>0</v>
      </c>
      <c r="AX780" s="103">
        <v>0</v>
      </c>
      <c r="AY780" s="103">
        <v>1</v>
      </c>
      <c r="AZ780" s="103">
        <v>1</v>
      </c>
      <c r="BA780" s="103">
        <v>1</v>
      </c>
      <c r="BB780" s="42"/>
      <c r="BC780" s="42"/>
      <c r="BD780" s="110"/>
      <c r="BE780" s="46" t="s">
        <v>10</v>
      </c>
      <c r="BF780" s="103">
        <v>1</v>
      </c>
      <c r="BG780" s="103">
        <v>0</v>
      </c>
      <c r="BH780" s="103">
        <v>0</v>
      </c>
      <c r="BI780" s="103">
        <v>0</v>
      </c>
      <c r="BJ780" s="103">
        <v>3</v>
      </c>
      <c r="BK780" s="103">
        <v>4</v>
      </c>
      <c r="BL780" s="103">
        <v>7</v>
      </c>
      <c r="BM780" s="103">
        <v>29</v>
      </c>
      <c r="BN780" s="103">
        <v>15</v>
      </c>
      <c r="BO780" s="42"/>
      <c r="BQ780" s="110"/>
      <c r="BR780" s="46" t="s">
        <v>10</v>
      </c>
      <c r="BS780" s="103">
        <v>0</v>
      </c>
      <c r="BT780" s="103">
        <v>0</v>
      </c>
      <c r="BU780" s="103">
        <v>0</v>
      </c>
      <c r="BV780" s="103">
        <v>0</v>
      </c>
      <c r="BW780" s="103">
        <v>0</v>
      </c>
      <c r="BX780" s="103">
        <v>0</v>
      </c>
      <c r="BY780" s="103">
        <v>1</v>
      </c>
      <c r="BZ780" s="103">
        <v>0</v>
      </c>
      <c r="CA780" s="103">
        <v>0</v>
      </c>
      <c r="CB780" s="42"/>
      <c r="CC780" s="42"/>
      <c r="CD780" s="110"/>
      <c r="CE780" s="46" t="s">
        <v>10</v>
      </c>
      <c r="CF780" s="103">
        <v>1</v>
      </c>
      <c r="CG780" s="103">
        <v>0</v>
      </c>
      <c r="CH780" s="103">
        <v>0</v>
      </c>
      <c r="CI780" s="103">
        <v>0</v>
      </c>
      <c r="CJ780" s="103">
        <v>3</v>
      </c>
      <c r="CK780" s="103">
        <v>4</v>
      </c>
      <c r="CL780" s="103">
        <v>7</v>
      </c>
      <c r="CM780" s="103">
        <v>30</v>
      </c>
      <c r="CN780" s="103">
        <v>16</v>
      </c>
      <c r="CO780" s="42"/>
      <c r="CQ780" s="110"/>
      <c r="CR780" s="46" t="s">
        <v>10</v>
      </c>
      <c r="CS780" s="103">
        <v>0</v>
      </c>
      <c r="CT780" s="103">
        <v>0</v>
      </c>
      <c r="CU780" s="103">
        <v>0</v>
      </c>
      <c r="CV780" s="103">
        <v>0</v>
      </c>
      <c r="CW780" s="103">
        <v>0</v>
      </c>
      <c r="CX780" s="103">
        <v>0</v>
      </c>
      <c r="CY780" s="103">
        <v>0</v>
      </c>
      <c r="CZ780" s="103">
        <v>1</v>
      </c>
      <c r="DA780" s="103">
        <v>0</v>
      </c>
      <c r="DB780" s="42"/>
      <c r="DC780" s="42"/>
      <c r="DD780" s="110"/>
      <c r="DE780" s="46" t="s">
        <v>10</v>
      </c>
      <c r="DF780" s="103">
        <v>1</v>
      </c>
      <c r="DG780" s="103">
        <v>0</v>
      </c>
      <c r="DH780" s="103">
        <v>0</v>
      </c>
      <c r="DI780" s="103">
        <v>0</v>
      </c>
      <c r="DJ780" s="103">
        <v>3</v>
      </c>
      <c r="DK780" s="103">
        <v>4</v>
      </c>
      <c r="DL780" s="103">
        <v>8</v>
      </c>
      <c r="DM780" s="103">
        <v>29</v>
      </c>
      <c r="DN780" s="103">
        <v>16</v>
      </c>
      <c r="DO780" s="42"/>
    </row>
    <row r="781" spans="2:119" ht="16.5" customHeight="1" x14ac:dyDescent="0.45">
      <c r="B781" s="134"/>
      <c r="C781" s="42"/>
      <c r="D781" s="111"/>
      <c r="E781" s="46" t="s">
        <v>11</v>
      </c>
      <c r="F781" s="103">
        <v>0</v>
      </c>
      <c r="G781" s="103">
        <v>0</v>
      </c>
      <c r="H781" s="103">
        <v>0</v>
      </c>
      <c r="I781" s="103">
        <v>0</v>
      </c>
      <c r="J781" s="103">
        <v>0</v>
      </c>
      <c r="K781" s="103">
        <v>0</v>
      </c>
      <c r="L781" s="103">
        <v>0</v>
      </c>
      <c r="M781" s="103">
        <v>8</v>
      </c>
      <c r="N781" s="103">
        <v>13</v>
      </c>
      <c r="O781" s="102"/>
      <c r="P781" s="102"/>
      <c r="Q781" s="111"/>
      <c r="R781" s="46" t="s">
        <v>11</v>
      </c>
      <c r="S781" s="103">
        <v>0</v>
      </c>
      <c r="T781" s="103">
        <v>0</v>
      </c>
      <c r="U781" s="103">
        <v>0</v>
      </c>
      <c r="V781" s="103">
        <v>0</v>
      </c>
      <c r="W781" s="103">
        <v>0</v>
      </c>
      <c r="X781" s="103">
        <v>0</v>
      </c>
      <c r="Y781" s="103">
        <v>0</v>
      </c>
      <c r="Z781" s="103">
        <v>3</v>
      </c>
      <c r="AA781" s="103">
        <v>8</v>
      </c>
      <c r="AB781" s="102"/>
      <c r="AC781" s="102"/>
      <c r="AD781" s="111"/>
      <c r="AE781" s="46" t="s">
        <v>11</v>
      </c>
      <c r="AF781" s="103">
        <v>0</v>
      </c>
      <c r="AG781" s="103">
        <v>0</v>
      </c>
      <c r="AH781" s="103">
        <v>0</v>
      </c>
      <c r="AI781" s="103">
        <v>0</v>
      </c>
      <c r="AJ781" s="103">
        <v>0</v>
      </c>
      <c r="AK781" s="103">
        <v>0</v>
      </c>
      <c r="AL781" s="103">
        <v>0</v>
      </c>
      <c r="AM781" s="103">
        <v>5</v>
      </c>
      <c r="AN781" s="103">
        <v>5</v>
      </c>
      <c r="AO781" s="42"/>
      <c r="AQ781" s="111"/>
      <c r="AR781" s="46" t="s">
        <v>11</v>
      </c>
      <c r="AS781" s="103">
        <v>0</v>
      </c>
      <c r="AT781" s="103">
        <v>0</v>
      </c>
      <c r="AU781" s="103">
        <v>0</v>
      </c>
      <c r="AV781" s="103">
        <v>0</v>
      </c>
      <c r="AW781" s="103">
        <v>0</v>
      </c>
      <c r="AX781" s="103">
        <v>0</v>
      </c>
      <c r="AY781" s="103">
        <v>0</v>
      </c>
      <c r="AZ781" s="103">
        <v>0</v>
      </c>
      <c r="BA781" s="103">
        <v>1</v>
      </c>
      <c r="BB781" s="42"/>
      <c r="BC781" s="42"/>
      <c r="BD781" s="111"/>
      <c r="BE781" s="46" t="s">
        <v>11</v>
      </c>
      <c r="BF781" s="103">
        <v>0</v>
      </c>
      <c r="BG781" s="103">
        <v>0</v>
      </c>
      <c r="BH781" s="103">
        <v>0</v>
      </c>
      <c r="BI781" s="103">
        <v>0</v>
      </c>
      <c r="BJ781" s="103">
        <v>0</v>
      </c>
      <c r="BK781" s="103">
        <v>0</v>
      </c>
      <c r="BL781" s="103">
        <v>0</v>
      </c>
      <c r="BM781" s="103">
        <v>8</v>
      </c>
      <c r="BN781" s="103">
        <v>12</v>
      </c>
      <c r="BO781" s="42"/>
      <c r="BQ781" s="111"/>
      <c r="BR781" s="46" t="s">
        <v>11</v>
      </c>
      <c r="BS781" s="103">
        <v>0</v>
      </c>
      <c r="BT781" s="103">
        <v>0</v>
      </c>
      <c r="BU781" s="103">
        <v>0</v>
      </c>
      <c r="BV781" s="103">
        <v>0</v>
      </c>
      <c r="BW781" s="103">
        <v>0</v>
      </c>
      <c r="BX781" s="103">
        <v>0</v>
      </c>
      <c r="BY781" s="103">
        <v>0</v>
      </c>
      <c r="BZ781" s="103">
        <v>0</v>
      </c>
      <c r="CA781" s="103">
        <v>0</v>
      </c>
      <c r="CB781" s="42"/>
      <c r="CC781" s="42"/>
      <c r="CD781" s="111"/>
      <c r="CE781" s="46" t="s">
        <v>11</v>
      </c>
      <c r="CF781" s="103">
        <v>0</v>
      </c>
      <c r="CG781" s="103">
        <v>0</v>
      </c>
      <c r="CH781" s="103">
        <v>0</v>
      </c>
      <c r="CI781" s="103">
        <v>0</v>
      </c>
      <c r="CJ781" s="103">
        <v>0</v>
      </c>
      <c r="CK781" s="103">
        <v>0</v>
      </c>
      <c r="CL781" s="103">
        <v>0</v>
      </c>
      <c r="CM781" s="103">
        <v>8</v>
      </c>
      <c r="CN781" s="103">
        <v>13</v>
      </c>
      <c r="CO781" s="42"/>
      <c r="CQ781" s="111"/>
      <c r="CR781" s="46" t="s">
        <v>11</v>
      </c>
      <c r="CS781" s="103">
        <v>0</v>
      </c>
      <c r="CT781" s="103">
        <v>0</v>
      </c>
      <c r="CU781" s="103">
        <v>0</v>
      </c>
      <c r="CV781" s="103">
        <v>0</v>
      </c>
      <c r="CW781" s="103">
        <v>0</v>
      </c>
      <c r="CX781" s="103">
        <v>0</v>
      </c>
      <c r="CY781" s="103">
        <v>0</v>
      </c>
      <c r="CZ781" s="103">
        <v>0</v>
      </c>
      <c r="DA781" s="103">
        <v>0</v>
      </c>
      <c r="DB781" s="42"/>
      <c r="DC781" s="42"/>
      <c r="DD781" s="111"/>
      <c r="DE781" s="46" t="s">
        <v>11</v>
      </c>
      <c r="DF781" s="103">
        <v>0</v>
      </c>
      <c r="DG781" s="103">
        <v>0</v>
      </c>
      <c r="DH781" s="103">
        <v>0</v>
      </c>
      <c r="DI781" s="103">
        <v>0</v>
      </c>
      <c r="DJ781" s="103">
        <v>0</v>
      </c>
      <c r="DK781" s="103">
        <v>0</v>
      </c>
      <c r="DL781" s="103">
        <v>0</v>
      </c>
      <c r="DM781" s="103">
        <v>8</v>
      </c>
      <c r="DN781" s="103">
        <v>13</v>
      </c>
      <c r="DO781" s="42"/>
    </row>
    <row r="782" spans="2:119" ht="16.5" customHeight="1" x14ac:dyDescent="0.45">
      <c r="B782" s="99"/>
      <c r="C782" s="42"/>
      <c r="D782" s="102"/>
      <c r="E782" s="102"/>
      <c r="F782" s="102"/>
      <c r="G782" s="102"/>
      <c r="H782" s="102"/>
      <c r="I782" s="102"/>
      <c r="J782" s="102"/>
      <c r="K782" s="102"/>
      <c r="L782" s="102"/>
      <c r="M782" s="102"/>
      <c r="N782" s="102"/>
      <c r="O782" s="102"/>
      <c r="P782" s="102"/>
      <c r="Q782" s="102"/>
      <c r="R782" s="102"/>
      <c r="S782" s="102"/>
      <c r="T782" s="102"/>
      <c r="U782" s="102"/>
      <c r="V782" s="102"/>
      <c r="W782" s="102"/>
      <c r="X782" s="102"/>
      <c r="Y782" s="102"/>
      <c r="Z782" s="102"/>
      <c r="AA782" s="102"/>
      <c r="AB782" s="102"/>
      <c r="AC782" s="102"/>
      <c r="AD782" s="102"/>
      <c r="AE782" s="102"/>
      <c r="AF782" s="102"/>
      <c r="AG782" s="102"/>
      <c r="AH782" s="102"/>
      <c r="AI782" s="102"/>
      <c r="AJ782" s="102"/>
      <c r="AK782" s="102"/>
      <c r="AL782" s="102"/>
      <c r="AM782" s="102"/>
      <c r="AN782" s="102"/>
      <c r="AO782" s="42"/>
      <c r="AQ782" s="42"/>
      <c r="AR782" s="42"/>
      <c r="AS782" s="42"/>
      <c r="AT782" s="42"/>
      <c r="AU782" s="42"/>
      <c r="AV782" s="42"/>
      <c r="AW782" s="42"/>
      <c r="AX782" s="42"/>
      <c r="AY782" s="42"/>
      <c r="AZ782" s="42"/>
      <c r="BA782" s="42"/>
      <c r="BB782" s="42"/>
      <c r="BC782" s="42"/>
      <c r="BD782" s="42"/>
      <c r="BE782" s="42"/>
      <c r="BF782" s="42"/>
      <c r="BG782" s="42"/>
      <c r="BH782" s="42"/>
      <c r="BI782" s="42"/>
      <c r="BJ782" s="42"/>
      <c r="BK782" s="42"/>
      <c r="BL782" s="42"/>
      <c r="BM782" s="42"/>
      <c r="BN782" s="42"/>
      <c r="BO782" s="42"/>
      <c r="BQ782" s="42"/>
      <c r="BR782" s="42"/>
      <c r="BS782" s="42"/>
      <c r="BT782" s="42"/>
      <c r="BU782" s="42"/>
      <c r="BV782" s="42"/>
      <c r="BW782" s="42"/>
      <c r="BX782" s="42"/>
      <c r="BY782" s="42"/>
      <c r="BZ782" s="42"/>
      <c r="CA782" s="42"/>
      <c r="CB782" s="42"/>
      <c r="CC782" s="42"/>
      <c r="CD782" s="42"/>
      <c r="CE782" s="42"/>
      <c r="CF782" s="42"/>
      <c r="CG782" s="42"/>
      <c r="CH782" s="42"/>
      <c r="CI782" s="42"/>
      <c r="CJ782" s="42"/>
      <c r="CK782" s="42"/>
      <c r="CL782" s="42"/>
      <c r="CM782" s="42"/>
      <c r="CN782" s="42"/>
      <c r="CO782" s="42"/>
      <c r="CQ782" s="42"/>
      <c r="CR782" s="42"/>
      <c r="CS782" s="42"/>
      <c r="CT782" s="42"/>
      <c r="CU782" s="42"/>
      <c r="CV782" s="42"/>
      <c r="CW782" s="42"/>
      <c r="CX782" s="42"/>
      <c r="CY782" s="42"/>
      <c r="CZ782" s="42"/>
      <c r="DA782" s="42"/>
      <c r="DB782" s="42"/>
      <c r="DC782" s="42"/>
      <c r="DD782" s="42"/>
      <c r="DE782" s="42"/>
      <c r="DF782" s="42"/>
      <c r="DG782" s="42"/>
      <c r="DH782" s="42"/>
      <c r="DI782" s="42"/>
      <c r="DJ782" s="42"/>
      <c r="DK782" s="42"/>
      <c r="DL782" s="42"/>
      <c r="DM782" s="42"/>
      <c r="DN782" s="42"/>
      <c r="DO782" s="42"/>
    </row>
    <row r="783" spans="2:119" ht="16.5" customHeight="1" x14ac:dyDescent="0.55000000000000004">
      <c r="B783" s="99"/>
      <c r="C783" s="42"/>
      <c r="D783" s="112" t="s">
        <v>16</v>
      </c>
      <c r="E783" s="112"/>
      <c r="F783" s="45"/>
      <c r="G783" s="45"/>
      <c r="H783" s="45"/>
      <c r="I783" s="45"/>
      <c r="J783" s="45"/>
      <c r="K783" s="45"/>
      <c r="L783" s="45"/>
      <c r="M783" s="45"/>
      <c r="N783" s="45"/>
      <c r="O783" s="102"/>
      <c r="P783" s="102"/>
      <c r="Q783" s="112" t="s">
        <v>16</v>
      </c>
      <c r="R783" s="112"/>
      <c r="S783" s="45"/>
      <c r="T783" s="45"/>
      <c r="U783" s="45"/>
      <c r="V783" s="45"/>
      <c r="W783" s="45"/>
      <c r="X783" s="45"/>
      <c r="Y783" s="45"/>
      <c r="Z783" s="45"/>
      <c r="AA783" s="45"/>
      <c r="AB783" s="102"/>
      <c r="AC783" s="102"/>
      <c r="AD783" s="112" t="s">
        <v>16</v>
      </c>
      <c r="AE783" s="112"/>
      <c r="AF783" s="45"/>
      <c r="AG783" s="45"/>
      <c r="AH783" s="45"/>
      <c r="AI783" s="45"/>
      <c r="AJ783" s="45"/>
      <c r="AK783" s="45"/>
      <c r="AL783" s="45"/>
      <c r="AM783" s="45"/>
      <c r="AN783" s="45"/>
      <c r="AO783" s="42"/>
      <c r="AQ783" s="112" t="s">
        <v>16</v>
      </c>
      <c r="AR783" s="112"/>
      <c r="AS783" s="45"/>
      <c r="AT783" s="45"/>
      <c r="AU783" s="45"/>
      <c r="AV783" s="45"/>
      <c r="AW783" s="45"/>
      <c r="AX783" s="45"/>
      <c r="AY783" s="45"/>
      <c r="AZ783" s="45"/>
      <c r="BA783" s="45"/>
      <c r="BB783" s="42"/>
      <c r="BC783" s="42"/>
      <c r="BD783" s="112" t="s">
        <v>16</v>
      </c>
      <c r="BE783" s="112"/>
      <c r="BF783" s="45"/>
      <c r="BG783" s="45"/>
      <c r="BH783" s="45"/>
      <c r="BI783" s="45"/>
      <c r="BJ783" s="45"/>
      <c r="BK783" s="45"/>
      <c r="BL783" s="45"/>
      <c r="BM783" s="45"/>
      <c r="BN783" s="45"/>
      <c r="BO783" s="42"/>
      <c r="BQ783" s="112" t="s">
        <v>16</v>
      </c>
      <c r="BR783" s="112"/>
      <c r="BS783" s="45"/>
      <c r="BT783" s="45"/>
      <c r="BU783" s="45"/>
      <c r="BV783" s="45"/>
      <c r="BW783" s="45"/>
      <c r="BX783" s="45"/>
      <c r="BY783" s="45"/>
      <c r="BZ783" s="45"/>
      <c r="CA783" s="45"/>
      <c r="CB783" s="42"/>
      <c r="CC783" s="42"/>
      <c r="CD783" s="112" t="s">
        <v>16</v>
      </c>
      <c r="CE783" s="112"/>
      <c r="CF783" s="45"/>
      <c r="CG783" s="45"/>
      <c r="CH783" s="45"/>
      <c r="CI783" s="45"/>
      <c r="CJ783" s="45"/>
      <c r="CK783" s="45"/>
      <c r="CL783" s="45"/>
      <c r="CM783" s="45"/>
      <c r="CN783" s="45"/>
      <c r="CO783" s="42"/>
      <c r="CQ783" s="112" t="s">
        <v>16</v>
      </c>
      <c r="CR783" s="112"/>
      <c r="CS783" s="45"/>
      <c r="CT783" s="45"/>
      <c r="CU783" s="45"/>
      <c r="CV783" s="45"/>
      <c r="CW783" s="45"/>
      <c r="CX783" s="45"/>
      <c r="CY783" s="45"/>
      <c r="CZ783" s="45"/>
      <c r="DA783" s="45"/>
      <c r="DB783" s="42"/>
      <c r="DC783" s="42"/>
      <c r="DD783" s="112" t="s">
        <v>16</v>
      </c>
      <c r="DE783" s="112"/>
      <c r="DF783" s="45"/>
      <c r="DG783" s="45"/>
      <c r="DH783" s="45"/>
      <c r="DI783" s="45"/>
      <c r="DJ783" s="45"/>
      <c r="DK783" s="45"/>
      <c r="DL783" s="45"/>
      <c r="DM783" s="45"/>
      <c r="DN783" s="45"/>
      <c r="DO783" s="42"/>
    </row>
    <row r="784" spans="2:119" ht="28.9" customHeight="1" x14ac:dyDescent="0.45">
      <c r="B784" s="99"/>
      <c r="C784" s="42"/>
      <c r="D784" s="112"/>
      <c r="E784" s="112"/>
      <c r="F784" s="128" t="s">
        <v>12</v>
      </c>
      <c r="G784" s="129"/>
      <c r="H784" s="129"/>
      <c r="I784" s="129"/>
      <c r="J784" s="129"/>
      <c r="K784" s="129"/>
      <c r="L784" s="129"/>
      <c r="M784" s="129"/>
      <c r="N784" s="130"/>
      <c r="O784" s="102"/>
      <c r="P784" s="102"/>
      <c r="Q784" s="112"/>
      <c r="R784" s="112"/>
      <c r="S784" s="128" t="s">
        <v>12</v>
      </c>
      <c r="T784" s="129"/>
      <c r="U784" s="129"/>
      <c r="V784" s="129"/>
      <c r="W784" s="129"/>
      <c r="X784" s="129"/>
      <c r="Y784" s="129"/>
      <c r="Z784" s="129"/>
      <c r="AA784" s="130"/>
      <c r="AB784" s="102"/>
      <c r="AC784" s="102"/>
      <c r="AD784" s="112"/>
      <c r="AE784" s="112"/>
      <c r="AF784" s="128" t="s">
        <v>12</v>
      </c>
      <c r="AG784" s="129"/>
      <c r="AH784" s="129"/>
      <c r="AI784" s="129"/>
      <c r="AJ784" s="129"/>
      <c r="AK784" s="129"/>
      <c r="AL784" s="129"/>
      <c r="AM784" s="129"/>
      <c r="AN784" s="130"/>
      <c r="AO784" s="42"/>
      <c r="AQ784" s="112"/>
      <c r="AR784" s="112"/>
      <c r="AS784" s="128" t="s">
        <v>12</v>
      </c>
      <c r="AT784" s="129"/>
      <c r="AU784" s="129"/>
      <c r="AV784" s="129"/>
      <c r="AW784" s="129"/>
      <c r="AX784" s="129"/>
      <c r="AY784" s="129"/>
      <c r="AZ784" s="129"/>
      <c r="BA784" s="130"/>
      <c r="BB784" s="42"/>
      <c r="BC784" s="42"/>
      <c r="BD784" s="112"/>
      <c r="BE784" s="112"/>
      <c r="BF784" s="128" t="s">
        <v>12</v>
      </c>
      <c r="BG784" s="129"/>
      <c r="BH784" s="129"/>
      <c r="BI784" s="129"/>
      <c r="BJ784" s="129"/>
      <c r="BK784" s="129"/>
      <c r="BL784" s="129"/>
      <c r="BM784" s="129"/>
      <c r="BN784" s="130"/>
      <c r="BO784" s="42"/>
      <c r="BQ784" s="112"/>
      <c r="BR784" s="112"/>
      <c r="BS784" s="128" t="s">
        <v>12</v>
      </c>
      <c r="BT784" s="129"/>
      <c r="BU784" s="129"/>
      <c r="BV784" s="129"/>
      <c r="BW784" s="129"/>
      <c r="BX784" s="129"/>
      <c r="BY784" s="129"/>
      <c r="BZ784" s="129"/>
      <c r="CA784" s="130"/>
      <c r="CB784" s="42"/>
      <c r="CC784" s="42"/>
      <c r="CD784" s="112"/>
      <c r="CE784" s="112"/>
      <c r="CF784" s="128" t="s">
        <v>12</v>
      </c>
      <c r="CG784" s="129"/>
      <c r="CH784" s="129"/>
      <c r="CI784" s="129"/>
      <c r="CJ784" s="129"/>
      <c r="CK784" s="129"/>
      <c r="CL784" s="129"/>
      <c r="CM784" s="129"/>
      <c r="CN784" s="130"/>
      <c r="CO784" s="42"/>
      <c r="CQ784" s="112"/>
      <c r="CR784" s="112"/>
      <c r="CS784" s="128" t="s">
        <v>12</v>
      </c>
      <c r="CT784" s="129"/>
      <c r="CU784" s="129"/>
      <c r="CV784" s="129"/>
      <c r="CW784" s="129"/>
      <c r="CX784" s="129"/>
      <c r="CY784" s="129"/>
      <c r="CZ784" s="129"/>
      <c r="DA784" s="130"/>
      <c r="DB784" s="42"/>
      <c r="DC784" s="42"/>
      <c r="DD784" s="112"/>
      <c r="DE784" s="112"/>
      <c r="DF784" s="128" t="s">
        <v>12</v>
      </c>
      <c r="DG784" s="129"/>
      <c r="DH784" s="129"/>
      <c r="DI784" s="129"/>
      <c r="DJ784" s="129"/>
      <c r="DK784" s="129"/>
      <c r="DL784" s="129"/>
      <c r="DM784" s="129"/>
      <c r="DN784" s="130"/>
      <c r="DO784" s="42"/>
    </row>
    <row r="785" spans="2:119" ht="16.5" customHeight="1" x14ac:dyDescent="0.45">
      <c r="B785" s="99"/>
      <c r="C785" s="42"/>
      <c r="D785" s="113"/>
      <c r="E785" s="113"/>
      <c r="F785" s="98" t="s">
        <v>0</v>
      </c>
      <c r="G785" s="98" t="s">
        <v>111</v>
      </c>
      <c r="H785" s="98" t="s">
        <v>112</v>
      </c>
      <c r="I785" s="98" t="s">
        <v>113</v>
      </c>
      <c r="J785" s="98" t="s">
        <v>114</v>
      </c>
      <c r="K785" s="98" t="s">
        <v>115</v>
      </c>
      <c r="L785" s="98" t="s">
        <v>116</v>
      </c>
      <c r="M785" s="98" t="s">
        <v>117</v>
      </c>
      <c r="N785" s="98" t="s">
        <v>127</v>
      </c>
      <c r="O785" s="102"/>
      <c r="P785" s="102"/>
      <c r="Q785" s="113"/>
      <c r="R785" s="113"/>
      <c r="S785" s="98" t="s">
        <v>0</v>
      </c>
      <c r="T785" s="98" t="s">
        <v>111</v>
      </c>
      <c r="U785" s="98" t="s">
        <v>112</v>
      </c>
      <c r="V785" s="98" t="s">
        <v>113</v>
      </c>
      <c r="W785" s="98" t="s">
        <v>114</v>
      </c>
      <c r="X785" s="98" t="s">
        <v>115</v>
      </c>
      <c r="Y785" s="98" t="s">
        <v>116</v>
      </c>
      <c r="Z785" s="98" t="s">
        <v>117</v>
      </c>
      <c r="AA785" s="98" t="s">
        <v>127</v>
      </c>
      <c r="AB785" s="102"/>
      <c r="AC785" s="102"/>
      <c r="AD785" s="113"/>
      <c r="AE785" s="113"/>
      <c r="AF785" s="98" t="s">
        <v>0</v>
      </c>
      <c r="AG785" s="98" t="s">
        <v>111</v>
      </c>
      <c r="AH785" s="98" t="s">
        <v>112</v>
      </c>
      <c r="AI785" s="98" t="s">
        <v>113</v>
      </c>
      <c r="AJ785" s="98" t="s">
        <v>114</v>
      </c>
      <c r="AK785" s="98" t="s">
        <v>115</v>
      </c>
      <c r="AL785" s="98" t="s">
        <v>116</v>
      </c>
      <c r="AM785" s="98" t="s">
        <v>117</v>
      </c>
      <c r="AN785" s="98" t="s">
        <v>127</v>
      </c>
      <c r="AO785" s="42"/>
      <c r="AQ785" s="113"/>
      <c r="AR785" s="113"/>
      <c r="AS785" s="98" t="s">
        <v>0</v>
      </c>
      <c r="AT785" s="98" t="s">
        <v>111</v>
      </c>
      <c r="AU785" s="98" t="s">
        <v>112</v>
      </c>
      <c r="AV785" s="98" t="s">
        <v>113</v>
      </c>
      <c r="AW785" s="98" t="s">
        <v>114</v>
      </c>
      <c r="AX785" s="98" t="s">
        <v>115</v>
      </c>
      <c r="AY785" s="98" t="s">
        <v>116</v>
      </c>
      <c r="AZ785" s="98" t="s">
        <v>117</v>
      </c>
      <c r="BA785" s="98" t="s">
        <v>127</v>
      </c>
      <c r="BB785" s="42"/>
      <c r="BC785" s="42"/>
      <c r="BD785" s="113"/>
      <c r="BE785" s="113"/>
      <c r="BF785" s="98" t="s">
        <v>0</v>
      </c>
      <c r="BG785" s="98" t="s">
        <v>111</v>
      </c>
      <c r="BH785" s="98" t="s">
        <v>112</v>
      </c>
      <c r="BI785" s="98" t="s">
        <v>113</v>
      </c>
      <c r="BJ785" s="98" t="s">
        <v>114</v>
      </c>
      <c r="BK785" s="98" t="s">
        <v>115</v>
      </c>
      <c r="BL785" s="98" t="s">
        <v>116</v>
      </c>
      <c r="BM785" s="98" t="s">
        <v>117</v>
      </c>
      <c r="BN785" s="98" t="s">
        <v>127</v>
      </c>
      <c r="BO785" s="42"/>
      <c r="BQ785" s="113"/>
      <c r="BR785" s="113"/>
      <c r="BS785" s="98" t="s">
        <v>0</v>
      </c>
      <c r="BT785" s="98" t="s">
        <v>111</v>
      </c>
      <c r="BU785" s="98" t="s">
        <v>112</v>
      </c>
      <c r="BV785" s="98" t="s">
        <v>113</v>
      </c>
      <c r="BW785" s="98" t="s">
        <v>114</v>
      </c>
      <c r="BX785" s="98" t="s">
        <v>115</v>
      </c>
      <c r="BY785" s="98" t="s">
        <v>116</v>
      </c>
      <c r="BZ785" s="98" t="s">
        <v>117</v>
      </c>
      <c r="CA785" s="98" t="s">
        <v>127</v>
      </c>
      <c r="CB785" s="42"/>
      <c r="CC785" s="42"/>
      <c r="CD785" s="113"/>
      <c r="CE785" s="113"/>
      <c r="CF785" s="98" t="s">
        <v>0</v>
      </c>
      <c r="CG785" s="98" t="s">
        <v>111</v>
      </c>
      <c r="CH785" s="98" t="s">
        <v>112</v>
      </c>
      <c r="CI785" s="98" t="s">
        <v>113</v>
      </c>
      <c r="CJ785" s="98" t="s">
        <v>114</v>
      </c>
      <c r="CK785" s="98" t="s">
        <v>115</v>
      </c>
      <c r="CL785" s="98" t="s">
        <v>116</v>
      </c>
      <c r="CM785" s="98" t="s">
        <v>117</v>
      </c>
      <c r="CN785" s="98" t="s">
        <v>127</v>
      </c>
      <c r="CO785" s="42"/>
      <c r="CQ785" s="113"/>
      <c r="CR785" s="113"/>
      <c r="CS785" s="98" t="s">
        <v>0</v>
      </c>
      <c r="CT785" s="98" t="s">
        <v>111</v>
      </c>
      <c r="CU785" s="98" t="s">
        <v>112</v>
      </c>
      <c r="CV785" s="98" t="s">
        <v>113</v>
      </c>
      <c r="CW785" s="98" t="s">
        <v>114</v>
      </c>
      <c r="CX785" s="98" t="s">
        <v>115</v>
      </c>
      <c r="CY785" s="98" t="s">
        <v>116</v>
      </c>
      <c r="CZ785" s="98" t="s">
        <v>117</v>
      </c>
      <c r="DA785" s="98" t="s">
        <v>127</v>
      </c>
      <c r="DB785" s="42"/>
      <c r="DC785" s="42"/>
      <c r="DD785" s="113"/>
      <c r="DE785" s="113"/>
      <c r="DF785" s="98" t="s">
        <v>0</v>
      </c>
      <c r="DG785" s="98" t="s">
        <v>111</v>
      </c>
      <c r="DH785" s="98" t="s">
        <v>112</v>
      </c>
      <c r="DI785" s="98" t="s">
        <v>113</v>
      </c>
      <c r="DJ785" s="98" t="s">
        <v>114</v>
      </c>
      <c r="DK785" s="98" t="s">
        <v>115</v>
      </c>
      <c r="DL785" s="98" t="s">
        <v>116</v>
      </c>
      <c r="DM785" s="98" t="s">
        <v>117</v>
      </c>
      <c r="DN785" s="98" t="s">
        <v>127</v>
      </c>
      <c r="DO785" s="42"/>
    </row>
    <row r="786" spans="2:119" ht="16.5" customHeight="1" x14ac:dyDescent="0.45">
      <c r="B786" s="99"/>
      <c r="C786" s="42"/>
      <c r="D786" s="109" t="s">
        <v>13</v>
      </c>
      <c r="E786" s="46" t="s">
        <v>1</v>
      </c>
      <c r="F786" s="103" t="s">
        <v>128</v>
      </c>
      <c r="G786" s="103" t="s">
        <v>128</v>
      </c>
      <c r="H786" s="103" t="s">
        <v>128</v>
      </c>
      <c r="I786" s="103" t="s">
        <v>128</v>
      </c>
      <c r="J786" s="103" t="s">
        <v>128</v>
      </c>
      <c r="K786" s="103" t="s">
        <v>128</v>
      </c>
      <c r="L786" s="103" t="s">
        <v>128</v>
      </c>
      <c r="M786" s="103" t="s">
        <v>128</v>
      </c>
      <c r="N786" s="103" t="s">
        <v>128</v>
      </c>
      <c r="O786" s="102"/>
      <c r="P786" s="102"/>
      <c r="Q786" s="109" t="s">
        <v>13</v>
      </c>
      <c r="R786" s="46" t="s">
        <v>1</v>
      </c>
      <c r="S786" s="103" t="s">
        <v>128</v>
      </c>
      <c r="T786" s="103" t="s">
        <v>128</v>
      </c>
      <c r="U786" s="103" t="s">
        <v>128</v>
      </c>
      <c r="V786" s="103" t="s">
        <v>128</v>
      </c>
      <c r="W786" s="103" t="s">
        <v>128</v>
      </c>
      <c r="X786" s="103" t="s">
        <v>128</v>
      </c>
      <c r="Y786" s="103" t="s">
        <v>128</v>
      </c>
      <c r="Z786" s="103" t="s">
        <v>128</v>
      </c>
      <c r="AA786" s="103" t="s">
        <v>128</v>
      </c>
      <c r="AB786" s="102"/>
      <c r="AC786" s="102"/>
      <c r="AD786" s="109" t="s">
        <v>13</v>
      </c>
      <c r="AE786" s="46" t="s">
        <v>1</v>
      </c>
      <c r="AF786" s="103" t="s">
        <v>128</v>
      </c>
      <c r="AG786" s="103" t="s">
        <v>128</v>
      </c>
      <c r="AH786" s="103" t="s">
        <v>128</v>
      </c>
      <c r="AI786" s="103" t="s">
        <v>128</v>
      </c>
      <c r="AJ786" s="103" t="s">
        <v>128</v>
      </c>
      <c r="AK786" s="103" t="s">
        <v>128</v>
      </c>
      <c r="AL786" s="103" t="s">
        <v>128</v>
      </c>
      <c r="AM786" s="103" t="s">
        <v>128</v>
      </c>
      <c r="AN786" s="103" t="s">
        <v>128</v>
      </c>
      <c r="AO786" s="42"/>
      <c r="AQ786" s="109" t="s">
        <v>13</v>
      </c>
      <c r="AR786" s="46" t="s">
        <v>1</v>
      </c>
      <c r="AS786" s="103" t="s">
        <v>128</v>
      </c>
      <c r="AT786" s="103" t="s">
        <v>128</v>
      </c>
      <c r="AU786" s="103" t="s">
        <v>128</v>
      </c>
      <c r="AV786" s="103" t="s">
        <v>128</v>
      </c>
      <c r="AW786" s="103" t="s">
        <v>128</v>
      </c>
      <c r="AX786" s="103" t="s">
        <v>128</v>
      </c>
      <c r="AY786" s="103" t="s">
        <v>128</v>
      </c>
      <c r="AZ786" s="103" t="s">
        <v>128</v>
      </c>
      <c r="BA786" s="103" t="s">
        <v>128</v>
      </c>
      <c r="BB786" s="42"/>
      <c r="BC786" s="42"/>
      <c r="BD786" s="109" t="s">
        <v>13</v>
      </c>
      <c r="BE786" s="46" t="s">
        <v>1</v>
      </c>
      <c r="BF786" s="103" t="s">
        <v>128</v>
      </c>
      <c r="BG786" s="103" t="s">
        <v>128</v>
      </c>
      <c r="BH786" s="103" t="s">
        <v>128</v>
      </c>
      <c r="BI786" s="103" t="s">
        <v>128</v>
      </c>
      <c r="BJ786" s="103" t="s">
        <v>128</v>
      </c>
      <c r="BK786" s="103" t="s">
        <v>128</v>
      </c>
      <c r="BL786" s="103" t="s">
        <v>128</v>
      </c>
      <c r="BM786" s="103" t="s">
        <v>128</v>
      </c>
      <c r="BN786" s="103" t="s">
        <v>128</v>
      </c>
      <c r="BO786" s="42"/>
      <c r="BQ786" s="109" t="s">
        <v>13</v>
      </c>
      <c r="BR786" s="46" t="s">
        <v>1</v>
      </c>
      <c r="BS786" s="103" t="s">
        <v>128</v>
      </c>
      <c r="BT786" s="103" t="s">
        <v>128</v>
      </c>
      <c r="BU786" s="103" t="s">
        <v>128</v>
      </c>
      <c r="BV786" s="103" t="s">
        <v>128</v>
      </c>
      <c r="BW786" s="103" t="s">
        <v>128</v>
      </c>
      <c r="BX786" s="103" t="s">
        <v>128</v>
      </c>
      <c r="BY786" s="103" t="s">
        <v>128</v>
      </c>
      <c r="BZ786" s="103" t="s">
        <v>128</v>
      </c>
      <c r="CA786" s="103" t="s">
        <v>128</v>
      </c>
      <c r="CB786" s="42"/>
      <c r="CC786" s="42"/>
      <c r="CD786" s="109" t="s">
        <v>13</v>
      </c>
      <c r="CE786" s="46" t="s">
        <v>1</v>
      </c>
      <c r="CF786" s="103" t="s">
        <v>128</v>
      </c>
      <c r="CG786" s="103" t="s">
        <v>128</v>
      </c>
      <c r="CH786" s="103" t="s">
        <v>128</v>
      </c>
      <c r="CI786" s="103" t="s">
        <v>128</v>
      </c>
      <c r="CJ786" s="103" t="s">
        <v>128</v>
      </c>
      <c r="CK786" s="103" t="s">
        <v>128</v>
      </c>
      <c r="CL786" s="103" t="s">
        <v>128</v>
      </c>
      <c r="CM786" s="103" t="s">
        <v>128</v>
      </c>
      <c r="CN786" s="103" t="s">
        <v>128</v>
      </c>
      <c r="CO786" s="42"/>
      <c r="CQ786" s="109" t="s">
        <v>13</v>
      </c>
      <c r="CR786" s="46" t="s">
        <v>1</v>
      </c>
      <c r="CS786" s="103" t="s">
        <v>128</v>
      </c>
      <c r="CT786" s="103" t="s">
        <v>128</v>
      </c>
      <c r="CU786" s="103" t="s">
        <v>128</v>
      </c>
      <c r="CV786" s="103" t="s">
        <v>128</v>
      </c>
      <c r="CW786" s="103" t="s">
        <v>128</v>
      </c>
      <c r="CX786" s="103" t="s">
        <v>128</v>
      </c>
      <c r="CY786" s="103" t="s">
        <v>128</v>
      </c>
      <c r="CZ786" s="103" t="s">
        <v>128</v>
      </c>
      <c r="DA786" s="103" t="s">
        <v>128</v>
      </c>
      <c r="DB786" s="42"/>
      <c r="DC786" s="42"/>
      <c r="DD786" s="109" t="s">
        <v>13</v>
      </c>
      <c r="DE786" s="46" t="s">
        <v>1</v>
      </c>
      <c r="DF786" s="103" t="s">
        <v>128</v>
      </c>
      <c r="DG786" s="103" t="s">
        <v>128</v>
      </c>
      <c r="DH786" s="103" t="s">
        <v>128</v>
      </c>
      <c r="DI786" s="103" t="s">
        <v>128</v>
      </c>
      <c r="DJ786" s="103" t="s">
        <v>128</v>
      </c>
      <c r="DK786" s="103" t="s">
        <v>128</v>
      </c>
      <c r="DL786" s="103" t="s">
        <v>128</v>
      </c>
      <c r="DM786" s="103" t="s">
        <v>128</v>
      </c>
      <c r="DN786" s="103" t="s">
        <v>128</v>
      </c>
      <c r="DO786" s="42"/>
    </row>
    <row r="787" spans="2:119" ht="16.5" customHeight="1" x14ac:dyDescent="0.45">
      <c r="B787" s="99"/>
      <c r="C787" s="42"/>
      <c r="D787" s="110"/>
      <c r="E787" s="46">
        <v>1</v>
      </c>
      <c r="F787" s="103" t="s">
        <v>128</v>
      </c>
      <c r="G787" s="103" t="s">
        <v>128</v>
      </c>
      <c r="H787" s="103" t="s">
        <v>128</v>
      </c>
      <c r="I787" s="103" t="s">
        <v>128</v>
      </c>
      <c r="J787" s="103" t="s">
        <v>128</v>
      </c>
      <c r="K787" s="103" t="s">
        <v>128</v>
      </c>
      <c r="L787" s="103" t="s">
        <v>128</v>
      </c>
      <c r="M787" s="103" t="s">
        <v>128</v>
      </c>
      <c r="N787" s="103" t="s">
        <v>128</v>
      </c>
      <c r="O787" s="102"/>
      <c r="P787" s="102"/>
      <c r="Q787" s="110"/>
      <c r="R787" s="46">
        <v>1</v>
      </c>
      <c r="S787" s="103" t="s">
        <v>128</v>
      </c>
      <c r="T787" s="103" t="s">
        <v>128</v>
      </c>
      <c r="U787" s="103" t="s">
        <v>128</v>
      </c>
      <c r="V787" s="103" t="s">
        <v>128</v>
      </c>
      <c r="W787" s="103" t="s">
        <v>128</v>
      </c>
      <c r="X787" s="103" t="s">
        <v>128</v>
      </c>
      <c r="Y787" s="103" t="s">
        <v>128</v>
      </c>
      <c r="Z787" s="103" t="s">
        <v>128</v>
      </c>
      <c r="AA787" s="103" t="s">
        <v>128</v>
      </c>
      <c r="AB787" s="102"/>
      <c r="AC787" s="102"/>
      <c r="AD787" s="110"/>
      <c r="AE787" s="46">
        <v>1</v>
      </c>
      <c r="AF787" s="103" t="s">
        <v>128</v>
      </c>
      <c r="AG787" s="103" t="s">
        <v>128</v>
      </c>
      <c r="AH787" s="103" t="s">
        <v>128</v>
      </c>
      <c r="AI787" s="103" t="s">
        <v>128</v>
      </c>
      <c r="AJ787" s="103" t="s">
        <v>128</v>
      </c>
      <c r="AK787" s="103" t="s">
        <v>128</v>
      </c>
      <c r="AL787" s="103" t="s">
        <v>128</v>
      </c>
      <c r="AM787" s="103" t="s">
        <v>128</v>
      </c>
      <c r="AN787" s="103" t="s">
        <v>128</v>
      </c>
      <c r="AO787" s="42"/>
      <c r="AQ787" s="110"/>
      <c r="AR787" s="46">
        <v>1</v>
      </c>
      <c r="AS787" s="103" t="s">
        <v>128</v>
      </c>
      <c r="AT787" s="103" t="s">
        <v>128</v>
      </c>
      <c r="AU787" s="103" t="s">
        <v>128</v>
      </c>
      <c r="AV787" s="103" t="s">
        <v>128</v>
      </c>
      <c r="AW787" s="103" t="s">
        <v>128</v>
      </c>
      <c r="AX787" s="103" t="s">
        <v>128</v>
      </c>
      <c r="AY787" s="103" t="s">
        <v>128</v>
      </c>
      <c r="AZ787" s="103" t="s">
        <v>128</v>
      </c>
      <c r="BA787" s="103" t="s">
        <v>128</v>
      </c>
      <c r="BB787" s="42"/>
      <c r="BC787" s="42"/>
      <c r="BD787" s="110"/>
      <c r="BE787" s="46">
        <v>1</v>
      </c>
      <c r="BF787" s="103" t="s">
        <v>128</v>
      </c>
      <c r="BG787" s="103" t="s">
        <v>128</v>
      </c>
      <c r="BH787" s="103" t="s">
        <v>128</v>
      </c>
      <c r="BI787" s="103" t="s">
        <v>128</v>
      </c>
      <c r="BJ787" s="103" t="s">
        <v>128</v>
      </c>
      <c r="BK787" s="103" t="s">
        <v>128</v>
      </c>
      <c r="BL787" s="103" t="s">
        <v>128</v>
      </c>
      <c r="BM787" s="103" t="s">
        <v>128</v>
      </c>
      <c r="BN787" s="103" t="s">
        <v>128</v>
      </c>
      <c r="BO787" s="42"/>
      <c r="BQ787" s="110"/>
      <c r="BR787" s="46">
        <v>1</v>
      </c>
      <c r="BS787" s="103" t="s">
        <v>128</v>
      </c>
      <c r="BT787" s="103" t="s">
        <v>128</v>
      </c>
      <c r="BU787" s="103" t="s">
        <v>128</v>
      </c>
      <c r="BV787" s="103" t="s">
        <v>128</v>
      </c>
      <c r="BW787" s="103" t="s">
        <v>128</v>
      </c>
      <c r="BX787" s="103" t="s">
        <v>128</v>
      </c>
      <c r="BY787" s="103" t="s">
        <v>128</v>
      </c>
      <c r="BZ787" s="103" t="s">
        <v>128</v>
      </c>
      <c r="CA787" s="103" t="s">
        <v>128</v>
      </c>
      <c r="CB787" s="42"/>
      <c r="CC787" s="42"/>
      <c r="CD787" s="110"/>
      <c r="CE787" s="46">
        <v>1</v>
      </c>
      <c r="CF787" s="103" t="s">
        <v>128</v>
      </c>
      <c r="CG787" s="103" t="s">
        <v>128</v>
      </c>
      <c r="CH787" s="103" t="s">
        <v>128</v>
      </c>
      <c r="CI787" s="103" t="s">
        <v>128</v>
      </c>
      <c r="CJ787" s="103" t="s">
        <v>128</v>
      </c>
      <c r="CK787" s="103" t="s">
        <v>128</v>
      </c>
      <c r="CL787" s="103" t="s">
        <v>128</v>
      </c>
      <c r="CM787" s="103" t="s">
        <v>128</v>
      </c>
      <c r="CN787" s="103" t="s">
        <v>128</v>
      </c>
      <c r="CO787" s="42"/>
      <c r="CQ787" s="110"/>
      <c r="CR787" s="46">
        <v>1</v>
      </c>
      <c r="CS787" s="103" t="s">
        <v>128</v>
      </c>
      <c r="CT787" s="103" t="s">
        <v>128</v>
      </c>
      <c r="CU787" s="103" t="s">
        <v>128</v>
      </c>
      <c r="CV787" s="103" t="s">
        <v>128</v>
      </c>
      <c r="CW787" s="103" t="s">
        <v>128</v>
      </c>
      <c r="CX787" s="103" t="s">
        <v>128</v>
      </c>
      <c r="CY787" s="103" t="s">
        <v>128</v>
      </c>
      <c r="CZ787" s="103" t="s">
        <v>128</v>
      </c>
      <c r="DA787" s="103" t="s">
        <v>128</v>
      </c>
      <c r="DB787" s="42"/>
      <c r="DC787" s="42"/>
      <c r="DD787" s="110"/>
      <c r="DE787" s="46">
        <v>1</v>
      </c>
      <c r="DF787" s="103" t="s">
        <v>128</v>
      </c>
      <c r="DG787" s="103" t="s">
        <v>128</v>
      </c>
      <c r="DH787" s="103" t="s">
        <v>128</v>
      </c>
      <c r="DI787" s="103" t="s">
        <v>128</v>
      </c>
      <c r="DJ787" s="103" t="s">
        <v>128</v>
      </c>
      <c r="DK787" s="103" t="s">
        <v>128</v>
      </c>
      <c r="DL787" s="103" t="s">
        <v>128</v>
      </c>
      <c r="DM787" s="103" t="s">
        <v>128</v>
      </c>
      <c r="DN787" s="103" t="s">
        <v>128</v>
      </c>
      <c r="DO787" s="42"/>
    </row>
    <row r="788" spans="2:119" ht="16.5" customHeight="1" x14ac:dyDescent="0.45">
      <c r="B788" s="99"/>
      <c r="C788" s="42"/>
      <c r="D788" s="110"/>
      <c r="E788" s="46" t="s">
        <v>2</v>
      </c>
      <c r="F788" s="103" t="s">
        <v>128</v>
      </c>
      <c r="G788" s="103" t="s">
        <v>128</v>
      </c>
      <c r="H788" s="103" t="s">
        <v>128</v>
      </c>
      <c r="I788" s="103" t="s">
        <v>128</v>
      </c>
      <c r="J788" s="103" t="s">
        <v>128</v>
      </c>
      <c r="K788" s="103" t="s">
        <v>128</v>
      </c>
      <c r="L788" s="103" t="s">
        <v>128</v>
      </c>
      <c r="M788" s="103" t="s">
        <v>128</v>
      </c>
      <c r="N788" s="103" t="s">
        <v>128</v>
      </c>
      <c r="O788" s="102"/>
      <c r="P788" s="102"/>
      <c r="Q788" s="110"/>
      <c r="R788" s="46" t="s">
        <v>2</v>
      </c>
      <c r="S788" s="103" t="s">
        <v>128</v>
      </c>
      <c r="T788" s="103" t="s">
        <v>128</v>
      </c>
      <c r="U788" s="103" t="s">
        <v>128</v>
      </c>
      <c r="V788" s="103" t="s">
        <v>128</v>
      </c>
      <c r="W788" s="103" t="s">
        <v>128</v>
      </c>
      <c r="X788" s="103" t="s">
        <v>128</v>
      </c>
      <c r="Y788" s="103" t="s">
        <v>128</v>
      </c>
      <c r="Z788" s="103" t="s">
        <v>128</v>
      </c>
      <c r="AA788" s="103" t="s">
        <v>128</v>
      </c>
      <c r="AB788" s="102"/>
      <c r="AC788" s="102"/>
      <c r="AD788" s="110"/>
      <c r="AE788" s="46" t="s">
        <v>2</v>
      </c>
      <c r="AF788" s="103" t="s">
        <v>128</v>
      </c>
      <c r="AG788" s="103" t="s">
        <v>128</v>
      </c>
      <c r="AH788" s="103" t="s">
        <v>128</v>
      </c>
      <c r="AI788" s="103" t="s">
        <v>128</v>
      </c>
      <c r="AJ788" s="103" t="s">
        <v>128</v>
      </c>
      <c r="AK788" s="103" t="s">
        <v>128</v>
      </c>
      <c r="AL788" s="103" t="s">
        <v>128</v>
      </c>
      <c r="AM788" s="103" t="s">
        <v>128</v>
      </c>
      <c r="AN788" s="103" t="s">
        <v>128</v>
      </c>
      <c r="AO788" s="42"/>
      <c r="AQ788" s="110"/>
      <c r="AR788" s="46" t="s">
        <v>2</v>
      </c>
      <c r="AS788" s="103" t="s">
        <v>128</v>
      </c>
      <c r="AT788" s="103" t="s">
        <v>128</v>
      </c>
      <c r="AU788" s="103" t="s">
        <v>128</v>
      </c>
      <c r="AV788" s="103" t="s">
        <v>128</v>
      </c>
      <c r="AW788" s="103" t="s">
        <v>128</v>
      </c>
      <c r="AX788" s="103" t="s">
        <v>128</v>
      </c>
      <c r="AY788" s="103" t="s">
        <v>128</v>
      </c>
      <c r="AZ788" s="103" t="s">
        <v>128</v>
      </c>
      <c r="BA788" s="103" t="s">
        <v>128</v>
      </c>
      <c r="BB788" s="42"/>
      <c r="BC788" s="42"/>
      <c r="BD788" s="110"/>
      <c r="BE788" s="46" t="s">
        <v>2</v>
      </c>
      <c r="BF788" s="103" t="s">
        <v>128</v>
      </c>
      <c r="BG788" s="103" t="s">
        <v>128</v>
      </c>
      <c r="BH788" s="103" t="s">
        <v>128</v>
      </c>
      <c r="BI788" s="103" t="s">
        <v>128</v>
      </c>
      <c r="BJ788" s="103" t="s">
        <v>128</v>
      </c>
      <c r="BK788" s="103" t="s">
        <v>128</v>
      </c>
      <c r="BL788" s="103" t="s">
        <v>128</v>
      </c>
      <c r="BM788" s="103" t="s">
        <v>128</v>
      </c>
      <c r="BN788" s="103" t="s">
        <v>128</v>
      </c>
      <c r="BO788" s="42"/>
      <c r="BQ788" s="110"/>
      <c r="BR788" s="46" t="s">
        <v>2</v>
      </c>
      <c r="BS788" s="103" t="s">
        <v>128</v>
      </c>
      <c r="BT788" s="103" t="s">
        <v>128</v>
      </c>
      <c r="BU788" s="103" t="s">
        <v>128</v>
      </c>
      <c r="BV788" s="103" t="s">
        <v>128</v>
      </c>
      <c r="BW788" s="103" t="s">
        <v>128</v>
      </c>
      <c r="BX788" s="103" t="s">
        <v>128</v>
      </c>
      <c r="BY788" s="103" t="s">
        <v>128</v>
      </c>
      <c r="BZ788" s="103" t="s">
        <v>128</v>
      </c>
      <c r="CA788" s="103" t="s">
        <v>128</v>
      </c>
      <c r="CB788" s="42"/>
      <c r="CC788" s="42"/>
      <c r="CD788" s="110"/>
      <c r="CE788" s="46" t="s">
        <v>2</v>
      </c>
      <c r="CF788" s="103" t="s">
        <v>128</v>
      </c>
      <c r="CG788" s="103" t="s">
        <v>128</v>
      </c>
      <c r="CH788" s="103" t="s">
        <v>128</v>
      </c>
      <c r="CI788" s="103" t="s">
        <v>128</v>
      </c>
      <c r="CJ788" s="103" t="s">
        <v>128</v>
      </c>
      <c r="CK788" s="103" t="s">
        <v>128</v>
      </c>
      <c r="CL788" s="103" t="s">
        <v>128</v>
      </c>
      <c r="CM788" s="103" t="s">
        <v>128</v>
      </c>
      <c r="CN788" s="103" t="s">
        <v>128</v>
      </c>
      <c r="CO788" s="42"/>
      <c r="CQ788" s="110"/>
      <c r="CR788" s="46" t="s">
        <v>2</v>
      </c>
      <c r="CS788" s="103" t="s">
        <v>128</v>
      </c>
      <c r="CT788" s="103" t="s">
        <v>128</v>
      </c>
      <c r="CU788" s="103" t="s">
        <v>128</v>
      </c>
      <c r="CV788" s="103" t="s">
        <v>128</v>
      </c>
      <c r="CW788" s="103" t="s">
        <v>128</v>
      </c>
      <c r="CX788" s="103" t="s">
        <v>128</v>
      </c>
      <c r="CY788" s="103" t="s">
        <v>128</v>
      </c>
      <c r="CZ788" s="103" t="s">
        <v>128</v>
      </c>
      <c r="DA788" s="103" t="s">
        <v>128</v>
      </c>
      <c r="DB788" s="42"/>
      <c r="DC788" s="42"/>
      <c r="DD788" s="110"/>
      <c r="DE788" s="46" t="s">
        <v>2</v>
      </c>
      <c r="DF788" s="103" t="s">
        <v>128</v>
      </c>
      <c r="DG788" s="103" t="s">
        <v>128</v>
      </c>
      <c r="DH788" s="103" t="s">
        <v>128</v>
      </c>
      <c r="DI788" s="103" t="s">
        <v>128</v>
      </c>
      <c r="DJ788" s="103" t="s">
        <v>128</v>
      </c>
      <c r="DK788" s="103" t="s">
        <v>128</v>
      </c>
      <c r="DL788" s="103" t="s">
        <v>128</v>
      </c>
      <c r="DM788" s="103" t="s">
        <v>128</v>
      </c>
      <c r="DN788" s="103" t="s">
        <v>128</v>
      </c>
      <c r="DO788" s="42"/>
    </row>
    <row r="789" spans="2:119" ht="16.5" customHeight="1" x14ac:dyDescent="0.45">
      <c r="B789" s="99"/>
      <c r="C789" s="42"/>
      <c r="D789" s="110"/>
      <c r="E789" s="46" t="s">
        <v>3</v>
      </c>
      <c r="F789" s="103">
        <v>50</v>
      </c>
      <c r="G789" s="103">
        <v>0</v>
      </c>
      <c r="H789" s="103">
        <v>50</v>
      </c>
      <c r="I789" s="103">
        <v>0</v>
      </c>
      <c r="J789" s="103">
        <v>0</v>
      </c>
      <c r="K789" s="103">
        <v>0</v>
      </c>
      <c r="L789" s="103">
        <v>0</v>
      </c>
      <c r="M789" s="103">
        <v>0</v>
      </c>
      <c r="N789" s="103">
        <v>0</v>
      </c>
      <c r="O789" s="102"/>
      <c r="P789" s="102"/>
      <c r="Q789" s="110"/>
      <c r="R789" s="46" t="s">
        <v>3</v>
      </c>
      <c r="S789" s="103">
        <v>50</v>
      </c>
      <c r="T789" s="103">
        <v>0</v>
      </c>
      <c r="U789" s="103">
        <v>50</v>
      </c>
      <c r="V789" s="103">
        <v>0</v>
      </c>
      <c r="W789" s="103">
        <v>0</v>
      </c>
      <c r="X789" s="103">
        <v>0</v>
      </c>
      <c r="Y789" s="103">
        <v>0</v>
      </c>
      <c r="Z789" s="103">
        <v>0</v>
      </c>
      <c r="AA789" s="103">
        <v>0</v>
      </c>
      <c r="AB789" s="102"/>
      <c r="AC789" s="102"/>
      <c r="AD789" s="110"/>
      <c r="AE789" s="46" t="s">
        <v>3</v>
      </c>
      <c r="AF789" s="103" t="s">
        <v>128</v>
      </c>
      <c r="AG789" s="103" t="s">
        <v>128</v>
      </c>
      <c r="AH789" s="103" t="s">
        <v>128</v>
      </c>
      <c r="AI789" s="103" t="s">
        <v>128</v>
      </c>
      <c r="AJ789" s="103" t="s">
        <v>128</v>
      </c>
      <c r="AK789" s="103" t="s">
        <v>128</v>
      </c>
      <c r="AL789" s="103" t="s">
        <v>128</v>
      </c>
      <c r="AM789" s="103" t="s">
        <v>128</v>
      </c>
      <c r="AN789" s="103" t="s">
        <v>128</v>
      </c>
      <c r="AO789" s="42"/>
      <c r="AQ789" s="110"/>
      <c r="AR789" s="46" t="s">
        <v>3</v>
      </c>
      <c r="AS789" s="103" t="s">
        <v>128</v>
      </c>
      <c r="AT789" s="103" t="s">
        <v>128</v>
      </c>
      <c r="AU789" s="103" t="s">
        <v>128</v>
      </c>
      <c r="AV789" s="103" t="s">
        <v>128</v>
      </c>
      <c r="AW789" s="103" t="s">
        <v>128</v>
      </c>
      <c r="AX789" s="103" t="s">
        <v>128</v>
      </c>
      <c r="AY789" s="103" t="s">
        <v>128</v>
      </c>
      <c r="AZ789" s="103" t="s">
        <v>128</v>
      </c>
      <c r="BA789" s="103" t="s">
        <v>128</v>
      </c>
      <c r="BB789" s="42"/>
      <c r="BC789" s="42"/>
      <c r="BD789" s="110"/>
      <c r="BE789" s="46" t="s">
        <v>3</v>
      </c>
      <c r="BF789" s="103">
        <v>50</v>
      </c>
      <c r="BG789" s="103">
        <v>0</v>
      </c>
      <c r="BH789" s="103">
        <v>50</v>
      </c>
      <c r="BI789" s="103">
        <v>0</v>
      </c>
      <c r="BJ789" s="103">
        <v>0</v>
      </c>
      <c r="BK789" s="103">
        <v>0</v>
      </c>
      <c r="BL789" s="103">
        <v>0</v>
      </c>
      <c r="BM789" s="103">
        <v>0</v>
      </c>
      <c r="BN789" s="103">
        <v>0</v>
      </c>
      <c r="BO789" s="42"/>
      <c r="BQ789" s="110"/>
      <c r="BR789" s="46" t="s">
        <v>3</v>
      </c>
      <c r="BS789" s="103">
        <v>100</v>
      </c>
      <c r="BT789" s="103">
        <v>0</v>
      </c>
      <c r="BU789" s="103">
        <v>0</v>
      </c>
      <c r="BV789" s="103">
        <v>0</v>
      </c>
      <c r="BW789" s="103">
        <v>0</v>
      </c>
      <c r="BX789" s="103">
        <v>0</v>
      </c>
      <c r="BY789" s="103">
        <v>0</v>
      </c>
      <c r="BZ789" s="103">
        <v>0</v>
      </c>
      <c r="CA789" s="103">
        <v>0</v>
      </c>
      <c r="CB789" s="42"/>
      <c r="CC789" s="42"/>
      <c r="CD789" s="110"/>
      <c r="CE789" s="46" t="s">
        <v>3</v>
      </c>
      <c r="CF789" s="103">
        <v>0</v>
      </c>
      <c r="CG789" s="103">
        <v>0</v>
      </c>
      <c r="CH789" s="103">
        <v>100</v>
      </c>
      <c r="CI789" s="103">
        <v>0</v>
      </c>
      <c r="CJ789" s="103">
        <v>0</v>
      </c>
      <c r="CK789" s="103">
        <v>0</v>
      </c>
      <c r="CL789" s="103">
        <v>0</v>
      </c>
      <c r="CM789" s="103">
        <v>0</v>
      </c>
      <c r="CN789" s="103">
        <v>0</v>
      </c>
      <c r="CO789" s="42"/>
      <c r="CQ789" s="110"/>
      <c r="CR789" s="46" t="s">
        <v>3</v>
      </c>
      <c r="CS789" s="103" t="s">
        <v>128</v>
      </c>
      <c r="CT789" s="103" t="s">
        <v>128</v>
      </c>
      <c r="CU789" s="103" t="s">
        <v>128</v>
      </c>
      <c r="CV789" s="103" t="s">
        <v>128</v>
      </c>
      <c r="CW789" s="103" t="s">
        <v>128</v>
      </c>
      <c r="CX789" s="103" t="s">
        <v>128</v>
      </c>
      <c r="CY789" s="103" t="s">
        <v>128</v>
      </c>
      <c r="CZ789" s="103" t="s">
        <v>128</v>
      </c>
      <c r="DA789" s="103" t="s">
        <v>128</v>
      </c>
      <c r="DB789" s="42"/>
      <c r="DC789" s="42"/>
      <c r="DD789" s="110"/>
      <c r="DE789" s="46" t="s">
        <v>3</v>
      </c>
      <c r="DF789" s="103">
        <v>50</v>
      </c>
      <c r="DG789" s="103">
        <v>0</v>
      </c>
      <c r="DH789" s="103">
        <v>50</v>
      </c>
      <c r="DI789" s="103">
        <v>0</v>
      </c>
      <c r="DJ789" s="103">
        <v>0</v>
      </c>
      <c r="DK789" s="103">
        <v>0</v>
      </c>
      <c r="DL789" s="103">
        <v>0</v>
      </c>
      <c r="DM789" s="103">
        <v>0</v>
      </c>
      <c r="DN789" s="103">
        <v>0</v>
      </c>
      <c r="DO789" s="42"/>
    </row>
    <row r="790" spans="2:119" ht="16.5" customHeight="1" x14ac:dyDescent="0.45">
      <c r="B790" s="99"/>
      <c r="C790" s="42"/>
      <c r="D790" s="110"/>
      <c r="E790" s="46" t="s">
        <v>4</v>
      </c>
      <c r="F790" s="103">
        <v>0</v>
      </c>
      <c r="G790" s="103">
        <v>0</v>
      </c>
      <c r="H790" s="103">
        <v>0</v>
      </c>
      <c r="I790" s="103">
        <v>100</v>
      </c>
      <c r="J790" s="103">
        <v>0</v>
      </c>
      <c r="K790" s="103">
        <v>0</v>
      </c>
      <c r="L790" s="103">
        <v>0</v>
      </c>
      <c r="M790" s="103">
        <v>0</v>
      </c>
      <c r="N790" s="103">
        <v>0</v>
      </c>
      <c r="O790" s="102"/>
      <c r="P790" s="102"/>
      <c r="Q790" s="110"/>
      <c r="R790" s="46" t="s">
        <v>4</v>
      </c>
      <c r="S790" s="103">
        <v>0</v>
      </c>
      <c r="T790" s="103">
        <v>0</v>
      </c>
      <c r="U790" s="103">
        <v>0</v>
      </c>
      <c r="V790" s="103">
        <v>100</v>
      </c>
      <c r="W790" s="103">
        <v>0</v>
      </c>
      <c r="X790" s="103">
        <v>0</v>
      </c>
      <c r="Y790" s="103">
        <v>0</v>
      </c>
      <c r="Z790" s="103">
        <v>0</v>
      </c>
      <c r="AA790" s="103">
        <v>0</v>
      </c>
      <c r="AB790" s="102"/>
      <c r="AC790" s="102"/>
      <c r="AD790" s="110"/>
      <c r="AE790" s="46" t="s">
        <v>4</v>
      </c>
      <c r="AF790" s="103" t="s">
        <v>128</v>
      </c>
      <c r="AG790" s="103" t="s">
        <v>128</v>
      </c>
      <c r="AH790" s="103" t="s">
        <v>128</v>
      </c>
      <c r="AI790" s="103" t="s">
        <v>128</v>
      </c>
      <c r="AJ790" s="103" t="s">
        <v>128</v>
      </c>
      <c r="AK790" s="103" t="s">
        <v>128</v>
      </c>
      <c r="AL790" s="103" t="s">
        <v>128</v>
      </c>
      <c r="AM790" s="103" t="s">
        <v>128</v>
      </c>
      <c r="AN790" s="103" t="s">
        <v>128</v>
      </c>
      <c r="AO790" s="42"/>
      <c r="AQ790" s="110"/>
      <c r="AR790" s="46" t="s">
        <v>4</v>
      </c>
      <c r="AS790" s="103" t="s">
        <v>128</v>
      </c>
      <c r="AT790" s="103" t="s">
        <v>128</v>
      </c>
      <c r="AU790" s="103" t="s">
        <v>128</v>
      </c>
      <c r="AV790" s="103" t="s">
        <v>128</v>
      </c>
      <c r="AW790" s="103" t="s">
        <v>128</v>
      </c>
      <c r="AX790" s="103" t="s">
        <v>128</v>
      </c>
      <c r="AY790" s="103" t="s">
        <v>128</v>
      </c>
      <c r="AZ790" s="103" t="s">
        <v>128</v>
      </c>
      <c r="BA790" s="103" t="s">
        <v>128</v>
      </c>
      <c r="BB790" s="42"/>
      <c r="BC790" s="42"/>
      <c r="BD790" s="110"/>
      <c r="BE790" s="46" t="s">
        <v>4</v>
      </c>
      <c r="BF790" s="103">
        <v>0</v>
      </c>
      <c r="BG790" s="103">
        <v>0</v>
      </c>
      <c r="BH790" s="103">
        <v>0</v>
      </c>
      <c r="BI790" s="103">
        <v>100</v>
      </c>
      <c r="BJ790" s="103">
        <v>0</v>
      </c>
      <c r="BK790" s="103">
        <v>0</v>
      </c>
      <c r="BL790" s="103">
        <v>0</v>
      </c>
      <c r="BM790" s="103">
        <v>0</v>
      </c>
      <c r="BN790" s="103">
        <v>0</v>
      </c>
      <c r="BO790" s="42"/>
      <c r="BQ790" s="110"/>
      <c r="BR790" s="46" t="s">
        <v>4</v>
      </c>
      <c r="BS790" s="103" t="s">
        <v>128</v>
      </c>
      <c r="BT790" s="103" t="s">
        <v>128</v>
      </c>
      <c r="BU790" s="103" t="s">
        <v>128</v>
      </c>
      <c r="BV790" s="103" t="s">
        <v>128</v>
      </c>
      <c r="BW790" s="103" t="s">
        <v>128</v>
      </c>
      <c r="BX790" s="103" t="s">
        <v>128</v>
      </c>
      <c r="BY790" s="103" t="s">
        <v>128</v>
      </c>
      <c r="BZ790" s="103" t="s">
        <v>128</v>
      </c>
      <c r="CA790" s="103" t="s">
        <v>128</v>
      </c>
      <c r="CB790" s="42"/>
      <c r="CC790" s="42"/>
      <c r="CD790" s="110"/>
      <c r="CE790" s="46" t="s">
        <v>4</v>
      </c>
      <c r="CF790" s="103">
        <v>0</v>
      </c>
      <c r="CG790" s="103">
        <v>0</v>
      </c>
      <c r="CH790" s="103">
        <v>0</v>
      </c>
      <c r="CI790" s="103">
        <v>100</v>
      </c>
      <c r="CJ790" s="103">
        <v>0</v>
      </c>
      <c r="CK790" s="103">
        <v>0</v>
      </c>
      <c r="CL790" s="103">
        <v>0</v>
      </c>
      <c r="CM790" s="103">
        <v>0</v>
      </c>
      <c r="CN790" s="103">
        <v>0</v>
      </c>
      <c r="CO790" s="42"/>
      <c r="CQ790" s="110"/>
      <c r="CR790" s="46" t="s">
        <v>4</v>
      </c>
      <c r="CS790" s="103">
        <v>0</v>
      </c>
      <c r="CT790" s="103">
        <v>0</v>
      </c>
      <c r="CU790" s="103">
        <v>0</v>
      </c>
      <c r="CV790" s="103">
        <v>100</v>
      </c>
      <c r="CW790" s="103">
        <v>0</v>
      </c>
      <c r="CX790" s="103">
        <v>0</v>
      </c>
      <c r="CY790" s="103">
        <v>0</v>
      </c>
      <c r="CZ790" s="103">
        <v>0</v>
      </c>
      <c r="DA790" s="103">
        <v>0</v>
      </c>
      <c r="DB790" s="42"/>
      <c r="DC790" s="42"/>
      <c r="DD790" s="110"/>
      <c r="DE790" s="46" t="s">
        <v>4</v>
      </c>
      <c r="DF790" s="103" t="s">
        <v>128</v>
      </c>
      <c r="DG790" s="103" t="s">
        <v>128</v>
      </c>
      <c r="DH790" s="103" t="s">
        <v>128</v>
      </c>
      <c r="DI790" s="103" t="s">
        <v>128</v>
      </c>
      <c r="DJ790" s="103" t="s">
        <v>128</v>
      </c>
      <c r="DK790" s="103" t="s">
        <v>128</v>
      </c>
      <c r="DL790" s="103" t="s">
        <v>128</v>
      </c>
      <c r="DM790" s="103" t="s">
        <v>128</v>
      </c>
      <c r="DN790" s="103" t="s">
        <v>128</v>
      </c>
      <c r="DO790" s="42"/>
    </row>
    <row r="791" spans="2:119" ht="16.5" customHeight="1" x14ac:dyDescent="0.45">
      <c r="B791" s="99"/>
      <c r="C791" s="42"/>
      <c r="D791" s="110"/>
      <c r="E791" s="46" t="s">
        <v>5</v>
      </c>
      <c r="F791" s="103">
        <v>25</v>
      </c>
      <c r="G791" s="103">
        <v>25</v>
      </c>
      <c r="H791" s="103">
        <v>0</v>
      </c>
      <c r="I791" s="103">
        <v>0</v>
      </c>
      <c r="J791" s="103">
        <v>0</v>
      </c>
      <c r="K791" s="103">
        <v>25</v>
      </c>
      <c r="L791" s="103">
        <v>25</v>
      </c>
      <c r="M791" s="103">
        <v>0</v>
      </c>
      <c r="N791" s="103">
        <v>0</v>
      </c>
      <c r="O791" s="102"/>
      <c r="P791" s="102"/>
      <c r="Q791" s="110"/>
      <c r="R791" s="46" t="s">
        <v>5</v>
      </c>
      <c r="S791" s="103">
        <v>25</v>
      </c>
      <c r="T791" s="103">
        <v>25</v>
      </c>
      <c r="U791" s="103">
        <v>0</v>
      </c>
      <c r="V791" s="103">
        <v>0</v>
      </c>
      <c r="W791" s="103">
        <v>0</v>
      </c>
      <c r="X791" s="103">
        <v>25</v>
      </c>
      <c r="Y791" s="103">
        <v>25</v>
      </c>
      <c r="Z791" s="103">
        <v>0</v>
      </c>
      <c r="AA791" s="103">
        <v>0</v>
      </c>
      <c r="AB791" s="102"/>
      <c r="AC791" s="102"/>
      <c r="AD791" s="110"/>
      <c r="AE791" s="46" t="s">
        <v>5</v>
      </c>
      <c r="AF791" s="103" t="s">
        <v>128</v>
      </c>
      <c r="AG791" s="103" t="s">
        <v>128</v>
      </c>
      <c r="AH791" s="103" t="s">
        <v>128</v>
      </c>
      <c r="AI791" s="103" t="s">
        <v>128</v>
      </c>
      <c r="AJ791" s="103" t="s">
        <v>128</v>
      </c>
      <c r="AK791" s="103" t="s">
        <v>128</v>
      </c>
      <c r="AL791" s="103" t="s">
        <v>128</v>
      </c>
      <c r="AM791" s="103" t="s">
        <v>128</v>
      </c>
      <c r="AN791" s="103" t="s">
        <v>128</v>
      </c>
      <c r="AO791" s="42"/>
      <c r="AQ791" s="110"/>
      <c r="AR791" s="46" t="s">
        <v>5</v>
      </c>
      <c r="AS791" s="103" t="s">
        <v>128</v>
      </c>
      <c r="AT791" s="103" t="s">
        <v>128</v>
      </c>
      <c r="AU791" s="103" t="s">
        <v>128</v>
      </c>
      <c r="AV791" s="103" t="s">
        <v>128</v>
      </c>
      <c r="AW791" s="103" t="s">
        <v>128</v>
      </c>
      <c r="AX791" s="103" t="s">
        <v>128</v>
      </c>
      <c r="AY791" s="103" t="s">
        <v>128</v>
      </c>
      <c r="AZ791" s="103" t="s">
        <v>128</v>
      </c>
      <c r="BA791" s="103" t="s">
        <v>128</v>
      </c>
      <c r="BB791" s="42"/>
      <c r="BC791" s="42"/>
      <c r="BD791" s="110"/>
      <c r="BE791" s="46" t="s">
        <v>5</v>
      </c>
      <c r="BF791" s="103">
        <v>25</v>
      </c>
      <c r="BG791" s="103">
        <v>25</v>
      </c>
      <c r="BH791" s="103">
        <v>0</v>
      </c>
      <c r="BI791" s="103">
        <v>0</v>
      </c>
      <c r="BJ791" s="103">
        <v>0</v>
      </c>
      <c r="BK791" s="103">
        <v>25</v>
      </c>
      <c r="BL791" s="103">
        <v>25</v>
      </c>
      <c r="BM791" s="103">
        <v>0</v>
      </c>
      <c r="BN791" s="103">
        <v>0</v>
      </c>
      <c r="BO791" s="42"/>
      <c r="BQ791" s="110"/>
      <c r="BR791" s="46" t="s">
        <v>5</v>
      </c>
      <c r="BS791" s="103">
        <v>0</v>
      </c>
      <c r="BT791" s="103">
        <v>100</v>
      </c>
      <c r="BU791" s="103">
        <v>0</v>
      </c>
      <c r="BV791" s="103">
        <v>0</v>
      </c>
      <c r="BW791" s="103">
        <v>0</v>
      </c>
      <c r="BX791" s="103">
        <v>0</v>
      </c>
      <c r="BY791" s="103">
        <v>0</v>
      </c>
      <c r="BZ791" s="103">
        <v>0</v>
      </c>
      <c r="CA791" s="103">
        <v>0</v>
      </c>
      <c r="CB791" s="42"/>
      <c r="CC791" s="42"/>
      <c r="CD791" s="110"/>
      <c r="CE791" s="46" t="s">
        <v>5</v>
      </c>
      <c r="CF791" s="103">
        <v>33.333333333333329</v>
      </c>
      <c r="CG791" s="103">
        <v>0</v>
      </c>
      <c r="CH791" s="103">
        <v>0</v>
      </c>
      <c r="CI791" s="103">
        <v>0</v>
      </c>
      <c r="CJ791" s="103">
        <v>0</v>
      </c>
      <c r="CK791" s="103">
        <v>33.333333333333329</v>
      </c>
      <c r="CL791" s="103">
        <v>33.333333333333329</v>
      </c>
      <c r="CM791" s="103">
        <v>0</v>
      </c>
      <c r="CN791" s="103">
        <v>0</v>
      </c>
      <c r="CO791" s="42"/>
      <c r="CQ791" s="110"/>
      <c r="CR791" s="46" t="s">
        <v>5</v>
      </c>
      <c r="CS791" s="103" t="s">
        <v>128</v>
      </c>
      <c r="CT791" s="103" t="s">
        <v>128</v>
      </c>
      <c r="CU791" s="103" t="s">
        <v>128</v>
      </c>
      <c r="CV791" s="103" t="s">
        <v>128</v>
      </c>
      <c r="CW791" s="103" t="s">
        <v>128</v>
      </c>
      <c r="CX791" s="103" t="s">
        <v>128</v>
      </c>
      <c r="CY791" s="103" t="s">
        <v>128</v>
      </c>
      <c r="CZ791" s="103" t="s">
        <v>128</v>
      </c>
      <c r="DA791" s="103" t="s">
        <v>128</v>
      </c>
      <c r="DB791" s="42"/>
      <c r="DC791" s="42"/>
      <c r="DD791" s="110"/>
      <c r="DE791" s="46" t="s">
        <v>5</v>
      </c>
      <c r="DF791" s="103">
        <v>25</v>
      </c>
      <c r="DG791" s="103">
        <v>25</v>
      </c>
      <c r="DH791" s="103">
        <v>0</v>
      </c>
      <c r="DI791" s="103">
        <v>0</v>
      </c>
      <c r="DJ791" s="103">
        <v>0</v>
      </c>
      <c r="DK791" s="103">
        <v>25</v>
      </c>
      <c r="DL791" s="103">
        <v>25</v>
      </c>
      <c r="DM791" s="103">
        <v>0</v>
      </c>
      <c r="DN791" s="103">
        <v>0</v>
      </c>
      <c r="DO791" s="42"/>
    </row>
    <row r="792" spans="2:119" ht="16.5" customHeight="1" x14ac:dyDescent="0.45">
      <c r="B792" s="99"/>
      <c r="C792" s="42"/>
      <c r="D792" s="110"/>
      <c r="E792" s="46" t="s">
        <v>6</v>
      </c>
      <c r="F792" s="103">
        <v>0</v>
      </c>
      <c r="G792" s="103">
        <v>0</v>
      </c>
      <c r="H792" s="103">
        <v>20</v>
      </c>
      <c r="I792" s="103">
        <v>13.333333333333334</v>
      </c>
      <c r="J792" s="103">
        <v>40</v>
      </c>
      <c r="K792" s="103">
        <v>13.333333333333334</v>
      </c>
      <c r="L792" s="103">
        <v>13.333333333333334</v>
      </c>
      <c r="M792" s="103">
        <v>0</v>
      </c>
      <c r="N792" s="103">
        <v>0</v>
      </c>
      <c r="O792" s="102"/>
      <c r="P792" s="102"/>
      <c r="Q792" s="110"/>
      <c r="R792" s="46" t="s">
        <v>6</v>
      </c>
      <c r="S792" s="103">
        <v>0</v>
      </c>
      <c r="T792" s="103">
        <v>0</v>
      </c>
      <c r="U792" s="103">
        <v>21.428571428571427</v>
      </c>
      <c r="V792" s="103">
        <v>14.285714285714285</v>
      </c>
      <c r="W792" s="103">
        <v>42.857142857142854</v>
      </c>
      <c r="X792" s="103">
        <v>14.285714285714285</v>
      </c>
      <c r="Y792" s="103">
        <v>7.1428571428571423</v>
      </c>
      <c r="Z792" s="103">
        <v>0</v>
      </c>
      <c r="AA792" s="103">
        <v>0</v>
      </c>
      <c r="AB792" s="102"/>
      <c r="AC792" s="102"/>
      <c r="AD792" s="110"/>
      <c r="AE792" s="46" t="s">
        <v>6</v>
      </c>
      <c r="AF792" s="103">
        <v>0</v>
      </c>
      <c r="AG792" s="103">
        <v>0</v>
      </c>
      <c r="AH792" s="103">
        <v>0</v>
      </c>
      <c r="AI792" s="103">
        <v>0</v>
      </c>
      <c r="AJ792" s="103">
        <v>0</v>
      </c>
      <c r="AK792" s="103">
        <v>0</v>
      </c>
      <c r="AL792" s="103">
        <v>100</v>
      </c>
      <c r="AM792" s="103">
        <v>0</v>
      </c>
      <c r="AN792" s="103">
        <v>0</v>
      </c>
      <c r="AO792" s="42"/>
      <c r="AQ792" s="110"/>
      <c r="AR792" s="46" t="s">
        <v>6</v>
      </c>
      <c r="AS792" s="103">
        <v>0</v>
      </c>
      <c r="AT792" s="103">
        <v>0</v>
      </c>
      <c r="AU792" s="103">
        <v>0</v>
      </c>
      <c r="AV792" s="103">
        <v>0</v>
      </c>
      <c r="AW792" s="103">
        <v>100</v>
      </c>
      <c r="AX792" s="103">
        <v>0</v>
      </c>
      <c r="AY792" s="103">
        <v>0</v>
      </c>
      <c r="AZ792" s="103">
        <v>0</v>
      </c>
      <c r="BA792" s="103">
        <v>0</v>
      </c>
      <c r="BB792" s="42"/>
      <c r="BC792" s="42"/>
      <c r="BD792" s="110"/>
      <c r="BE792" s="46" t="s">
        <v>6</v>
      </c>
      <c r="BF792" s="103">
        <v>0</v>
      </c>
      <c r="BG792" s="103">
        <v>0</v>
      </c>
      <c r="BH792" s="103">
        <v>21.428571428571427</v>
      </c>
      <c r="BI792" s="103">
        <v>14.285714285714285</v>
      </c>
      <c r="BJ792" s="103">
        <v>35.714285714285715</v>
      </c>
      <c r="BK792" s="103">
        <v>14.285714285714285</v>
      </c>
      <c r="BL792" s="103">
        <v>14.285714285714285</v>
      </c>
      <c r="BM792" s="103">
        <v>0</v>
      </c>
      <c r="BN792" s="103">
        <v>0</v>
      </c>
      <c r="BO792" s="42"/>
      <c r="BQ792" s="110"/>
      <c r="BR792" s="46" t="s">
        <v>6</v>
      </c>
      <c r="BS792" s="103">
        <v>0</v>
      </c>
      <c r="BT792" s="103">
        <v>0</v>
      </c>
      <c r="BU792" s="103">
        <v>50</v>
      </c>
      <c r="BV792" s="103">
        <v>0</v>
      </c>
      <c r="BW792" s="103">
        <v>50</v>
      </c>
      <c r="BX792" s="103">
        <v>0</v>
      </c>
      <c r="BY792" s="103">
        <v>0</v>
      </c>
      <c r="BZ792" s="103">
        <v>0</v>
      </c>
      <c r="CA792" s="103">
        <v>0</v>
      </c>
      <c r="CB792" s="42"/>
      <c r="CC792" s="42"/>
      <c r="CD792" s="110"/>
      <c r="CE792" s="46" t="s">
        <v>6</v>
      </c>
      <c r="CF792" s="103">
        <v>0</v>
      </c>
      <c r="CG792" s="103">
        <v>0</v>
      </c>
      <c r="CH792" s="103">
        <v>15.384615384615385</v>
      </c>
      <c r="CI792" s="103">
        <v>15.384615384615385</v>
      </c>
      <c r="CJ792" s="103">
        <v>38.461538461538467</v>
      </c>
      <c r="CK792" s="103">
        <v>15.384615384615385</v>
      </c>
      <c r="CL792" s="103">
        <v>15.384615384615385</v>
      </c>
      <c r="CM792" s="103">
        <v>0</v>
      </c>
      <c r="CN792" s="103">
        <v>0</v>
      </c>
      <c r="CO792" s="42"/>
      <c r="CQ792" s="110"/>
      <c r="CR792" s="46" t="s">
        <v>6</v>
      </c>
      <c r="CS792" s="103">
        <v>0</v>
      </c>
      <c r="CT792" s="103">
        <v>0</v>
      </c>
      <c r="CU792" s="103">
        <v>0</v>
      </c>
      <c r="CV792" s="103">
        <v>0</v>
      </c>
      <c r="CW792" s="103">
        <v>0</v>
      </c>
      <c r="CX792" s="103">
        <v>0</v>
      </c>
      <c r="CY792" s="103">
        <v>100</v>
      </c>
      <c r="CZ792" s="103">
        <v>0</v>
      </c>
      <c r="DA792" s="103">
        <v>0</v>
      </c>
      <c r="DB792" s="42"/>
      <c r="DC792" s="42"/>
      <c r="DD792" s="110"/>
      <c r="DE792" s="46" t="s">
        <v>6</v>
      </c>
      <c r="DF792" s="103">
        <v>0</v>
      </c>
      <c r="DG792" s="103">
        <v>0</v>
      </c>
      <c r="DH792" s="103">
        <v>21.428571428571427</v>
      </c>
      <c r="DI792" s="103">
        <v>14.285714285714285</v>
      </c>
      <c r="DJ792" s="103">
        <v>42.857142857142854</v>
      </c>
      <c r="DK792" s="103">
        <v>14.285714285714285</v>
      </c>
      <c r="DL792" s="103">
        <v>7.1428571428571423</v>
      </c>
      <c r="DM792" s="103">
        <v>0</v>
      </c>
      <c r="DN792" s="103">
        <v>0</v>
      </c>
      <c r="DO792" s="42"/>
    </row>
    <row r="793" spans="2:119" ht="16.5" customHeight="1" x14ac:dyDescent="0.45">
      <c r="B793" s="99"/>
      <c r="C793" s="42"/>
      <c r="D793" s="110"/>
      <c r="E793" s="46" t="s">
        <v>7</v>
      </c>
      <c r="F793" s="103">
        <v>7.1428571428571423</v>
      </c>
      <c r="G793" s="103">
        <v>0</v>
      </c>
      <c r="H793" s="103">
        <v>7.1428571428571423</v>
      </c>
      <c r="I793" s="103">
        <v>3.5714285714285712</v>
      </c>
      <c r="J793" s="103">
        <v>7.1428571428571423</v>
      </c>
      <c r="K793" s="103">
        <v>28.571428571428569</v>
      </c>
      <c r="L793" s="103">
        <v>39.285714285714285</v>
      </c>
      <c r="M793" s="103">
        <v>7.1428571428571423</v>
      </c>
      <c r="N793" s="103">
        <v>0</v>
      </c>
      <c r="O793" s="102"/>
      <c r="P793" s="102"/>
      <c r="Q793" s="110"/>
      <c r="R793" s="46" t="s">
        <v>7</v>
      </c>
      <c r="S793" s="103">
        <v>7.6923076923076925</v>
      </c>
      <c r="T793" s="103">
        <v>0</v>
      </c>
      <c r="U793" s="103">
        <v>7.6923076923076925</v>
      </c>
      <c r="V793" s="103">
        <v>0</v>
      </c>
      <c r="W793" s="103">
        <v>3.8461538461538463</v>
      </c>
      <c r="X793" s="103">
        <v>30.76923076923077</v>
      </c>
      <c r="Y793" s="103">
        <v>42.307692307692307</v>
      </c>
      <c r="Z793" s="103">
        <v>7.6923076923076925</v>
      </c>
      <c r="AA793" s="103">
        <v>0</v>
      </c>
      <c r="AB793" s="102"/>
      <c r="AC793" s="102"/>
      <c r="AD793" s="110"/>
      <c r="AE793" s="46" t="s">
        <v>7</v>
      </c>
      <c r="AF793" s="103">
        <v>0</v>
      </c>
      <c r="AG793" s="103">
        <v>0</v>
      </c>
      <c r="AH793" s="103">
        <v>0</v>
      </c>
      <c r="AI793" s="103">
        <v>50</v>
      </c>
      <c r="AJ793" s="103">
        <v>50</v>
      </c>
      <c r="AK793" s="103">
        <v>0</v>
      </c>
      <c r="AL793" s="103">
        <v>0</v>
      </c>
      <c r="AM793" s="103">
        <v>0</v>
      </c>
      <c r="AN793" s="103">
        <v>0</v>
      </c>
      <c r="AO793" s="42"/>
      <c r="AQ793" s="110"/>
      <c r="AR793" s="46" t="s">
        <v>7</v>
      </c>
      <c r="AS793" s="103" t="s">
        <v>128</v>
      </c>
      <c r="AT793" s="103" t="s">
        <v>128</v>
      </c>
      <c r="AU793" s="103" t="s">
        <v>128</v>
      </c>
      <c r="AV793" s="103" t="s">
        <v>128</v>
      </c>
      <c r="AW793" s="103" t="s">
        <v>128</v>
      </c>
      <c r="AX793" s="103" t="s">
        <v>128</v>
      </c>
      <c r="AY793" s="103" t="s">
        <v>128</v>
      </c>
      <c r="AZ793" s="103" t="s">
        <v>128</v>
      </c>
      <c r="BA793" s="103" t="s">
        <v>128</v>
      </c>
      <c r="BB793" s="42"/>
      <c r="BC793" s="42"/>
      <c r="BD793" s="110"/>
      <c r="BE793" s="46" t="s">
        <v>7</v>
      </c>
      <c r="BF793" s="103">
        <v>7.1428571428571423</v>
      </c>
      <c r="BG793" s="103">
        <v>0</v>
      </c>
      <c r="BH793" s="103">
        <v>7.1428571428571423</v>
      </c>
      <c r="BI793" s="103">
        <v>3.5714285714285712</v>
      </c>
      <c r="BJ793" s="103">
        <v>7.1428571428571423</v>
      </c>
      <c r="BK793" s="103">
        <v>28.571428571428569</v>
      </c>
      <c r="BL793" s="103">
        <v>39.285714285714285</v>
      </c>
      <c r="BM793" s="103">
        <v>7.1428571428571423</v>
      </c>
      <c r="BN793" s="103">
        <v>0</v>
      </c>
      <c r="BO793" s="42"/>
      <c r="BQ793" s="110"/>
      <c r="BR793" s="46" t="s">
        <v>7</v>
      </c>
      <c r="BS793" s="103">
        <v>100</v>
      </c>
      <c r="BT793" s="103">
        <v>0</v>
      </c>
      <c r="BU793" s="103">
        <v>0</v>
      </c>
      <c r="BV793" s="103">
        <v>0</v>
      </c>
      <c r="BW793" s="103">
        <v>0</v>
      </c>
      <c r="BX793" s="103">
        <v>0</v>
      </c>
      <c r="BY793" s="103">
        <v>0</v>
      </c>
      <c r="BZ793" s="103">
        <v>0</v>
      </c>
      <c r="CA793" s="103">
        <v>0</v>
      </c>
      <c r="CB793" s="42"/>
      <c r="CC793" s="42"/>
      <c r="CD793" s="110"/>
      <c r="CE793" s="46" t="s">
        <v>7</v>
      </c>
      <c r="CF793" s="103">
        <v>3.7037037037037033</v>
      </c>
      <c r="CG793" s="103">
        <v>0</v>
      </c>
      <c r="CH793" s="103">
        <v>7.4074074074074066</v>
      </c>
      <c r="CI793" s="103">
        <v>3.7037037037037033</v>
      </c>
      <c r="CJ793" s="103">
        <v>7.4074074074074066</v>
      </c>
      <c r="CK793" s="103">
        <v>29.629629629629626</v>
      </c>
      <c r="CL793" s="103">
        <v>40.74074074074074</v>
      </c>
      <c r="CM793" s="103">
        <v>7.4074074074074066</v>
      </c>
      <c r="CN793" s="103">
        <v>0</v>
      </c>
      <c r="CO793" s="42"/>
      <c r="CQ793" s="110"/>
      <c r="CR793" s="46" t="s">
        <v>7</v>
      </c>
      <c r="CS793" s="103">
        <v>0</v>
      </c>
      <c r="CT793" s="103">
        <v>0</v>
      </c>
      <c r="CU793" s="103">
        <v>0</v>
      </c>
      <c r="CV793" s="103">
        <v>50</v>
      </c>
      <c r="CW793" s="103">
        <v>0</v>
      </c>
      <c r="CX793" s="103">
        <v>0</v>
      </c>
      <c r="CY793" s="103">
        <v>50</v>
      </c>
      <c r="CZ793" s="103">
        <v>0</v>
      </c>
      <c r="DA793" s="103">
        <v>0</v>
      </c>
      <c r="DB793" s="42"/>
      <c r="DC793" s="42"/>
      <c r="DD793" s="110"/>
      <c r="DE793" s="46" t="s">
        <v>7</v>
      </c>
      <c r="DF793" s="103">
        <v>7.6923076923076925</v>
      </c>
      <c r="DG793" s="103">
        <v>0</v>
      </c>
      <c r="DH793" s="103">
        <v>7.6923076923076925</v>
      </c>
      <c r="DI793" s="103">
        <v>0</v>
      </c>
      <c r="DJ793" s="103">
        <v>7.6923076923076925</v>
      </c>
      <c r="DK793" s="103">
        <v>30.76923076923077</v>
      </c>
      <c r="DL793" s="103">
        <v>38.461538461538467</v>
      </c>
      <c r="DM793" s="103">
        <v>7.6923076923076925</v>
      </c>
      <c r="DN793" s="103">
        <v>0</v>
      </c>
      <c r="DO793" s="42"/>
    </row>
    <row r="794" spans="2:119" ht="16.5" customHeight="1" x14ac:dyDescent="0.45">
      <c r="B794" s="99"/>
      <c r="C794" s="42"/>
      <c r="D794" s="110"/>
      <c r="E794" s="46" t="s">
        <v>8</v>
      </c>
      <c r="F794" s="103">
        <v>2.8571428571428572</v>
      </c>
      <c r="G794" s="103">
        <v>0</v>
      </c>
      <c r="H794" s="103">
        <v>2.8571428571428572</v>
      </c>
      <c r="I794" s="103">
        <v>2.8571428571428572</v>
      </c>
      <c r="J794" s="103">
        <v>5.7142857142857144</v>
      </c>
      <c r="K794" s="103">
        <v>25.714285714285712</v>
      </c>
      <c r="L794" s="103">
        <v>48.571428571428569</v>
      </c>
      <c r="M794" s="103">
        <v>11.428571428571429</v>
      </c>
      <c r="N794" s="103">
        <v>0</v>
      </c>
      <c r="O794" s="102"/>
      <c r="P794" s="102"/>
      <c r="Q794" s="110"/>
      <c r="R794" s="46" t="s">
        <v>8</v>
      </c>
      <c r="S794" s="103">
        <v>3.225806451612903</v>
      </c>
      <c r="T794" s="103">
        <v>0</v>
      </c>
      <c r="U794" s="103">
        <v>3.225806451612903</v>
      </c>
      <c r="V794" s="103">
        <v>0</v>
      </c>
      <c r="W794" s="103">
        <v>6.4516129032258061</v>
      </c>
      <c r="X794" s="103">
        <v>22.58064516129032</v>
      </c>
      <c r="Y794" s="103">
        <v>51.612903225806448</v>
      </c>
      <c r="Z794" s="103">
        <v>12.903225806451612</v>
      </c>
      <c r="AA794" s="103">
        <v>0</v>
      </c>
      <c r="AB794" s="102"/>
      <c r="AC794" s="102"/>
      <c r="AD794" s="110"/>
      <c r="AE794" s="46" t="s">
        <v>8</v>
      </c>
      <c r="AF794" s="103">
        <v>0</v>
      </c>
      <c r="AG794" s="103">
        <v>0</v>
      </c>
      <c r="AH794" s="103">
        <v>0</v>
      </c>
      <c r="AI794" s="103">
        <v>25</v>
      </c>
      <c r="AJ794" s="103">
        <v>0</v>
      </c>
      <c r="AK794" s="103">
        <v>50</v>
      </c>
      <c r="AL794" s="103">
        <v>25</v>
      </c>
      <c r="AM794" s="103">
        <v>0</v>
      </c>
      <c r="AN794" s="103">
        <v>0</v>
      </c>
      <c r="AO794" s="42"/>
      <c r="AQ794" s="110"/>
      <c r="AR794" s="46" t="s">
        <v>8</v>
      </c>
      <c r="AS794" s="103">
        <v>0</v>
      </c>
      <c r="AT794" s="103">
        <v>0</v>
      </c>
      <c r="AU794" s="103">
        <v>0</v>
      </c>
      <c r="AV794" s="103">
        <v>0</v>
      </c>
      <c r="AW794" s="103">
        <v>33.333333333333329</v>
      </c>
      <c r="AX794" s="103">
        <v>0</v>
      </c>
      <c r="AY794" s="103">
        <v>66.666666666666657</v>
      </c>
      <c r="AZ794" s="103">
        <v>0</v>
      </c>
      <c r="BA794" s="103">
        <v>0</v>
      </c>
      <c r="BB794" s="42"/>
      <c r="BC794" s="42"/>
      <c r="BD794" s="110"/>
      <c r="BE794" s="46" t="s">
        <v>8</v>
      </c>
      <c r="BF794" s="103">
        <v>3.125</v>
      </c>
      <c r="BG794" s="103">
        <v>0</v>
      </c>
      <c r="BH794" s="103">
        <v>3.125</v>
      </c>
      <c r="BI794" s="103">
        <v>3.125</v>
      </c>
      <c r="BJ794" s="103">
        <v>3.125</v>
      </c>
      <c r="BK794" s="103">
        <v>28.125</v>
      </c>
      <c r="BL794" s="103">
        <v>46.875</v>
      </c>
      <c r="BM794" s="103">
        <v>12.5</v>
      </c>
      <c r="BN794" s="103">
        <v>0</v>
      </c>
      <c r="BO794" s="42"/>
      <c r="BQ794" s="110"/>
      <c r="BR794" s="46" t="s">
        <v>8</v>
      </c>
      <c r="BS794" s="103">
        <v>0</v>
      </c>
      <c r="BT794" s="103">
        <v>0</v>
      </c>
      <c r="BU794" s="103">
        <v>0</v>
      </c>
      <c r="BV794" s="103">
        <v>0</v>
      </c>
      <c r="BW794" s="103">
        <v>100</v>
      </c>
      <c r="BX794" s="103">
        <v>0</v>
      </c>
      <c r="BY794" s="103">
        <v>0</v>
      </c>
      <c r="BZ794" s="103">
        <v>0</v>
      </c>
      <c r="CA794" s="103">
        <v>0</v>
      </c>
      <c r="CB794" s="42"/>
      <c r="CC794" s="42"/>
      <c r="CD794" s="110"/>
      <c r="CE794" s="46" t="s">
        <v>8</v>
      </c>
      <c r="CF794" s="103">
        <v>2.9411764705882351</v>
      </c>
      <c r="CG794" s="103">
        <v>0</v>
      </c>
      <c r="CH794" s="103">
        <v>2.9411764705882351</v>
      </c>
      <c r="CI794" s="103">
        <v>2.9411764705882351</v>
      </c>
      <c r="CJ794" s="103">
        <v>2.9411764705882351</v>
      </c>
      <c r="CK794" s="103">
        <v>26.47058823529412</v>
      </c>
      <c r="CL794" s="103">
        <v>50</v>
      </c>
      <c r="CM794" s="103">
        <v>11.76470588235294</v>
      </c>
      <c r="CN794" s="103">
        <v>0</v>
      </c>
      <c r="CO794" s="42"/>
      <c r="CQ794" s="110"/>
      <c r="CR794" s="46" t="s">
        <v>8</v>
      </c>
      <c r="CS794" s="103">
        <v>0</v>
      </c>
      <c r="CT794" s="103">
        <v>0</v>
      </c>
      <c r="CU794" s="103">
        <v>0</v>
      </c>
      <c r="CV794" s="103">
        <v>0</v>
      </c>
      <c r="CW794" s="103">
        <v>0</v>
      </c>
      <c r="CX794" s="103">
        <v>25</v>
      </c>
      <c r="CY794" s="103">
        <v>50</v>
      </c>
      <c r="CZ794" s="103">
        <v>25</v>
      </c>
      <c r="DA794" s="103">
        <v>0</v>
      </c>
      <c r="DB794" s="42"/>
      <c r="DC794" s="42"/>
      <c r="DD794" s="110"/>
      <c r="DE794" s="46" t="s">
        <v>8</v>
      </c>
      <c r="DF794" s="103">
        <v>3.225806451612903</v>
      </c>
      <c r="DG794" s="103">
        <v>0</v>
      </c>
      <c r="DH794" s="103">
        <v>3.225806451612903</v>
      </c>
      <c r="DI794" s="103">
        <v>3.225806451612903</v>
      </c>
      <c r="DJ794" s="103">
        <v>6.4516129032258061</v>
      </c>
      <c r="DK794" s="103">
        <v>25.806451612903224</v>
      </c>
      <c r="DL794" s="103">
        <v>48.387096774193552</v>
      </c>
      <c r="DM794" s="103">
        <v>9.67741935483871</v>
      </c>
      <c r="DN794" s="103">
        <v>0</v>
      </c>
      <c r="DO794" s="42"/>
    </row>
    <row r="795" spans="2:119" ht="16.5" customHeight="1" x14ac:dyDescent="0.45">
      <c r="B795" s="99"/>
      <c r="C795" s="42"/>
      <c r="D795" s="110"/>
      <c r="E795" s="46" t="s">
        <v>9</v>
      </c>
      <c r="F795" s="103">
        <v>0</v>
      </c>
      <c r="G795" s="103">
        <v>0</v>
      </c>
      <c r="H795" s="103">
        <v>0</v>
      </c>
      <c r="I795" s="103">
        <v>6.8181818181818175</v>
      </c>
      <c r="J795" s="103">
        <v>2.2727272727272729</v>
      </c>
      <c r="K795" s="103">
        <v>6.8181818181818175</v>
      </c>
      <c r="L795" s="103">
        <v>27.27272727272727</v>
      </c>
      <c r="M795" s="103">
        <v>45.454545454545453</v>
      </c>
      <c r="N795" s="103">
        <v>11.363636363636363</v>
      </c>
      <c r="O795" s="102"/>
      <c r="P795" s="102"/>
      <c r="Q795" s="110"/>
      <c r="R795" s="46" t="s">
        <v>9</v>
      </c>
      <c r="S795" s="103">
        <v>0</v>
      </c>
      <c r="T795" s="103">
        <v>0</v>
      </c>
      <c r="U795" s="103">
        <v>0</v>
      </c>
      <c r="V795" s="103">
        <v>8.1081081081081088</v>
      </c>
      <c r="W795" s="103">
        <v>0</v>
      </c>
      <c r="X795" s="103">
        <v>8.1081081081081088</v>
      </c>
      <c r="Y795" s="103">
        <v>24.324324324324326</v>
      </c>
      <c r="Z795" s="103">
        <v>48.648648648648653</v>
      </c>
      <c r="AA795" s="103">
        <v>10.810810810810811</v>
      </c>
      <c r="AB795" s="102"/>
      <c r="AC795" s="102"/>
      <c r="AD795" s="110"/>
      <c r="AE795" s="46" t="s">
        <v>9</v>
      </c>
      <c r="AF795" s="103">
        <v>0</v>
      </c>
      <c r="AG795" s="103">
        <v>0</v>
      </c>
      <c r="AH795" s="103">
        <v>0</v>
      </c>
      <c r="AI795" s="103">
        <v>0</v>
      </c>
      <c r="AJ795" s="103">
        <v>14.285714285714285</v>
      </c>
      <c r="AK795" s="103">
        <v>0</v>
      </c>
      <c r="AL795" s="103">
        <v>42.857142857142854</v>
      </c>
      <c r="AM795" s="103">
        <v>28.571428571428569</v>
      </c>
      <c r="AN795" s="103">
        <v>14.285714285714285</v>
      </c>
      <c r="AO795" s="42"/>
      <c r="AQ795" s="110"/>
      <c r="AR795" s="46" t="s">
        <v>9</v>
      </c>
      <c r="AS795" s="103">
        <v>0</v>
      </c>
      <c r="AT795" s="103">
        <v>0</v>
      </c>
      <c r="AU795" s="103">
        <v>0</v>
      </c>
      <c r="AV795" s="103">
        <v>0</v>
      </c>
      <c r="AW795" s="103">
        <v>0</v>
      </c>
      <c r="AX795" s="103">
        <v>0</v>
      </c>
      <c r="AY795" s="103">
        <v>0</v>
      </c>
      <c r="AZ795" s="103">
        <v>100</v>
      </c>
      <c r="BA795" s="103">
        <v>0</v>
      </c>
      <c r="BB795" s="42"/>
      <c r="BC795" s="42"/>
      <c r="BD795" s="110"/>
      <c r="BE795" s="46" t="s">
        <v>9</v>
      </c>
      <c r="BF795" s="103">
        <v>0</v>
      </c>
      <c r="BG795" s="103">
        <v>0</v>
      </c>
      <c r="BH795" s="103">
        <v>0</v>
      </c>
      <c r="BI795" s="103">
        <v>6.9767441860465116</v>
      </c>
      <c r="BJ795" s="103">
        <v>2.3255813953488373</v>
      </c>
      <c r="BK795" s="103">
        <v>6.9767441860465116</v>
      </c>
      <c r="BL795" s="103">
        <v>27.906976744186046</v>
      </c>
      <c r="BM795" s="103">
        <v>44.186046511627907</v>
      </c>
      <c r="BN795" s="103">
        <v>11.627906976744185</v>
      </c>
      <c r="BO795" s="42"/>
      <c r="BQ795" s="110"/>
      <c r="BR795" s="46" t="s">
        <v>9</v>
      </c>
      <c r="BS795" s="103">
        <v>0</v>
      </c>
      <c r="BT795" s="103">
        <v>0</v>
      </c>
      <c r="BU795" s="103">
        <v>0</v>
      </c>
      <c r="BV795" s="103">
        <v>0</v>
      </c>
      <c r="BW795" s="103">
        <v>0</v>
      </c>
      <c r="BX795" s="103">
        <v>0</v>
      </c>
      <c r="BY795" s="103">
        <v>0</v>
      </c>
      <c r="BZ795" s="103">
        <v>100</v>
      </c>
      <c r="CA795" s="103">
        <v>0</v>
      </c>
      <c r="CB795" s="42"/>
      <c r="CC795" s="42"/>
      <c r="CD795" s="110"/>
      <c r="CE795" s="46" t="s">
        <v>9</v>
      </c>
      <c r="CF795" s="103">
        <v>0</v>
      </c>
      <c r="CG795" s="103">
        <v>0</v>
      </c>
      <c r="CH795" s="103">
        <v>0</v>
      </c>
      <c r="CI795" s="103">
        <v>6.9767441860465116</v>
      </c>
      <c r="CJ795" s="103">
        <v>2.3255813953488373</v>
      </c>
      <c r="CK795" s="103">
        <v>6.9767441860465116</v>
      </c>
      <c r="CL795" s="103">
        <v>27.906976744186046</v>
      </c>
      <c r="CM795" s="103">
        <v>44.186046511627907</v>
      </c>
      <c r="CN795" s="103">
        <v>11.627906976744185</v>
      </c>
      <c r="CO795" s="42"/>
      <c r="CQ795" s="110"/>
      <c r="CR795" s="46" t="s">
        <v>9</v>
      </c>
      <c r="CS795" s="103">
        <v>0</v>
      </c>
      <c r="CT795" s="103">
        <v>0</v>
      </c>
      <c r="CU795" s="103">
        <v>0</v>
      </c>
      <c r="CV795" s="103">
        <v>0</v>
      </c>
      <c r="CW795" s="103">
        <v>0</v>
      </c>
      <c r="CX795" s="103">
        <v>33.333333333333329</v>
      </c>
      <c r="CY795" s="103">
        <v>33.333333333333329</v>
      </c>
      <c r="CZ795" s="103">
        <v>33.333333333333329</v>
      </c>
      <c r="DA795" s="103">
        <v>0</v>
      </c>
      <c r="DB795" s="42"/>
      <c r="DC795" s="42"/>
      <c r="DD795" s="110"/>
      <c r="DE795" s="46" t="s">
        <v>9</v>
      </c>
      <c r="DF795" s="103">
        <v>0</v>
      </c>
      <c r="DG795" s="103">
        <v>0</v>
      </c>
      <c r="DH795" s="103">
        <v>0</v>
      </c>
      <c r="DI795" s="103">
        <v>7.3170731707317067</v>
      </c>
      <c r="DJ795" s="103">
        <v>2.4390243902439024</v>
      </c>
      <c r="DK795" s="103">
        <v>4.8780487804878048</v>
      </c>
      <c r="DL795" s="103">
        <v>26.829268292682929</v>
      </c>
      <c r="DM795" s="103">
        <v>46.341463414634148</v>
      </c>
      <c r="DN795" s="103">
        <v>12.195121951219512</v>
      </c>
      <c r="DO795" s="42"/>
    </row>
    <row r="796" spans="2:119" ht="16.5" customHeight="1" x14ac:dyDescent="0.45">
      <c r="B796" s="99"/>
      <c r="C796" s="42"/>
      <c r="D796" s="110"/>
      <c r="E796" s="46" t="s">
        <v>10</v>
      </c>
      <c r="F796" s="103">
        <v>1.6129032258064515</v>
      </c>
      <c r="G796" s="103">
        <v>0</v>
      </c>
      <c r="H796" s="103">
        <v>0</v>
      </c>
      <c r="I796" s="103">
        <v>0</v>
      </c>
      <c r="J796" s="103">
        <v>4.838709677419355</v>
      </c>
      <c r="K796" s="103">
        <v>6.4516129032258061</v>
      </c>
      <c r="L796" s="103">
        <v>12.903225806451612</v>
      </c>
      <c r="M796" s="103">
        <v>48.387096774193552</v>
      </c>
      <c r="N796" s="103">
        <v>25.806451612903224</v>
      </c>
      <c r="O796" s="102"/>
      <c r="P796" s="102"/>
      <c r="Q796" s="110"/>
      <c r="R796" s="46" t="s">
        <v>10</v>
      </c>
      <c r="S796" s="103">
        <v>2.2222222222222223</v>
      </c>
      <c r="T796" s="103">
        <v>0</v>
      </c>
      <c r="U796" s="103">
        <v>0</v>
      </c>
      <c r="V796" s="103">
        <v>0</v>
      </c>
      <c r="W796" s="103">
        <v>6.666666666666667</v>
      </c>
      <c r="X796" s="103">
        <v>2.2222222222222223</v>
      </c>
      <c r="Y796" s="103">
        <v>8.8888888888888893</v>
      </c>
      <c r="Z796" s="103">
        <v>55.555555555555557</v>
      </c>
      <c r="AA796" s="103">
        <v>24.444444444444443</v>
      </c>
      <c r="AB796" s="102"/>
      <c r="AC796" s="102"/>
      <c r="AD796" s="110"/>
      <c r="AE796" s="46" t="s">
        <v>10</v>
      </c>
      <c r="AF796" s="103">
        <v>0</v>
      </c>
      <c r="AG796" s="103">
        <v>0</v>
      </c>
      <c r="AH796" s="103">
        <v>0</v>
      </c>
      <c r="AI796" s="103">
        <v>0</v>
      </c>
      <c r="AJ796" s="103">
        <v>0</v>
      </c>
      <c r="AK796" s="103">
        <v>17.647058823529413</v>
      </c>
      <c r="AL796" s="103">
        <v>23.52941176470588</v>
      </c>
      <c r="AM796" s="103">
        <v>29.411764705882355</v>
      </c>
      <c r="AN796" s="103">
        <v>29.411764705882355</v>
      </c>
      <c r="AO796" s="42"/>
      <c r="AQ796" s="110"/>
      <c r="AR796" s="46" t="s">
        <v>10</v>
      </c>
      <c r="AS796" s="103">
        <v>0</v>
      </c>
      <c r="AT796" s="103">
        <v>0</v>
      </c>
      <c r="AU796" s="103">
        <v>0</v>
      </c>
      <c r="AV796" s="103">
        <v>0</v>
      </c>
      <c r="AW796" s="103">
        <v>0</v>
      </c>
      <c r="AX796" s="103">
        <v>0</v>
      </c>
      <c r="AY796" s="103">
        <v>33.333333333333329</v>
      </c>
      <c r="AZ796" s="103">
        <v>33.333333333333329</v>
      </c>
      <c r="BA796" s="103">
        <v>33.333333333333329</v>
      </c>
      <c r="BB796" s="42"/>
      <c r="BC796" s="42"/>
      <c r="BD796" s="110"/>
      <c r="BE796" s="46" t="s">
        <v>10</v>
      </c>
      <c r="BF796" s="103">
        <v>1.6949152542372881</v>
      </c>
      <c r="BG796" s="103">
        <v>0</v>
      </c>
      <c r="BH796" s="103">
        <v>0</v>
      </c>
      <c r="BI796" s="103">
        <v>0</v>
      </c>
      <c r="BJ796" s="103">
        <v>5.0847457627118651</v>
      </c>
      <c r="BK796" s="103">
        <v>6.7796610169491522</v>
      </c>
      <c r="BL796" s="103">
        <v>11.864406779661017</v>
      </c>
      <c r="BM796" s="103">
        <v>49.152542372881356</v>
      </c>
      <c r="BN796" s="103">
        <v>25.423728813559322</v>
      </c>
      <c r="BO796" s="42"/>
      <c r="BQ796" s="110"/>
      <c r="BR796" s="46" t="s">
        <v>10</v>
      </c>
      <c r="BS796" s="103">
        <v>0</v>
      </c>
      <c r="BT796" s="103">
        <v>0</v>
      </c>
      <c r="BU796" s="103">
        <v>0</v>
      </c>
      <c r="BV796" s="103">
        <v>0</v>
      </c>
      <c r="BW796" s="103">
        <v>0</v>
      </c>
      <c r="BX796" s="103">
        <v>0</v>
      </c>
      <c r="BY796" s="103">
        <v>100</v>
      </c>
      <c r="BZ796" s="103">
        <v>0</v>
      </c>
      <c r="CA796" s="103">
        <v>0</v>
      </c>
      <c r="CB796" s="42"/>
      <c r="CC796" s="42"/>
      <c r="CD796" s="110"/>
      <c r="CE796" s="46" t="s">
        <v>10</v>
      </c>
      <c r="CF796" s="103">
        <v>1.639344262295082</v>
      </c>
      <c r="CG796" s="103">
        <v>0</v>
      </c>
      <c r="CH796" s="103">
        <v>0</v>
      </c>
      <c r="CI796" s="103">
        <v>0</v>
      </c>
      <c r="CJ796" s="103">
        <v>4.918032786885246</v>
      </c>
      <c r="CK796" s="103">
        <v>6.557377049180328</v>
      </c>
      <c r="CL796" s="103">
        <v>11.475409836065573</v>
      </c>
      <c r="CM796" s="103">
        <v>49.180327868852459</v>
      </c>
      <c r="CN796" s="103">
        <v>26.229508196721312</v>
      </c>
      <c r="CO796" s="42"/>
      <c r="CQ796" s="110"/>
      <c r="CR796" s="46" t="s">
        <v>10</v>
      </c>
      <c r="CS796" s="103">
        <v>0</v>
      </c>
      <c r="CT796" s="103">
        <v>0</v>
      </c>
      <c r="CU796" s="103">
        <v>0</v>
      </c>
      <c r="CV796" s="103">
        <v>0</v>
      </c>
      <c r="CW796" s="103">
        <v>0</v>
      </c>
      <c r="CX796" s="103">
        <v>0</v>
      </c>
      <c r="CY796" s="103">
        <v>0</v>
      </c>
      <c r="CZ796" s="103">
        <v>100</v>
      </c>
      <c r="DA796" s="103">
        <v>0</v>
      </c>
      <c r="DB796" s="42"/>
      <c r="DC796" s="42"/>
      <c r="DD796" s="110"/>
      <c r="DE796" s="46" t="s">
        <v>10</v>
      </c>
      <c r="DF796" s="103">
        <v>1.639344262295082</v>
      </c>
      <c r="DG796" s="103">
        <v>0</v>
      </c>
      <c r="DH796" s="103">
        <v>0</v>
      </c>
      <c r="DI796" s="103">
        <v>0</v>
      </c>
      <c r="DJ796" s="103">
        <v>4.918032786885246</v>
      </c>
      <c r="DK796" s="103">
        <v>6.557377049180328</v>
      </c>
      <c r="DL796" s="103">
        <v>13.114754098360656</v>
      </c>
      <c r="DM796" s="103">
        <v>47.540983606557376</v>
      </c>
      <c r="DN796" s="103">
        <v>26.229508196721312</v>
      </c>
      <c r="DO796" s="42"/>
    </row>
    <row r="797" spans="2:119" ht="16.5" customHeight="1" x14ac:dyDescent="0.45">
      <c r="B797" s="99"/>
      <c r="C797" s="42"/>
      <c r="D797" s="111"/>
      <c r="E797" s="46" t="s">
        <v>11</v>
      </c>
      <c r="F797" s="103">
        <v>0</v>
      </c>
      <c r="G797" s="103">
        <v>0</v>
      </c>
      <c r="H797" s="103">
        <v>0</v>
      </c>
      <c r="I797" s="103">
        <v>0</v>
      </c>
      <c r="J797" s="103">
        <v>0</v>
      </c>
      <c r="K797" s="103">
        <v>0</v>
      </c>
      <c r="L797" s="103">
        <v>0</v>
      </c>
      <c r="M797" s="103">
        <v>38.095238095238095</v>
      </c>
      <c r="N797" s="103">
        <v>61.904761904761905</v>
      </c>
      <c r="O797" s="102"/>
      <c r="P797" s="102"/>
      <c r="Q797" s="111"/>
      <c r="R797" s="46" t="s">
        <v>11</v>
      </c>
      <c r="S797" s="103">
        <v>0</v>
      </c>
      <c r="T797" s="103">
        <v>0</v>
      </c>
      <c r="U797" s="103">
        <v>0</v>
      </c>
      <c r="V797" s="103">
        <v>0</v>
      </c>
      <c r="W797" s="103">
        <v>0</v>
      </c>
      <c r="X797" s="103">
        <v>0</v>
      </c>
      <c r="Y797" s="103">
        <v>0</v>
      </c>
      <c r="Z797" s="103">
        <v>27.27272727272727</v>
      </c>
      <c r="AA797" s="103">
        <v>72.727272727272734</v>
      </c>
      <c r="AB797" s="102"/>
      <c r="AC797" s="102"/>
      <c r="AD797" s="111"/>
      <c r="AE797" s="46" t="s">
        <v>11</v>
      </c>
      <c r="AF797" s="103">
        <v>0</v>
      </c>
      <c r="AG797" s="103">
        <v>0</v>
      </c>
      <c r="AH797" s="103">
        <v>0</v>
      </c>
      <c r="AI797" s="103">
        <v>0</v>
      </c>
      <c r="AJ797" s="103">
        <v>0</v>
      </c>
      <c r="AK797" s="103">
        <v>0</v>
      </c>
      <c r="AL797" s="103">
        <v>0</v>
      </c>
      <c r="AM797" s="103">
        <v>50</v>
      </c>
      <c r="AN797" s="103">
        <v>50</v>
      </c>
      <c r="AO797" s="42"/>
      <c r="AQ797" s="111"/>
      <c r="AR797" s="46" t="s">
        <v>11</v>
      </c>
      <c r="AS797" s="103">
        <v>0</v>
      </c>
      <c r="AT797" s="103">
        <v>0</v>
      </c>
      <c r="AU797" s="103">
        <v>0</v>
      </c>
      <c r="AV797" s="103">
        <v>0</v>
      </c>
      <c r="AW797" s="103">
        <v>0</v>
      </c>
      <c r="AX797" s="103">
        <v>0</v>
      </c>
      <c r="AY797" s="103">
        <v>0</v>
      </c>
      <c r="AZ797" s="103">
        <v>0</v>
      </c>
      <c r="BA797" s="103">
        <v>100</v>
      </c>
      <c r="BB797" s="42"/>
      <c r="BC797" s="42"/>
      <c r="BD797" s="111"/>
      <c r="BE797" s="46" t="s">
        <v>11</v>
      </c>
      <c r="BF797" s="103">
        <v>0</v>
      </c>
      <c r="BG797" s="103">
        <v>0</v>
      </c>
      <c r="BH797" s="103">
        <v>0</v>
      </c>
      <c r="BI797" s="103">
        <v>0</v>
      </c>
      <c r="BJ797" s="103">
        <v>0</v>
      </c>
      <c r="BK797" s="103">
        <v>0</v>
      </c>
      <c r="BL797" s="103">
        <v>0</v>
      </c>
      <c r="BM797" s="103">
        <v>40</v>
      </c>
      <c r="BN797" s="103">
        <v>60</v>
      </c>
      <c r="BO797" s="42"/>
      <c r="BQ797" s="111"/>
      <c r="BR797" s="46" t="s">
        <v>11</v>
      </c>
      <c r="BS797" s="103" t="s">
        <v>128</v>
      </c>
      <c r="BT797" s="103" t="s">
        <v>128</v>
      </c>
      <c r="BU797" s="103" t="s">
        <v>128</v>
      </c>
      <c r="BV797" s="103" t="s">
        <v>128</v>
      </c>
      <c r="BW797" s="103" t="s">
        <v>128</v>
      </c>
      <c r="BX797" s="103" t="s">
        <v>128</v>
      </c>
      <c r="BY797" s="103" t="s">
        <v>128</v>
      </c>
      <c r="BZ797" s="103" t="s">
        <v>128</v>
      </c>
      <c r="CA797" s="103" t="s">
        <v>128</v>
      </c>
      <c r="CB797" s="42"/>
      <c r="CC797" s="42"/>
      <c r="CD797" s="111"/>
      <c r="CE797" s="46" t="s">
        <v>11</v>
      </c>
      <c r="CF797" s="103">
        <v>0</v>
      </c>
      <c r="CG797" s="103">
        <v>0</v>
      </c>
      <c r="CH797" s="103">
        <v>0</v>
      </c>
      <c r="CI797" s="103">
        <v>0</v>
      </c>
      <c r="CJ797" s="103">
        <v>0</v>
      </c>
      <c r="CK797" s="103">
        <v>0</v>
      </c>
      <c r="CL797" s="103">
        <v>0</v>
      </c>
      <c r="CM797" s="103">
        <v>38.095238095238095</v>
      </c>
      <c r="CN797" s="103">
        <v>61.904761904761905</v>
      </c>
      <c r="CO797" s="42"/>
      <c r="CQ797" s="111"/>
      <c r="CR797" s="46" t="s">
        <v>11</v>
      </c>
      <c r="CS797" s="103" t="s">
        <v>128</v>
      </c>
      <c r="CT797" s="103" t="s">
        <v>128</v>
      </c>
      <c r="CU797" s="103" t="s">
        <v>128</v>
      </c>
      <c r="CV797" s="103" t="s">
        <v>128</v>
      </c>
      <c r="CW797" s="103" t="s">
        <v>128</v>
      </c>
      <c r="CX797" s="103" t="s">
        <v>128</v>
      </c>
      <c r="CY797" s="103" t="s">
        <v>128</v>
      </c>
      <c r="CZ797" s="103" t="s">
        <v>128</v>
      </c>
      <c r="DA797" s="103" t="s">
        <v>128</v>
      </c>
      <c r="DB797" s="42"/>
      <c r="DC797" s="42"/>
      <c r="DD797" s="111"/>
      <c r="DE797" s="46" t="s">
        <v>11</v>
      </c>
      <c r="DF797" s="103">
        <v>0</v>
      </c>
      <c r="DG797" s="103">
        <v>0</v>
      </c>
      <c r="DH797" s="103">
        <v>0</v>
      </c>
      <c r="DI797" s="103">
        <v>0</v>
      </c>
      <c r="DJ797" s="103">
        <v>0</v>
      </c>
      <c r="DK797" s="103">
        <v>0</v>
      </c>
      <c r="DL797" s="103">
        <v>0</v>
      </c>
      <c r="DM797" s="103">
        <v>38.095238095238095</v>
      </c>
      <c r="DN797" s="103">
        <v>61.904761904761905</v>
      </c>
      <c r="DO797" s="42"/>
    </row>
    <row r="798" spans="2:119" ht="16.5" customHeight="1" x14ac:dyDescent="0.45">
      <c r="B798" s="99"/>
      <c r="C798" s="42"/>
      <c r="D798" s="42"/>
      <c r="E798" s="42"/>
      <c r="F798" s="42"/>
      <c r="G798" s="42"/>
      <c r="H798" s="42"/>
      <c r="I798" s="42"/>
      <c r="J798" s="42"/>
      <c r="K798" s="42"/>
      <c r="L798" s="42"/>
      <c r="M798" s="42"/>
      <c r="N798" s="42"/>
      <c r="O798" s="42"/>
      <c r="P798" s="42"/>
      <c r="Q798" s="42"/>
      <c r="R798" s="42"/>
      <c r="S798" s="42"/>
      <c r="T798" s="42"/>
      <c r="U798" s="42"/>
      <c r="V798" s="42"/>
      <c r="W798" s="42"/>
      <c r="X798" s="42"/>
      <c r="Y798" s="42"/>
      <c r="Z798" s="42"/>
      <c r="AA798" s="42"/>
      <c r="AB798" s="42"/>
      <c r="AC798" s="42"/>
      <c r="AD798" s="42"/>
      <c r="AE798" s="42"/>
      <c r="AF798" s="42"/>
      <c r="AG798" s="42"/>
      <c r="AH798" s="42"/>
      <c r="AI798" s="42"/>
      <c r="AJ798" s="42"/>
      <c r="AK798" s="42"/>
      <c r="AL798" s="42"/>
      <c r="AM798" s="42"/>
      <c r="AN798" s="42"/>
      <c r="AO798" s="42"/>
      <c r="AQ798" s="42"/>
      <c r="AR798" s="42"/>
      <c r="AS798" s="42"/>
      <c r="AT798" s="42"/>
      <c r="AU798" s="42"/>
      <c r="AV798" s="42"/>
      <c r="AW798" s="42"/>
      <c r="AX798" s="42"/>
      <c r="AY798" s="42"/>
      <c r="AZ798" s="42"/>
      <c r="BA798" s="42"/>
      <c r="BB798" s="42"/>
      <c r="BC798" s="42"/>
      <c r="BD798" s="42"/>
      <c r="BE798" s="42"/>
      <c r="BF798" s="42"/>
      <c r="BG798" s="42"/>
      <c r="BH798" s="42"/>
      <c r="BI798" s="42"/>
      <c r="BJ798" s="42"/>
      <c r="BK798" s="42"/>
      <c r="BL798" s="42"/>
      <c r="BM798" s="42"/>
      <c r="BN798" s="42"/>
      <c r="BO798" s="42"/>
      <c r="BQ798" s="42"/>
      <c r="BR798" s="42"/>
      <c r="BS798" s="42"/>
      <c r="BT798" s="42"/>
      <c r="BU798" s="42"/>
      <c r="BV798" s="42"/>
      <c r="BW798" s="42"/>
      <c r="BX798" s="42"/>
      <c r="BY798" s="42"/>
      <c r="BZ798" s="42"/>
      <c r="CA798" s="42"/>
      <c r="CB798" s="42"/>
      <c r="CC798" s="42"/>
      <c r="CD798" s="42"/>
      <c r="CE798" s="42"/>
      <c r="CF798" s="42"/>
      <c r="CG798" s="42"/>
      <c r="CH798" s="42"/>
      <c r="CI798" s="42"/>
      <c r="CJ798" s="42"/>
      <c r="CK798" s="42"/>
      <c r="CL798" s="42"/>
      <c r="CM798" s="42"/>
      <c r="CN798" s="42"/>
      <c r="CO798" s="42"/>
      <c r="CQ798" s="42"/>
      <c r="CR798" s="42"/>
      <c r="CS798" s="42"/>
      <c r="CT798" s="42"/>
      <c r="CU798" s="42"/>
      <c r="CV798" s="42"/>
      <c r="CW798" s="42"/>
      <c r="CX798" s="42"/>
      <c r="CY798" s="42"/>
      <c r="CZ798" s="42"/>
      <c r="DA798" s="42"/>
      <c r="DB798" s="42"/>
      <c r="DC798" s="42"/>
      <c r="DD798" s="42"/>
      <c r="DE798" s="42"/>
      <c r="DF798" s="42"/>
      <c r="DG798" s="42"/>
      <c r="DH798" s="42"/>
      <c r="DI798" s="42"/>
      <c r="DJ798" s="42"/>
      <c r="DK798" s="42"/>
      <c r="DL798" s="42"/>
      <c r="DM798" s="42"/>
      <c r="DN798" s="42"/>
      <c r="DO798" s="42"/>
    </row>
    <row r="799" spans="2:119" x14ac:dyDescent="0.45">
      <c r="B799" s="99"/>
      <c r="C799" s="42"/>
      <c r="D799" s="42"/>
      <c r="E799" s="42"/>
      <c r="F799" s="42"/>
      <c r="G799" s="42"/>
      <c r="H799" s="42"/>
      <c r="I799" s="42"/>
      <c r="J799" s="42"/>
      <c r="K799" s="42"/>
      <c r="L799" s="42"/>
      <c r="M799" s="42"/>
      <c r="N799" s="42"/>
      <c r="O799" s="42"/>
      <c r="P799" s="42"/>
      <c r="Q799" s="42"/>
      <c r="R799" s="42"/>
      <c r="S799" s="42"/>
      <c r="T799" s="42"/>
      <c r="U799" s="42"/>
      <c r="V799" s="42"/>
      <c r="W799" s="42"/>
      <c r="X799" s="42"/>
      <c r="Y799" s="42"/>
      <c r="Z799" s="42"/>
      <c r="AA799" s="42"/>
      <c r="AB799" s="42"/>
      <c r="AC799" s="42"/>
      <c r="AD799" s="42"/>
      <c r="AE799" s="42"/>
      <c r="AF799" s="42"/>
      <c r="AG799" s="42"/>
      <c r="AH799" s="42"/>
      <c r="AI799" s="42"/>
      <c r="AJ799" s="42"/>
      <c r="AK799" s="42"/>
      <c r="AL799" s="42"/>
      <c r="AM799" s="42"/>
      <c r="AN799" s="42"/>
      <c r="AO799" s="42"/>
      <c r="AQ799" s="42"/>
      <c r="AR799" s="42"/>
      <c r="AS799" s="42"/>
      <c r="AT799" s="42"/>
      <c r="AU799" s="42"/>
      <c r="AV799" s="42"/>
      <c r="AW799" s="42"/>
      <c r="AX799" s="42"/>
      <c r="AY799" s="42"/>
      <c r="AZ799" s="42"/>
      <c r="BA799" s="42"/>
      <c r="BB799" s="42"/>
      <c r="BC799" s="42"/>
      <c r="BD799" s="42"/>
      <c r="BE799" s="42"/>
      <c r="BF799" s="42"/>
      <c r="BG799" s="42"/>
      <c r="BH799" s="42"/>
      <c r="BI799" s="42"/>
      <c r="BJ799" s="42"/>
      <c r="BK799" s="42"/>
      <c r="BL799" s="42"/>
      <c r="BM799" s="42"/>
      <c r="BN799" s="42"/>
      <c r="BO799" s="42"/>
      <c r="BQ799" s="42"/>
      <c r="BR799" s="42"/>
      <c r="BS799" s="42"/>
      <c r="BT799" s="42"/>
      <c r="BU799" s="42"/>
      <c r="BV799" s="42"/>
      <c r="BW799" s="42"/>
      <c r="BX799" s="42"/>
      <c r="BY799" s="42"/>
      <c r="BZ799" s="42"/>
      <c r="CA799" s="42"/>
      <c r="CB799" s="42"/>
      <c r="CC799" s="42"/>
      <c r="CD799" s="42"/>
      <c r="CE799" s="42"/>
      <c r="CF799" s="42"/>
      <c r="CG799" s="42"/>
      <c r="CH799" s="42"/>
      <c r="CI799" s="42"/>
      <c r="CJ799" s="42"/>
      <c r="CK799" s="42"/>
      <c r="CL799" s="42"/>
      <c r="CM799" s="42"/>
      <c r="CN799" s="42"/>
      <c r="CO799" s="42"/>
      <c r="CQ799" s="42"/>
      <c r="CR799" s="42"/>
      <c r="CS799" s="42"/>
      <c r="CT799" s="42"/>
      <c r="CU799" s="42"/>
      <c r="CV799" s="42"/>
      <c r="CW799" s="42"/>
      <c r="CX799" s="42"/>
      <c r="CY799" s="42"/>
      <c r="CZ799" s="42"/>
      <c r="DA799" s="42"/>
      <c r="DB799" s="42"/>
      <c r="DC799" s="42"/>
      <c r="DD799" s="42"/>
      <c r="DE799" s="42"/>
      <c r="DF799" s="42"/>
      <c r="DG799" s="42"/>
      <c r="DH799" s="42"/>
      <c r="DI799" s="42"/>
      <c r="DJ799" s="42"/>
      <c r="DK799" s="42"/>
      <c r="DL799" s="42"/>
      <c r="DM799" s="42"/>
      <c r="DN799" s="42"/>
      <c r="DO799" s="42"/>
    </row>
    <row r="800" spans="2:119" ht="18.75" customHeight="1" x14ac:dyDescent="0.55000000000000004">
      <c r="B800" s="99"/>
      <c r="C800" s="42"/>
      <c r="D800" s="112" t="s">
        <v>24</v>
      </c>
      <c r="E800" s="112"/>
      <c r="F800" s="45"/>
      <c r="G800" s="45"/>
      <c r="H800" s="45"/>
      <c r="I800" s="45"/>
      <c r="J800" s="45"/>
      <c r="K800" s="45"/>
      <c r="L800" s="45"/>
      <c r="M800" s="45"/>
      <c r="N800" s="45"/>
      <c r="O800" s="45"/>
      <c r="P800" s="42"/>
      <c r="Q800" s="112" t="s">
        <v>24</v>
      </c>
      <c r="R800" s="112"/>
      <c r="S800" s="45"/>
      <c r="T800" s="45"/>
      <c r="U800" s="45"/>
      <c r="V800" s="45"/>
      <c r="W800" s="45"/>
      <c r="X800" s="45"/>
      <c r="Y800" s="45"/>
      <c r="Z800" s="45"/>
      <c r="AA800" s="45"/>
      <c r="AB800" s="45"/>
      <c r="AC800" s="42"/>
      <c r="AD800" s="112" t="s">
        <v>24</v>
      </c>
      <c r="AE800" s="112"/>
      <c r="AF800" s="45"/>
      <c r="AG800" s="45"/>
      <c r="AH800" s="45"/>
      <c r="AI800" s="45"/>
      <c r="AJ800" s="45"/>
      <c r="AK800" s="45"/>
      <c r="AL800" s="45"/>
      <c r="AM800" s="45"/>
      <c r="AN800" s="45"/>
      <c r="AO800" s="45"/>
      <c r="AP800" s="6"/>
      <c r="AQ800" s="112" t="s">
        <v>24</v>
      </c>
      <c r="AR800" s="112"/>
      <c r="AS800" s="45"/>
      <c r="AT800" s="45"/>
      <c r="AU800" s="45"/>
      <c r="AV800" s="45"/>
      <c r="AW800" s="45"/>
      <c r="AX800" s="45"/>
      <c r="AY800" s="45"/>
      <c r="AZ800" s="45"/>
      <c r="BA800" s="45"/>
      <c r="BB800" s="45"/>
      <c r="BC800" s="42"/>
      <c r="BD800" s="112" t="s">
        <v>24</v>
      </c>
      <c r="BE800" s="112"/>
      <c r="BF800" s="45"/>
      <c r="BG800" s="45"/>
      <c r="BH800" s="45"/>
      <c r="BI800" s="45"/>
      <c r="BJ800" s="45"/>
      <c r="BK800" s="45"/>
      <c r="BL800" s="45"/>
      <c r="BM800" s="45"/>
      <c r="BN800" s="45"/>
      <c r="BO800" s="45"/>
      <c r="BQ800" s="112" t="s">
        <v>24</v>
      </c>
      <c r="BR800" s="112"/>
      <c r="BS800" s="45"/>
      <c r="BT800" s="45"/>
      <c r="BU800" s="45"/>
      <c r="BV800" s="45"/>
      <c r="BW800" s="45"/>
      <c r="BX800" s="45"/>
      <c r="BY800" s="45"/>
      <c r="BZ800" s="45"/>
      <c r="CA800" s="45"/>
      <c r="CB800" s="45"/>
      <c r="CC800" s="42"/>
      <c r="CD800" s="112" t="s">
        <v>24</v>
      </c>
      <c r="CE800" s="112"/>
      <c r="CF800" s="45"/>
      <c r="CG800" s="45"/>
      <c r="CH800" s="45"/>
      <c r="CI800" s="45"/>
      <c r="CJ800" s="45"/>
      <c r="CK800" s="45"/>
      <c r="CL800" s="45"/>
      <c r="CM800" s="45"/>
      <c r="CN800" s="45"/>
      <c r="CO800" s="45"/>
      <c r="CQ800" s="112" t="s">
        <v>24</v>
      </c>
      <c r="CR800" s="112"/>
      <c r="CS800" s="45"/>
      <c r="CT800" s="45"/>
      <c r="CU800" s="45"/>
      <c r="CV800" s="45"/>
      <c r="CW800" s="45"/>
      <c r="CX800" s="45"/>
      <c r="CY800" s="45"/>
      <c r="CZ800" s="45"/>
      <c r="DA800" s="45"/>
      <c r="DB800" s="45"/>
      <c r="DC800" s="42"/>
      <c r="DD800" s="112" t="s">
        <v>24</v>
      </c>
      <c r="DE800" s="112"/>
      <c r="DF800" s="45"/>
      <c r="DG800" s="45"/>
      <c r="DH800" s="45"/>
      <c r="DI800" s="45"/>
      <c r="DJ800" s="45"/>
      <c r="DK800" s="45"/>
      <c r="DL800" s="45"/>
      <c r="DM800" s="45"/>
      <c r="DN800" s="45"/>
      <c r="DO800" s="45"/>
    </row>
    <row r="801" spans="2:119" ht="28.9" customHeight="1" x14ac:dyDescent="0.45">
      <c r="B801" s="99"/>
      <c r="C801" s="42"/>
      <c r="D801" s="112"/>
      <c r="E801" s="112"/>
      <c r="F801" s="108" t="s">
        <v>12</v>
      </c>
      <c r="G801" s="108"/>
      <c r="H801" s="108"/>
      <c r="I801" s="108"/>
      <c r="J801" s="108"/>
      <c r="K801" s="108"/>
      <c r="L801" s="108"/>
      <c r="M801" s="108"/>
      <c r="N801" s="108"/>
      <c r="O801" s="108"/>
      <c r="P801" s="42"/>
      <c r="Q801" s="112"/>
      <c r="R801" s="112"/>
      <c r="S801" s="108" t="s">
        <v>12</v>
      </c>
      <c r="T801" s="108"/>
      <c r="U801" s="108"/>
      <c r="V801" s="108"/>
      <c r="W801" s="108"/>
      <c r="X801" s="108"/>
      <c r="Y801" s="108"/>
      <c r="Z801" s="108"/>
      <c r="AA801" s="108"/>
      <c r="AB801" s="108"/>
      <c r="AC801" s="42"/>
      <c r="AD801" s="112"/>
      <c r="AE801" s="112"/>
      <c r="AF801" s="108" t="s">
        <v>12</v>
      </c>
      <c r="AG801" s="108"/>
      <c r="AH801" s="108"/>
      <c r="AI801" s="108"/>
      <c r="AJ801" s="108"/>
      <c r="AK801" s="108"/>
      <c r="AL801" s="108"/>
      <c r="AM801" s="108"/>
      <c r="AN801" s="108"/>
      <c r="AO801" s="108"/>
      <c r="AP801" s="6"/>
      <c r="AQ801" s="112"/>
      <c r="AR801" s="112"/>
      <c r="AS801" s="108" t="s">
        <v>12</v>
      </c>
      <c r="AT801" s="108"/>
      <c r="AU801" s="108"/>
      <c r="AV801" s="108"/>
      <c r="AW801" s="108"/>
      <c r="AX801" s="108"/>
      <c r="AY801" s="108"/>
      <c r="AZ801" s="108"/>
      <c r="BA801" s="108"/>
      <c r="BB801" s="108"/>
      <c r="BC801" s="42"/>
      <c r="BD801" s="112"/>
      <c r="BE801" s="112"/>
      <c r="BF801" s="108" t="s">
        <v>12</v>
      </c>
      <c r="BG801" s="108"/>
      <c r="BH801" s="108"/>
      <c r="BI801" s="108"/>
      <c r="BJ801" s="108"/>
      <c r="BK801" s="108"/>
      <c r="BL801" s="108"/>
      <c r="BM801" s="108"/>
      <c r="BN801" s="108"/>
      <c r="BO801" s="108"/>
      <c r="BQ801" s="112"/>
      <c r="BR801" s="112"/>
      <c r="BS801" s="108" t="s">
        <v>12</v>
      </c>
      <c r="BT801" s="108"/>
      <c r="BU801" s="108"/>
      <c r="BV801" s="108"/>
      <c r="BW801" s="108"/>
      <c r="BX801" s="108"/>
      <c r="BY801" s="108"/>
      <c r="BZ801" s="108"/>
      <c r="CA801" s="108"/>
      <c r="CB801" s="108"/>
      <c r="CC801" s="42"/>
      <c r="CD801" s="112"/>
      <c r="CE801" s="112"/>
      <c r="CF801" s="108" t="s">
        <v>12</v>
      </c>
      <c r="CG801" s="108"/>
      <c r="CH801" s="108"/>
      <c r="CI801" s="108"/>
      <c r="CJ801" s="108"/>
      <c r="CK801" s="108"/>
      <c r="CL801" s="108"/>
      <c r="CM801" s="108"/>
      <c r="CN801" s="108"/>
      <c r="CO801" s="108"/>
      <c r="CQ801" s="112"/>
      <c r="CR801" s="112"/>
      <c r="CS801" s="108" t="s">
        <v>12</v>
      </c>
      <c r="CT801" s="108"/>
      <c r="CU801" s="108"/>
      <c r="CV801" s="108"/>
      <c r="CW801" s="108"/>
      <c r="CX801" s="108"/>
      <c r="CY801" s="108"/>
      <c r="CZ801" s="108"/>
      <c r="DA801" s="108"/>
      <c r="DB801" s="108"/>
      <c r="DC801" s="42"/>
      <c r="DD801" s="112"/>
      <c r="DE801" s="112"/>
      <c r="DF801" s="108" t="s">
        <v>12</v>
      </c>
      <c r="DG801" s="108"/>
      <c r="DH801" s="108"/>
      <c r="DI801" s="108"/>
      <c r="DJ801" s="108"/>
      <c r="DK801" s="108"/>
      <c r="DL801" s="108"/>
      <c r="DM801" s="108"/>
      <c r="DN801" s="108"/>
      <c r="DO801" s="108"/>
    </row>
    <row r="802" spans="2:119" ht="15" customHeight="1" x14ac:dyDescent="0.45">
      <c r="B802" s="99"/>
      <c r="C802" s="42"/>
      <c r="D802" s="113"/>
      <c r="E802" s="113"/>
      <c r="F802" s="9" t="s">
        <v>0</v>
      </c>
      <c r="G802" s="9">
        <v>1</v>
      </c>
      <c r="H802" s="9">
        <v>2</v>
      </c>
      <c r="I802" s="9">
        <v>3</v>
      </c>
      <c r="J802" s="9">
        <v>4</v>
      </c>
      <c r="K802" s="9">
        <v>5</v>
      </c>
      <c r="L802" s="9">
        <v>6</v>
      </c>
      <c r="M802" s="9">
        <v>7</v>
      </c>
      <c r="N802" s="9">
        <v>8</v>
      </c>
      <c r="O802" s="9">
        <v>9</v>
      </c>
      <c r="P802" s="42"/>
      <c r="Q802" s="113"/>
      <c r="R802" s="113"/>
      <c r="S802" s="9" t="s">
        <v>0</v>
      </c>
      <c r="T802" s="9">
        <v>1</v>
      </c>
      <c r="U802" s="9">
        <v>2</v>
      </c>
      <c r="V802" s="9">
        <v>3</v>
      </c>
      <c r="W802" s="9">
        <v>4</v>
      </c>
      <c r="X802" s="9">
        <v>5</v>
      </c>
      <c r="Y802" s="9">
        <v>6</v>
      </c>
      <c r="Z802" s="9">
        <v>7</v>
      </c>
      <c r="AA802" s="9">
        <v>8</v>
      </c>
      <c r="AB802" s="9">
        <v>9</v>
      </c>
      <c r="AC802" s="42"/>
      <c r="AD802" s="113"/>
      <c r="AE802" s="113"/>
      <c r="AF802" s="9" t="s">
        <v>0</v>
      </c>
      <c r="AG802" s="9">
        <v>1</v>
      </c>
      <c r="AH802" s="9">
        <v>2</v>
      </c>
      <c r="AI802" s="9">
        <v>3</v>
      </c>
      <c r="AJ802" s="9">
        <v>4</v>
      </c>
      <c r="AK802" s="9">
        <v>5</v>
      </c>
      <c r="AL802" s="9">
        <v>6</v>
      </c>
      <c r="AM802" s="9">
        <v>7</v>
      </c>
      <c r="AN802" s="9">
        <v>8</v>
      </c>
      <c r="AO802" s="9">
        <v>9</v>
      </c>
      <c r="AP802" s="6"/>
      <c r="AQ802" s="113"/>
      <c r="AR802" s="113"/>
      <c r="AS802" s="9" t="s">
        <v>0</v>
      </c>
      <c r="AT802" s="9">
        <v>1</v>
      </c>
      <c r="AU802" s="9">
        <v>2</v>
      </c>
      <c r="AV802" s="9">
        <v>3</v>
      </c>
      <c r="AW802" s="9">
        <v>4</v>
      </c>
      <c r="AX802" s="9">
        <v>5</v>
      </c>
      <c r="AY802" s="9">
        <v>6</v>
      </c>
      <c r="AZ802" s="9">
        <v>7</v>
      </c>
      <c r="BA802" s="9">
        <v>8</v>
      </c>
      <c r="BB802" s="9">
        <v>9</v>
      </c>
      <c r="BC802" s="42"/>
      <c r="BD802" s="113"/>
      <c r="BE802" s="113"/>
      <c r="BF802" s="9" t="s">
        <v>0</v>
      </c>
      <c r="BG802" s="9">
        <v>1</v>
      </c>
      <c r="BH802" s="9">
        <v>2</v>
      </c>
      <c r="BI802" s="9">
        <v>3</v>
      </c>
      <c r="BJ802" s="9">
        <v>4</v>
      </c>
      <c r="BK802" s="9">
        <v>5</v>
      </c>
      <c r="BL802" s="9">
        <v>6</v>
      </c>
      <c r="BM802" s="9">
        <v>7</v>
      </c>
      <c r="BN802" s="9">
        <v>8</v>
      </c>
      <c r="BO802" s="9">
        <v>9</v>
      </c>
      <c r="BQ802" s="113"/>
      <c r="BR802" s="113"/>
      <c r="BS802" s="9" t="s">
        <v>0</v>
      </c>
      <c r="BT802" s="9">
        <v>1</v>
      </c>
      <c r="BU802" s="9">
        <v>2</v>
      </c>
      <c r="BV802" s="9">
        <v>3</v>
      </c>
      <c r="BW802" s="9">
        <v>4</v>
      </c>
      <c r="BX802" s="9">
        <v>5</v>
      </c>
      <c r="BY802" s="9">
        <v>6</v>
      </c>
      <c r="BZ802" s="9">
        <v>7</v>
      </c>
      <c r="CA802" s="9">
        <v>8</v>
      </c>
      <c r="CB802" s="9">
        <v>9</v>
      </c>
      <c r="CC802" s="42"/>
      <c r="CD802" s="113"/>
      <c r="CE802" s="113"/>
      <c r="CF802" s="9" t="s">
        <v>0</v>
      </c>
      <c r="CG802" s="9">
        <v>1</v>
      </c>
      <c r="CH802" s="9">
        <v>2</v>
      </c>
      <c r="CI802" s="9">
        <v>3</v>
      </c>
      <c r="CJ802" s="9">
        <v>4</v>
      </c>
      <c r="CK802" s="9">
        <v>5</v>
      </c>
      <c r="CL802" s="9">
        <v>6</v>
      </c>
      <c r="CM802" s="9">
        <v>7</v>
      </c>
      <c r="CN802" s="9">
        <v>8</v>
      </c>
      <c r="CO802" s="9">
        <v>9</v>
      </c>
      <c r="CQ802" s="113"/>
      <c r="CR802" s="113"/>
      <c r="CS802" s="9" t="s">
        <v>0</v>
      </c>
      <c r="CT802" s="9">
        <v>1</v>
      </c>
      <c r="CU802" s="9">
        <v>2</v>
      </c>
      <c r="CV802" s="9">
        <v>3</v>
      </c>
      <c r="CW802" s="9">
        <v>4</v>
      </c>
      <c r="CX802" s="9">
        <v>5</v>
      </c>
      <c r="CY802" s="9">
        <v>6</v>
      </c>
      <c r="CZ802" s="9">
        <v>7</v>
      </c>
      <c r="DA802" s="9">
        <v>8</v>
      </c>
      <c r="DB802" s="9">
        <v>9</v>
      </c>
      <c r="DC802" s="42"/>
      <c r="DD802" s="113"/>
      <c r="DE802" s="113"/>
      <c r="DF802" s="9" t="s">
        <v>0</v>
      </c>
      <c r="DG802" s="9">
        <v>1</v>
      </c>
      <c r="DH802" s="9">
        <v>2</v>
      </c>
      <c r="DI802" s="9">
        <v>3</v>
      </c>
      <c r="DJ802" s="9">
        <v>4</v>
      </c>
      <c r="DK802" s="9">
        <v>5</v>
      </c>
      <c r="DL802" s="9">
        <v>6</v>
      </c>
      <c r="DM802" s="9">
        <v>7</v>
      </c>
      <c r="DN802" s="9">
        <v>8</v>
      </c>
      <c r="DO802" s="9">
        <v>9</v>
      </c>
    </row>
    <row r="803" spans="2:119" ht="16.5" customHeight="1" x14ac:dyDescent="0.45">
      <c r="B803" s="134" t="s">
        <v>51</v>
      </c>
      <c r="C803" s="42"/>
      <c r="D803" s="109" t="s">
        <v>13</v>
      </c>
      <c r="E803" s="46" t="s">
        <v>1</v>
      </c>
      <c r="F803" s="103">
        <v>0</v>
      </c>
      <c r="G803" s="103">
        <v>13</v>
      </c>
      <c r="H803" s="103">
        <v>22</v>
      </c>
      <c r="I803" s="103">
        <v>7</v>
      </c>
      <c r="J803" s="103">
        <v>11</v>
      </c>
      <c r="K803" s="103">
        <v>1</v>
      </c>
      <c r="L803" s="103">
        <v>4</v>
      </c>
      <c r="M803" s="103">
        <v>0</v>
      </c>
      <c r="N803" s="103">
        <v>2</v>
      </c>
      <c r="O803" s="17">
        <v>1</v>
      </c>
      <c r="P803" s="42"/>
      <c r="Q803" s="109" t="s">
        <v>13</v>
      </c>
      <c r="R803" s="46" t="s">
        <v>1</v>
      </c>
      <c r="S803" s="103">
        <v>0</v>
      </c>
      <c r="T803" s="103">
        <v>4</v>
      </c>
      <c r="U803" s="103">
        <v>8</v>
      </c>
      <c r="V803" s="103">
        <v>3</v>
      </c>
      <c r="W803" s="103">
        <v>7</v>
      </c>
      <c r="X803" s="103">
        <v>1</v>
      </c>
      <c r="Y803" s="103">
        <v>2</v>
      </c>
      <c r="Z803" s="103">
        <v>0</v>
      </c>
      <c r="AA803" s="103">
        <v>1</v>
      </c>
      <c r="AB803" s="17">
        <v>1</v>
      </c>
      <c r="AC803" s="42"/>
      <c r="AD803" s="109" t="s">
        <v>13</v>
      </c>
      <c r="AE803" s="46" t="s">
        <v>1</v>
      </c>
      <c r="AF803" s="103">
        <v>0</v>
      </c>
      <c r="AG803" s="103">
        <v>9</v>
      </c>
      <c r="AH803" s="103">
        <v>14</v>
      </c>
      <c r="AI803" s="103">
        <v>4</v>
      </c>
      <c r="AJ803" s="103">
        <v>4</v>
      </c>
      <c r="AK803" s="103">
        <v>0</v>
      </c>
      <c r="AL803" s="103">
        <v>2</v>
      </c>
      <c r="AM803" s="103">
        <v>0</v>
      </c>
      <c r="AN803" s="103">
        <v>1</v>
      </c>
      <c r="AO803" s="17">
        <v>0</v>
      </c>
      <c r="AP803" s="6"/>
      <c r="AQ803" s="109" t="s">
        <v>13</v>
      </c>
      <c r="AR803" s="46" t="s">
        <v>1</v>
      </c>
      <c r="AS803" s="103">
        <v>0</v>
      </c>
      <c r="AT803" s="103">
        <v>10</v>
      </c>
      <c r="AU803" s="103">
        <v>13</v>
      </c>
      <c r="AV803" s="103">
        <v>2</v>
      </c>
      <c r="AW803" s="103">
        <v>4</v>
      </c>
      <c r="AX803" s="103">
        <v>1</v>
      </c>
      <c r="AY803" s="103">
        <v>3</v>
      </c>
      <c r="AZ803" s="103">
        <v>0</v>
      </c>
      <c r="BA803" s="103">
        <v>0</v>
      </c>
      <c r="BB803" s="17">
        <v>0</v>
      </c>
      <c r="BC803" s="42"/>
      <c r="BD803" s="109" t="s">
        <v>13</v>
      </c>
      <c r="BE803" s="46" t="s">
        <v>1</v>
      </c>
      <c r="BF803" s="103">
        <v>0</v>
      </c>
      <c r="BG803" s="103">
        <v>3</v>
      </c>
      <c r="BH803" s="103">
        <v>9</v>
      </c>
      <c r="BI803" s="103">
        <v>5</v>
      </c>
      <c r="BJ803" s="103">
        <v>7</v>
      </c>
      <c r="BK803" s="103">
        <v>0</v>
      </c>
      <c r="BL803" s="103">
        <v>1</v>
      </c>
      <c r="BM803" s="103">
        <v>0</v>
      </c>
      <c r="BN803" s="103">
        <v>2</v>
      </c>
      <c r="BO803" s="17">
        <v>1</v>
      </c>
      <c r="BQ803" s="109" t="s">
        <v>13</v>
      </c>
      <c r="BR803" s="46" t="s">
        <v>1</v>
      </c>
      <c r="BS803" s="103">
        <v>0</v>
      </c>
      <c r="BT803" s="103">
        <v>12</v>
      </c>
      <c r="BU803" s="103">
        <v>19</v>
      </c>
      <c r="BV803" s="103">
        <v>4</v>
      </c>
      <c r="BW803" s="103">
        <v>6</v>
      </c>
      <c r="BX803" s="103">
        <v>0</v>
      </c>
      <c r="BY803" s="103">
        <v>3</v>
      </c>
      <c r="BZ803" s="103">
        <v>0</v>
      </c>
      <c r="CA803" s="103">
        <v>1</v>
      </c>
      <c r="CB803" s="17">
        <v>0</v>
      </c>
      <c r="CC803" s="42"/>
      <c r="CD803" s="109" t="s">
        <v>13</v>
      </c>
      <c r="CE803" s="46" t="s">
        <v>1</v>
      </c>
      <c r="CF803" s="103">
        <v>0</v>
      </c>
      <c r="CG803" s="103">
        <v>1</v>
      </c>
      <c r="CH803" s="103">
        <v>3</v>
      </c>
      <c r="CI803" s="103">
        <v>3</v>
      </c>
      <c r="CJ803" s="103">
        <v>5</v>
      </c>
      <c r="CK803" s="103">
        <v>1</v>
      </c>
      <c r="CL803" s="103">
        <v>1</v>
      </c>
      <c r="CM803" s="103">
        <v>0</v>
      </c>
      <c r="CN803" s="103">
        <v>1</v>
      </c>
      <c r="CO803" s="17">
        <v>1</v>
      </c>
      <c r="CQ803" s="109" t="s">
        <v>13</v>
      </c>
      <c r="CR803" s="46" t="s">
        <v>1</v>
      </c>
      <c r="CS803" s="103">
        <v>0</v>
      </c>
      <c r="CT803" s="103">
        <v>4</v>
      </c>
      <c r="CU803" s="103">
        <v>9</v>
      </c>
      <c r="CV803" s="103">
        <v>7</v>
      </c>
      <c r="CW803" s="103">
        <v>8</v>
      </c>
      <c r="CX803" s="103">
        <v>1</v>
      </c>
      <c r="CY803" s="103">
        <v>2</v>
      </c>
      <c r="CZ803" s="103">
        <v>0</v>
      </c>
      <c r="DA803" s="103">
        <v>2</v>
      </c>
      <c r="DB803" s="17">
        <v>1</v>
      </c>
      <c r="DC803" s="42"/>
      <c r="DD803" s="109" t="s">
        <v>13</v>
      </c>
      <c r="DE803" s="46" t="s">
        <v>1</v>
      </c>
      <c r="DF803" s="103">
        <v>0</v>
      </c>
      <c r="DG803" s="103">
        <v>9</v>
      </c>
      <c r="DH803" s="103">
        <v>13</v>
      </c>
      <c r="DI803" s="103">
        <v>0</v>
      </c>
      <c r="DJ803" s="103">
        <v>3</v>
      </c>
      <c r="DK803" s="103">
        <v>0</v>
      </c>
      <c r="DL803" s="103">
        <v>2</v>
      </c>
      <c r="DM803" s="103">
        <v>0</v>
      </c>
      <c r="DN803" s="103">
        <v>0</v>
      </c>
      <c r="DO803" s="17">
        <v>0</v>
      </c>
    </row>
    <row r="804" spans="2:119" ht="16.5" customHeight="1" x14ac:dyDescent="0.45">
      <c r="B804" s="134"/>
      <c r="C804" s="42"/>
      <c r="D804" s="110"/>
      <c r="E804" s="46">
        <v>1</v>
      </c>
      <c r="F804" s="103">
        <v>2</v>
      </c>
      <c r="G804" s="103">
        <v>51</v>
      </c>
      <c r="H804" s="103">
        <v>71</v>
      </c>
      <c r="I804" s="103">
        <v>54</v>
      </c>
      <c r="J804" s="103">
        <v>29</v>
      </c>
      <c r="K804" s="103">
        <v>17</v>
      </c>
      <c r="L804" s="103">
        <v>8</v>
      </c>
      <c r="M804" s="103">
        <v>1</v>
      </c>
      <c r="N804" s="103">
        <v>0</v>
      </c>
      <c r="O804" s="103">
        <v>2</v>
      </c>
      <c r="P804" s="42"/>
      <c r="Q804" s="110"/>
      <c r="R804" s="46">
        <v>1</v>
      </c>
      <c r="S804" s="103">
        <v>1</v>
      </c>
      <c r="T804" s="103">
        <v>25</v>
      </c>
      <c r="U804" s="103">
        <v>30</v>
      </c>
      <c r="V804" s="103">
        <v>22</v>
      </c>
      <c r="W804" s="103">
        <v>20</v>
      </c>
      <c r="X804" s="103">
        <v>15</v>
      </c>
      <c r="Y804" s="103">
        <v>4</v>
      </c>
      <c r="Z804" s="103">
        <v>1</v>
      </c>
      <c r="AA804" s="103">
        <v>0</v>
      </c>
      <c r="AB804" s="103">
        <v>2</v>
      </c>
      <c r="AC804" s="42"/>
      <c r="AD804" s="110"/>
      <c r="AE804" s="46">
        <v>1</v>
      </c>
      <c r="AF804" s="103">
        <v>1</v>
      </c>
      <c r="AG804" s="103">
        <v>26</v>
      </c>
      <c r="AH804" s="103">
        <v>41</v>
      </c>
      <c r="AI804" s="103">
        <v>32</v>
      </c>
      <c r="AJ804" s="103">
        <v>9</v>
      </c>
      <c r="AK804" s="103">
        <v>2</v>
      </c>
      <c r="AL804" s="103">
        <v>4</v>
      </c>
      <c r="AM804" s="103">
        <v>0</v>
      </c>
      <c r="AN804" s="103">
        <v>0</v>
      </c>
      <c r="AO804" s="103">
        <v>0</v>
      </c>
      <c r="AP804" s="6"/>
      <c r="AQ804" s="110"/>
      <c r="AR804" s="46">
        <v>1</v>
      </c>
      <c r="AS804" s="103">
        <v>1</v>
      </c>
      <c r="AT804" s="103">
        <v>32</v>
      </c>
      <c r="AU804" s="103">
        <v>42</v>
      </c>
      <c r="AV804" s="103">
        <v>28</v>
      </c>
      <c r="AW804" s="103">
        <v>11</v>
      </c>
      <c r="AX804" s="103">
        <v>8</v>
      </c>
      <c r="AY804" s="103">
        <v>0</v>
      </c>
      <c r="AZ804" s="103">
        <v>0</v>
      </c>
      <c r="BA804" s="103">
        <v>0</v>
      </c>
      <c r="BB804" s="103">
        <v>0</v>
      </c>
      <c r="BC804" s="42"/>
      <c r="BD804" s="110"/>
      <c r="BE804" s="46">
        <v>1</v>
      </c>
      <c r="BF804" s="103">
        <v>1</v>
      </c>
      <c r="BG804" s="103">
        <v>19</v>
      </c>
      <c r="BH804" s="103">
        <v>29</v>
      </c>
      <c r="BI804" s="103">
        <v>26</v>
      </c>
      <c r="BJ804" s="103">
        <v>18</v>
      </c>
      <c r="BK804" s="103">
        <v>9</v>
      </c>
      <c r="BL804" s="103">
        <v>8</v>
      </c>
      <c r="BM804" s="103">
        <v>1</v>
      </c>
      <c r="BN804" s="103">
        <v>0</v>
      </c>
      <c r="BO804" s="103">
        <v>2</v>
      </c>
      <c r="BQ804" s="110"/>
      <c r="BR804" s="46">
        <v>1</v>
      </c>
      <c r="BS804" s="103">
        <v>2</v>
      </c>
      <c r="BT804" s="103">
        <v>50</v>
      </c>
      <c r="BU804" s="103">
        <v>62</v>
      </c>
      <c r="BV804" s="103">
        <v>45</v>
      </c>
      <c r="BW804" s="103">
        <v>16</v>
      </c>
      <c r="BX804" s="103">
        <v>6</v>
      </c>
      <c r="BY804" s="103">
        <v>2</v>
      </c>
      <c r="BZ804" s="103">
        <v>0</v>
      </c>
      <c r="CA804" s="103">
        <v>0</v>
      </c>
      <c r="CB804" s="103">
        <v>0</v>
      </c>
      <c r="CC804" s="42"/>
      <c r="CD804" s="110"/>
      <c r="CE804" s="46">
        <v>1</v>
      </c>
      <c r="CF804" s="103">
        <v>0</v>
      </c>
      <c r="CG804" s="103">
        <v>1</v>
      </c>
      <c r="CH804" s="103">
        <v>9</v>
      </c>
      <c r="CI804" s="103">
        <v>9</v>
      </c>
      <c r="CJ804" s="103">
        <v>13</v>
      </c>
      <c r="CK804" s="103">
        <v>11</v>
      </c>
      <c r="CL804" s="103">
        <v>6</v>
      </c>
      <c r="CM804" s="103">
        <v>1</v>
      </c>
      <c r="CN804" s="103">
        <v>0</v>
      </c>
      <c r="CO804" s="103">
        <v>2</v>
      </c>
      <c r="CQ804" s="110"/>
      <c r="CR804" s="46">
        <v>1</v>
      </c>
      <c r="CS804" s="103">
        <v>1</v>
      </c>
      <c r="CT804" s="103">
        <v>10</v>
      </c>
      <c r="CU804" s="103">
        <v>24</v>
      </c>
      <c r="CV804" s="103">
        <v>23</v>
      </c>
      <c r="CW804" s="103">
        <v>20</v>
      </c>
      <c r="CX804" s="103">
        <v>13</v>
      </c>
      <c r="CY804" s="103">
        <v>7</v>
      </c>
      <c r="CZ804" s="103">
        <v>1</v>
      </c>
      <c r="DA804" s="103">
        <v>0</v>
      </c>
      <c r="DB804" s="103">
        <v>2</v>
      </c>
      <c r="DC804" s="42"/>
      <c r="DD804" s="110"/>
      <c r="DE804" s="46">
        <v>1</v>
      </c>
      <c r="DF804" s="103">
        <v>1</v>
      </c>
      <c r="DG804" s="103">
        <v>41</v>
      </c>
      <c r="DH804" s="103">
        <v>47</v>
      </c>
      <c r="DI804" s="103">
        <v>31</v>
      </c>
      <c r="DJ804" s="103">
        <v>9</v>
      </c>
      <c r="DK804" s="103">
        <v>4</v>
      </c>
      <c r="DL804" s="103">
        <v>1</v>
      </c>
      <c r="DM804" s="103">
        <v>0</v>
      </c>
      <c r="DN804" s="103">
        <v>0</v>
      </c>
      <c r="DO804" s="103">
        <v>0</v>
      </c>
    </row>
    <row r="805" spans="2:119" ht="16.5" customHeight="1" x14ac:dyDescent="0.45">
      <c r="B805" s="134"/>
      <c r="C805" s="42"/>
      <c r="D805" s="110"/>
      <c r="E805" s="46" t="s">
        <v>2</v>
      </c>
      <c r="F805" s="103">
        <v>49</v>
      </c>
      <c r="G805" s="103">
        <v>391</v>
      </c>
      <c r="H805" s="103">
        <v>1006</v>
      </c>
      <c r="I805" s="103">
        <v>1246</v>
      </c>
      <c r="J805" s="103">
        <v>733</v>
      </c>
      <c r="K805" s="103">
        <v>342</v>
      </c>
      <c r="L805" s="103">
        <v>144</v>
      </c>
      <c r="M805" s="103">
        <v>43</v>
      </c>
      <c r="N805" s="103">
        <v>14</v>
      </c>
      <c r="O805" s="103">
        <v>7</v>
      </c>
      <c r="P805" s="42"/>
      <c r="Q805" s="110"/>
      <c r="R805" s="46" t="s">
        <v>2</v>
      </c>
      <c r="S805" s="103">
        <v>16</v>
      </c>
      <c r="T805" s="103">
        <v>165</v>
      </c>
      <c r="U805" s="103">
        <v>461</v>
      </c>
      <c r="V805" s="103">
        <v>643</v>
      </c>
      <c r="W805" s="103">
        <v>392</v>
      </c>
      <c r="X805" s="103">
        <v>218</v>
      </c>
      <c r="Y805" s="103">
        <v>99</v>
      </c>
      <c r="Z805" s="103">
        <v>34</v>
      </c>
      <c r="AA805" s="103">
        <v>13</v>
      </c>
      <c r="AB805" s="103">
        <v>6</v>
      </c>
      <c r="AC805" s="42"/>
      <c r="AD805" s="110"/>
      <c r="AE805" s="46" t="s">
        <v>2</v>
      </c>
      <c r="AF805" s="103">
        <v>33</v>
      </c>
      <c r="AG805" s="103">
        <v>226</v>
      </c>
      <c r="AH805" s="103">
        <v>545</v>
      </c>
      <c r="AI805" s="103">
        <v>603</v>
      </c>
      <c r="AJ805" s="103">
        <v>341</v>
      </c>
      <c r="AK805" s="103">
        <v>124</v>
      </c>
      <c r="AL805" s="103">
        <v>45</v>
      </c>
      <c r="AM805" s="103">
        <v>9</v>
      </c>
      <c r="AN805" s="103">
        <v>1</v>
      </c>
      <c r="AO805" s="103">
        <v>1</v>
      </c>
      <c r="AP805" s="6"/>
      <c r="AQ805" s="110"/>
      <c r="AR805" s="46" t="s">
        <v>2</v>
      </c>
      <c r="AS805" s="103">
        <v>31</v>
      </c>
      <c r="AT805" s="103">
        <v>223</v>
      </c>
      <c r="AU805" s="103">
        <v>569</v>
      </c>
      <c r="AV805" s="103">
        <v>647</v>
      </c>
      <c r="AW805" s="103">
        <v>380</v>
      </c>
      <c r="AX805" s="103">
        <v>145</v>
      </c>
      <c r="AY805" s="103">
        <v>60</v>
      </c>
      <c r="AZ805" s="103">
        <v>11</v>
      </c>
      <c r="BA805" s="103">
        <v>6</v>
      </c>
      <c r="BB805" s="103">
        <v>3</v>
      </c>
      <c r="BC805" s="42"/>
      <c r="BD805" s="110"/>
      <c r="BE805" s="46" t="s">
        <v>2</v>
      </c>
      <c r="BF805" s="103">
        <v>18</v>
      </c>
      <c r="BG805" s="103">
        <v>168</v>
      </c>
      <c r="BH805" s="103">
        <v>437</v>
      </c>
      <c r="BI805" s="103">
        <v>599</v>
      </c>
      <c r="BJ805" s="103">
        <v>353</v>
      </c>
      <c r="BK805" s="103">
        <v>197</v>
      </c>
      <c r="BL805" s="103">
        <v>84</v>
      </c>
      <c r="BM805" s="103">
        <v>32</v>
      </c>
      <c r="BN805" s="103">
        <v>8</v>
      </c>
      <c r="BO805" s="103">
        <v>4</v>
      </c>
      <c r="BQ805" s="110"/>
      <c r="BR805" s="46" t="s">
        <v>2</v>
      </c>
      <c r="BS805" s="103">
        <v>37</v>
      </c>
      <c r="BT805" s="103">
        <v>314</v>
      </c>
      <c r="BU805" s="103">
        <v>795</v>
      </c>
      <c r="BV805" s="103">
        <v>920</v>
      </c>
      <c r="BW805" s="103">
        <v>510</v>
      </c>
      <c r="BX805" s="103">
        <v>215</v>
      </c>
      <c r="BY805" s="103">
        <v>80</v>
      </c>
      <c r="BZ805" s="103">
        <v>23</v>
      </c>
      <c r="CA805" s="103">
        <v>7</v>
      </c>
      <c r="CB805" s="103">
        <v>3</v>
      </c>
      <c r="CC805" s="42"/>
      <c r="CD805" s="110"/>
      <c r="CE805" s="46" t="s">
        <v>2</v>
      </c>
      <c r="CF805" s="103">
        <v>12</v>
      </c>
      <c r="CG805" s="103">
        <v>77</v>
      </c>
      <c r="CH805" s="103">
        <v>211</v>
      </c>
      <c r="CI805" s="103">
        <v>326</v>
      </c>
      <c r="CJ805" s="103">
        <v>223</v>
      </c>
      <c r="CK805" s="103">
        <v>127</v>
      </c>
      <c r="CL805" s="103">
        <v>64</v>
      </c>
      <c r="CM805" s="103">
        <v>20</v>
      </c>
      <c r="CN805" s="103">
        <v>7</v>
      </c>
      <c r="CO805" s="103">
        <v>4</v>
      </c>
      <c r="CQ805" s="110"/>
      <c r="CR805" s="46" t="s">
        <v>2</v>
      </c>
      <c r="CS805" s="103">
        <v>13</v>
      </c>
      <c r="CT805" s="103">
        <v>78</v>
      </c>
      <c r="CU805" s="103">
        <v>211</v>
      </c>
      <c r="CV805" s="103">
        <v>313</v>
      </c>
      <c r="CW805" s="103">
        <v>231</v>
      </c>
      <c r="CX805" s="103">
        <v>131</v>
      </c>
      <c r="CY805" s="103">
        <v>75</v>
      </c>
      <c r="CZ805" s="103">
        <v>22</v>
      </c>
      <c r="DA805" s="103">
        <v>7</v>
      </c>
      <c r="DB805" s="103">
        <v>3</v>
      </c>
      <c r="DC805" s="42"/>
      <c r="DD805" s="110"/>
      <c r="DE805" s="46" t="s">
        <v>2</v>
      </c>
      <c r="DF805" s="103">
        <v>36</v>
      </c>
      <c r="DG805" s="103">
        <v>313</v>
      </c>
      <c r="DH805" s="103">
        <v>795</v>
      </c>
      <c r="DI805" s="103">
        <v>933</v>
      </c>
      <c r="DJ805" s="103">
        <v>502</v>
      </c>
      <c r="DK805" s="103">
        <v>211</v>
      </c>
      <c r="DL805" s="103">
        <v>69</v>
      </c>
      <c r="DM805" s="103">
        <v>21</v>
      </c>
      <c r="DN805" s="103">
        <v>7</v>
      </c>
      <c r="DO805" s="103">
        <v>4</v>
      </c>
    </row>
    <row r="806" spans="2:119" ht="16.5" customHeight="1" x14ac:dyDescent="0.45">
      <c r="B806" s="134"/>
      <c r="C806" s="42"/>
      <c r="D806" s="110"/>
      <c r="E806" s="46" t="s">
        <v>3</v>
      </c>
      <c r="F806" s="103">
        <v>27</v>
      </c>
      <c r="G806" s="103">
        <v>170</v>
      </c>
      <c r="H806" s="103">
        <v>461</v>
      </c>
      <c r="I806" s="103">
        <v>732</v>
      </c>
      <c r="J806" s="103">
        <v>531</v>
      </c>
      <c r="K806" s="103">
        <v>294</v>
      </c>
      <c r="L806" s="103">
        <v>126</v>
      </c>
      <c r="M806" s="103">
        <v>49</v>
      </c>
      <c r="N806" s="103">
        <v>21</v>
      </c>
      <c r="O806" s="103">
        <v>4</v>
      </c>
      <c r="P806" s="42"/>
      <c r="Q806" s="110"/>
      <c r="R806" s="46" t="s">
        <v>3</v>
      </c>
      <c r="S806" s="103">
        <v>13</v>
      </c>
      <c r="T806" s="103">
        <v>79</v>
      </c>
      <c r="U806" s="103">
        <v>222</v>
      </c>
      <c r="V806" s="103">
        <v>397</v>
      </c>
      <c r="W806" s="103">
        <v>305</v>
      </c>
      <c r="X806" s="103">
        <v>191</v>
      </c>
      <c r="Y806" s="103">
        <v>83</v>
      </c>
      <c r="Z806" s="103">
        <v>41</v>
      </c>
      <c r="AA806" s="103">
        <v>15</v>
      </c>
      <c r="AB806" s="103">
        <v>3</v>
      </c>
      <c r="AC806" s="42"/>
      <c r="AD806" s="110"/>
      <c r="AE806" s="46" t="s">
        <v>3</v>
      </c>
      <c r="AF806" s="103">
        <v>14</v>
      </c>
      <c r="AG806" s="103">
        <v>91</v>
      </c>
      <c r="AH806" s="103">
        <v>239</v>
      </c>
      <c r="AI806" s="103">
        <v>335</v>
      </c>
      <c r="AJ806" s="103">
        <v>226</v>
      </c>
      <c r="AK806" s="103">
        <v>103</v>
      </c>
      <c r="AL806" s="103">
        <v>43</v>
      </c>
      <c r="AM806" s="103">
        <v>8</v>
      </c>
      <c r="AN806" s="103">
        <v>6</v>
      </c>
      <c r="AO806" s="103">
        <v>1</v>
      </c>
      <c r="AP806" s="6"/>
      <c r="AQ806" s="110"/>
      <c r="AR806" s="46" t="s">
        <v>3</v>
      </c>
      <c r="AS806" s="103">
        <v>18</v>
      </c>
      <c r="AT806" s="103">
        <v>98</v>
      </c>
      <c r="AU806" s="103">
        <v>244</v>
      </c>
      <c r="AV806" s="103">
        <v>370</v>
      </c>
      <c r="AW806" s="103">
        <v>241</v>
      </c>
      <c r="AX806" s="103">
        <v>125</v>
      </c>
      <c r="AY806" s="103">
        <v>43</v>
      </c>
      <c r="AZ806" s="103">
        <v>16</v>
      </c>
      <c r="BA806" s="103">
        <v>2</v>
      </c>
      <c r="BB806" s="103">
        <v>1</v>
      </c>
      <c r="BC806" s="42"/>
      <c r="BD806" s="110"/>
      <c r="BE806" s="46" t="s">
        <v>3</v>
      </c>
      <c r="BF806" s="103">
        <v>9</v>
      </c>
      <c r="BG806" s="103">
        <v>72</v>
      </c>
      <c r="BH806" s="103">
        <v>217</v>
      </c>
      <c r="BI806" s="103">
        <v>362</v>
      </c>
      <c r="BJ806" s="103">
        <v>290</v>
      </c>
      <c r="BK806" s="103">
        <v>169</v>
      </c>
      <c r="BL806" s="103">
        <v>83</v>
      </c>
      <c r="BM806" s="103">
        <v>33</v>
      </c>
      <c r="BN806" s="103">
        <v>19</v>
      </c>
      <c r="BO806" s="103">
        <v>3</v>
      </c>
      <c r="BQ806" s="110"/>
      <c r="BR806" s="46" t="s">
        <v>3</v>
      </c>
      <c r="BS806" s="103">
        <v>19</v>
      </c>
      <c r="BT806" s="103">
        <v>106</v>
      </c>
      <c r="BU806" s="103">
        <v>278</v>
      </c>
      <c r="BV806" s="103">
        <v>422</v>
      </c>
      <c r="BW806" s="103">
        <v>300</v>
      </c>
      <c r="BX806" s="103">
        <v>159</v>
      </c>
      <c r="BY806" s="103">
        <v>57</v>
      </c>
      <c r="BZ806" s="103">
        <v>27</v>
      </c>
      <c r="CA806" s="103">
        <v>12</v>
      </c>
      <c r="CB806" s="103">
        <v>1</v>
      </c>
      <c r="CC806" s="42"/>
      <c r="CD806" s="110"/>
      <c r="CE806" s="46" t="s">
        <v>3</v>
      </c>
      <c r="CF806" s="103">
        <v>8</v>
      </c>
      <c r="CG806" s="103">
        <v>64</v>
      </c>
      <c r="CH806" s="103">
        <v>183</v>
      </c>
      <c r="CI806" s="103">
        <v>310</v>
      </c>
      <c r="CJ806" s="103">
        <v>231</v>
      </c>
      <c r="CK806" s="103">
        <v>135</v>
      </c>
      <c r="CL806" s="103">
        <v>69</v>
      </c>
      <c r="CM806" s="103">
        <v>22</v>
      </c>
      <c r="CN806" s="103">
        <v>9</v>
      </c>
      <c r="CO806" s="103">
        <v>3</v>
      </c>
      <c r="CQ806" s="110"/>
      <c r="CR806" s="46" t="s">
        <v>3</v>
      </c>
      <c r="CS806" s="103">
        <v>1</v>
      </c>
      <c r="CT806" s="103">
        <v>27</v>
      </c>
      <c r="CU806" s="103">
        <v>63</v>
      </c>
      <c r="CV806" s="103">
        <v>127</v>
      </c>
      <c r="CW806" s="103">
        <v>131</v>
      </c>
      <c r="CX806" s="103">
        <v>79</v>
      </c>
      <c r="CY806" s="103">
        <v>45</v>
      </c>
      <c r="CZ806" s="103">
        <v>19</v>
      </c>
      <c r="DA806" s="103">
        <v>7</v>
      </c>
      <c r="DB806" s="103">
        <v>2</v>
      </c>
      <c r="DC806" s="42"/>
      <c r="DD806" s="110"/>
      <c r="DE806" s="46" t="s">
        <v>3</v>
      </c>
      <c r="DF806" s="103">
        <v>26</v>
      </c>
      <c r="DG806" s="103">
        <v>143</v>
      </c>
      <c r="DH806" s="103">
        <v>398</v>
      </c>
      <c r="DI806" s="103">
        <v>605</v>
      </c>
      <c r="DJ806" s="103">
        <v>400</v>
      </c>
      <c r="DK806" s="103">
        <v>215</v>
      </c>
      <c r="DL806" s="103">
        <v>81</v>
      </c>
      <c r="DM806" s="103">
        <v>30</v>
      </c>
      <c r="DN806" s="103">
        <v>14</v>
      </c>
      <c r="DO806" s="103">
        <v>2</v>
      </c>
    </row>
    <row r="807" spans="2:119" ht="16.5" customHeight="1" x14ac:dyDescent="0.45">
      <c r="B807" s="134"/>
      <c r="C807" s="42"/>
      <c r="D807" s="110"/>
      <c r="E807" s="46" t="s">
        <v>4</v>
      </c>
      <c r="F807" s="103">
        <v>33</v>
      </c>
      <c r="G807" s="103">
        <v>231</v>
      </c>
      <c r="H807" s="103">
        <v>606</v>
      </c>
      <c r="I807" s="103">
        <v>999</v>
      </c>
      <c r="J807" s="103">
        <v>780</v>
      </c>
      <c r="K807" s="103">
        <v>522</v>
      </c>
      <c r="L807" s="103">
        <v>219</v>
      </c>
      <c r="M807" s="103">
        <v>79</v>
      </c>
      <c r="N807" s="103">
        <v>28</v>
      </c>
      <c r="O807" s="103">
        <v>12</v>
      </c>
      <c r="P807" s="42"/>
      <c r="Q807" s="110"/>
      <c r="R807" s="46" t="s">
        <v>4</v>
      </c>
      <c r="S807" s="103">
        <v>11</v>
      </c>
      <c r="T807" s="103">
        <v>96</v>
      </c>
      <c r="U807" s="103">
        <v>280</v>
      </c>
      <c r="V807" s="103">
        <v>559</v>
      </c>
      <c r="W807" s="103">
        <v>486</v>
      </c>
      <c r="X807" s="103">
        <v>355</v>
      </c>
      <c r="Y807" s="103">
        <v>170</v>
      </c>
      <c r="Z807" s="103">
        <v>65</v>
      </c>
      <c r="AA807" s="103">
        <v>22</v>
      </c>
      <c r="AB807" s="103">
        <v>11</v>
      </c>
      <c r="AC807" s="42"/>
      <c r="AD807" s="110"/>
      <c r="AE807" s="46" t="s">
        <v>4</v>
      </c>
      <c r="AF807" s="103">
        <v>22</v>
      </c>
      <c r="AG807" s="103">
        <v>135</v>
      </c>
      <c r="AH807" s="103">
        <v>326</v>
      </c>
      <c r="AI807" s="103">
        <v>440</v>
      </c>
      <c r="AJ807" s="103">
        <v>294</v>
      </c>
      <c r="AK807" s="103">
        <v>167</v>
      </c>
      <c r="AL807" s="103">
        <v>49</v>
      </c>
      <c r="AM807" s="103">
        <v>14</v>
      </c>
      <c r="AN807" s="103">
        <v>6</v>
      </c>
      <c r="AO807" s="103">
        <v>1</v>
      </c>
      <c r="AP807" s="6"/>
      <c r="AQ807" s="110"/>
      <c r="AR807" s="46" t="s">
        <v>4</v>
      </c>
      <c r="AS807" s="103">
        <v>21</v>
      </c>
      <c r="AT807" s="103">
        <v>137</v>
      </c>
      <c r="AU807" s="103">
        <v>325</v>
      </c>
      <c r="AV807" s="103">
        <v>471</v>
      </c>
      <c r="AW807" s="103">
        <v>337</v>
      </c>
      <c r="AX807" s="103">
        <v>210</v>
      </c>
      <c r="AY807" s="103">
        <v>81</v>
      </c>
      <c r="AZ807" s="103">
        <v>24</v>
      </c>
      <c r="BA807" s="103">
        <v>5</v>
      </c>
      <c r="BB807" s="103">
        <v>5</v>
      </c>
      <c r="BC807" s="42"/>
      <c r="BD807" s="110"/>
      <c r="BE807" s="46" t="s">
        <v>4</v>
      </c>
      <c r="BF807" s="103">
        <v>12</v>
      </c>
      <c r="BG807" s="103">
        <v>94</v>
      </c>
      <c r="BH807" s="103">
        <v>281</v>
      </c>
      <c r="BI807" s="103">
        <v>528</v>
      </c>
      <c r="BJ807" s="103">
        <v>443</v>
      </c>
      <c r="BK807" s="103">
        <v>312</v>
      </c>
      <c r="BL807" s="103">
        <v>138</v>
      </c>
      <c r="BM807" s="103">
        <v>55</v>
      </c>
      <c r="BN807" s="103">
        <v>23</v>
      </c>
      <c r="BO807" s="103">
        <v>7</v>
      </c>
      <c r="BQ807" s="110"/>
      <c r="BR807" s="46" t="s">
        <v>4</v>
      </c>
      <c r="BS807" s="103">
        <v>16</v>
      </c>
      <c r="BT807" s="103">
        <v>114</v>
      </c>
      <c r="BU807" s="103">
        <v>314</v>
      </c>
      <c r="BV807" s="103">
        <v>462</v>
      </c>
      <c r="BW807" s="103">
        <v>312</v>
      </c>
      <c r="BX807" s="103">
        <v>215</v>
      </c>
      <c r="BY807" s="103">
        <v>75</v>
      </c>
      <c r="BZ807" s="103">
        <v>27</v>
      </c>
      <c r="CA807" s="103">
        <v>5</v>
      </c>
      <c r="CB807" s="103">
        <v>4</v>
      </c>
      <c r="CC807" s="42"/>
      <c r="CD807" s="110"/>
      <c r="CE807" s="46" t="s">
        <v>4</v>
      </c>
      <c r="CF807" s="103">
        <v>17</v>
      </c>
      <c r="CG807" s="103">
        <v>117</v>
      </c>
      <c r="CH807" s="103">
        <v>292</v>
      </c>
      <c r="CI807" s="103">
        <v>537</v>
      </c>
      <c r="CJ807" s="103">
        <v>468</v>
      </c>
      <c r="CK807" s="103">
        <v>307</v>
      </c>
      <c r="CL807" s="103">
        <v>144</v>
      </c>
      <c r="CM807" s="103">
        <v>52</v>
      </c>
      <c r="CN807" s="103">
        <v>23</v>
      </c>
      <c r="CO807" s="103">
        <v>8</v>
      </c>
      <c r="CQ807" s="110"/>
      <c r="CR807" s="46" t="s">
        <v>4</v>
      </c>
      <c r="CS807" s="103">
        <v>1</v>
      </c>
      <c r="CT807" s="103">
        <v>33</v>
      </c>
      <c r="CU807" s="103">
        <v>87</v>
      </c>
      <c r="CV807" s="103">
        <v>169</v>
      </c>
      <c r="CW807" s="103">
        <v>163</v>
      </c>
      <c r="CX807" s="103">
        <v>119</v>
      </c>
      <c r="CY807" s="103">
        <v>55</v>
      </c>
      <c r="CZ807" s="103">
        <v>34</v>
      </c>
      <c r="DA807" s="103">
        <v>10</v>
      </c>
      <c r="DB807" s="103">
        <v>2</v>
      </c>
      <c r="DC807" s="42"/>
      <c r="DD807" s="110"/>
      <c r="DE807" s="46" t="s">
        <v>4</v>
      </c>
      <c r="DF807" s="103">
        <v>32</v>
      </c>
      <c r="DG807" s="103">
        <v>198</v>
      </c>
      <c r="DH807" s="103">
        <v>519</v>
      </c>
      <c r="DI807" s="103">
        <v>830</v>
      </c>
      <c r="DJ807" s="103">
        <v>617</v>
      </c>
      <c r="DK807" s="103">
        <v>403</v>
      </c>
      <c r="DL807" s="103">
        <v>164</v>
      </c>
      <c r="DM807" s="103">
        <v>45</v>
      </c>
      <c r="DN807" s="103">
        <v>18</v>
      </c>
      <c r="DO807" s="103">
        <v>10</v>
      </c>
    </row>
    <row r="808" spans="2:119" ht="16.5" customHeight="1" x14ac:dyDescent="0.45">
      <c r="B808" s="134"/>
      <c r="C808" s="42"/>
      <c r="D808" s="110"/>
      <c r="E808" s="46" t="s">
        <v>5</v>
      </c>
      <c r="F808" s="103">
        <v>34</v>
      </c>
      <c r="G808" s="103">
        <v>279</v>
      </c>
      <c r="H808" s="103">
        <v>859</v>
      </c>
      <c r="I808" s="103">
        <v>1555</v>
      </c>
      <c r="J808" s="103">
        <v>1336</v>
      </c>
      <c r="K808" s="103">
        <v>1034</v>
      </c>
      <c r="L808" s="103">
        <v>513</v>
      </c>
      <c r="M808" s="103">
        <v>154</v>
      </c>
      <c r="N808" s="103">
        <v>64</v>
      </c>
      <c r="O808" s="103">
        <v>32</v>
      </c>
      <c r="P808" s="42"/>
      <c r="Q808" s="110"/>
      <c r="R808" s="46" t="s">
        <v>5</v>
      </c>
      <c r="S808" s="103">
        <v>16</v>
      </c>
      <c r="T808" s="103">
        <v>123</v>
      </c>
      <c r="U808" s="103">
        <v>429</v>
      </c>
      <c r="V808" s="103">
        <v>898</v>
      </c>
      <c r="W808" s="103">
        <v>860</v>
      </c>
      <c r="X808" s="103">
        <v>746</v>
      </c>
      <c r="Y808" s="103">
        <v>413</v>
      </c>
      <c r="Z808" s="103">
        <v>125</v>
      </c>
      <c r="AA808" s="103">
        <v>59</v>
      </c>
      <c r="AB808" s="103">
        <v>23</v>
      </c>
      <c r="AC808" s="42"/>
      <c r="AD808" s="110"/>
      <c r="AE808" s="46" t="s">
        <v>5</v>
      </c>
      <c r="AF808" s="103">
        <v>18</v>
      </c>
      <c r="AG808" s="103">
        <v>156</v>
      </c>
      <c r="AH808" s="103">
        <v>430</v>
      </c>
      <c r="AI808" s="103">
        <v>657</v>
      </c>
      <c r="AJ808" s="103">
        <v>476</v>
      </c>
      <c r="AK808" s="103">
        <v>288</v>
      </c>
      <c r="AL808" s="103">
        <v>100</v>
      </c>
      <c r="AM808" s="103">
        <v>29</v>
      </c>
      <c r="AN808" s="103">
        <v>5</v>
      </c>
      <c r="AO808" s="103">
        <v>9</v>
      </c>
      <c r="AP808" s="6"/>
      <c r="AQ808" s="110"/>
      <c r="AR808" s="46" t="s">
        <v>5</v>
      </c>
      <c r="AS808" s="103">
        <v>21</v>
      </c>
      <c r="AT808" s="103">
        <v>160</v>
      </c>
      <c r="AU808" s="103">
        <v>411</v>
      </c>
      <c r="AV808" s="103">
        <v>665</v>
      </c>
      <c r="AW808" s="103">
        <v>532</v>
      </c>
      <c r="AX808" s="103">
        <v>359</v>
      </c>
      <c r="AY808" s="103">
        <v>163</v>
      </c>
      <c r="AZ808" s="103">
        <v>41</v>
      </c>
      <c r="BA808" s="103">
        <v>13</v>
      </c>
      <c r="BB808" s="103">
        <v>9</v>
      </c>
      <c r="BC808" s="42"/>
      <c r="BD808" s="110"/>
      <c r="BE808" s="46" t="s">
        <v>5</v>
      </c>
      <c r="BF808" s="103">
        <v>13</v>
      </c>
      <c r="BG808" s="103">
        <v>119</v>
      </c>
      <c r="BH808" s="103">
        <v>448</v>
      </c>
      <c r="BI808" s="103">
        <v>890</v>
      </c>
      <c r="BJ808" s="103">
        <v>804</v>
      </c>
      <c r="BK808" s="103">
        <v>675</v>
      </c>
      <c r="BL808" s="103">
        <v>350</v>
      </c>
      <c r="BM808" s="103">
        <v>113</v>
      </c>
      <c r="BN808" s="103">
        <v>51</v>
      </c>
      <c r="BO808" s="103">
        <v>23</v>
      </c>
      <c r="BQ808" s="110"/>
      <c r="BR808" s="46" t="s">
        <v>5</v>
      </c>
      <c r="BS808" s="103">
        <v>10</v>
      </c>
      <c r="BT808" s="103">
        <v>107</v>
      </c>
      <c r="BU808" s="103">
        <v>309</v>
      </c>
      <c r="BV808" s="103">
        <v>529</v>
      </c>
      <c r="BW808" s="103">
        <v>403</v>
      </c>
      <c r="BX808" s="103">
        <v>271</v>
      </c>
      <c r="BY808" s="103">
        <v>142</v>
      </c>
      <c r="BZ808" s="103">
        <v>32</v>
      </c>
      <c r="CA808" s="103">
        <v>13</v>
      </c>
      <c r="CB808" s="103">
        <v>9</v>
      </c>
      <c r="CC808" s="42"/>
      <c r="CD808" s="110"/>
      <c r="CE808" s="46" t="s">
        <v>5</v>
      </c>
      <c r="CF808" s="103">
        <v>24</v>
      </c>
      <c r="CG808" s="103">
        <v>172</v>
      </c>
      <c r="CH808" s="103">
        <v>550</v>
      </c>
      <c r="CI808" s="103">
        <v>1026</v>
      </c>
      <c r="CJ808" s="103">
        <v>933</v>
      </c>
      <c r="CK808" s="103">
        <v>763</v>
      </c>
      <c r="CL808" s="103">
        <v>371</v>
      </c>
      <c r="CM808" s="103">
        <v>122</v>
      </c>
      <c r="CN808" s="103">
        <v>51</v>
      </c>
      <c r="CO808" s="103">
        <v>23</v>
      </c>
      <c r="CQ808" s="110"/>
      <c r="CR808" s="46" t="s">
        <v>5</v>
      </c>
      <c r="CS808" s="103">
        <v>4</v>
      </c>
      <c r="CT808" s="103">
        <v>34</v>
      </c>
      <c r="CU808" s="103">
        <v>128</v>
      </c>
      <c r="CV808" s="103">
        <v>219</v>
      </c>
      <c r="CW808" s="103">
        <v>237</v>
      </c>
      <c r="CX808" s="103">
        <v>186</v>
      </c>
      <c r="CY808" s="103">
        <v>100</v>
      </c>
      <c r="CZ808" s="103">
        <v>43</v>
      </c>
      <c r="DA808" s="103">
        <v>24</v>
      </c>
      <c r="DB808" s="103">
        <v>5</v>
      </c>
      <c r="DC808" s="42"/>
      <c r="DD808" s="110"/>
      <c r="DE808" s="46" t="s">
        <v>5</v>
      </c>
      <c r="DF808" s="103">
        <v>30</v>
      </c>
      <c r="DG808" s="103">
        <v>245</v>
      </c>
      <c r="DH808" s="103">
        <v>731</v>
      </c>
      <c r="DI808" s="103">
        <v>1336</v>
      </c>
      <c r="DJ808" s="103">
        <v>1099</v>
      </c>
      <c r="DK808" s="103">
        <v>848</v>
      </c>
      <c r="DL808" s="103">
        <v>413</v>
      </c>
      <c r="DM808" s="103">
        <v>111</v>
      </c>
      <c r="DN808" s="103">
        <v>40</v>
      </c>
      <c r="DO808" s="103">
        <v>27</v>
      </c>
    </row>
    <row r="809" spans="2:119" ht="16.5" customHeight="1" x14ac:dyDescent="0.45">
      <c r="B809" s="134"/>
      <c r="C809" s="42"/>
      <c r="D809" s="110"/>
      <c r="E809" s="46" t="s">
        <v>6</v>
      </c>
      <c r="F809" s="103">
        <v>76</v>
      </c>
      <c r="G809" s="103">
        <v>489</v>
      </c>
      <c r="H809" s="103">
        <v>1409</v>
      </c>
      <c r="I809" s="103">
        <v>2786</v>
      </c>
      <c r="J809" s="103">
        <v>2822</v>
      </c>
      <c r="K809" s="103">
        <v>2179</v>
      </c>
      <c r="L809" s="103">
        <v>1352</v>
      </c>
      <c r="M809" s="103">
        <v>480</v>
      </c>
      <c r="N809" s="103">
        <v>174</v>
      </c>
      <c r="O809" s="103">
        <v>71</v>
      </c>
      <c r="P809" s="42"/>
      <c r="Q809" s="110"/>
      <c r="R809" s="46" t="s">
        <v>6</v>
      </c>
      <c r="S809" s="103">
        <v>36</v>
      </c>
      <c r="T809" s="103">
        <v>196</v>
      </c>
      <c r="U809" s="103">
        <v>673</v>
      </c>
      <c r="V809" s="103">
        <v>1618</v>
      </c>
      <c r="W809" s="103">
        <v>1886</v>
      </c>
      <c r="X809" s="103">
        <v>1633</v>
      </c>
      <c r="Y809" s="103">
        <v>1078</v>
      </c>
      <c r="Z809" s="103">
        <v>395</v>
      </c>
      <c r="AA809" s="103">
        <v>160</v>
      </c>
      <c r="AB809" s="103">
        <v>62</v>
      </c>
      <c r="AC809" s="42"/>
      <c r="AD809" s="110"/>
      <c r="AE809" s="46" t="s">
        <v>6</v>
      </c>
      <c r="AF809" s="103">
        <v>40</v>
      </c>
      <c r="AG809" s="103">
        <v>293</v>
      </c>
      <c r="AH809" s="103">
        <v>736</v>
      </c>
      <c r="AI809" s="103">
        <v>1168</v>
      </c>
      <c r="AJ809" s="103">
        <v>936</v>
      </c>
      <c r="AK809" s="103">
        <v>546</v>
      </c>
      <c r="AL809" s="103">
        <v>274</v>
      </c>
      <c r="AM809" s="103">
        <v>85</v>
      </c>
      <c r="AN809" s="103">
        <v>14</v>
      </c>
      <c r="AO809" s="103">
        <v>9</v>
      </c>
      <c r="AP809" s="6"/>
      <c r="AQ809" s="110"/>
      <c r="AR809" s="46" t="s">
        <v>6</v>
      </c>
      <c r="AS809" s="103">
        <v>43</v>
      </c>
      <c r="AT809" s="103">
        <v>262</v>
      </c>
      <c r="AU809" s="103">
        <v>671</v>
      </c>
      <c r="AV809" s="103">
        <v>1160</v>
      </c>
      <c r="AW809" s="103">
        <v>1062</v>
      </c>
      <c r="AX809" s="103">
        <v>713</v>
      </c>
      <c r="AY809" s="103">
        <v>385</v>
      </c>
      <c r="AZ809" s="103">
        <v>127</v>
      </c>
      <c r="BA809" s="103">
        <v>48</v>
      </c>
      <c r="BB809" s="103">
        <v>18</v>
      </c>
      <c r="BC809" s="42"/>
      <c r="BD809" s="110"/>
      <c r="BE809" s="46" t="s">
        <v>6</v>
      </c>
      <c r="BF809" s="103">
        <v>33</v>
      </c>
      <c r="BG809" s="103">
        <v>227</v>
      </c>
      <c r="BH809" s="103">
        <v>738</v>
      </c>
      <c r="BI809" s="103">
        <v>1626</v>
      </c>
      <c r="BJ809" s="103">
        <v>1760</v>
      </c>
      <c r="BK809" s="103">
        <v>1466</v>
      </c>
      <c r="BL809" s="103">
        <v>967</v>
      </c>
      <c r="BM809" s="103">
        <v>353</v>
      </c>
      <c r="BN809" s="103">
        <v>126</v>
      </c>
      <c r="BO809" s="103">
        <v>53</v>
      </c>
      <c r="BQ809" s="110"/>
      <c r="BR809" s="46" t="s">
        <v>6</v>
      </c>
      <c r="BS809" s="103">
        <v>25</v>
      </c>
      <c r="BT809" s="103">
        <v>138</v>
      </c>
      <c r="BU809" s="103">
        <v>388</v>
      </c>
      <c r="BV809" s="103">
        <v>632</v>
      </c>
      <c r="BW809" s="103">
        <v>511</v>
      </c>
      <c r="BX809" s="103">
        <v>356</v>
      </c>
      <c r="BY809" s="103">
        <v>222</v>
      </c>
      <c r="BZ809" s="103">
        <v>66</v>
      </c>
      <c r="CA809" s="103">
        <v>24</v>
      </c>
      <c r="CB809" s="103">
        <v>12</v>
      </c>
      <c r="CC809" s="42"/>
      <c r="CD809" s="110"/>
      <c r="CE809" s="46" t="s">
        <v>6</v>
      </c>
      <c r="CF809" s="103">
        <v>51</v>
      </c>
      <c r="CG809" s="103">
        <v>351</v>
      </c>
      <c r="CH809" s="103">
        <v>1021</v>
      </c>
      <c r="CI809" s="103">
        <v>2154</v>
      </c>
      <c r="CJ809" s="103">
        <v>2311</v>
      </c>
      <c r="CK809" s="103">
        <v>1823</v>
      </c>
      <c r="CL809" s="103">
        <v>1130</v>
      </c>
      <c r="CM809" s="103">
        <v>414</v>
      </c>
      <c r="CN809" s="103">
        <v>150</v>
      </c>
      <c r="CO809" s="103">
        <v>59</v>
      </c>
      <c r="CQ809" s="110"/>
      <c r="CR809" s="46" t="s">
        <v>6</v>
      </c>
      <c r="CS809" s="103">
        <v>6</v>
      </c>
      <c r="CT809" s="103">
        <v>67</v>
      </c>
      <c r="CU809" s="103">
        <v>180</v>
      </c>
      <c r="CV809" s="103">
        <v>347</v>
      </c>
      <c r="CW809" s="103">
        <v>401</v>
      </c>
      <c r="CX809" s="103">
        <v>382</v>
      </c>
      <c r="CY809" s="103">
        <v>224</v>
      </c>
      <c r="CZ809" s="103">
        <v>103</v>
      </c>
      <c r="DA809" s="103">
        <v>41</v>
      </c>
      <c r="DB809" s="103">
        <v>18</v>
      </c>
      <c r="DC809" s="42"/>
      <c r="DD809" s="110"/>
      <c r="DE809" s="46" t="s">
        <v>6</v>
      </c>
      <c r="DF809" s="103">
        <v>70</v>
      </c>
      <c r="DG809" s="103">
        <v>422</v>
      </c>
      <c r="DH809" s="103">
        <v>1229</v>
      </c>
      <c r="DI809" s="103">
        <v>2439</v>
      </c>
      <c r="DJ809" s="103">
        <v>2421</v>
      </c>
      <c r="DK809" s="103">
        <v>1797</v>
      </c>
      <c r="DL809" s="103">
        <v>1128</v>
      </c>
      <c r="DM809" s="103">
        <v>377</v>
      </c>
      <c r="DN809" s="103">
        <v>133</v>
      </c>
      <c r="DO809" s="103">
        <v>53</v>
      </c>
    </row>
    <row r="810" spans="2:119" ht="16.5" customHeight="1" x14ac:dyDescent="0.45">
      <c r="B810" s="134"/>
      <c r="C810" s="42"/>
      <c r="D810" s="110"/>
      <c r="E810" s="46" t="s">
        <v>7</v>
      </c>
      <c r="F810" s="103">
        <v>66</v>
      </c>
      <c r="G810" s="103">
        <v>630</v>
      </c>
      <c r="H810" s="103">
        <v>1769</v>
      </c>
      <c r="I810" s="103">
        <v>4080</v>
      </c>
      <c r="J810" s="103">
        <v>4573</v>
      </c>
      <c r="K810" s="103">
        <v>4348</v>
      </c>
      <c r="L810" s="103">
        <v>3009</v>
      </c>
      <c r="M810" s="103">
        <v>1305</v>
      </c>
      <c r="N810" s="103">
        <v>568</v>
      </c>
      <c r="O810" s="103">
        <v>259</v>
      </c>
      <c r="P810" s="42"/>
      <c r="Q810" s="110"/>
      <c r="R810" s="46" t="s">
        <v>7</v>
      </c>
      <c r="S810" s="103">
        <v>22</v>
      </c>
      <c r="T810" s="103">
        <v>240</v>
      </c>
      <c r="U810" s="103">
        <v>803</v>
      </c>
      <c r="V810" s="103">
        <v>2220</v>
      </c>
      <c r="W810" s="103">
        <v>2968</v>
      </c>
      <c r="X810" s="103">
        <v>3230</v>
      </c>
      <c r="Y810" s="103">
        <v>2430</v>
      </c>
      <c r="Z810" s="103">
        <v>1105</v>
      </c>
      <c r="AA810" s="103">
        <v>502</v>
      </c>
      <c r="AB810" s="103">
        <v>231</v>
      </c>
      <c r="AC810" s="42"/>
      <c r="AD810" s="110"/>
      <c r="AE810" s="46" t="s">
        <v>7</v>
      </c>
      <c r="AF810" s="103">
        <v>44</v>
      </c>
      <c r="AG810" s="103">
        <v>390</v>
      </c>
      <c r="AH810" s="103">
        <v>966</v>
      </c>
      <c r="AI810" s="103">
        <v>1860</v>
      </c>
      <c r="AJ810" s="103">
        <v>1605</v>
      </c>
      <c r="AK810" s="103">
        <v>1118</v>
      </c>
      <c r="AL810" s="103">
        <v>579</v>
      </c>
      <c r="AM810" s="103">
        <v>200</v>
      </c>
      <c r="AN810" s="103">
        <v>66</v>
      </c>
      <c r="AO810" s="103">
        <v>28</v>
      </c>
      <c r="AP810" s="6"/>
      <c r="AQ810" s="110"/>
      <c r="AR810" s="46" t="s">
        <v>7</v>
      </c>
      <c r="AS810" s="103">
        <v>37</v>
      </c>
      <c r="AT810" s="103">
        <v>318</v>
      </c>
      <c r="AU810" s="103">
        <v>786</v>
      </c>
      <c r="AV810" s="103">
        <v>1579</v>
      </c>
      <c r="AW810" s="103">
        <v>1554</v>
      </c>
      <c r="AX810" s="103">
        <v>1281</v>
      </c>
      <c r="AY810" s="103">
        <v>783</v>
      </c>
      <c r="AZ810" s="103">
        <v>286</v>
      </c>
      <c r="BA810" s="103">
        <v>107</v>
      </c>
      <c r="BB810" s="103">
        <v>43</v>
      </c>
      <c r="BC810" s="42"/>
      <c r="BD810" s="110"/>
      <c r="BE810" s="46" t="s">
        <v>7</v>
      </c>
      <c r="BF810" s="103">
        <v>29</v>
      </c>
      <c r="BG810" s="103">
        <v>312</v>
      </c>
      <c r="BH810" s="103">
        <v>983</v>
      </c>
      <c r="BI810" s="103">
        <v>2501</v>
      </c>
      <c r="BJ810" s="103">
        <v>3019</v>
      </c>
      <c r="BK810" s="103">
        <v>3067</v>
      </c>
      <c r="BL810" s="103">
        <v>2226</v>
      </c>
      <c r="BM810" s="103">
        <v>1019</v>
      </c>
      <c r="BN810" s="103">
        <v>461</v>
      </c>
      <c r="BO810" s="103">
        <v>216</v>
      </c>
      <c r="BQ810" s="110"/>
      <c r="BR810" s="46" t="s">
        <v>7</v>
      </c>
      <c r="BS810" s="103">
        <v>13</v>
      </c>
      <c r="BT810" s="103">
        <v>132</v>
      </c>
      <c r="BU810" s="103">
        <v>334</v>
      </c>
      <c r="BV810" s="103">
        <v>624</v>
      </c>
      <c r="BW810" s="103">
        <v>560</v>
      </c>
      <c r="BX810" s="103">
        <v>474</v>
      </c>
      <c r="BY810" s="103">
        <v>285</v>
      </c>
      <c r="BZ810" s="103">
        <v>126</v>
      </c>
      <c r="CA810" s="103">
        <v>44</v>
      </c>
      <c r="CB810" s="103">
        <v>22</v>
      </c>
      <c r="CC810" s="42"/>
      <c r="CD810" s="110"/>
      <c r="CE810" s="46" t="s">
        <v>7</v>
      </c>
      <c r="CF810" s="103">
        <v>53</v>
      </c>
      <c r="CG810" s="103">
        <v>498</v>
      </c>
      <c r="CH810" s="103">
        <v>1435</v>
      </c>
      <c r="CI810" s="103">
        <v>3456</v>
      </c>
      <c r="CJ810" s="103">
        <v>4013</v>
      </c>
      <c r="CK810" s="103">
        <v>3874</v>
      </c>
      <c r="CL810" s="103">
        <v>2724</v>
      </c>
      <c r="CM810" s="103">
        <v>1179</v>
      </c>
      <c r="CN810" s="103">
        <v>524</v>
      </c>
      <c r="CO810" s="103">
        <v>237</v>
      </c>
      <c r="CQ810" s="110"/>
      <c r="CR810" s="46" t="s">
        <v>7</v>
      </c>
      <c r="CS810" s="103">
        <v>6</v>
      </c>
      <c r="CT810" s="103">
        <v>71</v>
      </c>
      <c r="CU810" s="103">
        <v>253</v>
      </c>
      <c r="CV810" s="103">
        <v>486</v>
      </c>
      <c r="CW810" s="103">
        <v>576</v>
      </c>
      <c r="CX810" s="103">
        <v>637</v>
      </c>
      <c r="CY810" s="103">
        <v>414</v>
      </c>
      <c r="CZ810" s="103">
        <v>233</v>
      </c>
      <c r="DA810" s="103">
        <v>121</v>
      </c>
      <c r="DB810" s="103">
        <v>49</v>
      </c>
      <c r="DC810" s="42"/>
      <c r="DD810" s="110"/>
      <c r="DE810" s="46" t="s">
        <v>7</v>
      </c>
      <c r="DF810" s="103">
        <v>60</v>
      </c>
      <c r="DG810" s="103">
        <v>559</v>
      </c>
      <c r="DH810" s="103">
        <v>1516</v>
      </c>
      <c r="DI810" s="103">
        <v>3594</v>
      </c>
      <c r="DJ810" s="103">
        <v>3997</v>
      </c>
      <c r="DK810" s="103">
        <v>3711</v>
      </c>
      <c r="DL810" s="103">
        <v>2595</v>
      </c>
      <c r="DM810" s="103">
        <v>1072</v>
      </c>
      <c r="DN810" s="103">
        <v>447</v>
      </c>
      <c r="DO810" s="103">
        <v>210</v>
      </c>
    </row>
    <row r="811" spans="2:119" ht="16.5" customHeight="1" x14ac:dyDescent="0.45">
      <c r="B811" s="134"/>
      <c r="C811" s="42"/>
      <c r="D811" s="110"/>
      <c r="E811" s="46" t="s">
        <v>8</v>
      </c>
      <c r="F811" s="103">
        <v>98</v>
      </c>
      <c r="G811" s="103">
        <v>496</v>
      </c>
      <c r="H811" s="103">
        <v>1574</v>
      </c>
      <c r="I811" s="103">
        <v>3927</v>
      </c>
      <c r="J811" s="103">
        <v>5080</v>
      </c>
      <c r="K811" s="103">
        <v>5610</v>
      </c>
      <c r="L811" s="103">
        <v>4852</v>
      </c>
      <c r="M811" s="103">
        <v>2494</v>
      </c>
      <c r="N811" s="103">
        <v>1190</v>
      </c>
      <c r="O811" s="103">
        <v>588</v>
      </c>
      <c r="P811" s="42"/>
      <c r="Q811" s="110"/>
      <c r="R811" s="46" t="s">
        <v>8</v>
      </c>
      <c r="S811" s="103">
        <v>37</v>
      </c>
      <c r="T811" s="103">
        <v>181</v>
      </c>
      <c r="U811" s="103">
        <v>676</v>
      </c>
      <c r="V811" s="103">
        <v>2117</v>
      </c>
      <c r="W811" s="103">
        <v>3252</v>
      </c>
      <c r="X811" s="103">
        <v>4134</v>
      </c>
      <c r="Y811" s="103">
        <v>3945</v>
      </c>
      <c r="Z811" s="103">
        <v>2135</v>
      </c>
      <c r="AA811" s="103">
        <v>1028</v>
      </c>
      <c r="AB811" s="103">
        <v>528</v>
      </c>
      <c r="AC811" s="42"/>
      <c r="AD811" s="110"/>
      <c r="AE811" s="46" t="s">
        <v>8</v>
      </c>
      <c r="AF811" s="103">
        <v>61</v>
      </c>
      <c r="AG811" s="103">
        <v>315</v>
      </c>
      <c r="AH811" s="103">
        <v>898</v>
      </c>
      <c r="AI811" s="103">
        <v>1810</v>
      </c>
      <c r="AJ811" s="103">
        <v>1828</v>
      </c>
      <c r="AK811" s="103">
        <v>1476</v>
      </c>
      <c r="AL811" s="103">
        <v>907</v>
      </c>
      <c r="AM811" s="103">
        <v>359</v>
      </c>
      <c r="AN811" s="103">
        <v>162</v>
      </c>
      <c r="AO811" s="103">
        <v>60</v>
      </c>
      <c r="AP811" s="6"/>
      <c r="AQ811" s="110"/>
      <c r="AR811" s="46" t="s">
        <v>8</v>
      </c>
      <c r="AS811" s="103">
        <v>53</v>
      </c>
      <c r="AT811" s="103">
        <v>229</v>
      </c>
      <c r="AU811" s="103">
        <v>632</v>
      </c>
      <c r="AV811" s="103">
        <v>1360</v>
      </c>
      <c r="AW811" s="103">
        <v>1507</v>
      </c>
      <c r="AX811" s="103">
        <v>1458</v>
      </c>
      <c r="AY811" s="103">
        <v>1041</v>
      </c>
      <c r="AZ811" s="103">
        <v>438</v>
      </c>
      <c r="BA811" s="103">
        <v>181</v>
      </c>
      <c r="BB811" s="103">
        <v>82</v>
      </c>
      <c r="BC811" s="42"/>
      <c r="BD811" s="110"/>
      <c r="BE811" s="46" t="s">
        <v>8</v>
      </c>
      <c r="BF811" s="103">
        <v>45</v>
      </c>
      <c r="BG811" s="103">
        <v>267</v>
      </c>
      <c r="BH811" s="103">
        <v>942</v>
      </c>
      <c r="BI811" s="103">
        <v>2567</v>
      </c>
      <c r="BJ811" s="103">
        <v>3573</v>
      </c>
      <c r="BK811" s="103">
        <v>4152</v>
      </c>
      <c r="BL811" s="103">
        <v>3811</v>
      </c>
      <c r="BM811" s="103">
        <v>2056</v>
      </c>
      <c r="BN811" s="103">
        <v>1009</v>
      </c>
      <c r="BO811" s="103">
        <v>506</v>
      </c>
      <c r="BQ811" s="110"/>
      <c r="BR811" s="46" t="s">
        <v>8</v>
      </c>
      <c r="BS811" s="103">
        <v>19</v>
      </c>
      <c r="BT811" s="103">
        <v>86</v>
      </c>
      <c r="BU811" s="103">
        <v>239</v>
      </c>
      <c r="BV811" s="103">
        <v>449</v>
      </c>
      <c r="BW811" s="103">
        <v>416</v>
      </c>
      <c r="BX811" s="103">
        <v>414</v>
      </c>
      <c r="BY811" s="103">
        <v>267</v>
      </c>
      <c r="BZ811" s="103">
        <v>143</v>
      </c>
      <c r="CA811" s="103">
        <v>70</v>
      </c>
      <c r="CB811" s="103">
        <v>24</v>
      </c>
      <c r="CC811" s="42"/>
      <c r="CD811" s="110"/>
      <c r="CE811" s="46" t="s">
        <v>8</v>
      </c>
      <c r="CF811" s="103">
        <v>79</v>
      </c>
      <c r="CG811" s="103">
        <v>410</v>
      </c>
      <c r="CH811" s="103">
        <v>1335</v>
      </c>
      <c r="CI811" s="103">
        <v>3478</v>
      </c>
      <c r="CJ811" s="103">
        <v>4664</v>
      </c>
      <c r="CK811" s="103">
        <v>5196</v>
      </c>
      <c r="CL811" s="103">
        <v>4585</v>
      </c>
      <c r="CM811" s="103">
        <v>2351</v>
      </c>
      <c r="CN811" s="103">
        <v>1120</v>
      </c>
      <c r="CO811" s="103">
        <v>564</v>
      </c>
      <c r="CQ811" s="110"/>
      <c r="CR811" s="46" t="s">
        <v>8</v>
      </c>
      <c r="CS811" s="103">
        <v>11</v>
      </c>
      <c r="CT811" s="103">
        <v>54</v>
      </c>
      <c r="CU811" s="103">
        <v>174</v>
      </c>
      <c r="CV811" s="103">
        <v>454</v>
      </c>
      <c r="CW811" s="103">
        <v>583</v>
      </c>
      <c r="CX811" s="103">
        <v>667</v>
      </c>
      <c r="CY811" s="103">
        <v>613</v>
      </c>
      <c r="CZ811" s="103">
        <v>335</v>
      </c>
      <c r="DA811" s="103">
        <v>167</v>
      </c>
      <c r="DB811" s="103">
        <v>82</v>
      </c>
      <c r="DC811" s="42"/>
      <c r="DD811" s="110"/>
      <c r="DE811" s="46" t="s">
        <v>8</v>
      </c>
      <c r="DF811" s="103">
        <v>87</v>
      </c>
      <c r="DG811" s="103">
        <v>442</v>
      </c>
      <c r="DH811" s="103">
        <v>1400</v>
      </c>
      <c r="DI811" s="103">
        <v>3473</v>
      </c>
      <c r="DJ811" s="103">
        <v>4497</v>
      </c>
      <c r="DK811" s="103">
        <v>4943</v>
      </c>
      <c r="DL811" s="103">
        <v>4239</v>
      </c>
      <c r="DM811" s="103">
        <v>2159</v>
      </c>
      <c r="DN811" s="103">
        <v>1023</v>
      </c>
      <c r="DO811" s="103">
        <v>506</v>
      </c>
    </row>
    <row r="812" spans="2:119" ht="16.5" customHeight="1" x14ac:dyDescent="0.45">
      <c r="B812" s="134"/>
      <c r="C812" s="42"/>
      <c r="D812" s="110"/>
      <c r="E812" s="46" t="s">
        <v>9</v>
      </c>
      <c r="F812" s="103">
        <v>44</v>
      </c>
      <c r="G812" s="103">
        <v>224</v>
      </c>
      <c r="H812" s="103">
        <v>893</v>
      </c>
      <c r="I812" s="103">
        <v>2577</v>
      </c>
      <c r="J812" s="103">
        <v>3689</v>
      </c>
      <c r="K812" s="103">
        <v>5156</v>
      </c>
      <c r="L812" s="103">
        <v>5780</v>
      </c>
      <c r="M812" s="103">
        <v>3586</v>
      </c>
      <c r="N812" s="103">
        <v>2107</v>
      </c>
      <c r="O812" s="103">
        <v>1124</v>
      </c>
      <c r="P812" s="42"/>
      <c r="Q812" s="110"/>
      <c r="R812" s="46" t="s">
        <v>9</v>
      </c>
      <c r="S812" s="103">
        <v>21</v>
      </c>
      <c r="T812" s="103">
        <v>66</v>
      </c>
      <c r="U812" s="103">
        <v>376</v>
      </c>
      <c r="V812" s="103">
        <v>1277</v>
      </c>
      <c r="W812" s="103">
        <v>2191</v>
      </c>
      <c r="X812" s="103">
        <v>3622</v>
      </c>
      <c r="Y812" s="103">
        <v>4626</v>
      </c>
      <c r="Z812" s="103">
        <v>3003</v>
      </c>
      <c r="AA812" s="103">
        <v>1822</v>
      </c>
      <c r="AB812" s="103">
        <v>1001</v>
      </c>
      <c r="AC812" s="42"/>
      <c r="AD812" s="110"/>
      <c r="AE812" s="46" t="s">
        <v>9</v>
      </c>
      <c r="AF812" s="103">
        <v>23</v>
      </c>
      <c r="AG812" s="103">
        <v>158</v>
      </c>
      <c r="AH812" s="103">
        <v>517</v>
      </c>
      <c r="AI812" s="103">
        <v>1300</v>
      </c>
      <c r="AJ812" s="103">
        <v>1498</v>
      </c>
      <c r="AK812" s="103">
        <v>1534</v>
      </c>
      <c r="AL812" s="103">
        <v>1154</v>
      </c>
      <c r="AM812" s="103">
        <v>583</v>
      </c>
      <c r="AN812" s="103">
        <v>285</v>
      </c>
      <c r="AO812" s="103">
        <v>123</v>
      </c>
      <c r="AP812" s="6"/>
      <c r="AQ812" s="110"/>
      <c r="AR812" s="46" t="s">
        <v>9</v>
      </c>
      <c r="AS812" s="103">
        <v>21</v>
      </c>
      <c r="AT812" s="103">
        <v>98</v>
      </c>
      <c r="AU812" s="103">
        <v>334</v>
      </c>
      <c r="AV812" s="103">
        <v>785</v>
      </c>
      <c r="AW812" s="103">
        <v>981</v>
      </c>
      <c r="AX812" s="103">
        <v>1068</v>
      </c>
      <c r="AY812" s="103">
        <v>1027</v>
      </c>
      <c r="AZ812" s="103">
        <v>541</v>
      </c>
      <c r="BA812" s="103">
        <v>272</v>
      </c>
      <c r="BB812" s="103">
        <v>137</v>
      </c>
      <c r="BC812" s="42"/>
      <c r="BD812" s="110"/>
      <c r="BE812" s="46" t="s">
        <v>9</v>
      </c>
      <c r="BF812" s="103">
        <v>23</v>
      </c>
      <c r="BG812" s="103">
        <v>126</v>
      </c>
      <c r="BH812" s="103">
        <v>559</v>
      </c>
      <c r="BI812" s="103">
        <v>1792</v>
      </c>
      <c r="BJ812" s="103">
        <v>2708</v>
      </c>
      <c r="BK812" s="103">
        <v>4088</v>
      </c>
      <c r="BL812" s="103">
        <v>4753</v>
      </c>
      <c r="BM812" s="103">
        <v>3045</v>
      </c>
      <c r="BN812" s="103">
        <v>1835</v>
      </c>
      <c r="BO812" s="103">
        <v>987</v>
      </c>
      <c r="BQ812" s="110"/>
      <c r="BR812" s="46" t="s">
        <v>9</v>
      </c>
      <c r="BS812" s="103">
        <v>10</v>
      </c>
      <c r="BT812" s="103">
        <v>34</v>
      </c>
      <c r="BU812" s="103">
        <v>121</v>
      </c>
      <c r="BV812" s="103">
        <v>225</v>
      </c>
      <c r="BW812" s="103">
        <v>263</v>
      </c>
      <c r="BX812" s="103">
        <v>293</v>
      </c>
      <c r="BY812" s="103">
        <v>247</v>
      </c>
      <c r="BZ812" s="103">
        <v>143</v>
      </c>
      <c r="CA812" s="103">
        <v>97</v>
      </c>
      <c r="CB812" s="103">
        <v>54</v>
      </c>
      <c r="CC812" s="42"/>
      <c r="CD812" s="110"/>
      <c r="CE812" s="46" t="s">
        <v>9</v>
      </c>
      <c r="CF812" s="103">
        <v>34</v>
      </c>
      <c r="CG812" s="103">
        <v>190</v>
      </c>
      <c r="CH812" s="103">
        <v>772</v>
      </c>
      <c r="CI812" s="103">
        <v>2352</v>
      </c>
      <c r="CJ812" s="103">
        <v>3426</v>
      </c>
      <c r="CK812" s="103">
        <v>4863</v>
      </c>
      <c r="CL812" s="103">
        <v>5533</v>
      </c>
      <c r="CM812" s="103">
        <v>3443</v>
      </c>
      <c r="CN812" s="103">
        <v>2010</v>
      </c>
      <c r="CO812" s="103">
        <v>1070</v>
      </c>
      <c r="CQ812" s="110"/>
      <c r="CR812" s="46" t="s">
        <v>9</v>
      </c>
      <c r="CS812" s="103">
        <v>3</v>
      </c>
      <c r="CT812" s="103">
        <v>24</v>
      </c>
      <c r="CU812" s="103">
        <v>87</v>
      </c>
      <c r="CV812" s="103">
        <v>288</v>
      </c>
      <c r="CW812" s="103">
        <v>356</v>
      </c>
      <c r="CX812" s="103">
        <v>535</v>
      </c>
      <c r="CY812" s="103">
        <v>641</v>
      </c>
      <c r="CZ812" s="103">
        <v>412</v>
      </c>
      <c r="DA812" s="103">
        <v>294</v>
      </c>
      <c r="DB812" s="103">
        <v>175</v>
      </c>
      <c r="DC812" s="42"/>
      <c r="DD812" s="110"/>
      <c r="DE812" s="46" t="s">
        <v>9</v>
      </c>
      <c r="DF812" s="103">
        <v>41</v>
      </c>
      <c r="DG812" s="103">
        <v>200</v>
      </c>
      <c r="DH812" s="103">
        <v>806</v>
      </c>
      <c r="DI812" s="103">
        <v>2289</v>
      </c>
      <c r="DJ812" s="103">
        <v>3333</v>
      </c>
      <c r="DK812" s="103">
        <v>4621</v>
      </c>
      <c r="DL812" s="103">
        <v>5139</v>
      </c>
      <c r="DM812" s="103">
        <v>3174</v>
      </c>
      <c r="DN812" s="103">
        <v>1813</v>
      </c>
      <c r="DO812" s="103">
        <v>949</v>
      </c>
    </row>
    <row r="813" spans="2:119" ht="16.5" customHeight="1" x14ac:dyDescent="0.45">
      <c r="B813" s="134"/>
      <c r="C813" s="42"/>
      <c r="D813" s="110"/>
      <c r="E813" s="46" t="s">
        <v>10</v>
      </c>
      <c r="F813" s="103">
        <v>15</v>
      </c>
      <c r="G813" s="103">
        <v>105</v>
      </c>
      <c r="H813" s="103">
        <v>341</v>
      </c>
      <c r="I813" s="103">
        <v>1156</v>
      </c>
      <c r="J813" s="103">
        <v>1935</v>
      </c>
      <c r="K813" s="103">
        <v>3210</v>
      </c>
      <c r="L813" s="103">
        <v>4584</v>
      </c>
      <c r="M813" s="103">
        <v>3882</v>
      </c>
      <c r="N813" s="103">
        <v>2864</v>
      </c>
      <c r="O813" s="103">
        <v>1962</v>
      </c>
      <c r="P813" s="42"/>
      <c r="Q813" s="110"/>
      <c r="R813" s="46" t="s">
        <v>10</v>
      </c>
      <c r="S813" s="103">
        <v>11</v>
      </c>
      <c r="T813" s="103">
        <v>27</v>
      </c>
      <c r="U813" s="103">
        <v>124</v>
      </c>
      <c r="V813" s="103">
        <v>507</v>
      </c>
      <c r="W813" s="103">
        <v>1053</v>
      </c>
      <c r="X813" s="103">
        <v>2138</v>
      </c>
      <c r="Y813" s="103">
        <v>3396</v>
      </c>
      <c r="Z813" s="103">
        <v>3140</v>
      </c>
      <c r="AA813" s="103">
        <v>2440</v>
      </c>
      <c r="AB813" s="103">
        <v>1720</v>
      </c>
      <c r="AC813" s="42"/>
      <c r="AD813" s="110"/>
      <c r="AE813" s="46" t="s">
        <v>10</v>
      </c>
      <c r="AF813" s="103">
        <v>4</v>
      </c>
      <c r="AG813" s="103">
        <v>78</v>
      </c>
      <c r="AH813" s="103">
        <v>217</v>
      </c>
      <c r="AI813" s="103">
        <v>649</v>
      </c>
      <c r="AJ813" s="103">
        <v>882</v>
      </c>
      <c r="AK813" s="103">
        <v>1072</v>
      </c>
      <c r="AL813" s="103">
        <v>1188</v>
      </c>
      <c r="AM813" s="103">
        <v>742</v>
      </c>
      <c r="AN813" s="103">
        <v>424</v>
      </c>
      <c r="AO813" s="103">
        <v>242</v>
      </c>
      <c r="AP813" s="6"/>
      <c r="AQ813" s="110"/>
      <c r="AR813" s="46" t="s">
        <v>10</v>
      </c>
      <c r="AS813" s="103">
        <v>6</v>
      </c>
      <c r="AT813" s="103">
        <v>42</v>
      </c>
      <c r="AU813" s="103">
        <v>99</v>
      </c>
      <c r="AV813" s="103">
        <v>307</v>
      </c>
      <c r="AW813" s="103">
        <v>415</v>
      </c>
      <c r="AX813" s="103">
        <v>547</v>
      </c>
      <c r="AY813" s="103">
        <v>688</v>
      </c>
      <c r="AZ813" s="103">
        <v>421</v>
      </c>
      <c r="BA813" s="103">
        <v>301</v>
      </c>
      <c r="BB813" s="103">
        <v>177</v>
      </c>
      <c r="BC813" s="42"/>
      <c r="BD813" s="110"/>
      <c r="BE813" s="46" t="s">
        <v>10</v>
      </c>
      <c r="BF813" s="103">
        <v>9</v>
      </c>
      <c r="BG813" s="103">
        <v>63</v>
      </c>
      <c r="BH813" s="103">
        <v>242</v>
      </c>
      <c r="BI813" s="103">
        <v>849</v>
      </c>
      <c r="BJ813" s="103">
        <v>1520</v>
      </c>
      <c r="BK813" s="103">
        <v>2663</v>
      </c>
      <c r="BL813" s="103">
        <v>3896</v>
      </c>
      <c r="BM813" s="103">
        <v>3461</v>
      </c>
      <c r="BN813" s="103">
        <v>2563</v>
      </c>
      <c r="BO813" s="103">
        <v>1785</v>
      </c>
      <c r="BQ813" s="110"/>
      <c r="BR813" s="46" t="s">
        <v>10</v>
      </c>
      <c r="BS813" s="103">
        <v>3</v>
      </c>
      <c r="BT813" s="103">
        <v>9</v>
      </c>
      <c r="BU813" s="103">
        <v>21</v>
      </c>
      <c r="BV813" s="103">
        <v>83</v>
      </c>
      <c r="BW813" s="103">
        <v>105</v>
      </c>
      <c r="BX813" s="103">
        <v>128</v>
      </c>
      <c r="BY813" s="103">
        <v>153</v>
      </c>
      <c r="BZ813" s="103">
        <v>99</v>
      </c>
      <c r="CA813" s="103">
        <v>76</v>
      </c>
      <c r="CB813" s="103">
        <v>52</v>
      </c>
      <c r="CC813" s="42"/>
      <c r="CD813" s="110"/>
      <c r="CE813" s="46" t="s">
        <v>10</v>
      </c>
      <c r="CF813" s="103">
        <v>12</v>
      </c>
      <c r="CG813" s="103">
        <v>96</v>
      </c>
      <c r="CH813" s="103">
        <v>320</v>
      </c>
      <c r="CI813" s="103">
        <v>1073</v>
      </c>
      <c r="CJ813" s="103">
        <v>1830</v>
      </c>
      <c r="CK813" s="103">
        <v>3082</v>
      </c>
      <c r="CL813" s="103">
        <v>4431</v>
      </c>
      <c r="CM813" s="103">
        <v>3783</v>
      </c>
      <c r="CN813" s="103">
        <v>2788</v>
      </c>
      <c r="CO813" s="103">
        <v>1910</v>
      </c>
      <c r="CQ813" s="110"/>
      <c r="CR813" s="46" t="s">
        <v>10</v>
      </c>
      <c r="CS813" s="103">
        <v>2</v>
      </c>
      <c r="CT813" s="103">
        <v>7</v>
      </c>
      <c r="CU813" s="103">
        <v>37</v>
      </c>
      <c r="CV813" s="103">
        <v>133</v>
      </c>
      <c r="CW813" s="103">
        <v>204</v>
      </c>
      <c r="CX813" s="103">
        <v>352</v>
      </c>
      <c r="CY813" s="103">
        <v>491</v>
      </c>
      <c r="CZ813" s="103">
        <v>386</v>
      </c>
      <c r="DA813" s="103">
        <v>372</v>
      </c>
      <c r="DB813" s="103">
        <v>228</v>
      </c>
      <c r="DC813" s="42"/>
      <c r="DD813" s="110"/>
      <c r="DE813" s="46" t="s">
        <v>10</v>
      </c>
      <c r="DF813" s="103">
        <v>13</v>
      </c>
      <c r="DG813" s="103">
        <v>98</v>
      </c>
      <c r="DH813" s="103">
        <v>304</v>
      </c>
      <c r="DI813" s="103">
        <v>1023</v>
      </c>
      <c r="DJ813" s="103">
        <v>1731</v>
      </c>
      <c r="DK813" s="103">
        <v>2858</v>
      </c>
      <c r="DL813" s="103">
        <v>4093</v>
      </c>
      <c r="DM813" s="103">
        <v>3496</v>
      </c>
      <c r="DN813" s="103">
        <v>2492</v>
      </c>
      <c r="DO813" s="103">
        <v>1734</v>
      </c>
    </row>
    <row r="814" spans="2:119" ht="16.5" customHeight="1" x14ac:dyDescent="0.45">
      <c r="B814" s="134"/>
      <c r="C814" s="42"/>
      <c r="D814" s="111"/>
      <c r="E814" s="46" t="s">
        <v>11</v>
      </c>
      <c r="F814" s="103">
        <v>2</v>
      </c>
      <c r="G814" s="103">
        <v>4</v>
      </c>
      <c r="H814" s="103">
        <v>35</v>
      </c>
      <c r="I814" s="103">
        <v>114</v>
      </c>
      <c r="J814" s="103">
        <v>240</v>
      </c>
      <c r="K814" s="103">
        <v>503</v>
      </c>
      <c r="L814" s="103">
        <v>883</v>
      </c>
      <c r="M814" s="103">
        <v>1019</v>
      </c>
      <c r="N814" s="103">
        <v>1047</v>
      </c>
      <c r="O814" s="103">
        <v>909</v>
      </c>
      <c r="P814" s="42"/>
      <c r="Q814" s="111"/>
      <c r="R814" s="46" t="s">
        <v>11</v>
      </c>
      <c r="S814" s="103">
        <v>2</v>
      </c>
      <c r="T814" s="103">
        <v>3</v>
      </c>
      <c r="U814" s="103">
        <v>11</v>
      </c>
      <c r="V814" s="103">
        <v>51</v>
      </c>
      <c r="W814" s="103">
        <v>125</v>
      </c>
      <c r="X814" s="103">
        <v>309</v>
      </c>
      <c r="Y814" s="103">
        <v>640</v>
      </c>
      <c r="Z814" s="103">
        <v>793</v>
      </c>
      <c r="AA814" s="103">
        <v>868</v>
      </c>
      <c r="AB814" s="103">
        <v>737</v>
      </c>
      <c r="AC814" s="42"/>
      <c r="AD814" s="111"/>
      <c r="AE814" s="46" t="s">
        <v>11</v>
      </c>
      <c r="AF814" s="103">
        <v>0</v>
      </c>
      <c r="AG814" s="103">
        <v>1</v>
      </c>
      <c r="AH814" s="103">
        <v>24</v>
      </c>
      <c r="AI814" s="103">
        <v>63</v>
      </c>
      <c r="AJ814" s="103">
        <v>115</v>
      </c>
      <c r="AK814" s="103">
        <v>194</v>
      </c>
      <c r="AL814" s="103">
        <v>243</v>
      </c>
      <c r="AM814" s="103">
        <v>226</v>
      </c>
      <c r="AN814" s="103">
        <v>179</v>
      </c>
      <c r="AO814" s="103">
        <v>172</v>
      </c>
      <c r="AP814" s="6"/>
      <c r="AQ814" s="111"/>
      <c r="AR814" s="46" t="s">
        <v>11</v>
      </c>
      <c r="AS814" s="103">
        <v>0</v>
      </c>
      <c r="AT814" s="103">
        <v>1</v>
      </c>
      <c r="AU814" s="103">
        <v>9</v>
      </c>
      <c r="AV814" s="103">
        <v>26</v>
      </c>
      <c r="AW814" s="103">
        <v>34</v>
      </c>
      <c r="AX814" s="103">
        <v>53</v>
      </c>
      <c r="AY814" s="103">
        <v>77</v>
      </c>
      <c r="AZ814" s="103">
        <v>86</v>
      </c>
      <c r="BA814" s="103">
        <v>55</v>
      </c>
      <c r="BB814" s="103">
        <v>61</v>
      </c>
      <c r="BC814" s="42"/>
      <c r="BD814" s="111"/>
      <c r="BE814" s="46" t="s">
        <v>11</v>
      </c>
      <c r="BF814" s="103">
        <v>2</v>
      </c>
      <c r="BG814" s="103">
        <v>3</v>
      </c>
      <c r="BH814" s="103">
        <v>26</v>
      </c>
      <c r="BI814" s="103">
        <v>88</v>
      </c>
      <c r="BJ814" s="103">
        <v>206</v>
      </c>
      <c r="BK814" s="103">
        <v>450</v>
      </c>
      <c r="BL814" s="103">
        <v>806</v>
      </c>
      <c r="BM814" s="103">
        <v>933</v>
      </c>
      <c r="BN814" s="103">
        <v>992</v>
      </c>
      <c r="BO814" s="103">
        <v>848</v>
      </c>
      <c r="BQ814" s="111"/>
      <c r="BR814" s="46" t="s">
        <v>11</v>
      </c>
      <c r="BS814" s="103">
        <v>1</v>
      </c>
      <c r="BT814" s="103">
        <v>0</v>
      </c>
      <c r="BU814" s="103">
        <v>4</v>
      </c>
      <c r="BV814" s="103">
        <v>10</v>
      </c>
      <c r="BW814" s="103">
        <v>11</v>
      </c>
      <c r="BX814" s="103">
        <v>16</v>
      </c>
      <c r="BY814" s="103">
        <v>28</v>
      </c>
      <c r="BZ814" s="103">
        <v>31</v>
      </c>
      <c r="CA814" s="103">
        <v>26</v>
      </c>
      <c r="CB814" s="103">
        <v>25</v>
      </c>
      <c r="CC814" s="42"/>
      <c r="CD814" s="111"/>
      <c r="CE814" s="46" t="s">
        <v>11</v>
      </c>
      <c r="CF814" s="103">
        <v>1</v>
      </c>
      <c r="CG814" s="103">
        <v>4</v>
      </c>
      <c r="CH814" s="103">
        <v>31</v>
      </c>
      <c r="CI814" s="103">
        <v>104</v>
      </c>
      <c r="CJ814" s="103">
        <v>229</v>
      </c>
      <c r="CK814" s="103">
        <v>487</v>
      </c>
      <c r="CL814" s="103">
        <v>855</v>
      </c>
      <c r="CM814" s="103">
        <v>988</v>
      </c>
      <c r="CN814" s="103">
        <v>1021</v>
      </c>
      <c r="CO814" s="103">
        <v>884</v>
      </c>
      <c r="CQ814" s="111"/>
      <c r="CR814" s="46" t="s">
        <v>11</v>
      </c>
      <c r="CS814" s="103">
        <v>0</v>
      </c>
      <c r="CT814" s="103">
        <v>0</v>
      </c>
      <c r="CU814" s="103">
        <v>3</v>
      </c>
      <c r="CV814" s="103">
        <v>7</v>
      </c>
      <c r="CW814" s="103">
        <v>21</v>
      </c>
      <c r="CX814" s="103">
        <v>43</v>
      </c>
      <c r="CY814" s="103">
        <v>96</v>
      </c>
      <c r="CZ814" s="103">
        <v>111</v>
      </c>
      <c r="DA814" s="103">
        <v>105</v>
      </c>
      <c r="DB814" s="103">
        <v>109</v>
      </c>
      <c r="DC814" s="42"/>
      <c r="DD814" s="111"/>
      <c r="DE814" s="46" t="s">
        <v>11</v>
      </c>
      <c r="DF814" s="103">
        <v>2</v>
      </c>
      <c r="DG814" s="103">
        <v>4</v>
      </c>
      <c r="DH814" s="103">
        <v>32</v>
      </c>
      <c r="DI814" s="103">
        <v>107</v>
      </c>
      <c r="DJ814" s="103">
        <v>219</v>
      </c>
      <c r="DK814" s="103">
        <v>460</v>
      </c>
      <c r="DL814" s="103">
        <v>787</v>
      </c>
      <c r="DM814" s="103">
        <v>908</v>
      </c>
      <c r="DN814" s="103">
        <v>942</v>
      </c>
      <c r="DO814" s="103">
        <v>800</v>
      </c>
    </row>
    <row r="815" spans="2:119" ht="16.5" customHeight="1" x14ac:dyDescent="0.45">
      <c r="B815" s="99"/>
      <c r="C815" s="42"/>
      <c r="D815" s="42"/>
      <c r="E815" s="42"/>
      <c r="F815" s="42"/>
      <c r="G815" s="42"/>
      <c r="H815" s="42"/>
      <c r="I815" s="42"/>
      <c r="J815" s="42"/>
      <c r="K815" s="42"/>
      <c r="L815" s="42"/>
      <c r="M815" s="42"/>
      <c r="N815" s="42"/>
      <c r="O815" s="42"/>
      <c r="P815" s="42"/>
      <c r="Q815" s="42"/>
      <c r="R815" s="42"/>
      <c r="S815" s="42"/>
      <c r="T815" s="42"/>
      <c r="U815" s="42"/>
      <c r="V815" s="42"/>
      <c r="W815" s="42"/>
      <c r="X815" s="42"/>
      <c r="Y815" s="42"/>
      <c r="Z815" s="42"/>
      <c r="AA815" s="42"/>
      <c r="AB815" s="42"/>
      <c r="AC815" s="42"/>
      <c r="AD815" s="42"/>
      <c r="AE815" s="42"/>
      <c r="AF815" s="42"/>
      <c r="AG815" s="42"/>
      <c r="AH815" s="42"/>
      <c r="AI815" s="42"/>
      <c r="AJ815" s="42"/>
      <c r="AK815" s="42"/>
      <c r="AL815" s="42"/>
      <c r="AM815" s="42"/>
      <c r="AN815" s="42"/>
      <c r="AO815" s="42"/>
      <c r="AP815" s="6"/>
      <c r="AQ815" s="42"/>
      <c r="AR815" s="42"/>
      <c r="AS815" s="42"/>
      <c r="AT815" s="42"/>
      <c r="AU815" s="42"/>
      <c r="AV815" s="42"/>
      <c r="AW815" s="42"/>
      <c r="AX815" s="42"/>
      <c r="AY815" s="42"/>
      <c r="AZ815" s="42"/>
      <c r="BA815" s="42"/>
      <c r="BB815" s="42"/>
      <c r="BC815" s="42"/>
      <c r="BD815" s="42"/>
      <c r="BE815" s="42"/>
      <c r="BF815" s="42"/>
      <c r="BG815" s="42"/>
      <c r="BH815" s="42"/>
      <c r="BI815" s="42"/>
      <c r="BJ815" s="42"/>
      <c r="BK815" s="42"/>
      <c r="BL815" s="42"/>
      <c r="BM815" s="42"/>
      <c r="BN815" s="42"/>
      <c r="BO815" s="42"/>
      <c r="BQ815" s="42"/>
      <c r="BR815" s="42"/>
      <c r="BS815" s="42"/>
      <c r="BT815" s="42"/>
      <c r="BU815" s="42"/>
      <c r="BV815" s="42"/>
      <c r="BW815" s="42"/>
      <c r="BX815" s="42"/>
      <c r="BY815" s="42"/>
      <c r="BZ815" s="42"/>
      <c r="CA815" s="42"/>
      <c r="CB815" s="42"/>
      <c r="CC815" s="42"/>
      <c r="CD815" s="42"/>
      <c r="CE815" s="42"/>
      <c r="CF815" s="42"/>
      <c r="CG815" s="42"/>
      <c r="CH815" s="42"/>
      <c r="CI815" s="42"/>
      <c r="CJ815" s="42"/>
      <c r="CK815" s="42"/>
      <c r="CL815" s="42"/>
      <c r="CM815" s="42"/>
      <c r="CN815" s="42"/>
      <c r="CO815" s="42"/>
      <c r="CQ815" s="42"/>
      <c r="CR815" s="42"/>
      <c r="CS815" s="42"/>
      <c r="CT815" s="42"/>
      <c r="CU815" s="42"/>
      <c r="CV815" s="42"/>
      <c r="CW815" s="42"/>
      <c r="CX815" s="42"/>
      <c r="CY815" s="42"/>
      <c r="CZ815" s="42"/>
      <c r="DA815" s="42"/>
      <c r="DB815" s="42"/>
      <c r="DC815" s="42"/>
      <c r="DD815" s="42"/>
      <c r="DE815" s="42"/>
      <c r="DF815" s="42"/>
      <c r="DG815" s="42"/>
      <c r="DH815" s="42"/>
      <c r="DI815" s="42"/>
      <c r="DJ815" s="42"/>
      <c r="DK815" s="42"/>
      <c r="DL815" s="42"/>
      <c r="DM815" s="42"/>
      <c r="DN815" s="42"/>
      <c r="DO815" s="42"/>
    </row>
    <row r="816" spans="2:119" ht="16.5" customHeight="1" x14ac:dyDescent="0.55000000000000004">
      <c r="B816" s="99"/>
      <c r="C816" s="42"/>
      <c r="D816" s="112" t="s">
        <v>16</v>
      </c>
      <c r="E816" s="112"/>
      <c r="F816" s="45"/>
      <c r="G816" s="45"/>
      <c r="H816" s="45"/>
      <c r="I816" s="45"/>
      <c r="J816" s="45"/>
      <c r="K816" s="45"/>
      <c r="L816" s="45"/>
      <c r="M816" s="45"/>
      <c r="N816" s="45"/>
      <c r="O816" s="45"/>
      <c r="P816" s="42"/>
      <c r="Q816" s="112" t="s">
        <v>16</v>
      </c>
      <c r="R816" s="112"/>
      <c r="S816" s="45"/>
      <c r="T816" s="45"/>
      <c r="U816" s="45"/>
      <c r="V816" s="45"/>
      <c r="W816" s="45"/>
      <c r="X816" s="45"/>
      <c r="Y816" s="45"/>
      <c r="Z816" s="45"/>
      <c r="AA816" s="45"/>
      <c r="AB816" s="45"/>
      <c r="AC816" s="42"/>
      <c r="AD816" s="112" t="s">
        <v>16</v>
      </c>
      <c r="AE816" s="112"/>
      <c r="AF816" s="45"/>
      <c r="AG816" s="45"/>
      <c r="AH816" s="45"/>
      <c r="AI816" s="45"/>
      <c r="AJ816" s="45"/>
      <c r="AK816" s="45"/>
      <c r="AL816" s="45"/>
      <c r="AM816" s="45"/>
      <c r="AN816" s="45"/>
      <c r="AO816" s="45"/>
      <c r="AP816" s="6"/>
      <c r="AQ816" s="112" t="s">
        <v>16</v>
      </c>
      <c r="AR816" s="112"/>
      <c r="AS816" s="45"/>
      <c r="AT816" s="45"/>
      <c r="AU816" s="45"/>
      <c r="AV816" s="45"/>
      <c r="AW816" s="45"/>
      <c r="AX816" s="45"/>
      <c r="AY816" s="45"/>
      <c r="AZ816" s="45"/>
      <c r="BA816" s="45"/>
      <c r="BB816" s="45"/>
      <c r="BC816" s="42"/>
      <c r="BD816" s="112" t="s">
        <v>16</v>
      </c>
      <c r="BE816" s="112"/>
      <c r="BF816" s="45"/>
      <c r="BG816" s="45"/>
      <c r="BH816" s="45"/>
      <c r="BI816" s="45"/>
      <c r="BJ816" s="45"/>
      <c r="BK816" s="45"/>
      <c r="BL816" s="45"/>
      <c r="BM816" s="45"/>
      <c r="BN816" s="45"/>
      <c r="BO816" s="45"/>
      <c r="BQ816" s="112" t="s">
        <v>16</v>
      </c>
      <c r="BR816" s="112"/>
      <c r="BS816" s="45"/>
      <c r="BT816" s="45"/>
      <c r="BU816" s="45"/>
      <c r="BV816" s="45"/>
      <c r="BW816" s="45"/>
      <c r="BX816" s="45"/>
      <c r="BY816" s="45"/>
      <c r="BZ816" s="45"/>
      <c r="CA816" s="45"/>
      <c r="CB816" s="45"/>
      <c r="CC816" s="42"/>
      <c r="CD816" s="112" t="s">
        <v>16</v>
      </c>
      <c r="CE816" s="112"/>
      <c r="CF816" s="45"/>
      <c r="CG816" s="45"/>
      <c r="CH816" s="45"/>
      <c r="CI816" s="45"/>
      <c r="CJ816" s="45"/>
      <c r="CK816" s="45"/>
      <c r="CL816" s="45"/>
      <c r="CM816" s="45"/>
      <c r="CN816" s="45"/>
      <c r="CO816" s="45"/>
      <c r="CQ816" s="112" t="s">
        <v>16</v>
      </c>
      <c r="CR816" s="112"/>
      <c r="CS816" s="45"/>
      <c r="CT816" s="45"/>
      <c r="CU816" s="45"/>
      <c r="CV816" s="45"/>
      <c r="CW816" s="45"/>
      <c r="CX816" s="45"/>
      <c r="CY816" s="45"/>
      <c r="CZ816" s="45"/>
      <c r="DA816" s="45"/>
      <c r="DB816" s="45"/>
      <c r="DC816" s="42"/>
      <c r="DD816" s="112" t="s">
        <v>16</v>
      </c>
      <c r="DE816" s="112"/>
      <c r="DF816" s="45"/>
      <c r="DG816" s="45"/>
      <c r="DH816" s="45"/>
      <c r="DI816" s="45"/>
      <c r="DJ816" s="45"/>
      <c r="DK816" s="45"/>
      <c r="DL816" s="45"/>
      <c r="DM816" s="45"/>
      <c r="DN816" s="45"/>
      <c r="DO816" s="45"/>
    </row>
    <row r="817" spans="2:119" ht="28.9" customHeight="1" x14ac:dyDescent="0.45">
      <c r="B817" s="99"/>
      <c r="C817" s="42"/>
      <c r="D817" s="112"/>
      <c r="E817" s="112"/>
      <c r="F817" s="108" t="s">
        <v>12</v>
      </c>
      <c r="G817" s="108"/>
      <c r="H817" s="108"/>
      <c r="I817" s="108"/>
      <c r="J817" s="108"/>
      <c r="K817" s="108"/>
      <c r="L817" s="108"/>
      <c r="M817" s="108"/>
      <c r="N817" s="108"/>
      <c r="O817" s="108"/>
      <c r="P817" s="42"/>
      <c r="Q817" s="112"/>
      <c r="R817" s="112"/>
      <c r="S817" s="108" t="s">
        <v>12</v>
      </c>
      <c r="T817" s="108"/>
      <c r="U817" s="108"/>
      <c r="V817" s="108"/>
      <c r="W817" s="108"/>
      <c r="X817" s="108"/>
      <c r="Y817" s="108"/>
      <c r="Z817" s="108"/>
      <c r="AA817" s="108"/>
      <c r="AB817" s="108"/>
      <c r="AC817" s="42"/>
      <c r="AD817" s="112"/>
      <c r="AE817" s="112"/>
      <c r="AF817" s="131" t="s">
        <v>12</v>
      </c>
      <c r="AG817" s="132"/>
      <c r="AH817" s="132"/>
      <c r="AI817" s="132"/>
      <c r="AJ817" s="132"/>
      <c r="AK817" s="132"/>
      <c r="AL817" s="132"/>
      <c r="AM817" s="132"/>
      <c r="AN817" s="132"/>
      <c r="AO817" s="133"/>
      <c r="AP817" s="6"/>
      <c r="AQ817" s="112"/>
      <c r="AR817" s="112"/>
      <c r="AS817" s="108" t="s">
        <v>12</v>
      </c>
      <c r="AT817" s="108"/>
      <c r="AU817" s="108"/>
      <c r="AV817" s="108"/>
      <c r="AW817" s="108"/>
      <c r="AX817" s="108"/>
      <c r="AY817" s="108"/>
      <c r="AZ817" s="108"/>
      <c r="BA817" s="108"/>
      <c r="BB817" s="108"/>
      <c r="BC817" s="42"/>
      <c r="BD817" s="112"/>
      <c r="BE817" s="112"/>
      <c r="BF817" s="108" t="s">
        <v>12</v>
      </c>
      <c r="BG817" s="108"/>
      <c r="BH817" s="108"/>
      <c r="BI817" s="108"/>
      <c r="BJ817" s="108"/>
      <c r="BK817" s="108"/>
      <c r="BL817" s="108"/>
      <c r="BM817" s="108"/>
      <c r="BN817" s="108"/>
      <c r="BO817" s="108"/>
      <c r="BQ817" s="112"/>
      <c r="BR817" s="112"/>
      <c r="BS817" s="108" t="s">
        <v>12</v>
      </c>
      <c r="BT817" s="108"/>
      <c r="BU817" s="108"/>
      <c r="BV817" s="108"/>
      <c r="BW817" s="108"/>
      <c r="BX817" s="108"/>
      <c r="BY817" s="108"/>
      <c r="BZ817" s="108"/>
      <c r="CA817" s="108"/>
      <c r="CB817" s="108"/>
      <c r="CC817" s="42"/>
      <c r="CD817" s="112"/>
      <c r="CE817" s="112"/>
      <c r="CF817" s="108" t="s">
        <v>12</v>
      </c>
      <c r="CG817" s="108"/>
      <c r="CH817" s="108"/>
      <c r="CI817" s="108"/>
      <c r="CJ817" s="108"/>
      <c r="CK817" s="108"/>
      <c r="CL817" s="108"/>
      <c r="CM817" s="108"/>
      <c r="CN817" s="108"/>
      <c r="CO817" s="108"/>
      <c r="CQ817" s="112"/>
      <c r="CR817" s="112"/>
      <c r="CS817" s="108" t="s">
        <v>12</v>
      </c>
      <c r="CT817" s="108"/>
      <c r="CU817" s="108"/>
      <c r="CV817" s="108"/>
      <c r="CW817" s="108"/>
      <c r="CX817" s="108"/>
      <c r="CY817" s="108"/>
      <c r="CZ817" s="108"/>
      <c r="DA817" s="108"/>
      <c r="DB817" s="108"/>
      <c r="DC817" s="42"/>
      <c r="DD817" s="112"/>
      <c r="DE817" s="112"/>
      <c r="DF817" s="108" t="s">
        <v>12</v>
      </c>
      <c r="DG817" s="108"/>
      <c r="DH817" s="108"/>
      <c r="DI817" s="108"/>
      <c r="DJ817" s="108"/>
      <c r="DK817" s="108"/>
      <c r="DL817" s="108"/>
      <c r="DM817" s="108"/>
      <c r="DN817" s="108"/>
      <c r="DO817" s="108"/>
    </row>
    <row r="818" spans="2:119" ht="15" customHeight="1" x14ac:dyDescent="0.45">
      <c r="B818" s="99"/>
      <c r="C818" s="42"/>
      <c r="D818" s="113"/>
      <c r="E818" s="113"/>
      <c r="F818" s="9" t="s">
        <v>0</v>
      </c>
      <c r="G818" s="9">
        <v>1</v>
      </c>
      <c r="H818" s="9">
        <v>2</v>
      </c>
      <c r="I818" s="9">
        <v>3</v>
      </c>
      <c r="J818" s="9">
        <v>4</v>
      </c>
      <c r="K818" s="9">
        <v>5</v>
      </c>
      <c r="L818" s="9">
        <v>6</v>
      </c>
      <c r="M818" s="9">
        <v>7</v>
      </c>
      <c r="N818" s="9">
        <v>8</v>
      </c>
      <c r="O818" s="9">
        <v>9</v>
      </c>
      <c r="P818" s="42"/>
      <c r="Q818" s="113"/>
      <c r="R818" s="113"/>
      <c r="S818" s="9" t="s">
        <v>0</v>
      </c>
      <c r="T818" s="9">
        <v>1</v>
      </c>
      <c r="U818" s="9">
        <v>2</v>
      </c>
      <c r="V818" s="9">
        <v>3</v>
      </c>
      <c r="W818" s="9">
        <v>4</v>
      </c>
      <c r="X818" s="9">
        <v>5</v>
      </c>
      <c r="Y818" s="9">
        <v>6</v>
      </c>
      <c r="Z818" s="9">
        <v>7</v>
      </c>
      <c r="AA818" s="9">
        <v>8</v>
      </c>
      <c r="AB818" s="9">
        <v>9</v>
      </c>
      <c r="AC818" s="42"/>
      <c r="AD818" s="113"/>
      <c r="AE818" s="113"/>
      <c r="AF818" s="9" t="s">
        <v>0</v>
      </c>
      <c r="AG818" s="9">
        <v>1</v>
      </c>
      <c r="AH818" s="9">
        <v>2</v>
      </c>
      <c r="AI818" s="9">
        <v>3</v>
      </c>
      <c r="AJ818" s="9">
        <v>4</v>
      </c>
      <c r="AK818" s="9">
        <v>5</v>
      </c>
      <c r="AL818" s="9">
        <v>6</v>
      </c>
      <c r="AM818" s="9">
        <v>7</v>
      </c>
      <c r="AN818" s="9">
        <v>8</v>
      </c>
      <c r="AO818" s="9">
        <v>9</v>
      </c>
      <c r="AP818" s="6"/>
      <c r="AQ818" s="113"/>
      <c r="AR818" s="113"/>
      <c r="AS818" s="9" t="s">
        <v>0</v>
      </c>
      <c r="AT818" s="9">
        <v>1</v>
      </c>
      <c r="AU818" s="9">
        <v>2</v>
      </c>
      <c r="AV818" s="9">
        <v>3</v>
      </c>
      <c r="AW818" s="9">
        <v>4</v>
      </c>
      <c r="AX818" s="9">
        <v>5</v>
      </c>
      <c r="AY818" s="9">
        <v>6</v>
      </c>
      <c r="AZ818" s="9">
        <v>7</v>
      </c>
      <c r="BA818" s="9">
        <v>8</v>
      </c>
      <c r="BB818" s="9">
        <v>9</v>
      </c>
      <c r="BC818" s="42"/>
      <c r="BD818" s="113"/>
      <c r="BE818" s="113"/>
      <c r="BF818" s="9" t="s">
        <v>0</v>
      </c>
      <c r="BG818" s="9">
        <v>1</v>
      </c>
      <c r="BH818" s="9">
        <v>2</v>
      </c>
      <c r="BI818" s="9">
        <v>3</v>
      </c>
      <c r="BJ818" s="9">
        <v>4</v>
      </c>
      <c r="BK818" s="9">
        <v>5</v>
      </c>
      <c r="BL818" s="9">
        <v>6</v>
      </c>
      <c r="BM818" s="9">
        <v>7</v>
      </c>
      <c r="BN818" s="9">
        <v>8</v>
      </c>
      <c r="BO818" s="9">
        <v>9</v>
      </c>
      <c r="BQ818" s="113"/>
      <c r="BR818" s="113"/>
      <c r="BS818" s="9" t="s">
        <v>0</v>
      </c>
      <c r="BT818" s="9">
        <v>1</v>
      </c>
      <c r="BU818" s="9">
        <v>2</v>
      </c>
      <c r="BV818" s="9">
        <v>3</v>
      </c>
      <c r="BW818" s="9">
        <v>4</v>
      </c>
      <c r="BX818" s="9">
        <v>5</v>
      </c>
      <c r="BY818" s="9">
        <v>6</v>
      </c>
      <c r="BZ818" s="9">
        <v>7</v>
      </c>
      <c r="CA818" s="9">
        <v>8</v>
      </c>
      <c r="CB818" s="9">
        <v>9</v>
      </c>
      <c r="CC818" s="42"/>
      <c r="CD818" s="113"/>
      <c r="CE818" s="113"/>
      <c r="CF818" s="9" t="s">
        <v>0</v>
      </c>
      <c r="CG818" s="9">
        <v>1</v>
      </c>
      <c r="CH818" s="9">
        <v>2</v>
      </c>
      <c r="CI818" s="9">
        <v>3</v>
      </c>
      <c r="CJ818" s="9">
        <v>4</v>
      </c>
      <c r="CK818" s="9">
        <v>5</v>
      </c>
      <c r="CL818" s="9">
        <v>6</v>
      </c>
      <c r="CM818" s="9">
        <v>7</v>
      </c>
      <c r="CN818" s="9">
        <v>8</v>
      </c>
      <c r="CO818" s="9">
        <v>9</v>
      </c>
      <c r="CQ818" s="113"/>
      <c r="CR818" s="113"/>
      <c r="CS818" s="9" t="s">
        <v>0</v>
      </c>
      <c r="CT818" s="9">
        <v>1</v>
      </c>
      <c r="CU818" s="9">
        <v>2</v>
      </c>
      <c r="CV818" s="9">
        <v>3</v>
      </c>
      <c r="CW818" s="9">
        <v>4</v>
      </c>
      <c r="CX818" s="9">
        <v>5</v>
      </c>
      <c r="CY818" s="9">
        <v>6</v>
      </c>
      <c r="CZ818" s="9">
        <v>7</v>
      </c>
      <c r="DA818" s="9">
        <v>8</v>
      </c>
      <c r="DB818" s="9">
        <v>9</v>
      </c>
      <c r="DC818" s="42"/>
      <c r="DD818" s="113"/>
      <c r="DE818" s="113"/>
      <c r="DF818" s="9" t="s">
        <v>0</v>
      </c>
      <c r="DG818" s="9">
        <v>1</v>
      </c>
      <c r="DH818" s="9">
        <v>2</v>
      </c>
      <c r="DI818" s="9">
        <v>3</v>
      </c>
      <c r="DJ818" s="9">
        <v>4</v>
      </c>
      <c r="DK818" s="9">
        <v>5</v>
      </c>
      <c r="DL818" s="9">
        <v>6</v>
      </c>
      <c r="DM818" s="9">
        <v>7</v>
      </c>
      <c r="DN818" s="9">
        <v>8</v>
      </c>
      <c r="DO818" s="9">
        <v>9</v>
      </c>
    </row>
    <row r="819" spans="2:119" ht="16.5" customHeight="1" x14ac:dyDescent="0.45">
      <c r="B819" s="99"/>
      <c r="C819" s="42"/>
      <c r="D819" s="109" t="s">
        <v>13</v>
      </c>
      <c r="E819" s="47" t="s">
        <v>1</v>
      </c>
      <c r="F819" s="103">
        <v>0</v>
      </c>
      <c r="G819" s="103">
        <v>21.311475409836063</v>
      </c>
      <c r="H819" s="103">
        <v>36.065573770491802</v>
      </c>
      <c r="I819" s="103">
        <v>11.475409836065573</v>
      </c>
      <c r="J819" s="103">
        <v>18.032786885245901</v>
      </c>
      <c r="K819" s="103">
        <v>1.639344262295082</v>
      </c>
      <c r="L819" s="103">
        <v>6.557377049180328</v>
      </c>
      <c r="M819" s="103">
        <v>0</v>
      </c>
      <c r="N819" s="103">
        <v>3.278688524590164</v>
      </c>
      <c r="O819" s="17">
        <v>1.639344262295082</v>
      </c>
      <c r="P819" s="42"/>
      <c r="Q819" s="109" t="s">
        <v>13</v>
      </c>
      <c r="R819" s="46" t="s">
        <v>1</v>
      </c>
      <c r="S819" s="103">
        <v>0</v>
      </c>
      <c r="T819" s="103">
        <v>14.814814814814813</v>
      </c>
      <c r="U819" s="103">
        <v>29.629629629629626</v>
      </c>
      <c r="V819" s="103">
        <v>11.111111111111111</v>
      </c>
      <c r="W819" s="103">
        <v>25.925925925925924</v>
      </c>
      <c r="X819" s="103">
        <v>3.7037037037037033</v>
      </c>
      <c r="Y819" s="103">
        <v>7.4074074074074066</v>
      </c>
      <c r="Z819" s="103">
        <v>0</v>
      </c>
      <c r="AA819" s="103">
        <v>3.7037037037037033</v>
      </c>
      <c r="AB819" s="17">
        <v>3.7037037037037033</v>
      </c>
      <c r="AC819" s="42"/>
      <c r="AD819" s="109" t="s">
        <v>13</v>
      </c>
      <c r="AE819" s="46" t="s">
        <v>1</v>
      </c>
      <c r="AF819" s="103">
        <v>0</v>
      </c>
      <c r="AG819" s="103">
        <v>26.47058823529412</v>
      </c>
      <c r="AH819" s="103">
        <v>41.17647058823529</v>
      </c>
      <c r="AI819" s="103">
        <v>11.76470588235294</v>
      </c>
      <c r="AJ819" s="103">
        <v>11.76470588235294</v>
      </c>
      <c r="AK819" s="103">
        <v>0</v>
      </c>
      <c r="AL819" s="103">
        <v>5.8823529411764701</v>
      </c>
      <c r="AM819" s="103">
        <v>0</v>
      </c>
      <c r="AN819" s="103">
        <v>2.9411764705882351</v>
      </c>
      <c r="AO819" s="17">
        <v>0</v>
      </c>
      <c r="AP819" s="6"/>
      <c r="AQ819" s="109" t="s">
        <v>13</v>
      </c>
      <c r="AR819" s="46" t="s">
        <v>1</v>
      </c>
      <c r="AS819" s="103">
        <v>0</v>
      </c>
      <c r="AT819" s="103">
        <v>30.303030303030305</v>
      </c>
      <c r="AU819" s="103">
        <v>39.393939393939391</v>
      </c>
      <c r="AV819" s="103">
        <v>6.0606060606060606</v>
      </c>
      <c r="AW819" s="103">
        <v>12.121212121212121</v>
      </c>
      <c r="AX819" s="103">
        <v>3.0303030303030303</v>
      </c>
      <c r="AY819" s="103">
        <v>9.0909090909090917</v>
      </c>
      <c r="AZ819" s="103">
        <v>0</v>
      </c>
      <c r="BA819" s="103">
        <v>0</v>
      </c>
      <c r="BB819" s="17">
        <v>0</v>
      </c>
      <c r="BC819" s="42"/>
      <c r="BD819" s="109" t="s">
        <v>13</v>
      </c>
      <c r="BE819" s="46" t="s">
        <v>1</v>
      </c>
      <c r="BF819" s="103">
        <v>0</v>
      </c>
      <c r="BG819" s="103">
        <v>10.714285714285714</v>
      </c>
      <c r="BH819" s="103">
        <v>32.142857142857146</v>
      </c>
      <c r="BI819" s="103">
        <v>17.857142857142858</v>
      </c>
      <c r="BJ819" s="103">
        <v>25</v>
      </c>
      <c r="BK819" s="103">
        <v>0</v>
      </c>
      <c r="BL819" s="103">
        <v>3.5714285714285712</v>
      </c>
      <c r="BM819" s="103">
        <v>0</v>
      </c>
      <c r="BN819" s="103">
        <v>7.1428571428571423</v>
      </c>
      <c r="BO819" s="17">
        <v>3.5714285714285712</v>
      </c>
      <c r="BQ819" s="109" t="s">
        <v>13</v>
      </c>
      <c r="BR819" s="46" t="s">
        <v>1</v>
      </c>
      <c r="BS819" s="103">
        <v>0</v>
      </c>
      <c r="BT819" s="103">
        <v>26.666666666666668</v>
      </c>
      <c r="BU819" s="103">
        <v>42.222222222222221</v>
      </c>
      <c r="BV819" s="103">
        <v>8.8888888888888893</v>
      </c>
      <c r="BW819" s="103">
        <v>13.333333333333334</v>
      </c>
      <c r="BX819" s="103">
        <v>0</v>
      </c>
      <c r="BY819" s="103">
        <v>6.666666666666667</v>
      </c>
      <c r="BZ819" s="103">
        <v>0</v>
      </c>
      <c r="CA819" s="103">
        <v>2.2222222222222223</v>
      </c>
      <c r="CB819" s="17">
        <v>0</v>
      </c>
      <c r="CC819" s="42"/>
      <c r="CD819" s="109" t="s">
        <v>13</v>
      </c>
      <c r="CE819" s="46" t="s">
        <v>1</v>
      </c>
      <c r="CF819" s="103">
        <v>0</v>
      </c>
      <c r="CG819" s="103">
        <v>6.25</v>
      </c>
      <c r="CH819" s="103">
        <v>18.75</v>
      </c>
      <c r="CI819" s="103">
        <v>18.75</v>
      </c>
      <c r="CJ819" s="103">
        <v>31.25</v>
      </c>
      <c r="CK819" s="103">
        <v>6.25</v>
      </c>
      <c r="CL819" s="103">
        <v>6.25</v>
      </c>
      <c r="CM819" s="103">
        <v>0</v>
      </c>
      <c r="CN819" s="103">
        <v>6.25</v>
      </c>
      <c r="CO819" s="17">
        <v>6.25</v>
      </c>
      <c r="CQ819" s="109" t="s">
        <v>13</v>
      </c>
      <c r="CR819" s="46" t="s">
        <v>1</v>
      </c>
      <c r="CS819" s="103">
        <v>0</v>
      </c>
      <c r="CT819" s="103">
        <v>11.76470588235294</v>
      </c>
      <c r="CU819" s="103">
        <v>26.47058823529412</v>
      </c>
      <c r="CV819" s="103">
        <v>20.588235294117645</v>
      </c>
      <c r="CW819" s="103">
        <v>23.52941176470588</v>
      </c>
      <c r="CX819" s="103">
        <v>2.9411764705882351</v>
      </c>
      <c r="CY819" s="103">
        <v>5.8823529411764701</v>
      </c>
      <c r="CZ819" s="103">
        <v>0</v>
      </c>
      <c r="DA819" s="103">
        <v>5.8823529411764701</v>
      </c>
      <c r="DB819" s="17">
        <v>2.9411764705882351</v>
      </c>
      <c r="DC819" s="42"/>
      <c r="DD819" s="109" t="s">
        <v>13</v>
      </c>
      <c r="DE819" s="46" t="s">
        <v>1</v>
      </c>
      <c r="DF819" s="103">
        <v>0</v>
      </c>
      <c r="DG819" s="103">
        <v>33.333333333333329</v>
      </c>
      <c r="DH819" s="103">
        <v>48.148148148148145</v>
      </c>
      <c r="DI819" s="103">
        <v>0</v>
      </c>
      <c r="DJ819" s="103">
        <v>11.111111111111111</v>
      </c>
      <c r="DK819" s="103">
        <v>0</v>
      </c>
      <c r="DL819" s="103">
        <v>7.4074074074074066</v>
      </c>
      <c r="DM819" s="103">
        <v>0</v>
      </c>
      <c r="DN819" s="103">
        <v>0</v>
      </c>
      <c r="DO819" s="17">
        <v>0</v>
      </c>
    </row>
    <row r="820" spans="2:119" ht="16.5" customHeight="1" x14ac:dyDescent="0.45">
      <c r="B820" s="99"/>
      <c r="C820" s="42"/>
      <c r="D820" s="110"/>
      <c r="E820" s="47">
        <v>1</v>
      </c>
      <c r="F820" s="103">
        <v>0.85106382978723405</v>
      </c>
      <c r="G820" s="103">
        <v>21.702127659574469</v>
      </c>
      <c r="H820" s="103">
        <v>30.212765957446809</v>
      </c>
      <c r="I820" s="103">
        <v>22.978723404255319</v>
      </c>
      <c r="J820" s="103">
        <v>12.340425531914894</v>
      </c>
      <c r="K820" s="103">
        <v>7.2340425531914887</v>
      </c>
      <c r="L820" s="103">
        <v>3.4042553191489362</v>
      </c>
      <c r="M820" s="103">
        <v>0.42553191489361702</v>
      </c>
      <c r="N820" s="103">
        <v>0</v>
      </c>
      <c r="O820" s="103">
        <v>0.85106382978723405</v>
      </c>
      <c r="P820" s="42"/>
      <c r="Q820" s="110"/>
      <c r="R820" s="46">
        <v>1</v>
      </c>
      <c r="S820" s="103">
        <v>0.83333333333333337</v>
      </c>
      <c r="T820" s="103">
        <v>20.833333333333336</v>
      </c>
      <c r="U820" s="103">
        <v>25</v>
      </c>
      <c r="V820" s="103">
        <v>18.333333333333332</v>
      </c>
      <c r="W820" s="103">
        <v>16.666666666666664</v>
      </c>
      <c r="X820" s="103">
        <v>12.5</v>
      </c>
      <c r="Y820" s="103">
        <v>3.3333333333333335</v>
      </c>
      <c r="Z820" s="103">
        <v>0.83333333333333337</v>
      </c>
      <c r="AA820" s="103">
        <v>0</v>
      </c>
      <c r="AB820" s="103">
        <v>1.6666666666666667</v>
      </c>
      <c r="AC820" s="42"/>
      <c r="AD820" s="110"/>
      <c r="AE820" s="46">
        <v>1</v>
      </c>
      <c r="AF820" s="103">
        <v>0.86956521739130432</v>
      </c>
      <c r="AG820" s="103">
        <v>22.608695652173914</v>
      </c>
      <c r="AH820" s="103">
        <v>35.652173913043477</v>
      </c>
      <c r="AI820" s="103">
        <v>27.826086956521738</v>
      </c>
      <c r="AJ820" s="103">
        <v>7.8260869565217401</v>
      </c>
      <c r="AK820" s="103">
        <v>1.7391304347826086</v>
      </c>
      <c r="AL820" s="103">
        <v>3.4782608695652173</v>
      </c>
      <c r="AM820" s="103">
        <v>0</v>
      </c>
      <c r="AN820" s="103">
        <v>0</v>
      </c>
      <c r="AO820" s="103">
        <v>0</v>
      </c>
      <c r="AP820" s="6"/>
      <c r="AQ820" s="110"/>
      <c r="AR820" s="46">
        <v>1</v>
      </c>
      <c r="AS820" s="103">
        <v>0.81967213114754101</v>
      </c>
      <c r="AT820" s="103">
        <v>26.229508196721312</v>
      </c>
      <c r="AU820" s="103">
        <v>34.42622950819672</v>
      </c>
      <c r="AV820" s="103">
        <v>22.950819672131146</v>
      </c>
      <c r="AW820" s="103">
        <v>9.0163934426229506</v>
      </c>
      <c r="AX820" s="103">
        <v>6.557377049180328</v>
      </c>
      <c r="AY820" s="103">
        <v>0</v>
      </c>
      <c r="AZ820" s="103">
        <v>0</v>
      </c>
      <c r="BA820" s="103">
        <v>0</v>
      </c>
      <c r="BB820" s="103">
        <v>0</v>
      </c>
      <c r="BC820" s="42"/>
      <c r="BD820" s="110"/>
      <c r="BE820" s="46">
        <v>1</v>
      </c>
      <c r="BF820" s="103">
        <v>0.88495575221238942</v>
      </c>
      <c r="BG820" s="103">
        <v>16.814159292035399</v>
      </c>
      <c r="BH820" s="103">
        <v>25.663716814159294</v>
      </c>
      <c r="BI820" s="103">
        <v>23.008849557522122</v>
      </c>
      <c r="BJ820" s="103">
        <v>15.929203539823009</v>
      </c>
      <c r="BK820" s="103">
        <v>7.9646017699115044</v>
      </c>
      <c r="BL820" s="103">
        <v>7.0796460176991154</v>
      </c>
      <c r="BM820" s="103">
        <v>0.88495575221238942</v>
      </c>
      <c r="BN820" s="103">
        <v>0</v>
      </c>
      <c r="BO820" s="103">
        <v>1.7699115044247788</v>
      </c>
      <c r="BQ820" s="110"/>
      <c r="BR820" s="46">
        <v>1</v>
      </c>
      <c r="BS820" s="103">
        <v>1.0928961748633881</v>
      </c>
      <c r="BT820" s="103">
        <v>27.322404371584703</v>
      </c>
      <c r="BU820" s="103">
        <v>33.879781420765028</v>
      </c>
      <c r="BV820" s="103">
        <v>24.590163934426229</v>
      </c>
      <c r="BW820" s="103">
        <v>8.7431693989071047</v>
      </c>
      <c r="BX820" s="103">
        <v>3.278688524590164</v>
      </c>
      <c r="BY820" s="103">
        <v>1.0928961748633881</v>
      </c>
      <c r="BZ820" s="103">
        <v>0</v>
      </c>
      <c r="CA820" s="103">
        <v>0</v>
      </c>
      <c r="CB820" s="103">
        <v>0</v>
      </c>
      <c r="CC820" s="42"/>
      <c r="CD820" s="110"/>
      <c r="CE820" s="46">
        <v>1</v>
      </c>
      <c r="CF820" s="103">
        <v>0</v>
      </c>
      <c r="CG820" s="103">
        <v>1.9230769230769231</v>
      </c>
      <c r="CH820" s="103">
        <v>17.307692307692307</v>
      </c>
      <c r="CI820" s="103">
        <v>17.307692307692307</v>
      </c>
      <c r="CJ820" s="103">
        <v>25</v>
      </c>
      <c r="CK820" s="103">
        <v>21.153846153846153</v>
      </c>
      <c r="CL820" s="103">
        <v>11.538461538461538</v>
      </c>
      <c r="CM820" s="103">
        <v>1.9230769230769231</v>
      </c>
      <c r="CN820" s="103">
        <v>0</v>
      </c>
      <c r="CO820" s="103">
        <v>3.8461538461538463</v>
      </c>
      <c r="CQ820" s="110"/>
      <c r="CR820" s="46">
        <v>1</v>
      </c>
      <c r="CS820" s="103">
        <v>0.99009900990099009</v>
      </c>
      <c r="CT820" s="103">
        <v>9.9009900990099009</v>
      </c>
      <c r="CU820" s="103">
        <v>23.762376237623762</v>
      </c>
      <c r="CV820" s="103">
        <v>22.772277227722775</v>
      </c>
      <c r="CW820" s="103">
        <v>19.801980198019802</v>
      </c>
      <c r="CX820" s="103">
        <v>12.871287128712872</v>
      </c>
      <c r="CY820" s="103">
        <v>6.9306930693069315</v>
      </c>
      <c r="CZ820" s="103">
        <v>0.99009900990099009</v>
      </c>
      <c r="DA820" s="103">
        <v>0</v>
      </c>
      <c r="DB820" s="103">
        <v>1.9801980198019802</v>
      </c>
      <c r="DC820" s="42"/>
      <c r="DD820" s="110"/>
      <c r="DE820" s="46">
        <v>1</v>
      </c>
      <c r="DF820" s="103">
        <v>0.74626865671641784</v>
      </c>
      <c r="DG820" s="103">
        <v>30.597014925373134</v>
      </c>
      <c r="DH820" s="103">
        <v>35.074626865671647</v>
      </c>
      <c r="DI820" s="103">
        <v>23.134328358208954</v>
      </c>
      <c r="DJ820" s="103">
        <v>6.7164179104477615</v>
      </c>
      <c r="DK820" s="103">
        <v>2.9850746268656714</v>
      </c>
      <c r="DL820" s="103">
        <v>0.74626865671641784</v>
      </c>
      <c r="DM820" s="103">
        <v>0</v>
      </c>
      <c r="DN820" s="103">
        <v>0</v>
      </c>
      <c r="DO820" s="103">
        <v>0</v>
      </c>
    </row>
    <row r="821" spans="2:119" ht="16.5" customHeight="1" x14ac:dyDescent="0.45">
      <c r="B821" s="99"/>
      <c r="C821" s="42"/>
      <c r="D821" s="110"/>
      <c r="E821" s="47" t="s">
        <v>2</v>
      </c>
      <c r="F821" s="103">
        <v>1.2327044025157232</v>
      </c>
      <c r="G821" s="103">
        <v>9.8364779874213841</v>
      </c>
      <c r="H821" s="103">
        <v>25.308176100628931</v>
      </c>
      <c r="I821" s="103">
        <v>31.345911949685533</v>
      </c>
      <c r="J821" s="103">
        <v>18.440251572327043</v>
      </c>
      <c r="K821" s="103">
        <v>8.6037735849056602</v>
      </c>
      <c r="L821" s="103">
        <v>3.6226415094339623</v>
      </c>
      <c r="M821" s="103">
        <v>1.0817610062893082</v>
      </c>
      <c r="N821" s="103">
        <v>0.3522012578616352</v>
      </c>
      <c r="O821" s="103">
        <v>0.1761006289308176</v>
      </c>
      <c r="P821" s="42"/>
      <c r="Q821" s="110"/>
      <c r="R821" s="46" t="s">
        <v>2</v>
      </c>
      <c r="S821" s="103">
        <v>0.7816316560820713</v>
      </c>
      <c r="T821" s="103">
        <v>8.0605764533463606</v>
      </c>
      <c r="U821" s="103">
        <v>22.520762090864679</v>
      </c>
      <c r="V821" s="103">
        <v>31.411822178798243</v>
      </c>
      <c r="W821" s="103">
        <v>19.149975574010746</v>
      </c>
      <c r="X821" s="103">
        <v>10.649731314118222</v>
      </c>
      <c r="Y821" s="103">
        <v>4.8363458720078158</v>
      </c>
      <c r="Z821" s="103">
        <v>1.6609672691744015</v>
      </c>
      <c r="AA821" s="103">
        <v>0.63507572056668293</v>
      </c>
      <c r="AB821" s="103">
        <v>0.29311187103077674</v>
      </c>
      <c r="AC821" s="42"/>
      <c r="AD821" s="110"/>
      <c r="AE821" s="46" t="s">
        <v>2</v>
      </c>
      <c r="AF821" s="103">
        <v>1.7116182572614109</v>
      </c>
      <c r="AG821" s="103">
        <v>11.721991701244812</v>
      </c>
      <c r="AH821" s="103">
        <v>28.267634854771785</v>
      </c>
      <c r="AI821" s="103">
        <v>31.275933609958507</v>
      </c>
      <c r="AJ821" s="103">
        <v>17.686721991701244</v>
      </c>
      <c r="AK821" s="103">
        <v>6.4315352697095429</v>
      </c>
      <c r="AL821" s="103">
        <v>2.3340248962655603</v>
      </c>
      <c r="AM821" s="103">
        <v>0.46680497925311204</v>
      </c>
      <c r="AN821" s="103">
        <v>5.1867219917012451E-2</v>
      </c>
      <c r="AO821" s="103">
        <v>5.1867219917012451E-2</v>
      </c>
      <c r="AP821" s="6"/>
      <c r="AQ821" s="110"/>
      <c r="AR821" s="46" t="s">
        <v>2</v>
      </c>
      <c r="AS821" s="103">
        <v>1.493975903614458</v>
      </c>
      <c r="AT821" s="103">
        <v>10.746987951807228</v>
      </c>
      <c r="AU821" s="103">
        <v>27.421686746987952</v>
      </c>
      <c r="AV821" s="103">
        <v>31.180722891566266</v>
      </c>
      <c r="AW821" s="103">
        <v>18.313253012048193</v>
      </c>
      <c r="AX821" s="103">
        <v>6.9879518072289164</v>
      </c>
      <c r="AY821" s="103">
        <v>2.8915662650602409</v>
      </c>
      <c r="AZ821" s="103">
        <v>0.53012048192771077</v>
      </c>
      <c r="BA821" s="103">
        <v>0.28915662650602408</v>
      </c>
      <c r="BB821" s="103">
        <v>0.14457831325301204</v>
      </c>
      <c r="BC821" s="42"/>
      <c r="BD821" s="110"/>
      <c r="BE821" s="46" t="s">
        <v>2</v>
      </c>
      <c r="BF821" s="103">
        <v>0.94736842105263164</v>
      </c>
      <c r="BG821" s="103">
        <v>8.8421052631578938</v>
      </c>
      <c r="BH821" s="103">
        <v>23</v>
      </c>
      <c r="BI821" s="103">
        <v>31.526315789473685</v>
      </c>
      <c r="BJ821" s="103">
        <v>18.578947368421055</v>
      </c>
      <c r="BK821" s="103">
        <v>10.368421052631579</v>
      </c>
      <c r="BL821" s="103">
        <v>4.4210526315789469</v>
      </c>
      <c r="BM821" s="103">
        <v>1.6842105263157894</v>
      </c>
      <c r="BN821" s="103">
        <v>0.42105263157894735</v>
      </c>
      <c r="BO821" s="103">
        <v>0.21052631578947367</v>
      </c>
      <c r="BQ821" s="110"/>
      <c r="BR821" s="46" t="s">
        <v>2</v>
      </c>
      <c r="BS821" s="103">
        <v>1.2741046831955922</v>
      </c>
      <c r="BT821" s="103">
        <v>10.81267217630854</v>
      </c>
      <c r="BU821" s="103">
        <v>27.376033057851242</v>
      </c>
      <c r="BV821" s="103">
        <v>31.680440771349861</v>
      </c>
      <c r="BW821" s="103">
        <v>17.561983471074381</v>
      </c>
      <c r="BX821" s="103">
        <v>7.4035812672176311</v>
      </c>
      <c r="BY821" s="103">
        <v>2.7548209366391188</v>
      </c>
      <c r="BZ821" s="103">
        <v>0.79201101928374662</v>
      </c>
      <c r="CA821" s="103">
        <v>0.24104683195592286</v>
      </c>
      <c r="CB821" s="103">
        <v>0.10330578512396695</v>
      </c>
      <c r="CC821" s="42"/>
      <c r="CD821" s="110"/>
      <c r="CE821" s="46" t="s">
        <v>2</v>
      </c>
      <c r="CF821" s="103">
        <v>1.1204481792717087</v>
      </c>
      <c r="CG821" s="103">
        <v>7.18954248366013</v>
      </c>
      <c r="CH821" s="103">
        <v>19.701213818860879</v>
      </c>
      <c r="CI821" s="103">
        <v>30.438842203548084</v>
      </c>
      <c r="CJ821" s="103">
        <v>20.821661998132587</v>
      </c>
      <c r="CK821" s="103">
        <v>11.858076563958916</v>
      </c>
      <c r="CL821" s="103">
        <v>5.9757236227824464</v>
      </c>
      <c r="CM821" s="103">
        <v>1.8674136321195145</v>
      </c>
      <c r="CN821" s="103">
        <v>0.65359477124183007</v>
      </c>
      <c r="CO821" s="103">
        <v>0.3734827264239029</v>
      </c>
      <c r="CQ821" s="110"/>
      <c r="CR821" s="46" t="s">
        <v>2</v>
      </c>
      <c r="CS821" s="103">
        <v>1.1992619926199262</v>
      </c>
      <c r="CT821" s="103">
        <v>7.195571955719557</v>
      </c>
      <c r="CU821" s="103">
        <v>19.464944649446494</v>
      </c>
      <c r="CV821" s="103">
        <v>28.874538745387451</v>
      </c>
      <c r="CW821" s="103">
        <v>21.309963099630995</v>
      </c>
      <c r="CX821" s="103">
        <v>12.084870848708487</v>
      </c>
      <c r="CY821" s="103">
        <v>6.9188191881918826</v>
      </c>
      <c r="CZ821" s="103">
        <v>2.0295202952029521</v>
      </c>
      <c r="DA821" s="103">
        <v>0.64575645756457567</v>
      </c>
      <c r="DB821" s="103">
        <v>0.27675276752767525</v>
      </c>
      <c r="DC821" s="42"/>
      <c r="DD821" s="110"/>
      <c r="DE821" s="46" t="s">
        <v>2</v>
      </c>
      <c r="DF821" s="103">
        <v>1.2452438602559668</v>
      </c>
      <c r="DG821" s="103">
        <v>10.826703562781043</v>
      </c>
      <c r="DH821" s="103">
        <v>27.499135247319266</v>
      </c>
      <c r="DI821" s="103">
        <v>32.272570044967139</v>
      </c>
      <c r="DJ821" s="103">
        <v>17.364233829124871</v>
      </c>
      <c r="DK821" s="103">
        <v>7.2985126253891393</v>
      </c>
      <c r="DL821" s="103">
        <v>2.3867173988239365</v>
      </c>
      <c r="DM821" s="103">
        <v>0.72639225181598066</v>
      </c>
      <c r="DN821" s="103">
        <v>0.24213075060532688</v>
      </c>
      <c r="DO821" s="103">
        <v>0.13836042891732964</v>
      </c>
    </row>
    <row r="822" spans="2:119" ht="16.5" customHeight="1" x14ac:dyDescent="0.45">
      <c r="B822" s="99"/>
      <c r="C822" s="42"/>
      <c r="D822" s="110"/>
      <c r="E822" s="47" t="s">
        <v>3</v>
      </c>
      <c r="F822" s="103">
        <v>1.1180124223602486</v>
      </c>
      <c r="G822" s="103">
        <v>7.0393374741200834</v>
      </c>
      <c r="H822" s="103">
        <v>19.08902691511387</v>
      </c>
      <c r="I822" s="103">
        <v>30.310559006211179</v>
      </c>
      <c r="J822" s="103">
        <v>21.987577639751553</v>
      </c>
      <c r="K822" s="103">
        <v>12.173913043478262</v>
      </c>
      <c r="L822" s="103">
        <v>5.2173913043478262</v>
      </c>
      <c r="M822" s="103">
        <v>2.0289855072463765</v>
      </c>
      <c r="N822" s="103">
        <v>0.86956521739130432</v>
      </c>
      <c r="O822" s="103">
        <v>0.16563146997929606</v>
      </c>
      <c r="P822" s="42"/>
      <c r="Q822" s="110"/>
      <c r="R822" s="46" t="s">
        <v>3</v>
      </c>
      <c r="S822" s="103">
        <v>0.96367679762787251</v>
      </c>
      <c r="T822" s="103">
        <v>5.8561897702001477</v>
      </c>
      <c r="U822" s="103">
        <v>16.456634544106745</v>
      </c>
      <c r="V822" s="103">
        <v>29.429206819866565</v>
      </c>
      <c r="W822" s="103">
        <v>22.60934025203855</v>
      </c>
      <c r="X822" s="103">
        <v>14.158636026686434</v>
      </c>
      <c r="Y822" s="103">
        <v>6.1527057079318013</v>
      </c>
      <c r="Z822" s="103">
        <v>3.0392883617494442</v>
      </c>
      <c r="AA822" s="103">
        <v>1.1119347664936992</v>
      </c>
      <c r="AB822" s="103">
        <v>0.22238695329873981</v>
      </c>
      <c r="AC822" s="42"/>
      <c r="AD822" s="110"/>
      <c r="AE822" s="46" t="s">
        <v>3</v>
      </c>
      <c r="AF822" s="103">
        <v>1.3133208255159476</v>
      </c>
      <c r="AG822" s="103">
        <v>8.536585365853659</v>
      </c>
      <c r="AH822" s="103">
        <v>22.420262664165101</v>
      </c>
      <c r="AI822" s="103">
        <v>31.425891181988742</v>
      </c>
      <c r="AJ822" s="103">
        <v>21.200750469043154</v>
      </c>
      <c r="AK822" s="103">
        <v>9.6622889305816138</v>
      </c>
      <c r="AL822" s="103">
        <v>4.0337711069418383</v>
      </c>
      <c r="AM822" s="103">
        <v>0.75046904315196994</v>
      </c>
      <c r="AN822" s="103">
        <v>0.56285178236397748</v>
      </c>
      <c r="AO822" s="103">
        <v>9.3808630393996242E-2</v>
      </c>
      <c r="AP822" s="6"/>
      <c r="AQ822" s="110"/>
      <c r="AR822" s="46" t="s">
        <v>3</v>
      </c>
      <c r="AS822" s="103">
        <v>1.5544041450777202</v>
      </c>
      <c r="AT822" s="103">
        <v>8.4628670120898093</v>
      </c>
      <c r="AU822" s="103">
        <v>21.070811744386873</v>
      </c>
      <c r="AV822" s="103">
        <v>31.951640759930918</v>
      </c>
      <c r="AW822" s="103">
        <v>20.811744386873919</v>
      </c>
      <c r="AX822" s="103">
        <v>10.794473229706391</v>
      </c>
      <c r="AY822" s="103">
        <v>3.7132987910189987</v>
      </c>
      <c r="AZ822" s="103">
        <v>1.3816925734024179</v>
      </c>
      <c r="BA822" s="103">
        <v>0.17271157167530224</v>
      </c>
      <c r="BB822" s="103">
        <v>8.6355785837651119E-2</v>
      </c>
      <c r="BC822" s="42"/>
      <c r="BD822" s="110"/>
      <c r="BE822" s="46" t="s">
        <v>3</v>
      </c>
      <c r="BF822" s="103">
        <v>0.71599045346062051</v>
      </c>
      <c r="BG822" s="103">
        <v>5.7279236276849641</v>
      </c>
      <c r="BH822" s="103">
        <v>17.263325377883852</v>
      </c>
      <c r="BI822" s="103">
        <v>28.798727128082735</v>
      </c>
      <c r="BJ822" s="103">
        <v>23.070803500397773</v>
      </c>
      <c r="BK822" s="103">
        <v>13.444709626093873</v>
      </c>
      <c r="BL822" s="103">
        <v>6.6030230708035003</v>
      </c>
      <c r="BM822" s="103">
        <v>2.6252983293556085</v>
      </c>
      <c r="BN822" s="103">
        <v>1.511535401750199</v>
      </c>
      <c r="BO822" s="103">
        <v>0.23866348448687352</v>
      </c>
      <c r="BQ822" s="110"/>
      <c r="BR822" s="46" t="s">
        <v>3</v>
      </c>
      <c r="BS822" s="103">
        <v>1.3758146270818248</v>
      </c>
      <c r="BT822" s="103">
        <v>7.6755973931933381</v>
      </c>
      <c r="BU822" s="103">
        <v>20.130340333091961</v>
      </c>
      <c r="BV822" s="103">
        <v>30.557566980448954</v>
      </c>
      <c r="BW822" s="103">
        <v>21.723388848660392</v>
      </c>
      <c r="BX822" s="103">
        <v>11.513396089790007</v>
      </c>
      <c r="BY822" s="103">
        <v>4.1274438812454743</v>
      </c>
      <c r="BZ822" s="103">
        <v>1.9551049963794351</v>
      </c>
      <c r="CA822" s="103">
        <v>0.86893555394641564</v>
      </c>
      <c r="CB822" s="103">
        <v>7.2411296162201294E-2</v>
      </c>
      <c r="CC822" s="42"/>
      <c r="CD822" s="110"/>
      <c r="CE822" s="46" t="s">
        <v>3</v>
      </c>
      <c r="CF822" s="103">
        <v>0.77369439071566737</v>
      </c>
      <c r="CG822" s="103">
        <v>6.1895551257253389</v>
      </c>
      <c r="CH822" s="103">
        <v>17.698259187620891</v>
      </c>
      <c r="CI822" s="103">
        <v>29.980657640232106</v>
      </c>
      <c r="CJ822" s="103">
        <v>22.340425531914892</v>
      </c>
      <c r="CK822" s="103">
        <v>13.056092843326885</v>
      </c>
      <c r="CL822" s="103">
        <v>6.6731141199226309</v>
      </c>
      <c r="CM822" s="103">
        <v>2.1276595744680851</v>
      </c>
      <c r="CN822" s="103">
        <v>0.87040618955512572</v>
      </c>
      <c r="CO822" s="103">
        <v>0.29013539651837528</v>
      </c>
      <c r="CQ822" s="110"/>
      <c r="CR822" s="46" t="s">
        <v>3</v>
      </c>
      <c r="CS822" s="103">
        <v>0.19960079840319359</v>
      </c>
      <c r="CT822" s="103">
        <v>5.3892215568862278</v>
      </c>
      <c r="CU822" s="103">
        <v>12.574850299401197</v>
      </c>
      <c r="CV822" s="103">
        <v>25.349301397205586</v>
      </c>
      <c r="CW822" s="103">
        <v>26.147704590818364</v>
      </c>
      <c r="CX822" s="103">
        <v>15.768463073852296</v>
      </c>
      <c r="CY822" s="103">
        <v>8.9820359281437128</v>
      </c>
      <c r="CZ822" s="103">
        <v>3.7924151696606789</v>
      </c>
      <c r="DA822" s="103">
        <v>1.3972055888223553</v>
      </c>
      <c r="DB822" s="103">
        <v>0.39920159680638717</v>
      </c>
      <c r="DC822" s="42"/>
      <c r="DD822" s="110"/>
      <c r="DE822" s="46" t="s">
        <v>3</v>
      </c>
      <c r="DF822" s="103">
        <v>1.3584117032392893</v>
      </c>
      <c r="DG822" s="103">
        <v>7.4712643678160928</v>
      </c>
      <c r="DH822" s="103">
        <v>20.794148380355278</v>
      </c>
      <c r="DI822" s="103">
        <v>31.609195402298852</v>
      </c>
      <c r="DJ822" s="103">
        <v>20.898641588296758</v>
      </c>
      <c r="DK822" s="103">
        <v>11.233019853709509</v>
      </c>
      <c r="DL822" s="103">
        <v>4.2319749216300941</v>
      </c>
      <c r="DM822" s="103">
        <v>1.5673981191222568</v>
      </c>
      <c r="DN822" s="103">
        <v>0.73145245559038663</v>
      </c>
      <c r="DO822" s="103">
        <v>0.10449320794148381</v>
      </c>
    </row>
    <row r="823" spans="2:119" ht="16.5" customHeight="1" x14ac:dyDescent="0.45">
      <c r="B823" s="99"/>
      <c r="C823" s="42"/>
      <c r="D823" s="110"/>
      <c r="E823" s="47" t="s">
        <v>4</v>
      </c>
      <c r="F823" s="103">
        <v>0.94043887147335425</v>
      </c>
      <c r="G823" s="103">
        <v>6.5830721003134789</v>
      </c>
      <c r="H823" s="103">
        <v>17.269877457965233</v>
      </c>
      <c r="I823" s="103">
        <v>28.469649472784269</v>
      </c>
      <c r="J823" s="103">
        <v>22.228555143915646</v>
      </c>
      <c r="K823" s="103">
        <v>14.87603305785124</v>
      </c>
      <c r="L823" s="103">
        <v>6.2410943288686234</v>
      </c>
      <c r="M823" s="103">
        <v>2.2513536620119692</v>
      </c>
      <c r="N823" s="103">
        <v>0.79794813337133086</v>
      </c>
      <c r="O823" s="103">
        <v>0.34197777144485608</v>
      </c>
      <c r="P823" s="42"/>
      <c r="Q823" s="110"/>
      <c r="R823" s="46" t="s">
        <v>4</v>
      </c>
      <c r="S823" s="103">
        <v>0.53527980535279807</v>
      </c>
      <c r="T823" s="103">
        <v>4.6715328467153281</v>
      </c>
      <c r="U823" s="103">
        <v>13.625304136253041</v>
      </c>
      <c r="V823" s="103">
        <v>27.201946472019468</v>
      </c>
      <c r="W823" s="103">
        <v>23.649635036496349</v>
      </c>
      <c r="X823" s="103">
        <v>17.274939172749392</v>
      </c>
      <c r="Y823" s="103">
        <v>8.2725060827250605</v>
      </c>
      <c r="Z823" s="103">
        <v>3.1630170316301705</v>
      </c>
      <c r="AA823" s="103">
        <v>1.0705596107055961</v>
      </c>
      <c r="AB823" s="103">
        <v>0.53527980535279807</v>
      </c>
      <c r="AC823" s="42"/>
      <c r="AD823" s="110"/>
      <c r="AE823" s="46" t="s">
        <v>4</v>
      </c>
      <c r="AF823" s="103">
        <v>1.5130674002751032</v>
      </c>
      <c r="AG823" s="103">
        <v>9.2847317744154054</v>
      </c>
      <c r="AH823" s="103">
        <v>22.420907840440165</v>
      </c>
      <c r="AI823" s="103">
        <v>30.261348005502064</v>
      </c>
      <c r="AJ823" s="103">
        <v>20.220082530949107</v>
      </c>
      <c r="AK823" s="103">
        <v>11.485557083906466</v>
      </c>
      <c r="AL823" s="103">
        <v>3.3700137551581841</v>
      </c>
      <c r="AM823" s="103">
        <v>0.96286107290233847</v>
      </c>
      <c r="AN823" s="103">
        <v>0.41265474552957354</v>
      </c>
      <c r="AO823" s="103">
        <v>6.8775790921595595E-2</v>
      </c>
      <c r="AP823" s="6"/>
      <c r="AQ823" s="110"/>
      <c r="AR823" s="46" t="s">
        <v>4</v>
      </c>
      <c r="AS823" s="103">
        <v>1.2995049504950495</v>
      </c>
      <c r="AT823" s="103">
        <v>8.4777227722772288</v>
      </c>
      <c r="AU823" s="103">
        <v>20.111386138613863</v>
      </c>
      <c r="AV823" s="103">
        <v>29.146039603960393</v>
      </c>
      <c r="AW823" s="103">
        <v>20.853960396039604</v>
      </c>
      <c r="AX823" s="103">
        <v>12.995049504950495</v>
      </c>
      <c r="AY823" s="103">
        <v>5.0123762376237631</v>
      </c>
      <c r="AZ823" s="103">
        <v>1.4851485148514851</v>
      </c>
      <c r="BA823" s="103">
        <v>0.3094059405940594</v>
      </c>
      <c r="BB823" s="103">
        <v>0.3094059405940594</v>
      </c>
      <c r="BC823" s="42"/>
      <c r="BD823" s="110"/>
      <c r="BE823" s="46" t="s">
        <v>4</v>
      </c>
      <c r="BF823" s="103">
        <v>0.6339144215530903</v>
      </c>
      <c r="BG823" s="103">
        <v>4.9656629688325413</v>
      </c>
      <c r="BH823" s="103">
        <v>14.844162704701533</v>
      </c>
      <c r="BI823" s="103">
        <v>27.892234548335974</v>
      </c>
      <c r="BJ823" s="103">
        <v>23.40200739566825</v>
      </c>
      <c r="BK823" s="103">
        <v>16.481774960380349</v>
      </c>
      <c r="BL823" s="103">
        <v>7.2900158478605386</v>
      </c>
      <c r="BM823" s="103">
        <v>2.9054410987849977</v>
      </c>
      <c r="BN823" s="103">
        <v>1.2150026413100898</v>
      </c>
      <c r="BO823" s="103">
        <v>0.36978341257263603</v>
      </c>
      <c r="BQ823" s="110"/>
      <c r="BR823" s="46" t="s">
        <v>4</v>
      </c>
      <c r="BS823" s="103">
        <v>1.0362694300518136</v>
      </c>
      <c r="BT823" s="103">
        <v>7.3834196891191706</v>
      </c>
      <c r="BU823" s="103">
        <v>20.336787564766841</v>
      </c>
      <c r="BV823" s="103">
        <v>29.922279792746114</v>
      </c>
      <c r="BW823" s="103">
        <v>20.207253886010363</v>
      </c>
      <c r="BX823" s="103">
        <v>13.924870466321243</v>
      </c>
      <c r="BY823" s="103">
        <v>4.8575129533678751</v>
      </c>
      <c r="BZ823" s="103">
        <v>1.7487046632124352</v>
      </c>
      <c r="CA823" s="103">
        <v>0.32383419689119169</v>
      </c>
      <c r="CB823" s="103">
        <v>0.2590673575129534</v>
      </c>
      <c r="CC823" s="42"/>
      <c r="CD823" s="110"/>
      <c r="CE823" s="46" t="s">
        <v>4</v>
      </c>
      <c r="CF823" s="103">
        <v>0.86513994910941472</v>
      </c>
      <c r="CG823" s="103">
        <v>5.9541984732824424</v>
      </c>
      <c r="CH823" s="103">
        <v>14.860050890585242</v>
      </c>
      <c r="CI823" s="103">
        <v>27.328244274809162</v>
      </c>
      <c r="CJ823" s="103">
        <v>23.81679389312977</v>
      </c>
      <c r="CK823" s="103">
        <v>15.623409669211197</v>
      </c>
      <c r="CL823" s="103">
        <v>7.328244274809161</v>
      </c>
      <c r="CM823" s="103">
        <v>2.6463104325699747</v>
      </c>
      <c r="CN823" s="103">
        <v>1.1704834605597965</v>
      </c>
      <c r="CO823" s="103">
        <v>0.40712468193384221</v>
      </c>
      <c r="CQ823" s="110"/>
      <c r="CR823" s="46" t="s">
        <v>4</v>
      </c>
      <c r="CS823" s="103">
        <v>0.14858841010401189</v>
      </c>
      <c r="CT823" s="103">
        <v>4.9034175334323926</v>
      </c>
      <c r="CU823" s="103">
        <v>12.927191679049036</v>
      </c>
      <c r="CV823" s="103">
        <v>25.111441307578009</v>
      </c>
      <c r="CW823" s="103">
        <v>24.219910846953937</v>
      </c>
      <c r="CX823" s="103">
        <v>17.682020802377416</v>
      </c>
      <c r="CY823" s="103">
        <v>8.1723625557206532</v>
      </c>
      <c r="CZ823" s="103">
        <v>5.052005943536404</v>
      </c>
      <c r="DA823" s="103">
        <v>1.4858841010401187</v>
      </c>
      <c r="DB823" s="103">
        <v>0.29717682020802377</v>
      </c>
      <c r="DC823" s="42"/>
      <c r="DD823" s="110"/>
      <c r="DE823" s="46" t="s">
        <v>4</v>
      </c>
      <c r="DF823" s="103">
        <v>1.1283497884344147</v>
      </c>
      <c r="DG823" s="103">
        <v>6.981664315937941</v>
      </c>
      <c r="DH823" s="103">
        <v>18.30042313117066</v>
      </c>
      <c r="DI823" s="103">
        <v>29.26657263751763</v>
      </c>
      <c r="DJ823" s="103">
        <v>21.755994358251058</v>
      </c>
      <c r="DK823" s="103">
        <v>14.210155148095909</v>
      </c>
      <c r="DL823" s="103">
        <v>5.7827926657263751</v>
      </c>
      <c r="DM823" s="103">
        <v>1.5867418899858956</v>
      </c>
      <c r="DN823" s="103">
        <v>0.63469675599435826</v>
      </c>
      <c r="DO823" s="103">
        <v>0.35260930888575459</v>
      </c>
    </row>
    <row r="824" spans="2:119" ht="16.5" customHeight="1" x14ac:dyDescent="0.45">
      <c r="B824" s="99"/>
      <c r="C824" s="42"/>
      <c r="D824" s="110"/>
      <c r="E824" s="47" t="s">
        <v>5</v>
      </c>
      <c r="F824" s="103">
        <v>0.58020477815699656</v>
      </c>
      <c r="G824" s="103">
        <v>4.761092150170648</v>
      </c>
      <c r="H824" s="103">
        <v>14.658703071672354</v>
      </c>
      <c r="I824" s="103">
        <v>26.535836177474405</v>
      </c>
      <c r="J824" s="103">
        <v>22.798634812286689</v>
      </c>
      <c r="K824" s="103">
        <v>17.645051194539249</v>
      </c>
      <c r="L824" s="103">
        <v>8.7542662116040955</v>
      </c>
      <c r="M824" s="103">
        <v>2.6279863481228669</v>
      </c>
      <c r="N824" s="103">
        <v>1.0921501706484642</v>
      </c>
      <c r="O824" s="103">
        <v>0.5460750853242321</v>
      </c>
      <c r="P824" s="42"/>
      <c r="Q824" s="110"/>
      <c r="R824" s="46" t="s">
        <v>5</v>
      </c>
      <c r="S824" s="103">
        <v>0.43336944745395445</v>
      </c>
      <c r="T824" s="103">
        <v>3.3315276273022754</v>
      </c>
      <c r="U824" s="103">
        <v>11.619718309859154</v>
      </c>
      <c r="V824" s="103">
        <v>24.322860238353197</v>
      </c>
      <c r="W824" s="103">
        <v>23.293607800650054</v>
      </c>
      <c r="X824" s="103">
        <v>20.205850487540626</v>
      </c>
      <c r="Y824" s="103">
        <v>11.1863488624052</v>
      </c>
      <c r="Z824" s="103">
        <v>3.3856988082340194</v>
      </c>
      <c r="AA824" s="103">
        <v>1.5980498374864573</v>
      </c>
      <c r="AB824" s="103">
        <v>0.62296858071505956</v>
      </c>
      <c r="AC824" s="42"/>
      <c r="AD824" s="110"/>
      <c r="AE824" s="46" t="s">
        <v>5</v>
      </c>
      <c r="AF824" s="103">
        <v>0.83025830258302591</v>
      </c>
      <c r="AG824" s="103">
        <v>7.195571955719557</v>
      </c>
      <c r="AH824" s="103">
        <v>19.833948339483396</v>
      </c>
      <c r="AI824" s="103">
        <v>30.304428044280442</v>
      </c>
      <c r="AJ824" s="103">
        <v>21.955719557195572</v>
      </c>
      <c r="AK824" s="103">
        <v>13.284132841328415</v>
      </c>
      <c r="AL824" s="103">
        <v>4.6125461254612548</v>
      </c>
      <c r="AM824" s="103">
        <v>1.3376383763837638</v>
      </c>
      <c r="AN824" s="103">
        <v>0.23062730627306272</v>
      </c>
      <c r="AO824" s="103">
        <v>0.41512915129151295</v>
      </c>
      <c r="AP824" s="6"/>
      <c r="AQ824" s="110"/>
      <c r="AR824" s="46" t="s">
        <v>5</v>
      </c>
      <c r="AS824" s="103">
        <v>0.88458298230834032</v>
      </c>
      <c r="AT824" s="103">
        <v>6.7396798652064023</v>
      </c>
      <c r="AU824" s="103">
        <v>17.312552653748948</v>
      </c>
      <c r="AV824" s="103">
        <v>28.01179443976411</v>
      </c>
      <c r="AW824" s="103">
        <v>22.409435551811288</v>
      </c>
      <c r="AX824" s="103">
        <v>15.122156697556866</v>
      </c>
      <c r="AY824" s="103">
        <v>6.8660488626790226</v>
      </c>
      <c r="AZ824" s="103">
        <v>1.7270429654591406</v>
      </c>
      <c r="BA824" s="103">
        <v>0.54759898904802018</v>
      </c>
      <c r="BB824" s="103">
        <v>0.37910699241786017</v>
      </c>
      <c r="BC824" s="42"/>
      <c r="BD824" s="110"/>
      <c r="BE824" s="46" t="s">
        <v>5</v>
      </c>
      <c r="BF824" s="103">
        <v>0.37292025243832472</v>
      </c>
      <c r="BG824" s="103">
        <v>3.4136546184738958</v>
      </c>
      <c r="BH824" s="103">
        <v>12.851405622489958</v>
      </c>
      <c r="BI824" s="103">
        <v>25.530694205393001</v>
      </c>
      <c r="BJ824" s="103">
        <v>23.06368330464716</v>
      </c>
      <c r="BK824" s="103">
        <v>19.363166953528399</v>
      </c>
      <c r="BL824" s="103">
        <v>10.040160642570282</v>
      </c>
      <c r="BM824" s="103">
        <v>3.2415375788869762</v>
      </c>
      <c r="BN824" s="103">
        <v>1.4629948364888123</v>
      </c>
      <c r="BO824" s="103">
        <v>0.65978198508318997</v>
      </c>
      <c r="BQ824" s="110"/>
      <c r="BR824" s="46" t="s">
        <v>5</v>
      </c>
      <c r="BS824" s="103">
        <v>0.54794520547945202</v>
      </c>
      <c r="BT824" s="103">
        <v>5.8630136986301373</v>
      </c>
      <c r="BU824" s="103">
        <v>16.931506849315067</v>
      </c>
      <c r="BV824" s="103">
        <v>28.986301369863014</v>
      </c>
      <c r="BW824" s="103">
        <v>22.082191780821915</v>
      </c>
      <c r="BX824" s="103">
        <v>14.849315068493151</v>
      </c>
      <c r="BY824" s="103">
        <v>7.7808219178082183</v>
      </c>
      <c r="BZ824" s="103">
        <v>1.7534246575342465</v>
      </c>
      <c r="CA824" s="103">
        <v>0.71232876712328763</v>
      </c>
      <c r="CB824" s="103">
        <v>0.49315068493150682</v>
      </c>
      <c r="CC824" s="42"/>
      <c r="CD824" s="110"/>
      <c r="CE824" s="46" t="s">
        <v>5</v>
      </c>
      <c r="CF824" s="103">
        <v>0.59479553903345728</v>
      </c>
      <c r="CG824" s="103">
        <v>4.2627013630731101</v>
      </c>
      <c r="CH824" s="103">
        <v>13.630731102850064</v>
      </c>
      <c r="CI824" s="103">
        <v>25.427509293680295</v>
      </c>
      <c r="CJ824" s="103">
        <v>23.122676579925649</v>
      </c>
      <c r="CK824" s="103">
        <v>18.909541511771994</v>
      </c>
      <c r="CL824" s="103">
        <v>9.1945477075588595</v>
      </c>
      <c r="CM824" s="103">
        <v>3.0235439900867411</v>
      </c>
      <c r="CN824" s="103">
        <v>1.2639405204460967</v>
      </c>
      <c r="CO824" s="103">
        <v>0.57001239157372985</v>
      </c>
      <c r="CQ824" s="110"/>
      <c r="CR824" s="46" t="s">
        <v>5</v>
      </c>
      <c r="CS824" s="103">
        <v>0.40816326530612246</v>
      </c>
      <c r="CT824" s="103">
        <v>3.4693877551020407</v>
      </c>
      <c r="CU824" s="103">
        <v>13.061224489795919</v>
      </c>
      <c r="CV824" s="103">
        <v>22.346938775510203</v>
      </c>
      <c r="CW824" s="103">
        <v>24.183673469387756</v>
      </c>
      <c r="CX824" s="103">
        <v>18.979591836734695</v>
      </c>
      <c r="CY824" s="103">
        <v>10.204081632653061</v>
      </c>
      <c r="CZ824" s="103">
        <v>4.3877551020408161</v>
      </c>
      <c r="DA824" s="103">
        <v>2.4489795918367347</v>
      </c>
      <c r="DB824" s="103">
        <v>0.51020408163265307</v>
      </c>
      <c r="DC824" s="42"/>
      <c r="DD824" s="110"/>
      <c r="DE824" s="46" t="s">
        <v>5</v>
      </c>
      <c r="DF824" s="103">
        <v>0.61475409836065575</v>
      </c>
      <c r="DG824" s="103">
        <v>5.0204918032786887</v>
      </c>
      <c r="DH824" s="103">
        <v>14.97950819672131</v>
      </c>
      <c r="DI824" s="103">
        <v>27.377049180327866</v>
      </c>
      <c r="DJ824" s="103">
        <v>22.520491803278688</v>
      </c>
      <c r="DK824" s="103">
        <v>17.377049180327869</v>
      </c>
      <c r="DL824" s="103">
        <v>8.4631147540983616</v>
      </c>
      <c r="DM824" s="103">
        <v>2.2745901639344264</v>
      </c>
      <c r="DN824" s="103">
        <v>0.81967213114754101</v>
      </c>
      <c r="DO824" s="103">
        <v>0.55327868852459017</v>
      </c>
    </row>
    <row r="825" spans="2:119" ht="16.5" customHeight="1" x14ac:dyDescent="0.45">
      <c r="B825" s="99"/>
      <c r="C825" s="42"/>
      <c r="D825" s="110"/>
      <c r="E825" s="47" t="s">
        <v>6</v>
      </c>
      <c r="F825" s="103">
        <v>0.64200033789491473</v>
      </c>
      <c r="G825" s="103">
        <v>4.1307653319817534</v>
      </c>
      <c r="H825" s="103">
        <v>11.902348369657037</v>
      </c>
      <c r="I825" s="103">
        <v>23.534380807568848</v>
      </c>
      <c r="J825" s="103">
        <v>23.838486230782227</v>
      </c>
      <c r="K825" s="103">
        <v>18.406825477276566</v>
      </c>
      <c r="L825" s="103">
        <v>11.420848116235851</v>
      </c>
      <c r="M825" s="103">
        <v>4.0547389761784087</v>
      </c>
      <c r="N825" s="103">
        <v>1.4698428788646731</v>
      </c>
      <c r="O825" s="103">
        <v>0.59976347355972293</v>
      </c>
      <c r="P825" s="42"/>
      <c r="Q825" s="110"/>
      <c r="R825" s="46" t="s">
        <v>6</v>
      </c>
      <c r="S825" s="103">
        <v>0.46529662659945714</v>
      </c>
      <c r="T825" s="103">
        <v>2.5332816337081554</v>
      </c>
      <c r="U825" s="103">
        <v>8.698461936150963</v>
      </c>
      <c r="V825" s="103">
        <v>20.912498384386712</v>
      </c>
      <c r="W825" s="103">
        <v>24.376373271293783</v>
      </c>
      <c r="X825" s="103">
        <v>21.106371978803153</v>
      </c>
      <c r="Y825" s="103">
        <v>13.933048985394855</v>
      </c>
      <c r="Z825" s="103">
        <v>5.1053379862995989</v>
      </c>
      <c r="AA825" s="103">
        <v>2.0679850071086983</v>
      </c>
      <c r="AB825" s="103">
        <v>0.80134419025462056</v>
      </c>
      <c r="AC825" s="42"/>
      <c r="AD825" s="110"/>
      <c r="AE825" s="46" t="s">
        <v>6</v>
      </c>
      <c r="AF825" s="103">
        <v>0.97537186052182401</v>
      </c>
      <c r="AG825" s="103">
        <v>7.14459887832236</v>
      </c>
      <c r="AH825" s="103">
        <v>17.946842233601558</v>
      </c>
      <c r="AI825" s="103">
        <v>28.480858327237257</v>
      </c>
      <c r="AJ825" s="103">
        <v>22.823701536210681</v>
      </c>
      <c r="AK825" s="103">
        <v>13.313825896122896</v>
      </c>
      <c r="AL825" s="103">
        <v>6.6812972445744938</v>
      </c>
      <c r="AM825" s="103">
        <v>2.0726652036088757</v>
      </c>
      <c r="AN825" s="103">
        <v>0.34138015118263837</v>
      </c>
      <c r="AO825" s="103">
        <v>0.21945866861741037</v>
      </c>
      <c r="AP825" s="6"/>
      <c r="AQ825" s="110"/>
      <c r="AR825" s="46" t="s">
        <v>6</v>
      </c>
      <c r="AS825" s="103">
        <v>0.957897081755402</v>
      </c>
      <c r="AT825" s="103">
        <v>5.8364891958119847</v>
      </c>
      <c r="AU825" s="103">
        <v>14.947649810648251</v>
      </c>
      <c r="AV825" s="103">
        <v>25.840944531075966</v>
      </c>
      <c r="AW825" s="103">
        <v>23.657830251726441</v>
      </c>
      <c r="AX825" s="103">
        <v>15.883270216083762</v>
      </c>
      <c r="AY825" s="103">
        <v>8.576520383158833</v>
      </c>
      <c r="AZ825" s="103">
        <v>2.8291378926264201</v>
      </c>
      <c r="BA825" s="103">
        <v>1.0692804633548674</v>
      </c>
      <c r="BB825" s="103">
        <v>0.40098017375807526</v>
      </c>
      <c r="BC825" s="42"/>
      <c r="BD825" s="110"/>
      <c r="BE825" s="46" t="s">
        <v>6</v>
      </c>
      <c r="BF825" s="103">
        <v>0.44904068580759288</v>
      </c>
      <c r="BG825" s="103">
        <v>3.0888556266158664</v>
      </c>
      <c r="BH825" s="103">
        <v>10.042182609878896</v>
      </c>
      <c r="BI825" s="103">
        <v>22.125459246155941</v>
      </c>
      <c r="BJ825" s="103">
        <v>23.948836576404954</v>
      </c>
      <c r="BK825" s="103">
        <v>19.948292284664582</v>
      </c>
      <c r="BL825" s="103">
        <v>13.158252823513402</v>
      </c>
      <c r="BM825" s="103">
        <v>4.8033746087903122</v>
      </c>
      <c r="BN825" s="103">
        <v>1.7145189821744455</v>
      </c>
      <c r="BO825" s="103">
        <v>0.72118655599401282</v>
      </c>
      <c r="BQ825" s="110"/>
      <c r="BR825" s="46" t="s">
        <v>6</v>
      </c>
      <c r="BS825" s="103">
        <v>1.0530749789385003</v>
      </c>
      <c r="BT825" s="103">
        <v>5.812973883740522</v>
      </c>
      <c r="BU825" s="103">
        <v>16.343723673125528</v>
      </c>
      <c r="BV825" s="103">
        <v>26.621735467565287</v>
      </c>
      <c r="BW825" s="103">
        <v>21.524852569502947</v>
      </c>
      <c r="BX825" s="103">
        <v>14.995787700084245</v>
      </c>
      <c r="BY825" s="103">
        <v>9.3513058129738837</v>
      </c>
      <c r="BZ825" s="103">
        <v>2.7801179443976411</v>
      </c>
      <c r="CA825" s="103">
        <v>1.0109519797809603</v>
      </c>
      <c r="CB825" s="103">
        <v>0.50547598989048015</v>
      </c>
      <c r="CC825" s="42"/>
      <c r="CD825" s="110"/>
      <c r="CE825" s="46" t="s">
        <v>6</v>
      </c>
      <c r="CF825" s="103">
        <v>0.5388841927303466</v>
      </c>
      <c r="CG825" s="103">
        <v>3.7087912087912089</v>
      </c>
      <c r="CH825" s="103">
        <v>10.788250211327135</v>
      </c>
      <c r="CI825" s="103">
        <v>22.759932375316989</v>
      </c>
      <c r="CJ825" s="103">
        <v>24.418850380388843</v>
      </c>
      <c r="CK825" s="103">
        <v>19.262468300929839</v>
      </c>
      <c r="CL825" s="103">
        <v>11.939983093829246</v>
      </c>
      <c r="CM825" s="103">
        <v>4.37447168216399</v>
      </c>
      <c r="CN825" s="103">
        <v>1.5849535080304309</v>
      </c>
      <c r="CO825" s="103">
        <v>0.62341504649196955</v>
      </c>
      <c r="CQ825" s="110"/>
      <c r="CR825" s="46" t="s">
        <v>6</v>
      </c>
      <c r="CS825" s="103">
        <v>0.33917467495760317</v>
      </c>
      <c r="CT825" s="103">
        <v>3.7874505370265688</v>
      </c>
      <c r="CU825" s="103">
        <v>10.175240248728095</v>
      </c>
      <c r="CV825" s="103">
        <v>19.615602035048049</v>
      </c>
      <c r="CW825" s="103">
        <v>22.668174109666477</v>
      </c>
      <c r="CX825" s="103">
        <v>21.594120972300736</v>
      </c>
      <c r="CY825" s="103">
        <v>12.662521198417185</v>
      </c>
      <c r="CZ825" s="103">
        <v>5.8224985867721877</v>
      </c>
      <c r="DA825" s="103">
        <v>2.317693612210288</v>
      </c>
      <c r="DB825" s="103">
        <v>1.0175240248728095</v>
      </c>
      <c r="DC825" s="42"/>
      <c r="DD825" s="110"/>
      <c r="DE825" s="46" t="s">
        <v>6</v>
      </c>
      <c r="DF825" s="103">
        <v>0.69520309861952523</v>
      </c>
      <c r="DG825" s="103">
        <v>4.1910815373919954</v>
      </c>
      <c r="DH825" s="103">
        <v>12.205780117191379</v>
      </c>
      <c r="DI825" s="103">
        <v>24.222862250471742</v>
      </c>
      <c r="DJ825" s="103">
        <v>24.044095739398152</v>
      </c>
      <c r="DK825" s="103">
        <v>17.846856688846955</v>
      </c>
      <c r="DL825" s="103">
        <v>11.20270136061178</v>
      </c>
      <c r="DM825" s="103">
        <v>3.7441652597080148</v>
      </c>
      <c r="DN825" s="103">
        <v>1.3208858873770979</v>
      </c>
      <c r="DO825" s="103">
        <v>0.52636806038335493</v>
      </c>
    </row>
    <row r="826" spans="2:119" ht="16.5" customHeight="1" x14ac:dyDescent="0.45">
      <c r="B826" s="99"/>
      <c r="C826" s="42"/>
      <c r="D826" s="110"/>
      <c r="E826" s="47" t="s">
        <v>7</v>
      </c>
      <c r="F826" s="103">
        <v>0.32027951666909305</v>
      </c>
      <c r="G826" s="103">
        <v>3.057213568204979</v>
      </c>
      <c r="H826" s="103">
        <v>8.5844615907215989</v>
      </c>
      <c r="I826" s="103">
        <v>19.799097394089387</v>
      </c>
      <c r="J826" s="103">
        <v>22.191488329208521</v>
      </c>
      <c r="K826" s="103">
        <v>21.099626340563887</v>
      </c>
      <c r="L826" s="103">
        <v>14.601834328140923</v>
      </c>
      <c r="M826" s="103">
        <v>6.3327995341388847</v>
      </c>
      <c r="N826" s="103">
        <v>2.7563449313340129</v>
      </c>
      <c r="O826" s="103">
        <v>1.2568544669287136</v>
      </c>
      <c r="P826" s="42"/>
      <c r="Q826" s="110"/>
      <c r="R826" s="46" t="s">
        <v>7</v>
      </c>
      <c r="S826" s="103">
        <v>0.15998836448258308</v>
      </c>
      <c r="T826" s="103">
        <v>1.7453276125372699</v>
      </c>
      <c r="U826" s="103">
        <v>5.839575303614283</v>
      </c>
      <c r="V826" s="103">
        <v>16.144280415969746</v>
      </c>
      <c r="W826" s="103">
        <v>21.583884808377572</v>
      </c>
      <c r="X826" s="103">
        <v>23.489200785397426</v>
      </c>
      <c r="Y826" s="103">
        <v>17.671442076939858</v>
      </c>
      <c r="Z826" s="103">
        <v>8.0357792160570138</v>
      </c>
      <c r="AA826" s="103">
        <v>3.6506435895571232</v>
      </c>
      <c r="AB826" s="103">
        <v>1.6798778270671226</v>
      </c>
      <c r="AC826" s="42"/>
      <c r="AD826" s="110"/>
      <c r="AE826" s="46" t="s">
        <v>7</v>
      </c>
      <c r="AF826" s="103">
        <v>0.64177362893815637</v>
      </c>
      <c r="AG826" s="103">
        <v>5.6884480746791128</v>
      </c>
      <c r="AH826" s="103">
        <v>14.089848308051343</v>
      </c>
      <c r="AI826" s="103">
        <v>27.129521586931155</v>
      </c>
      <c r="AJ826" s="103">
        <v>23.410151691948659</v>
      </c>
      <c r="AK826" s="103">
        <v>16.306884480746792</v>
      </c>
      <c r="AL826" s="103">
        <v>8.4451575262543752</v>
      </c>
      <c r="AM826" s="103">
        <v>2.9171528588098017</v>
      </c>
      <c r="AN826" s="103">
        <v>0.96266044340723467</v>
      </c>
      <c r="AO826" s="103">
        <v>0.40840140023337224</v>
      </c>
      <c r="AP826" s="6"/>
      <c r="AQ826" s="110"/>
      <c r="AR826" s="46" t="s">
        <v>7</v>
      </c>
      <c r="AS826" s="103">
        <v>0.5462060820785356</v>
      </c>
      <c r="AT826" s="103">
        <v>4.6944198405668738</v>
      </c>
      <c r="AU826" s="103">
        <v>11.603188662533215</v>
      </c>
      <c r="AV826" s="103">
        <v>23.309713610865071</v>
      </c>
      <c r="AW826" s="103">
        <v>22.940655447298493</v>
      </c>
      <c r="AX826" s="103">
        <v>18.910540301151464</v>
      </c>
      <c r="AY826" s="103">
        <v>11.558901682905226</v>
      </c>
      <c r="AZ826" s="103">
        <v>4.2220253912016528</v>
      </c>
      <c r="BA826" s="103">
        <v>1.5795689400649544</v>
      </c>
      <c r="BB826" s="103">
        <v>0.63478004133451438</v>
      </c>
      <c r="BC826" s="42"/>
      <c r="BD826" s="110"/>
      <c r="BE826" s="46" t="s">
        <v>7</v>
      </c>
      <c r="BF826" s="103">
        <v>0.20964360587002098</v>
      </c>
      <c r="BG826" s="103">
        <v>2.2554760355671224</v>
      </c>
      <c r="BH826" s="103">
        <v>7.1061953300079512</v>
      </c>
      <c r="BI826" s="103">
        <v>18.079953733824912</v>
      </c>
      <c r="BJ826" s="103">
        <v>21.824622280054943</v>
      </c>
      <c r="BK826" s="103">
        <v>22.171618593219115</v>
      </c>
      <c r="BL826" s="103">
        <v>16.091954022988507</v>
      </c>
      <c r="BM826" s="103">
        <v>7.3664425648810816</v>
      </c>
      <c r="BN826" s="103">
        <v>3.3326104243475747</v>
      </c>
      <c r="BO826" s="103">
        <v>1.5614834092387768</v>
      </c>
      <c r="BQ826" s="110"/>
      <c r="BR826" s="46" t="s">
        <v>7</v>
      </c>
      <c r="BS826" s="103">
        <v>0.49732211170619739</v>
      </c>
      <c r="BT826" s="103">
        <v>5.0497322111706193</v>
      </c>
      <c r="BU826" s="103">
        <v>12.777352716143842</v>
      </c>
      <c r="BV826" s="103">
        <v>23.871461361897474</v>
      </c>
      <c r="BW826" s="103">
        <v>21.423106350420813</v>
      </c>
      <c r="BX826" s="103">
        <v>18.133129303749044</v>
      </c>
      <c r="BY826" s="103">
        <v>10.90283091048202</v>
      </c>
      <c r="BZ826" s="103">
        <v>4.8201989288446825</v>
      </c>
      <c r="CA826" s="103">
        <v>1.6832440703902065</v>
      </c>
      <c r="CB826" s="103">
        <v>0.84162203519510326</v>
      </c>
      <c r="CC826" s="42"/>
      <c r="CD826" s="110"/>
      <c r="CE826" s="46" t="s">
        <v>7</v>
      </c>
      <c r="CF826" s="103">
        <v>0.29455899516478634</v>
      </c>
      <c r="CG826" s="103">
        <v>2.7677430111710111</v>
      </c>
      <c r="CH826" s="103">
        <v>7.9753237370088366</v>
      </c>
      <c r="CI826" s="103">
        <v>19.207469571500027</v>
      </c>
      <c r="CJ826" s="103">
        <v>22.303117879175236</v>
      </c>
      <c r="CK826" s="103">
        <v>21.530595231478909</v>
      </c>
      <c r="CL826" s="103">
        <v>15.139220808092036</v>
      </c>
      <c r="CM826" s="103">
        <v>6.5525482131940205</v>
      </c>
      <c r="CN826" s="103">
        <v>2.9122436503084534</v>
      </c>
      <c r="CO826" s="103">
        <v>1.317178902906686</v>
      </c>
      <c r="CQ826" s="110"/>
      <c r="CR826" s="46" t="s">
        <v>7</v>
      </c>
      <c r="CS826" s="103">
        <v>0.21082220660576245</v>
      </c>
      <c r="CT826" s="103">
        <v>2.4947294448348556</v>
      </c>
      <c r="CU826" s="103">
        <v>8.8896697118763175</v>
      </c>
      <c r="CV826" s="103">
        <v>17.07659873506676</v>
      </c>
      <c r="CW826" s="103">
        <v>20.238931834153199</v>
      </c>
      <c r="CX826" s="103">
        <v>22.382290934645116</v>
      </c>
      <c r="CY826" s="103">
        <v>14.546732255797611</v>
      </c>
      <c r="CZ826" s="103">
        <v>8.1869290231904426</v>
      </c>
      <c r="DA826" s="103">
        <v>4.2515811665495429</v>
      </c>
      <c r="DB826" s="103">
        <v>1.7217146872803937</v>
      </c>
      <c r="DC826" s="42"/>
      <c r="DD826" s="110"/>
      <c r="DE826" s="46" t="s">
        <v>7</v>
      </c>
      <c r="DF826" s="103">
        <v>0.33781881650807949</v>
      </c>
      <c r="DG826" s="103">
        <v>3.1473453071336075</v>
      </c>
      <c r="DH826" s="103">
        <v>8.5355554304374746</v>
      </c>
      <c r="DI826" s="103">
        <v>20.235347108833963</v>
      </c>
      <c r="DJ826" s="103">
        <v>22.504363493046561</v>
      </c>
      <c r="DK826" s="103">
        <v>20.894093801024717</v>
      </c>
      <c r="DL826" s="103">
        <v>14.610663813974439</v>
      </c>
      <c r="DM826" s="103">
        <v>6.0356961882776874</v>
      </c>
      <c r="DN826" s="103">
        <v>2.5167501829851924</v>
      </c>
      <c r="DO826" s="103">
        <v>1.1823658577782783</v>
      </c>
    </row>
    <row r="827" spans="2:119" ht="16.5" customHeight="1" x14ac:dyDescent="0.45">
      <c r="B827" s="99"/>
      <c r="C827" s="42"/>
      <c r="D827" s="110"/>
      <c r="E827" s="47" t="s">
        <v>8</v>
      </c>
      <c r="F827" s="103">
        <v>0.3782469412173376</v>
      </c>
      <c r="G827" s="103">
        <v>1.9143926820795865</v>
      </c>
      <c r="H827" s="103">
        <v>6.0751090354702999</v>
      </c>
      <c r="I827" s="103">
        <v>15.156895287351885</v>
      </c>
      <c r="J827" s="103">
        <v>19.607086340653826</v>
      </c>
      <c r="K827" s="103">
        <v>21.652707553359836</v>
      </c>
      <c r="L827" s="103">
        <v>18.727083252923695</v>
      </c>
      <c r="M827" s="103">
        <v>9.625998687714695</v>
      </c>
      <c r="N827" s="103">
        <v>4.5929985719248139</v>
      </c>
      <c r="O827" s="103">
        <v>2.2694816473040258</v>
      </c>
      <c r="P827" s="42"/>
      <c r="Q827" s="110"/>
      <c r="R827" s="46" t="s">
        <v>8</v>
      </c>
      <c r="S827" s="103">
        <v>0.20517939333444241</v>
      </c>
      <c r="T827" s="103">
        <v>1.003715410636056</v>
      </c>
      <c r="U827" s="103">
        <v>3.7486829701103535</v>
      </c>
      <c r="V827" s="103">
        <v>11.73958853213553</v>
      </c>
      <c r="W827" s="103">
        <v>18.033605057394777</v>
      </c>
      <c r="X827" s="103">
        <v>22.924638163367163</v>
      </c>
      <c r="Y827" s="103">
        <v>21.87655964065879</v>
      </c>
      <c r="Z827" s="103">
        <v>11.83940553429823</v>
      </c>
      <c r="AA827" s="103">
        <v>5.7006599012920756</v>
      </c>
      <c r="AB827" s="103">
        <v>2.9279653967725836</v>
      </c>
      <c r="AC827" s="42"/>
      <c r="AD827" s="110"/>
      <c r="AE827" s="46" t="s">
        <v>8</v>
      </c>
      <c r="AF827" s="103">
        <v>0.77450482478415439</v>
      </c>
      <c r="AG827" s="103">
        <v>3.9994921279837481</v>
      </c>
      <c r="AH827" s="103">
        <v>11.401726764855256</v>
      </c>
      <c r="AI827" s="103">
        <v>22.981208735398678</v>
      </c>
      <c r="AJ827" s="103">
        <v>23.209751142712037</v>
      </c>
      <c r="AK827" s="103">
        <v>18.740477399695276</v>
      </c>
      <c r="AL827" s="103">
        <v>11.515997968511934</v>
      </c>
      <c r="AM827" s="103">
        <v>4.5581513458608436</v>
      </c>
      <c r="AN827" s="103">
        <v>2.0568816658202134</v>
      </c>
      <c r="AO827" s="103">
        <v>0.76180802437785677</v>
      </c>
      <c r="AP827" s="6"/>
      <c r="AQ827" s="110"/>
      <c r="AR827" s="46" t="s">
        <v>8</v>
      </c>
      <c r="AS827" s="103">
        <v>0.75920355249964189</v>
      </c>
      <c r="AT827" s="103">
        <v>3.2803323306116599</v>
      </c>
      <c r="AU827" s="103">
        <v>9.0531442486749754</v>
      </c>
      <c r="AV827" s="103">
        <v>19.481449649047413</v>
      </c>
      <c r="AW827" s="103">
        <v>21.587165162584157</v>
      </c>
      <c r="AX827" s="103">
        <v>20.885259991405242</v>
      </c>
      <c r="AY827" s="103">
        <v>14.911903738719381</v>
      </c>
      <c r="AZ827" s="103">
        <v>6.2741727546196824</v>
      </c>
      <c r="BA827" s="103">
        <v>2.592751754762928</v>
      </c>
      <c r="BB827" s="103">
        <v>1.1746168170749176</v>
      </c>
      <c r="BC827" s="42"/>
      <c r="BD827" s="110"/>
      <c r="BE827" s="46" t="s">
        <v>8</v>
      </c>
      <c r="BF827" s="103">
        <v>0.23774302620456467</v>
      </c>
      <c r="BG827" s="103">
        <v>1.4106086221470837</v>
      </c>
      <c r="BH827" s="103">
        <v>4.9767540152155538</v>
      </c>
      <c r="BI827" s="103">
        <v>13.561918850380389</v>
      </c>
      <c r="BJ827" s="103">
        <v>18.876796280642434</v>
      </c>
      <c r="BK827" s="103">
        <v>21.935756551141168</v>
      </c>
      <c r="BL827" s="103">
        <v>20.134192730346577</v>
      </c>
      <c r="BM827" s="103">
        <v>10.862214708368555</v>
      </c>
      <c r="BN827" s="103">
        <v>5.3307269653423504</v>
      </c>
      <c r="BO827" s="103">
        <v>2.6732882502113271</v>
      </c>
      <c r="BQ827" s="110"/>
      <c r="BR827" s="46" t="s">
        <v>8</v>
      </c>
      <c r="BS827" s="103">
        <v>0.89327691584391156</v>
      </c>
      <c r="BT827" s="103">
        <v>4.0432534085566525</v>
      </c>
      <c r="BU827" s="103">
        <v>11.236483309826047</v>
      </c>
      <c r="BV827" s="103">
        <v>21.109543958627174</v>
      </c>
      <c r="BW827" s="103">
        <v>19.558062999529856</v>
      </c>
      <c r="BX827" s="103">
        <v>19.464033850493653</v>
      </c>
      <c r="BY827" s="103">
        <v>12.552891396332862</v>
      </c>
      <c r="BZ827" s="103">
        <v>6.7230841560883885</v>
      </c>
      <c r="CA827" s="103">
        <v>3.2910202162670426</v>
      </c>
      <c r="CB827" s="103">
        <v>1.1283497884344147</v>
      </c>
      <c r="CC827" s="42"/>
      <c r="CD827" s="110"/>
      <c r="CE827" s="46" t="s">
        <v>8</v>
      </c>
      <c r="CF827" s="103">
        <v>0.33218400470944409</v>
      </c>
      <c r="CG827" s="103">
        <v>1.723992935833824</v>
      </c>
      <c r="CH827" s="103">
        <v>5.6134891935076947</v>
      </c>
      <c r="CI827" s="103">
        <v>14.624505928853754</v>
      </c>
      <c r="CJ827" s="103">
        <v>19.611470860314522</v>
      </c>
      <c r="CK827" s="103">
        <v>21.848456816079388</v>
      </c>
      <c r="CL827" s="103">
        <v>19.279286855605079</v>
      </c>
      <c r="CM827" s="103">
        <v>9.8856277857202919</v>
      </c>
      <c r="CN827" s="103">
        <v>4.7094441173997144</v>
      </c>
      <c r="CO827" s="103">
        <v>2.3715415019762842</v>
      </c>
      <c r="CQ827" s="110"/>
      <c r="CR827" s="46" t="s">
        <v>8</v>
      </c>
      <c r="CS827" s="103">
        <v>0.35031847133757965</v>
      </c>
      <c r="CT827" s="103">
        <v>1.7197452229299364</v>
      </c>
      <c r="CU827" s="103">
        <v>5.5414012738853504</v>
      </c>
      <c r="CV827" s="103">
        <v>14.45859872611465</v>
      </c>
      <c r="CW827" s="103">
        <v>18.566878980891719</v>
      </c>
      <c r="CX827" s="103">
        <v>21.242038216560509</v>
      </c>
      <c r="CY827" s="103">
        <v>19.522292993630575</v>
      </c>
      <c r="CZ827" s="103">
        <v>10.668789808917198</v>
      </c>
      <c r="DA827" s="103">
        <v>5.3184713375796182</v>
      </c>
      <c r="DB827" s="103">
        <v>2.6114649681528666</v>
      </c>
      <c r="DC827" s="42"/>
      <c r="DD827" s="110"/>
      <c r="DE827" s="46" t="s">
        <v>8</v>
      </c>
      <c r="DF827" s="103">
        <v>0.38209846721419477</v>
      </c>
      <c r="DG827" s="103">
        <v>1.9412358909042999</v>
      </c>
      <c r="DH827" s="103">
        <v>6.1487109666652033</v>
      </c>
      <c r="DI827" s="103">
        <v>15.253195133734462</v>
      </c>
      <c r="DJ827" s="103">
        <v>19.750538012209585</v>
      </c>
      <c r="DK827" s="103">
        <v>21.709341648732927</v>
      </c>
      <c r="DL827" s="103">
        <v>18.617418419781281</v>
      </c>
      <c r="DM827" s="103">
        <v>9.4821906978786945</v>
      </c>
      <c r="DN827" s="103">
        <v>4.4929509420703591</v>
      </c>
      <c r="DO827" s="103">
        <v>2.2223198208089947</v>
      </c>
    </row>
    <row r="828" spans="2:119" ht="16.5" customHeight="1" x14ac:dyDescent="0.45">
      <c r="B828" s="99"/>
      <c r="C828" s="42"/>
      <c r="D828" s="110"/>
      <c r="E828" s="47" t="s">
        <v>9</v>
      </c>
      <c r="F828" s="103">
        <v>0.17474185861795077</v>
      </c>
      <c r="G828" s="103">
        <v>0.88959491660047663</v>
      </c>
      <c r="H828" s="103">
        <v>3.5464654487688643</v>
      </c>
      <c r="I828" s="103">
        <v>10.234312946783161</v>
      </c>
      <c r="J828" s="103">
        <v>14.650516282764098</v>
      </c>
      <c r="K828" s="103">
        <v>20.476568705321686</v>
      </c>
      <c r="L828" s="103">
        <v>22.954725972994442</v>
      </c>
      <c r="M828" s="103">
        <v>14.241461477362988</v>
      </c>
      <c r="N828" s="103">
        <v>8.3677521842732325</v>
      </c>
      <c r="O828" s="103">
        <v>4.4638602065131057</v>
      </c>
      <c r="P828" s="42"/>
      <c r="Q828" s="110"/>
      <c r="R828" s="46" t="s">
        <v>9</v>
      </c>
      <c r="S828" s="103">
        <v>0.11663426825881699</v>
      </c>
      <c r="T828" s="103">
        <v>0.36656484309913911</v>
      </c>
      <c r="U828" s="103">
        <v>2.0883088031102472</v>
      </c>
      <c r="V828" s="103">
        <v>7.0924743126909187</v>
      </c>
      <c r="W828" s="103">
        <v>12.168841988336574</v>
      </c>
      <c r="X828" s="103">
        <v>20.116634268258817</v>
      </c>
      <c r="Y828" s="103">
        <v>25.692863093585117</v>
      </c>
      <c r="Z828" s="103">
        <v>16.678700361010833</v>
      </c>
      <c r="AA828" s="103">
        <v>10.119411274645932</v>
      </c>
      <c r="AB828" s="103">
        <v>5.5595667870036101</v>
      </c>
      <c r="AC828" s="42"/>
      <c r="AD828" s="110"/>
      <c r="AE828" s="46" t="s">
        <v>9</v>
      </c>
      <c r="AF828" s="103">
        <v>0.32055749128919858</v>
      </c>
      <c r="AG828" s="103">
        <v>2.2020905923344949</v>
      </c>
      <c r="AH828" s="103">
        <v>7.2055749128919864</v>
      </c>
      <c r="AI828" s="103">
        <v>18.118466898954704</v>
      </c>
      <c r="AJ828" s="103">
        <v>20.878048780487806</v>
      </c>
      <c r="AK828" s="103">
        <v>21.379790940766551</v>
      </c>
      <c r="AL828" s="103">
        <v>16.083623693379792</v>
      </c>
      <c r="AM828" s="103">
        <v>8.1254355400696863</v>
      </c>
      <c r="AN828" s="103">
        <v>3.9721254355400699</v>
      </c>
      <c r="AO828" s="103">
        <v>1.7142857142857144</v>
      </c>
      <c r="AP828" s="6"/>
      <c r="AQ828" s="110"/>
      <c r="AR828" s="46" t="s">
        <v>9</v>
      </c>
      <c r="AS828" s="103">
        <v>0.39893617021276595</v>
      </c>
      <c r="AT828" s="103">
        <v>1.8617021276595744</v>
      </c>
      <c r="AU828" s="103">
        <v>6.3449848024316111</v>
      </c>
      <c r="AV828" s="103">
        <v>14.912613981762918</v>
      </c>
      <c r="AW828" s="103">
        <v>18.636018237082066</v>
      </c>
      <c r="AX828" s="103">
        <v>20.288753799392097</v>
      </c>
      <c r="AY828" s="103">
        <v>19.509878419452885</v>
      </c>
      <c r="AZ828" s="103">
        <v>10.277355623100304</v>
      </c>
      <c r="BA828" s="103">
        <v>5.1671732522796354</v>
      </c>
      <c r="BB828" s="103">
        <v>2.6025835866261398</v>
      </c>
      <c r="BC828" s="42"/>
      <c r="BD828" s="110"/>
      <c r="BE828" s="46" t="s">
        <v>9</v>
      </c>
      <c r="BF828" s="103">
        <v>0.11548503715605543</v>
      </c>
      <c r="BG828" s="103">
        <v>0.63265716007230366</v>
      </c>
      <c r="BH828" s="103">
        <v>2.8067885117493474</v>
      </c>
      <c r="BI828" s="103">
        <v>8.9977907210283181</v>
      </c>
      <c r="BJ828" s="103">
        <v>13.597107852982527</v>
      </c>
      <c r="BK828" s="103">
        <v>20.526210082345852</v>
      </c>
      <c r="BL828" s="103">
        <v>23.865233982727453</v>
      </c>
      <c r="BM828" s="103">
        <v>15.289214701747339</v>
      </c>
      <c r="BN828" s="103">
        <v>9.2136975296244223</v>
      </c>
      <c r="BO828" s="103">
        <v>4.9558144205663792</v>
      </c>
      <c r="BQ828" s="110"/>
      <c r="BR828" s="46" t="s">
        <v>9</v>
      </c>
      <c r="BS828" s="103">
        <v>0.67249495628782785</v>
      </c>
      <c r="BT828" s="103">
        <v>2.2864828513786146</v>
      </c>
      <c r="BU828" s="103">
        <v>8.1371889710827165</v>
      </c>
      <c r="BV828" s="103">
        <v>15.131136516476126</v>
      </c>
      <c r="BW828" s="103">
        <v>17.686617350369872</v>
      </c>
      <c r="BX828" s="103">
        <v>19.704102219233356</v>
      </c>
      <c r="BY828" s="103">
        <v>16.610625420309347</v>
      </c>
      <c r="BZ828" s="103">
        <v>9.6166778749159381</v>
      </c>
      <c r="CA828" s="103">
        <v>6.5232010759919303</v>
      </c>
      <c r="CB828" s="103">
        <v>3.6314727639542701</v>
      </c>
      <c r="CC828" s="42"/>
      <c r="CD828" s="110"/>
      <c r="CE828" s="46" t="s">
        <v>9</v>
      </c>
      <c r="CF828" s="103">
        <v>0.14350230025746002</v>
      </c>
      <c r="CG828" s="103">
        <v>0.80192461908580592</v>
      </c>
      <c r="CH828" s="103">
        <v>3.2583463470223268</v>
      </c>
      <c r="CI828" s="103">
        <v>9.9269826531042931</v>
      </c>
      <c r="CJ828" s="103">
        <v>14.459967078884059</v>
      </c>
      <c r="CK828" s="103">
        <v>20.525049592706708</v>
      </c>
      <c r="CL828" s="103">
        <v>23.352889038956654</v>
      </c>
      <c r="CM828" s="103">
        <v>14.531718229012789</v>
      </c>
      <c r="CN828" s="103">
        <v>8.4835183387498425</v>
      </c>
      <c r="CO828" s="103">
        <v>4.5161018022200645</v>
      </c>
      <c r="CQ828" s="110"/>
      <c r="CR828" s="46" t="s">
        <v>9</v>
      </c>
      <c r="CS828" s="103">
        <v>0.10657193605683836</v>
      </c>
      <c r="CT828" s="103">
        <v>0.85257548845470688</v>
      </c>
      <c r="CU828" s="103">
        <v>3.0905861456483126</v>
      </c>
      <c r="CV828" s="103">
        <v>10.230905861456483</v>
      </c>
      <c r="CW828" s="103">
        <v>12.646536412078152</v>
      </c>
      <c r="CX828" s="103">
        <v>19.005328596802844</v>
      </c>
      <c r="CY828" s="103">
        <v>22.770870337477795</v>
      </c>
      <c r="CZ828" s="103">
        <v>14.63587921847247</v>
      </c>
      <c r="DA828" s="103">
        <v>10.444049733570161</v>
      </c>
      <c r="DB828" s="103">
        <v>6.2166962699822381</v>
      </c>
      <c r="DC828" s="42"/>
      <c r="DD828" s="110"/>
      <c r="DE828" s="46" t="s">
        <v>9</v>
      </c>
      <c r="DF828" s="103">
        <v>0.18332215515314107</v>
      </c>
      <c r="DG828" s="103">
        <v>0.89425441538117589</v>
      </c>
      <c r="DH828" s="103">
        <v>3.6038452939861387</v>
      </c>
      <c r="DI828" s="103">
        <v>10.234741784037558</v>
      </c>
      <c r="DJ828" s="103">
        <v>14.902749832327297</v>
      </c>
      <c r="DK828" s="103">
        <v>20.66174826738207</v>
      </c>
      <c r="DL828" s="103">
        <v>22.977867203219315</v>
      </c>
      <c r="DM828" s="103">
        <v>14.191817572099264</v>
      </c>
      <c r="DN828" s="103">
        <v>8.1064162754303606</v>
      </c>
      <c r="DO828" s="103">
        <v>4.2432372009836801</v>
      </c>
    </row>
    <row r="829" spans="2:119" ht="16.5" customHeight="1" x14ac:dyDescent="0.45">
      <c r="B829" s="99"/>
      <c r="C829" s="42"/>
      <c r="D829" s="110"/>
      <c r="E829" s="47" t="s">
        <v>10</v>
      </c>
      <c r="F829" s="103">
        <v>7.479804527775008E-2</v>
      </c>
      <c r="G829" s="103">
        <v>0.52358631694425051</v>
      </c>
      <c r="H829" s="103">
        <v>1.7004088959808519</v>
      </c>
      <c r="I829" s="103">
        <v>5.7644360227386056</v>
      </c>
      <c r="J829" s="103">
        <v>9.6489478408297593</v>
      </c>
      <c r="K829" s="103">
        <v>16.006781689438515</v>
      </c>
      <c r="L829" s="103">
        <v>22.858282636880421</v>
      </c>
      <c r="M829" s="103">
        <v>19.357734117881719</v>
      </c>
      <c r="N829" s="103">
        <v>14.281440111698416</v>
      </c>
      <c r="O829" s="103">
        <v>9.783584322329709</v>
      </c>
      <c r="P829" s="42"/>
      <c r="Q829" s="110"/>
      <c r="R829" s="46" t="s">
        <v>10</v>
      </c>
      <c r="S829" s="103">
        <v>7.5570211596592468E-2</v>
      </c>
      <c r="T829" s="103">
        <v>0.18549051937345426</v>
      </c>
      <c r="U829" s="103">
        <v>0.85188238527067872</v>
      </c>
      <c r="V829" s="103">
        <v>3.4830997526793075</v>
      </c>
      <c r="W829" s="103">
        <v>7.2341302555647147</v>
      </c>
      <c r="X829" s="103">
        <v>14.688101126683154</v>
      </c>
      <c r="Y829" s="103">
        <v>23.330585325638911</v>
      </c>
      <c r="Z829" s="103">
        <v>21.571860401209122</v>
      </c>
      <c r="AA829" s="103">
        <v>16.762846935971421</v>
      </c>
      <c r="AB829" s="103">
        <v>11.816433086012641</v>
      </c>
      <c r="AC829" s="42"/>
      <c r="AD829" s="110"/>
      <c r="AE829" s="46" t="s">
        <v>10</v>
      </c>
      <c r="AF829" s="103">
        <v>7.275372862859221E-2</v>
      </c>
      <c r="AG829" s="103">
        <v>1.4186977082575483</v>
      </c>
      <c r="AH829" s="103">
        <v>3.9468897781011281</v>
      </c>
      <c r="AI829" s="103">
        <v>11.804292469989088</v>
      </c>
      <c r="AJ829" s="103">
        <v>16.042197162604584</v>
      </c>
      <c r="AK829" s="103">
        <v>19.497999272462714</v>
      </c>
      <c r="AL829" s="103">
        <v>21.607857402691888</v>
      </c>
      <c r="AM829" s="103">
        <v>13.495816660603857</v>
      </c>
      <c r="AN829" s="103">
        <v>7.7118952346307754</v>
      </c>
      <c r="AO829" s="103">
        <v>4.401600582029829</v>
      </c>
      <c r="AP829" s="6"/>
      <c r="AQ829" s="110"/>
      <c r="AR829" s="46" t="s">
        <v>10</v>
      </c>
      <c r="AS829" s="103">
        <v>0.19980019980019981</v>
      </c>
      <c r="AT829" s="103">
        <v>1.3986013986013985</v>
      </c>
      <c r="AU829" s="103">
        <v>3.296703296703297</v>
      </c>
      <c r="AV829" s="103">
        <v>10.223110223110222</v>
      </c>
      <c r="AW829" s="103">
        <v>13.819513819513821</v>
      </c>
      <c r="AX829" s="103">
        <v>18.215118215118213</v>
      </c>
      <c r="AY829" s="103">
        <v>22.910422910422913</v>
      </c>
      <c r="AZ829" s="103">
        <v>14.019314019314018</v>
      </c>
      <c r="BA829" s="103">
        <v>10.023310023310025</v>
      </c>
      <c r="BB829" s="103">
        <v>5.8941058941058948</v>
      </c>
      <c r="BC829" s="42"/>
      <c r="BD829" s="110"/>
      <c r="BE829" s="46" t="s">
        <v>10</v>
      </c>
      <c r="BF829" s="103">
        <v>5.2782827986628353E-2</v>
      </c>
      <c r="BG829" s="103">
        <v>0.36947979590639846</v>
      </c>
      <c r="BH829" s="103">
        <v>1.4192715969737846</v>
      </c>
      <c r="BI829" s="103">
        <v>4.9791801067386077</v>
      </c>
      <c r="BJ829" s="103">
        <v>8.9144331710750109</v>
      </c>
      <c r="BK829" s="103">
        <v>15.617852325376811</v>
      </c>
      <c r="BL829" s="103">
        <v>22.849099759544895</v>
      </c>
      <c r="BM829" s="103">
        <v>20.297929740191194</v>
      </c>
      <c r="BN829" s="103">
        <v>15.031376458858716</v>
      </c>
      <c r="BO829" s="103">
        <v>10.468594217347956</v>
      </c>
      <c r="BQ829" s="110"/>
      <c r="BR829" s="46" t="s">
        <v>10</v>
      </c>
      <c r="BS829" s="103">
        <v>0.41152263374485598</v>
      </c>
      <c r="BT829" s="103">
        <v>1.2345679012345678</v>
      </c>
      <c r="BU829" s="103">
        <v>2.880658436213992</v>
      </c>
      <c r="BV829" s="103">
        <v>11.385459533607682</v>
      </c>
      <c r="BW829" s="103">
        <v>14.403292181069959</v>
      </c>
      <c r="BX829" s="103">
        <v>17.558299039780518</v>
      </c>
      <c r="BY829" s="103">
        <v>20.987654320987652</v>
      </c>
      <c r="BZ829" s="103">
        <v>13.580246913580247</v>
      </c>
      <c r="CA829" s="103">
        <v>10.425240054869684</v>
      </c>
      <c r="CB829" s="103">
        <v>7.1330589849108366</v>
      </c>
      <c r="CC829" s="42"/>
      <c r="CD829" s="110"/>
      <c r="CE829" s="46" t="s">
        <v>10</v>
      </c>
      <c r="CF829" s="103">
        <v>6.2095730918499355E-2</v>
      </c>
      <c r="CG829" s="103">
        <v>0.49676584734799484</v>
      </c>
      <c r="CH829" s="103">
        <v>1.6558861578266495</v>
      </c>
      <c r="CI829" s="103">
        <v>5.5523932729624841</v>
      </c>
      <c r="CJ829" s="103">
        <v>9.4695989650711514</v>
      </c>
      <c r="CK829" s="103">
        <v>15.948253557567918</v>
      </c>
      <c r="CL829" s="103">
        <v>22.928848641655886</v>
      </c>
      <c r="CM829" s="103">
        <v>19.575679172056919</v>
      </c>
      <c r="CN829" s="103">
        <v>14.426908150064682</v>
      </c>
      <c r="CO829" s="103">
        <v>9.8835705045278139</v>
      </c>
      <c r="CQ829" s="110"/>
      <c r="CR829" s="46" t="s">
        <v>10</v>
      </c>
      <c r="CS829" s="103">
        <v>9.0415913200723327E-2</v>
      </c>
      <c r="CT829" s="103">
        <v>0.31645569620253167</v>
      </c>
      <c r="CU829" s="103">
        <v>1.6726943942133816</v>
      </c>
      <c r="CV829" s="103">
        <v>6.0126582278481013</v>
      </c>
      <c r="CW829" s="103">
        <v>9.2224231464737798</v>
      </c>
      <c r="CX829" s="103">
        <v>15.913200723327305</v>
      </c>
      <c r="CY829" s="103">
        <v>22.197106690777577</v>
      </c>
      <c r="CZ829" s="103">
        <v>17.4502712477396</v>
      </c>
      <c r="DA829" s="103">
        <v>16.817359855334537</v>
      </c>
      <c r="DB829" s="103">
        <v>10.30741410488246</v>
      </c>
      <c r="DC829" s="42"/>
      <c r="DD829" s="110"/>
      <c r="DE829" s="46" t="s">
        <v>10</v>
      </c>
      <c r="DF829" s="103">
        <v>7.2861786795202332E-2</v>
      </c>
      <c r="DG829" s="103">
        <v>0.54926577737921756</v>
      </c>
      <c r="DH829" s="103">
        <v>1.7038448604416545</v>
      </c>
      <c r="DI829" s="103">
        <v>5.733662145499383</v>
      </c>
      <c r="DJ829" s="103">
        <v>9.7018271494227104</v>
      </c>
      <c r="DK829" s="103">
        <v>16.018383589283715</v>
      </c>
      <c r="DL829" s="103">
        <v>22.940253334827933</v>
      </c>
      <c r="DM829" s="103">
        <v>19.594215895079024</v>
      </c>
      <c r="DN829" s="103">
        <v>13.967044053357247</v>
      </c>
      <c r="DO829" s="103">
        <v>9.7186414079139105</v>
      </c>
    </row>
    <row r="830" spans="2:119" ht="16.5" customHeight="1" x14ac:dyDescent="0.45">
      <c r="B830" s="99"/>
      <c r="C830" s="42"/>
      <c r="D830" s="111"/>
      <c r="E830" s="47" t="s">
        <v>11</v>
      </c>
      <c r="F830" s="103">
        <v>4.2052144659377629E-2</v>
      </c>
      <c r="G830" s="103">
        <v>8.4104289318755257E-2</v>
      </c>
      <c r="H830" s="103">
        <v>0.73591253153910852</v>
      </c>
      <c r="I830" s="103">
        <v>2.396972245584525</v>
      </c>
      <c r="J830" s="103">
        <v>5.046257359125315</v>
      </c>
      <c r="K830" s="103">
        <v>10.576114381833474</v>
      </c>
      <c r="L830" s="103">
        <v>18.566021867115225</v>
      </c>
      <c r="M830" s="103">
        <v>21.425567703952904</v>
      </c>
      <c r="N830" s="103">
        <v>22.014297729184186</v>
      </c>
      <c r="O830" s="103">
        <v>19.112699747687131</v>
      </c>
      <c r="P830" s="42"/>
      <c r="Q830" s="111"/>
      <c r="R830" s="46" t="s">
        <v>11</v>
      </c>
      <c r="S830" s="103">
        <v>5.6513139304888389E-2</v>
      </c>
      <c r="T830" s="103">
        <v>8.4769708957332573E-2</v>
      </c>
      <c r="U830" s="103">
        <v>0.31082226617688613</v>
      </c>
      <c r="V830" s="103">
        <v>1.4410850522746539</v>
      </c>
      <c r="W830" s="103">
        <v>3.532071206555524</v>
      </c>
      <c r="X830" s="103">
        <v>8.7312800226052563</v>
      </c>
      <c r="Y830" s="103">
        <v>18.084204577564282</v>
      </c>
      <c r="Z830" s="103">
        <v>22.407459734388247</v>
      </c>
      <c r="AA830" s="103">
        <v>24.526702458321559</v>
      </c>
      <c r="AB830" s="103">
        <v>20.825091833851371</v>
      </c>
      <c r="AC830" s="42"/>
      <c r="AD830" s="111"/>
      <c r="AE830" s="46" t="s">
        <v>11</v>
      </c>
      <c r="AF830" s="103">
        <v>0</v>
      </c>
      <c r="AG830" s="103">
        <v>8.2169268693508629E-2</v>
      </c>
      <c r="AH830" s="103">
        <v>1.9720624486442069</v>
      </c>
      <c r="AI830" s="103">
        <v>5.1766639276910436</v>
      </c>
      <c r="AJ830" s="103">
        <v>9.449465899753493</v>
      </c>
      <c r="AK830" s="103">
        <v>15.940838126540674</v>
      </c>
      <c r="AL830" s="103">
        <v>19.967132292522596</v>
      </c>
      <c r="AM830" s="103">
        <v>18.570254724732948</v>
      </c>
      <c r="AN830" s="103">
        <v>14.708299096138045</v>
      </c>
      <c r="AO830" s="103">
        <v>14.133114215283484</v>
      </c>
      <c r="AP830" s="6"/>
      <c r="AQ830" s="111"/>
      <c r="AR830" s="46" t="s">
        <v>11</v>
      </c>
      <c r="AS830" s="103">
        <v>0</v>
      </c>
      <c r="AT830" s="103">
        <v>0.24875621890547264</v>
      </c>
      <c r="AU830" s="103">
        <v>2.2388059701492535</v>
      </c>
      <c r="AV830" s="103">
        <v>6.467661691542288</v>
      </c>
      <c r="AW830" s="103">
        <v>8.4577114427860707</v>
      </c>
      <c r="AX830" s="103">
        <v>13.184079601990051</v>
      </c>
      <c r="AY830" s="103">
        <v>19.154228855721392</v>
      </c>
      <c r="AZ830" s="103">
        <v>21.393034825870647</v>
      </c>
      <c r="BA830" s="103">
        <v>13.681592039800993</v>
      </c>
      <c r="BB830" s="103">
        <v>15.17412935323383</v>
      </c>
      <c r="BC830" s="42"/>
      <c r="BD830" s="111"/>
      <c r="BE830" s="46" t="s">
        <v>11</v>
      </c>
      <c r="BF830" s="103">
        <v>4.5934772622875514E-2</v>
      </c>
      <c r="BG830" s="103">
        <v>6.8902158934313271E-2</v>
      </c>
      <c r="BH830" s="103">
        <v>0.59715204409738176</v>
      </c>
      <c r="BI830" s="103">
        <v>2.0211299954065227</v>
      </c>
      <c r="BJ830" s="103">
        <v>4.7312815801561783</v>
      </c>
      <c r="BK830" s="103">
        <v>10.335323840146991</v>
      </c>
      <c r="BL830" s="103">
        <v>18.511713367018835</v>
      </c>
      <c r="BM830" s="103">
        <v>21.428571428571427</v>
      </c>
      <c r="BN830" s="103">
        <v>22.783647220946257</v>
      </c>
      <c r="BO830" s="103">
        <v>19.476343592099219</v>
      </c>
      <c r="BQ830" s="111"/>
      <c r="BR830" s="46" t="s">
        <v>11</v>
      </c>
      <c r="BS830" s="103">
        <v>0.6578947368421052</v>
      </c>
      <c r="BT830" s="103">
        <v>0</v>
      </c>
      <c r="BU830" s="103">
        <v>2.6315789473684208</v>
      </c>
      <c r="BV830" s="103">
        <v>6.5789473684210522</v>
      </c>
      <c r="BW830" s="103">
        <v>7.2368421052631584</v>
      </c>
      <c r="BX830" s="103">
        <v>10.526315789473683</v>
      </c>
      <c r="BY830" s="103">
        <v>18.421052631578945</v>
      </c>
      <c r="BZ830" s="103">
        <v>20.394736842105264</v>
      </c>
      <c r="CA830" s="103">
        <v>17.105263157894736</v>
      </c>
      <c r="CB830" s="103">
        <v>16.447368421052634</v>
      </c>
      <c r="CC830" s="42"/>
      <c r="CD830" s="111"/>
      <c r="CE830" s="46" t="s">
        <v>11</v>
      </c>
      <c r="CF830" s="103">
        <v>2.1720243266724587E-2</v>
      </c>
      <c r="CG830" s="103">
        <v>8.6880973066898348E-2</v>
      </c>
      <c r="CH830" s="103">
        <v>0.67332754126846217</v>
      </c>
      <c r="CI830" s="103">
        <v>2.2589052997393573</v>
      </c>
      <c r="CJ830" s="103">
        <v>4.9739357080799307</v>
      </c>
      <c r="CK830" s="103">
        <v>10.577758470894874</v>
      </c>
      <c r="CL830" s="103">
        <v>18.570807993049524</v>
      </c>
      <c r="CM830" s="103">
        <v>21.459600347523892</v>
      </c>
      <c r="CN830" s="103">
        <v>22.176368375325804</v>
      </c>
      <c r="CO830" s="103">
        <v>19.200695047784535</v>
      </c>
      <c r="CQ830" s="111"/>
      <c r="CR830" s="46" t="s">
        <v>11</v>
      </c>
      <c r="CS830" s="103">
        <v>0</v>
      </c>
      <c r="CT830" s="103">
        <v>0</v>
      </c>
      <c r="CU830" s="103">
        <v>0.60606060606060608</v>
      </c>
      <c r="CV830" s="103">
        <v>1.4141414141414141</v>
      </c>
      <c r="CW830" s="103">
        <v>4.2424242424242431</v>
      </c>
      <c r="CX830" s="103">
        <v>8.6868686868686869</v>
      </c>
      <c r="CY830" s="103">
        <v>19.393939393939394</v>
      </c>
      <c r="CZ830" s="103">
        <v>22.424242424242426</v>
      </c>
      <c r="DA830" s="103">
        <v>21.212121212121211</v>
      </c>
      <c r="DB830" s="103">
        <v>22.020202020202021</v>
      </c>
      <c r="DC830" s="42"/>
      <c r="DD830" s="111"/>
      <c r="DE830" s="46" t="s">
        <v>11</v>
      </c>
      <c r="DF830" s="103">
        <v>4.6937338652898383E-2</v>
      </c>
      <c r="DG830" s="103">
        <v>9.3874677305796767E-2</v>
      </c>
      <c r="DH830" s="103">
        <v>0.75099741844637413</v>
      </c>
      <c r="DI830" s="103">
        <v>2.5111476179300634</v>
      </c>
      <c r="DJ830" s="103">
        <v>5.1396385824923732</v>
      </c>
      <c r="DK830" s="103">
        <v>10.795587890166628</v>
      </c>
      <c r="DL830" s="103">
        <v>18.469842759915515</v>
      </c>
      <c r="DM830" s="103">
        <v>21.309551748415863</v>
      </c>
      <c r="DN830" s="103">
        <v>22.107486505515137</v>
      </c>
      <c r="DO830" s="103">
        <v>18.774935461159352</v>
      </c>
    </row>
    <row r="831" spans="2:119" x14ac:dyDescent="0.45">
      <c r="B831" s="99"/>
      <c r="C831" s="42"/>
      <c r="D831" s="42"/>
      <c r="E831" s="42"/>
      <c r="F831" s="42"/>
      <c r="G831" s="42"/>
      <c r="H831" s="42"/>
      <c r="I831" s="42"/>
      <c r="J831" s="42"/>
      <c r="K831" s="42"/>
      <c r="L831" s="42"/>
      <c r="M831" s="42"/>
      <c r="N831" s="42"/>
      <c r="O831" s="42"/>
      <c r="P831" s="42"/>
      <c r="Q831" s="42"/>
      <c r="R831" s="42"/>
      <c r="S831" s="42"/>
      <c r="T831" s="42"/>
      <c r="U831" s="42"/>
      <c r="V831" s="42"/>
      <c r="W831" s="42"/>
      <c r="X831" s="42"/>
      <c r="Y831" s="42"/>
      <c r="Z831" s="42"/>
      <c r="AA831" s="42"/>
      <c r="AB831" s="42"/>
      <c r="AC831" s="42"/>
      <c r="AD831" s="42"/>
      <c r="AE831" s="42"/>
      <c r="AF831" s="42"/>
      <c r="AG831" s="42"/>
      <c r="AH831" s="42"/>
      <c r="AI831" s="42"/>
      <c r="AJ831" s="42"/>
      <c r="AK831" s="42"/>
      <c r="AL831" s="42"/>
      <c r="AM831" s="42"/>
      <c r="AN831" s="42"/>
      <c r="AO831" s="42"/>
      <c r="AQ831" s="42"/>
      <c r="AR831" s="42"/>
      <c r="AS831" s="42"/>
      <c r="AT831" s="42"/>
      <c r="AU831" s="42"/>
      <c r="AV831" s="42"/>
      <c r="AW831" s="42"/>
      <c r="AX831" s="42"/>
      <c r="AY831" s="42"/>
      <c r="AZ831" s="42"/>
      <c r="BA831" s="42"/>
      <c r="BB831" s="42"/>
      <c r="BC831" s="42"/>
      <c r="BD831" s="42"/>
      <c r="BE831" s="42"/>
      <c r="BF831" s="42"/>
      <c r="BG831" s="42"/>
      <c r="BH831" s="42"/>
      <c r="BI831" s="42"/>
      <c r="BJ831" s="42"/>
      <c r="BK831" s="42"/>
      <c r="BL831" s="42"/>
      <c r="BM831" s="42"/>
      <c r="BN831" s="42"/>
      <c r="BO831" s="42"/>
      <c r="BQ831" s="42"/>
      <c r="BR831" s="42"/>
      <c r="BS831" s="42"/>
      <c r="BT831" s="42"/>
      <c r="BU831" s="42"/>
      <c r="BV831" s="42"/>
      <c r="BW831" s="42"/>
      <c r="BX831" s="42"/>
      <c r="BY831" s="42"/>
      <c r="BZ831" s="42"/>
      <c r="CA831" s="42"/>
      <c r="CB831" s="42"/>
      <c r="CC831" s="42"/>
      <c r="CD831" s="42"/>
      <c r="CE831" s="42"/>
      <c r="CF831" s="42"/>
      <c r="CG831" s="42"/>
      <c r="CH831" s="42"/>
      <c r="CI831" s="42"/>
      <c r="CJ831" s="42"/>
      <c r="CK831" s="42"/>
      <c r="CL831" s="42"/>
      <c r="CM831" s="42"/>
      <c r="CN831" s="42"/>
      <c r="CO831" s="42"/>
      <c r="CQ831" s="42"/>
      <c r="CR831" s="42"/>
      <c r="CS831" s="42"/>
      <c r="CT831" s="42"/>
      <c r="CU831" s="42"/>
      <c r="CV831" s="42"/>
      <c r="CW831" s="42"/>
      <c r="CX831" s="42"/>
      <c r="CY831" s="42"/>
      <c r="CZ831" s="42"/>
      <c r="DA831" s="42"/>
      <c r="DB831" s="42"/>
      <c r="DC831" s="42"/>
      <c r="DD831" s="42"/>
      <c r="DE831" s="42"/>
      <c r="DF831" s="42"/>
      <c r="DG831" s="42"/>
      <c r="DH831" s="42"/>
      <c r="DI831" s="42"/>
      <c r="DJ831" s="42"/>
      <c r="DK831" s="42"/>
      <c r="DL831" s="42"/>
      <c r="DM831" s="42"/>
      <c r="DN831" s="42"/>
      <c r="DO831" s="42"/>
    </row>
    <row r="832" spans="2:119" x14ac:dyDescent="0.45">
      <c r="B832" s="99"/>
      <c r="C832" s="42"/>
      <c r="D832" s="42"/>
      <c r="E832" s="42"/>
      <c r="F832" s="42"/>
      <c r="G832" s="42"/>
      <c r="H832" s="42"/>
      <c r="I832" s="42"/>
      <c r="J832" s="42"/>
      <c r="K832" s="42"/>
      <c r="L832" s="42"/>
      <c r="M832" s="42"/>
      <c r="N832" s="42"/>
      <c r="O832" s="42"/>
      <c r="P832" s="42"/>
      <c r="Q832" s="42"/>
      <c r="R832" s="42"/>
      <c r="S832" s="42"/>
      <c r="T832" s="42"/>
      <c r="U832" s="42"/>
      <c r="V832" s="42"/>
      <c r="W832" s="42"/>
      <c r="X832" s="42"/>
      <c r="Y832" s="42"/>
      <c r="Z832" s="42"/>
      <c r="AA832" s="42"/>
      <c r="AB832" s="42"/>
      <c r="AC832" s="42"/>
      <c r="AD832" s="42"/>
      <c r="AE832" s="42"/>
      <c r="AF832" s="42"/>
      <c r="AG832" s="42"/>
      <c r="AH832" s="42"/>
      <c r="AI832" s="42"/>
      <c r="AJ832" s="42"/>
      <c r="AK832" s="42"/>
      <c r="AL832" s="42"/>
      <c r="AM832" s="42"/>
      <c r="AN832" s="42"/>
      <c r="AO832" s="42"/>
      <c r="AQ832" s="42"/>
      <c r="AR832" s="42"/>
      <c r="AS832" s="42"/>
      <c r="AT832" s="42"/>
      <c r="AU832" s="42"/>
      <c r="AV832" s="42"/>
      <c r="AW832" s="42"/>
      <c r="AX832" s="42"/>
      <c r="AY832" s="42"/>
      <c r="AZ832" s="42"/>
      <c r="BA832" s="42"/>
      <c r="BB832" s="42"/>
      <c r="BC832" s="42"/>
      <c r="BD832" s="42"/>
      <c r="BE832" s="42"/>
      <c r="BF832" s="42"/>
      <c r="BG832" s="42"/>
      <c r="BH832" s="42"/>
      <c r="BI832" s="42"/>
      <c r="BJ832" s="42"/>
      <c r="BK832" s="42"/>
      <c r="BL832" s="42"/>
      <c r="BM832" s="42"/>
      <c r="BN832" s="42"/>
      <c r="BO832" s="42"/>
      <c r="BQ832" s="42"/>
      <c r="BR832" s="42"/>
      <c r="BS832" s="42"/>
      <c r="BT832" s="42"/>
      <c r="BU832" s="42"/>
      <c r="BV832" s="42"/>
      <c r="BW832" s="42"/>
      <c r="BX832" s="42"/>
      <c r="BY832" s="42"/>
      <c r="BZ832" s="42"/>
      <c r="CA832" s="42"/>
      <c r="CB832" s="42"/>
      <c r="CC832" s="42"/>
      <c r="CD832" s="42"/>
      <c r="CE832" s="42"/>
      <c r="CF832" s="42"/>
      <c r="CG832" s="42"/>
      <c r="CH832" s="42"/>
      <c r="CI832" s="42"/>
      <c r="CJ832" s="42"/>
      <c r="CK832" s="42"/>
      <c r="CL832" s="42"/>
      <c r="CM832" s="42"/>
      <c r="CN832" s="42"/>
      <c r="CO832" s="42"/>
      <c r="CQ832" s="42"/>
      <c r="CR832" s="42"/>
      <c r="CS832" s="42"/>
      <c r="CT832" s="42"/>
      <c r="CU832" s="42"/>
      <c r="CV832" s="42"/>
      <c r="CW832" s="42"/>
      <c r="CX832" s="42"/>
      <c r="CY832" s="42"/>
      <c r="CZ832" s="42"/>
      <c r="DA832" s="42"/>
      <c r="DB832" s="42"/>
      <c r="DC832" s="42"/>
      <c r="DD832" s="42"/>
      <c r="DE832" s="42"/>
      <c r="DF832" s="42"/>
      <c r="DG832" s="42"/>
      <c r="DH832" s="42"/>
      <c r="DI832" s="42"/>
      <c r="DJ832" s="42"/>
      <c r="DK832" s="42"/>
      <c r="DL832" s="42"/>
      <c r="DM832" s="42"/>
      <c r="DN832" s="42"/>
      <c r="DO832" s="42"/>
    </row>
    <row r="833" spans="2:119" ht="18.75" customHeight="1" x14ac:dyDescent="0.55000000000000004">
      <c r="B833" s="99"/>
      <c r="C833" s="42"/>
      <c r="D833" s="112" t="s">
        <v>24</v>
      </c>
      <c r="E833" s="112"/>
      <c r="F833" s="45"/>
      <c r="G833" s="45"/>
      <c r="H833" s="45"/>
      <c r="I833" s="45"/>
      <c r="J833" s="45"/>
      <c r="K833" s="45"/>
      <c r="L833" s="45"/>
      <c r="M833" s="45"/>
      <c r="N833" s="45"/>
      <c r="O833" s="45"/>
      <c r="P833" s="42"/>
      <c r="Q833" s="112" t="s">
        <v>24</v>
      </c>
      <c r="R833" s="112"/>
      <c r="S833" s="45"/>
      <c r="T833" s="45"/>
      <c r="U833" s="45"/>
      <c r="V833" s="45"/>
      <c r="W833" s="45"/>
      <c r="X833" s="45"/>
      <c r="Y833" s="45"/>
      <c r="Z833" s="45"/>
      <c r="AA833" s="45"/>
      <c r="AB833" s="45"/>
      <c r="AC833" s="42"/>
      <c r="AD833" s="112" t="s">
        <v>24</v>
      </c>
      <c r="AE833" s="112"/>
      <c r="AF833" s="45"/>
      <c r="AG833" s="45"/>
      <c r="AH833" s="45"/>
      <c r="AI833" s="45"/>
      <c r="AJ833" s="45"/>
      <c r="AK833" s="45"/>
      <c r="AL833" s="45"/>
      <c r="AM833" s="45"/>
      <c r="AN833" s="45"/>
      <c r="AO833" s="45"/>
      <c r="AP833" s="6"/>
      <c r="AQ833" s="112" t="s">
        <v>24</v>
      </c>
      <c r="AR833" s="112"/>
      <c r="AS833" s="45"/>
      <c r="AT833" s="45"/>
      <c r="AU833" s="45"/>
      <c r="AV833" s="45"/>
      <c r="AW833" s="45"/>
      <c r="AX833" s="45"/>
      <c r="AY833" s="45"/>
      <c r="AZ833" s="45"/>
      <c r="BA833" s="45"/>
      <c r="BB833" s="45"/>
      <c r="BC833" s="42"/>
      <c r="BD833" s="112" t="s">
        <v>24</v>
      </c>
      <c r="BE833" s="112"/>
      <c r="BF833" s="45"/>
      <c r="BG833" s="45"/>
      <c r="BH833" s="45"/>
      <c r="BI833" s="45"/>
      <c r="BJ833" s="45"/>
      <c r="BK833" s="45"/>
      <c r="BL833" s="45"/>
      <c r="BM833" s="45"/>
      <c r="BN833" s="45"/>
      <c r="BO833" s="45"/>
      <c r="BQ833" s="112" t="s">
        <v>24</v>
      </c>
      <c r="BR833" s="112"/>
      <c r="BS833" s="45"/>
      <c r="BT833" s="45"/>
      <c r="BU833" s="45"/>
      <c r="BV833" s="45"/>
      <c r="BW833" s="45"/>
      <c r="BX833" s="45"/>
      <c r="BY833" s="45"/>
      <c r="BZ833" s="45"/>
      <c r="CA833" s="45"/>
      <c r="CB833" s="45"/>
      <c r="CC833" s="42"/>
      <c r="CD833" s="112" t="s">
        <v>24</v>
      </c>
      <c r="CE833" s="112"/>
      <c r="CF833" s="45"/>
      <c r="CG833" s="45"/>
      <c r="CH833" s="45"/>
      <c r="CI833" s="45"/>
      <c r="CJ833" s="45"/>
      <c r="CK833" s="45"/>
      <c r="CL833" s="45"/>
      <c r="CM833" s="45"/>
      <c r="CN833" s="45"/>
      <c r="CO833" s="45"/>
      <c r="CQ833" s="112" t="s">
        <v>24</v>
      </c>
      <c r="CR833" s="112"/>
      <c r="CS833" s="45"/>
      <c r="CT833" s="45"/>
      <c r="CU833" s="45"/>
      <c r="CV833" s="45"/>
      <c r="CW833" s="45"/>
      <c r="CX833" s="45"/>
      <c r="CY833" s="45"/>
      <c r="CZ833" s="45"/>
      <c r="DA833" s="45"/>
      <c r="DB833" s="45"/>
      <c r="DC833" s="42"/>
      <c r="DD833" s="112" t="s">
        <v>24</v>
      </c>
      <c r="DE833" s="112"/>
      <c r="DF833" s="45"/>
      <c r="DG833" s="45"/>
      <c r="DH833" s="45"/>
      <c r="DI833" s="45"/>
      <c r="DJ833" s="45"/>
      <c r="DK833" s="45"/>
      <c r="DL833" s="45"/>
      <c r="DM833" s="45"/>
      <c r="DN833" s="45"/>
      <c r="DO833" s="45"/>
    </row>
    <row r="834" spans="2:119" ht="28.9" customHeight="1" x14ac:dyDescent="0.45">
      <c r="B834" s="99"/>
      <c r="C834" s="42"/>
      <c r="D834" s="112"/>
      <c r="E834" s="112"/>
      <c r="F834" s="108" t="s">
        <v>12</v>
      </c>
      <c r="G834" s="108"/>
      <c r="H834" s="108"/>
      <c r="I834" s="108"/>
      <c r="J834" s="108"/>
      <c r="K834" s="108"/>
      <c r="L834" s="108"/>
      <c r="M834" s="108"/>
      <c r="N834" s="108"/>
      <c r="O834" s="108"/>
      <c r="P834" s="42"/>
      <c r="Q834" s="112"/>
      <c r="R834" s="112"/>
      <c r="S834" s="108" t="s">
        <v>12</v>
      </c>
      <c r="T834" s="108"/>
      <c r="U834" s="108"/>
      <c r="V834" s="108"/>
      <c r="W834" s="108"/>
      <c r="X834" s="108"/>
      <c r="Y834" s="108"/>
      <c r="Z834" s="108"/>
      <c r="AA834" s="108"/>
      <c r="AB834" s="108"/>
      <c r="AC834" s="42"/>
      <c r="AD834" s="112"/>
      <c r="AE834" s="112"/>
      <c r="AF834" s="108" t="s">
        <v>12</v>
      </c>
      <c r="AG834" s="108"/>
      <c r="AH834" s="108"/>
      <c r="AI834" s="108"/>
      <c r="AJ834" s="108"/>
      <c r="AK834" s="108"/>
      <c r="AL834" s="108"/>
      <c r="AM834" s="108"/>
      <c r="AN834" s="108"/>
      <c r="AO834" s="108"/>
      <c r="AP834" s="6"/>
      <c r="AQ834" s="112"/>
      <c r="AR834" s="112"/>
      <c r="AS834" s="108" t="s">
        <v>12</v>
      </c>
      <c r="AT834" s="108"/>
      <c r="AU834" s="108"/>
      <c r="AV834" s="108"/>
      <c r="AW834" s="108"/>
      <c r="AX834" s="108"/>
      <c r="AY834" s="108"/>
      <c r="AZ834" s="108"/>
      <c r="BA834" s="108"/>
      <c r="BB834" s="108"/>
      <c r="BC834" s="42"/>
      <c r="BD834" s="112"/>
      <c r="BE834" s="112"/>
      <c r="BF834" s="108" t="s">
        <v>12</v>
      </c>
      <c r="BG834" s="108"/>
      <c r="BH834" s="108"/>
      <c r="BI834" s="108"/>
      <c r="BJ834" s="108"/>
      <c r="BK834" s="108"/>
      <c r="BL834" s="108"/>
      <c r="BM834" s="108"/>
      <c r="BN834" s="108"/>
      <c r="BO834" s="108"/>
      <c r="BQ834" s="112"/>
      <c r="BR834" s="112"/>
      <c r="BS834" s="108" t="s">
        <v>12</v>
      </c>
      <c r="BT834" s="108"/>
      <c r="BU834" s="108"/>
      <c r="BV834" s="108"/>
      <c r="BW834" s="108"/>
      <c r="BX834" s="108"/>
      <c r="BY834" s="108"/>
      <c r="BZ834" s="108"/>
      <c r="CA834" s="108"/>
      <c r="CB834" s="108"/>
      <c r="CC834" s="42"/>
      <c r="CD834" s="112"/>
      <c r="CE834" s="112"/>
      <c r="CF834" s="108" t="s">
        <v>12</v>
      </c>
      <c r="CG834" s="108"/>
      <c r="CH834" s="108"/>
      <c r="CI834" s="108"/>
      <c r="CJ834" s="108"/>
      <c r="CK834" s="108"/>
      <c r="CL834" s="108"/>
      <c r="CM834" s="108"/>
      <c r="CN834" s="108"/>
      <c r="CO834" s="108"/>
      <c r="CQ834" s="112"/>
      <c r="CR834" s="112"/>
      <c r="CS834" s="108" t="s">
        <v>12</v>
      </c>
      <c r="CT834" s="108"/>
      <c r="CU834" s="108"/>
      <c r="CV834" s="108"/>
      <c r="CW834" s="108"/>
      <c r="CX834" s="108"/>
      <c r="CY834" s="108"/>
      <c r="CZ834" s="108"/>
      <c r="DA834" s="108"/>
      <c r="DB834" s="108"/>
      <c r="DC834" s="42"/>
      <c r="DD834" s="112"/>
      <c r="DE834" s="112"/>
      <c r="DF834" s="108" t="s">
        <v>12</v>
      </c>
      <c r="DG834" s="108"/>
      <c r="DH834" s="108"/>
      <c r="DI834" s="108"/>
      <c r="DJ834" s="108"/>
      <c r="DK834" s="108"/>
      <c r="DL834" s="108"/>
      <c r="DM834" s="108"/>
      <c r="DN834" s="108"/>
      <c r="DO834" s="108"/>
    </row>
    <row r="835" spans="2:119" ht="15" customHeight="1" x14ac:dyDescent="0.45">
      <c r="B835" s="99"/>
      <c r="C835" s="42"/>
      <c r="D835" s="113"/>
      <c r="E835" s="113"/>
      <c r="F835" s="9" t="s">
        <v>0</v>
      </c>
      <c r="G835" s="9">
        <v>1</v>
      </c>
      <c r="H835" s="9">
        <v>2</v>
      </c>
      <c r="I835" s="9">
        <v>3</v>
      </c>
      <c r="J835" s="9">
        <v>4</v>
      </c>
      <c r="K835" s="9">
        <v>5</v>
      </c>
      <c r="L835" s="9">
        <v>6</v>
      </c>
      <c r="M835" s="9">
        <v>7</v>
      </c>
      <c r="N835" s="9">
        <v>8</v>
      </c>
      <c r="O835" s="9">
        <v>9</v>
      </c>
      <c r="P835" s="42"/>
      <c r="Q835" s="113"/>
      <c r="R835" s="113"/>
      <c r="S835" s="9" t="s">
        <v>0</v>
      </c>
      <c r="T835" s="9">
        <v>1</v>
      </c>
      <c r="U835" s="9">
        <v>2</v>
      </c>
      <c r="V835" s="9">
        <v>3</v>
      </c>
      <c r="W835" s="9">
        <v>4</v>
      </c>
      <c r="X835" s="9">
        <v>5</v>
      </c>
      <c r="Y835" s="9">
        <v>6</v>
      </c>
      <c r="Z835" s="9">
        <v>7</v>
      </c>
      <c r="AA835" s="9">
        <v>8</v>
      </c>
      <c r="AB835" s="9">
        <v>9</v>
      </c>
      <c r="AC835" s="42"/>
      <c r="AD835" s="113"/>
      <c r="AE835" s="113"/>
      <c r="AF835" s="9" t="s">
        <v>0</v>
      </c>
      <c r="AG835" s="9">
        <v>1</v>
      </c>
      <c r="AH835" s="9">
        <v>2</v>
      </c>
      <c r="AI835" s="9">
        <v>3</v>
      </c>
      <c r="AJ835" s="9">
        <v>4</v>
      </c>
      <c r="AK835" s="9">
        <v>5</v>
      </c>
      <c r="AL835" s="9">
        <v>6</v>
      </c>
      <c r="AM835" s="9">
        <v>7</v>
      </c>
      <c r="AN835" s="9">
        <v>8</v>
      </c>
      <c r="AO835" s="9">
        <v>9</v>
      </c>
      <c r="AP835" s="6"/>
      <c r="AQ835" s="113"/>
      <c r="AR835" s="113"/>
      <c r="AS835" s="9" t="s">
        <v>0</v>
      </c>
      <c r="AT835" s="9">
        <v>1</v>
      </c>
      <c r="AU835" s="9">
        <v>2</v>
      </c>
      <c r="AV835" s="9">
        <v>3</v>
      </c>
      <c r="AW835" s="9">
        <v>4</v>
      </c>
      <c r="AX835" s="9">
        <v>5</v>
      </c>
      <c r="AY835" s="9">
        <v>6</v>
      </c>
      <c r="AZ835" s="9">
        <v>7</v>
      </c>
      <c r="BA835" s="9">
        <v>8</v>
      </c>
      <c r="BB835" s="9">
        <v>9</v>
      </c>
      <c r="BC835" s="42"/>
      <c r="BD835" s="113"/>
      <c r="BE835" s="113"/>
      <c r="BF835" s="9" t="s">
        <v>0</v>
      </c>
      <c r="BG835" s="9">
        <v>1</v>
      </c>
      <c r="BH835" s="9">
        <v>2</v>
      </c>
      <c r="BI835" s="9">
        <v>3</v>
      </c>
      <c r="BJ835" s="9">
        <v>4</v>
      </c>
      <c r="BK835" s="9">
        <v>5</v>
      </c>
      <c r="BL835" s="9">
        <v>6</v>
      </c>
      <c r="BM835" s="9">
        <v>7</v>
      </c>
      <c r="BN835" s="9">
        <v>8</v>
      </c>
      <c r="BO835" s="9">
        <v>9</v>
      </c>
      <c r="BQ835" s="113"/>
      <c r="BR835" s="113"/>
      <c r="BS835" s="9" t="s">
        <v>0</v>
      </c>
      <c r="BT835" s="9">
        <v>1</v>
      </c>
      <c r="BU835" s="9">
        <v>2</v>
      </c>
      <c r="BV835" s="9">
        <v>3</v>
      </c>
      <c r="BW835" s="9">
        <v>4</v>
      </c>
      <c r="BX835" s="9">
        <v>5</v>
      </c>
      <c r="BY835" s="9">
        <v>6</v>
      </c>
      <c r="BZ835" s="9">
        <v>7</v>
      </c>
      <c r="CA835" s="9">
        <v>8</v>
      </c>
      <c r="CB835" s="9">
        <v>9</v>
      </c>
      <c r="CC835" s="42"/>
      <c r="CD835" s="113"/>
      <c r="CE835" s="113"/>
      <c r="CF835" s="9" t="s">
        <v>0</v>
      </c>
      <c r="CG835" s="9">
        <v>1</v>
      </c>
      <c r="CH835" s="9">
        <v>2</v>
      </c>
      <c r="CI835" s="9">
        <v>3</v>
      </c>
      <c r="CJ835" s="9">
        <v>4</v>
      </c>
      <c r="CK835" s="9">
        <v>5</v>
      </c>
      <c r="CL835" s="9">
        <v>6</v>
      </c>
      <c r="CM835" s="9">
        <v>7</v>
      </c>
      <c r="CN835" s="9">
        <v>8</v>
      </c>
      <c r="CO835" s="9">
        <v>9</v>
      </c>
      <c r="CQ835" s="113"/>
      <c r="CR835" s="113"/>
      <c r="CS835" s="9" t="s">
        <v>0</v>
      </c>
      <c r="CT835" s="9">
        <v>1</v>
      </c>
      <c r="CU835" s="9">
        <v>2</v>
      </c>
      <c r="CV835" s="9">
        <v>3</v>
      </c>
      <c r="CW835" s="9">
        <v>4</v>
      </c>
      <c r="CX835" s="9">
        <v>5</v>
      </c>
      <c r="CY835" s="9">
        <v>6</v>
      </c>
      <c r="CZ835" s="9">
        <v>7</v>
      </c>
      <c r="DA835" s="9">
        <v>8</v>
      </c>
      <c r="DB835" s="9">
        <v>9</v>
      </c>
      <c r="DC835" s="42"/>
      <c r="DD835" s="113"/>
      <c r="DE835" s="113"/>
      <c r="DF835" s="9" t="s">
        <v>0</v>
      </c>
      <c r="DG835" s="9">
        <v>1</v>
      </c>
      <c r="DH835" s="9">
        <v>2</v>
      </c>
      <c r="DI835" s="9">
        <v>3</v>
      </c>
      <c r="DJ835" s="9">
        <v>4</v>
      </c>
      <c r="DK835" s="9">
        <v>5</v>
      </c>
      <c r="DL835" s="9">
        <v>6</v>
      </c>
      <c r="DM835" s="9">
        <v>7</v>
      </c>
      <c r="DN835" s="9">
        <v>8</v>
      </c>
      <c r="DO835" s="9">
        <v>9</v>
      </c>
    </row>
    <row r="836" spans="2:119" ht="16.5" customHeight="1" x14ac:dyDescent="0.45">
      <c r="B836" s="134" t="s">
        <v>48</v>
      </c>
      <c r="C836" s="42"/>
      <c r="D836" s="109" t="s">
        <v>13</v>
      </c>
      <c r="E836" s="46" t="s">
        <v>1</v>
      </c>
      <c r="F836" s="103" t="s">
        <v>129</v>
      </c>
      <c r="G836" s="103" t="s">
        <v>129</v>
      </c>
      <c r="H836" s="103" t="s">
        <v>129</v>
      </c>
      <c r="I836" s="103" t="s">
        <v>129</v>
      </c>
      <c r="J836" s="103" t="s">
        <v>129</v>
      </c>
      <c r="K836" s="103" t="s">
        <v>129</v>
      </c>
      <c r="L836" s="103" t="s">
        <v>129</v>
      </c>
      <c r="M836" s="103" t="s">
        <v>129</v>
      </c>
      <c r="N836" s="103" t="s">
        <v>129</v>
      </c>
      <c r="O836" s="103" t="s">
        <v>129</v>
      </c>
      <c r="P836" s="42"/>
      <c r="Q836" s="109" t="s">
        <v>13</v>
      </c>
      <c r="R836" s="46" t="s">
        <v>1</v>
      </c>
      <c r="S836" s="103" t="s">
        <v>129</v>
      </c>
      <c r="T836" s="103" t="s">
        <v>129</v>
      </c>
      <c r="U836" s="103" t="s">
        <v>129</v>
      </c>
      <c r="V836" s="103" t="s">
        <v>129</v>
      </c>
      <c r="W836" s="103" t="s">
        <v>129</v>
      </c>
      <c r="X836" s="103" t="s">
        <v>129</v>
      </c>
      <c r="Y836" s="103" t="s">
        <v>129</v>
      </c>
      <c r="Z836" s="103" t="s">
        <v>129</v>
      </c>
      <c r="AA836" s="103" t="s">
        <v>129</v>
      </c>
      <c r="AB836" s="103" t="s">
        <v>129</v>
      </c>
      <c r="AC836" s="42"/>
      <c r="AD836" s="109" t="s">
        <v>13</v>
      </c>
      <c r="AE836" s="46" t="s">
        <v>1</v>
      </c>
      <c r="AF836" s="103" t="s">
        <v>129</v>
      </c>
      <c r="AG836" s="103" t="s">
        <v>129</v>
      </c>
      <c r="AH836" s="103" t="s">
        <v>129</v>
      </c>
      <c r="AI836" s="103" t="s">
        <v>129</v>
      </c>
      <c r="AJ836" s="103" t="s">
        <v>129</v>
      </c>
      <c r="AK836" s="103" t="s">
        <v>129</v>
      </c>
      <c r="AL836" s="103" t="s">
        <v>129</v>
      </c>
      <c r="AM836" s="103" t="s">
        <v>129</v>
      </c>
      <c r="AN836" s="103" t="s">
        <v>129</v>
      </c>
      <c r="AO836" s="103" t="s">
        <v>129</v>
      </c>
      <c r="AP836" s="6"/>
      <c r="AQ836" s="109" t="s">
        <v>13</v>
      </c>
      <c r="AR836" s="46" t="s">
        <v>1</v>
      </c>
      <c r="AS836" s="103" t="s">
        <v>129</v>
      </c>
      <c r="AT836" s="103" t="s">
        <v>129</v>
      </c>
      <c r="AU836" s="103" t="s">
        <v>129</v>
      </c>
      <c r="AV836" s="103" t="s">
        <v>129</v>
      </c>
      <c r="AW836" s="103" t="s">
        <v>129</v>
      </c>
      <c r="AX836" s="103" t="s">
        <v>129</v>
      </c>
      <c r="AY836" s="103" t="s">
        <v>129</v>
      </c>
      <c r="AZ836" s="103" t="s">
        <v>129</v>
      </c>
      <c r="BA836" s="103" t="s">
        <v>129</v>
      </c>
      <c r="BB836" s="103" t="s">
        <v>129</v>
      </c>
      <c r="BC836" s="42"/>
      <c r="BD836" s="109" t="s">
        <v>13</v>
      </c>
      <c r="BE836" s="46" t="s">
        <v>1</v>
      </c>
      <c r="BF836" s="103" t="s">
        <v>129</v>
      </c>
      <c r="BG836" s="103" t="s">
        <v>129</v>
      </c>
      <c r="BH836" s="103" t="s">
        <v>129</v>
      </c>
      <c r="BI836" s="103" t="s">
        <v>129</v>
      </c>
      <c r="BJ836" s="103" t="s">
        <v>129</v>
      </c>
      <c r="BK836" s="103" t="s">
        <v>129</v>
      </c>
      <c r="BL836" s="103" t="s">
        <v>129</v>
      </c>
      <c r="BM836" s="103" t="s">
        <v>129</v>
      </c>
      <c r="BN836" s="103" t="s">
        <v>129</v>
      </c>
      <c r="BO836" s="103" t="s">
        <v>129</v>
      </c>
      <c r="BQ836" s="109" t="s">
        <v>13</v>
      </c>
      <c r="BR836" s="46" t="s">
        <v>1</v>
      </c>
      <c r="BS836" s="103" t="s">
        <v>129</v>
      </c>
      <c r="BT836" s="103" t="s">
        <v>129</v>
      </c>
      <c r="BU836" s="103" t="s">
        <v>129</v>
      </c>
      <c r="BV836" s="103" t="s">
        <v>129</v>
      </c>
      <c r="BW836" s="103" t="s">
        <v>129</v>
      </c>
      <c r="BX836" s="103" t="s">
        <v>129</v>
      </c>
      <c r="BY836" s="103" t="s">
        <v>129</v>
      </c>
      <c r="BZ836" s="103" t="s">
        <v>129</v>
      </c>
      <c r="CA836" s="103" t="s">
        <v>129</v>
      </c>
      <c r="CB836" s="103" t="s">
        <v>129</v>
      </c>
      <c r="CC836" s="42"/>
      <c r="CD836" s="109" t="s">
        <v>13</v>
      </c>
      <c r="CE836" s="46" t="s">
        <v>1</v>
      </c>
      <c r="CF836" s="103" t="s">
        <v>129</v>
      </c>
      <c r="CG836" s="103" t="s">
        <v>129</v>
      </c>
      <c r="CH836" s="103" t="s">
        <v>129</v>
      </c>
      <c r="CI836" s="103" t="s">
        <v>129</v>
      </c>
      <c r="CJ836" s="103" t="s">
        <v>129</v>
      </c>
      <c r="CK836" s="103" t="s">
        <v>129</v>
      </c>
      <c r="CL836" s="103" t="s">
        <v>129</v>
      </c>
      <c r="CM836" s="103" t="s">
        <v>129</v>
      </c>
      <c r="CN836" s="103" t="s">
        <v>129</v>
      </c>
      <c r="CO836" s="103" t="s">
        <v>129</v>
      </c>
      <c r="CQ836" s="109" t="s">
        <v>13</v>
      </c>
      <c r="CR836" s="46" t="s">
        <v>1</v>
      </c>
      <c r="CS836" s="103" t="s">
        <v>129</v>
      </c>
      <c r="CT836" s="103" t="s">
        <v>129</v>
      </c>
      <c r="CU836" s="103" t="s">
        <v>129</v>
      </c>
      <c r="CV836" s="103" t="s">
        <v>129</v>
      </c>
      <c r="CW836" s="103" t="s">
        <v>129</v>
      </c>
      <c r="CX836" s="103" t="s">
        <v>129</v>
      </c>
      <c r="CY836" s="103" t="s">
        <v>129</v>
      </c>
      <c r="CZ836" s="103" t="s">
        <v>129</v>
      </c>
      <c r="DA836" s="103" t="s">
        <v>129</v>
      </c>
      <c r="DB836" s="103" t="s">
        <v>129</v>
      </c>
      <c r="DC836" s="42"/>
      <c r="DD836" s="109" t="s">
        <v>13</v>
      </c>
      <c r="DE836" s="46" t="s">
        <v>1</v>
      </c>
      <c r="DF836" s="103" t="s">
        <v>129</v>
      </c>
      <c r="DG836" s="103" t="s">
        <v>129</v>
      </c>
      <c r="DH836" s="103" t="s">
        <v>129</v>
      </c>
      <c r="DI836" s="103" t="s">
        <v>129</v>
      </c>
      <c r="DJ836" s="103" t="s">
        <v>129</v>
      </c>
      <c r="DK836" s="103" t="s">
        <v>129</v>
      </c>
      <c r="DL836" s="103" t="s">
        <v>129</v>
      </c>
      <c r="DM836" s="103" t="s">
        <v>129</v>
      </c>
      <c r="DN836" s="103" t="s">
        <v>129</v>
      </c>
      <c r="DO836" s="103" t="s">
        <v>129</v>
      </c>
    </row>
    <row r="837" spans="2:119" ht="16.5" customHeight="1" x14ac:dyDescent="0.45">
      <c r="B837" s="134"/>
      <c r="C837" s="42"/>
      <c r="D837" s="110"/>
      <c r="E837" s="46">
        <v>1</v>
      </c>
      <c r="F837" s="103">
        <v>0</v>
      </c>
      <c r="G837" s="103">
        <v>2</v>
      </c>
      <c r="H837" s="103">
        <v>0</v>
      </c>
      <c r="I837" s="103">
        <v>4</v>
      </c>
      <c r="J837" s="103">
        <v>0</v>
      </c>
      <c r="K837" s="103">
        <v>1</v>
      </c>
      <c r="L837" s="103">
        <v>0</v>
      </c>
      <c r="M837" s="103">
        <v>0</v>
      </c>
      <c r="N837" s="103">
        <v>0</v>
      </c>
      <c r="O837" s="103">
        <v>0</v>
      </c>
      <c r="P837" s="42"/>
      <c r="Q837" s="110"/>
      <c r="R837" s="46">
        <v>1</v>
      </c>
      <c r="S837" s="103">
        <v>0</v>
      </c>
      <c r="T837" s="103">
        <v>1</v>
      </c>
      <c r="U837" s="103">
        <v>0</v>
      </c>
      <c r="V837" s="103">
        <v>2</v>
      </c>
      <c r="W837" s="103">
        <v>0</v>
      </c>
      <c r="X837" s="103">
        <v>1</v>
      </c>
      <c r="Y837" s="103">
        <v>0</v>
      </c>
      <c r="Z837" s="103">
        <v>0</v>
      </c>
      <c r="AA837" s="103">
        <v>0</v>
      </c>
      <c r="AB837" s="103">
        <v>0</v>
      </c>
      <c r="AC837" s="42"/>
      <c r="AD837" s="110"/>
      <c r="AE837" s="46">
        <v>1</v>
      </c>
      <c r="AF837" s="103">
        <v>0</v>
      </c>
      <c r="AG837" s="103">
        <v>1</v>
      </c>
      <c r="AH837" s="103">
        <v>0</v>
      </c>
      <c r="AI837" s="103">
        <v>2</v>
      </c>
      <c r="AJ837" s="103">
        <v>0</v>
      </c>
      <c r="AK837" s="103">
        <v>0</v>
      </c>
      <c r="AL837" s="103">
        <v>0</v>
      </c>
      <c r="AM837" s="103">
        <v>0</v>
      </c>
      <c r="AN837" s="103">
        <v>0</v>
      </c>
      <c r="AO837" s="103">
        <v>0</v>
      </c>
      <c r="AP837" s="6"/>
      <c r="AQ837" s="110"/>
      <c r="AR837" s="46">
        <v>1</v>
      </c>
      <c r="AS837" s="103">
        <v>0</v>
      </c>
      <c r="AT837" s="103">
        <v>1</v>
      </c>
      <c r="AU837" s="103">
        <v>0</v>
      </c>
      <c r="AV837" s="103">
        <v>2</v>
      </c>
      <c r="AW837" s="103">
        <v>0</v>
      </c>
      <c r="AX837" s="103">
        <v>0</v>
      </c>
      <c r="AY837" s="103">
        <v>0</v>
      </c>
      <c r="AZ837" s="103">
        <v>0</v>
      </c>
      <c r="BA837" s="103">
        <v>0</v>
      </c>
      <c r="BB837" s="103">
        <v>0</v>
      </c>
      <c r="BC837" s="42"/>
      <c r="BD837" s="110"/>
      <c r="BE837" s="46">
        <v>1</v>
      </c>
      <c r="BF837" s="103">
        <v>0</v>
      </c>
      <c r="BG837" s="103">
        <v>1</v>
      </c>
      <c r="BH837" s="103">
        <v>0</v>
      </c>
      <c r="BI837" s="103">
        <v>2</v>
      </c>
      <c r="BJ837" s="103">
        <v>0</v>
      </c>
      <c r="BK837" s="103">
        <v>1</v>
      </c>
      <c r="BL837" s="103">
        <v>0</v>
      </c>
      <c r="BM837" s="103">
        <v>0</v>
      </c>
      <c r="BN837" s="103">
        <v>0</v>
      </c>
      <c r="BO837" s="103">
        <v>0</v>
      </c>
      <c r="BQ837" s="110"/>
      <c r="BR837" s="46">
        <v>1</v>
      </c>
      <c r="BS837" s="103">
        <v>0</v>
      </c>
      <c r="BT837" s="103">
        <v>2</v>
      </c>
      <c r="BU837" s="103">
        <v>0</v>
      </c>
      <c r="BV837" s="103">
        <v>1</v>
      </c>
      <c r="BW837" s="103">
        <v>0</v>
      </c>
      <c r="BX837" s="103">
        <v>0</v>
      </c>
      <c r="BY837" s="103">
        <v>0</v>
      </c>
      <c r="BZ837" s="103">
        <v>0</v>
      </c>
      <c r="CA837" s="103">
        <v>0</v>
      </c>
      <c r="CB837" s="103">
        <v>0</v>
      </c>
      <c r="CC837" s="42"/>
      <c r="CD837" s="110"/>
      <c r="CE837" s="46">
        <v>1</v>
      </c>
      <c r="CF837" s="103">
        <v>0</v>
      </c>
      <c r="CG837" s="103">
        <v>0</v>
      </c>
      <c r="CH837" s="103">
        <v>0</v>
      </c>
      <c r="CI837" s="103">
        <v>3</v>
      </c>
      <c r="CJ837" s="103">
        <v>0</v>
      </c>
      <c r="CK837" s="103">
        <v>1</v>
      </c>
      <c r="CL837" s="103">
        <v>0</v>
      </c>
      <c r="CM837" s="103">
        <v>0</v>
      </c>
      <c r="CN837" s="103">
        <v>0</v>
      </c>
      <c r="CO837" s="103">
        <v>0</v>
      </c>
      <c r="CQ837" s="110"/>
      <c r="CR837" s="46">
        <v>1</v>
      </c>
      <c r="CS837" s="103">
        <v>0</v>
      </c>
      <c r="CT837" s="103">
        <v>0</v>
      </c>
      <c r="CU837" s="103">
        <v>0</v>
      </c>
      <c r="CV837" s="103">
        <v>2</v>
      </c>
      <c r="CW837" s="103">
        <v>0</v>
      </c>
      <c r="CX837" s="103">
        <v>1</v>
      </c>
      <c r="CY837" s="103">
        <v>0</v>
      </c>
      <c r="CZ837" s="103">
        <v>0</v>
      </c>
      <c r="DA837" s="103">
        <v>0</v>
      </c>
      <c r="DB837" s="103">
        <v>0</v>
      </c>
      <c r="DC837" s="42"/>
      <c r="DD837" s="110"/>
      <c r="DE837" s="46">
        <v>1</v>
      </c>
      <c r="DF837" s="103">
        <v>0</v>
      </c>
      <c r="DG837" s="103">
        <v>2</v>
      </c>
      <c r="DH837" s="103">
        <v>0</v>
      </c>
      <c r="DI837" s="103">
        <v>2</v>
      </c>
      <c r="DJ837" s="103">
        <v>0</v>
      </c>
      <c r="DK837" s="103">
        <v>0</v>
      </c>
      <c r="DL837" s="103">
        <v>0</v>
      </c>
      <c r="DM837" s="103">
        <v>0</v>
      </c>
      <c r="DN837" s="103">
        <v>0</v>
      </c>
      <c r="DO837" s="103">
        <v>0</v>
      </c>
    </row>
    <row r="838" spans="2:119" ht="16.5" customHeight="1" x14ac:dyDescent="0.45">
      <c r="B838" s="134"/>
      <c r="C838" s="42"/>
      <c r="D838" s="110"/>
      <c r="E838" s="46" t="s">
        <v>2</v>
      </c>
      <c r="F838" s="103">
        <v>25</v>
      </c>
      <c r="G838" s="103">
        <v>86</v>
      </c>
      <c r="H838" s="103">
        <v>105</v>
      </c>
      <c r="I838" s="103">
        <v>78</v>
      </c>
      <c r="J838" s="103">
        <v>27</v>
      </c>
      <c r="K838" s="103">
        <v>21</v>
      </c>
      <c r="L838" s="103">
        <v>5</v>
      </c>
      <c r="M838" s="103">
        <v>2</v>
      </c>
      <c r="N838" s="103">
        <v>0</v>
      </c>
      <c r="O838" s="103">
        <v>0</v>
      </c>
      <c r="P838" s="42"/>
      <c r="Q838" s="110"/>
      <c r="R838" s="46" t="s">
        <v>2</v>
      </c>
      <c r="S838" s="103">
        <v>5</v>
      </c>
      <c r="T838" s="103">
        <v>40</v>
      </c>
      <c r="U838" s="103">
        <v>58</v>
      </c>
      <c r="V838" s="103">
        <v>39</v>
      </c>
      <c r="W838" s="103">
        <v>9</v>
      </c>
      <c r="X838" s="103">
        <v>10</v>
      </c>
      <c r="Y838" s="103">
        <v>4</v>
      </c>
      <c r="Z838" s="103">
        <v>2</v>
      </c>
      <c r="AA838" s="103">
        <v>0</v>
      </c>
      <c r="AB838" s="103">
        <v>0</v>
      </c>
      <c r="AC838" s="42"/>
      <c r="AD838" s="110"/>
      <c r="AE838" s="46" t="s">
        <v>2</v>
      </c>
      <c r="AF838" s="103">
        <v>20</v>
      </c>
      <c r="AG838" s="103">
        <v>46</v>
      </c>
      <c r="AH838" s="103">
        <v>47</v>
      </c>
      <c r="AI838" s="103">
        <v>39</v>
      </c>
      <c r="AJ838" s="103">
        <v>18</v>
      </c>
      <c r="AK838" s="103">
        <v>11</v>
      </c>
      <c r="AL838" s="103">
        <v>1</v>
      </c>
      <c r="AM838" s="103">
        <v>0</v>
      </c>
      <c r="AN838" s="103">
        <v>0</v>
      </c>
      <c r="AO838" s="103">
        <v>0</v>
      </c>
      <c r="AP838" s="6"/>
      <c r="AQ838" s="110"/>
      <c r="AR838" s="46" t="s">
        <v>2</v>
      </c>
      <c r="AS838" s="103">
        <v>14</v>
      </c>
      <c r="AT838" s="103">
        <v>50</v>
      </c>
      <c r="AU838" s="103">
        <v>54</v>
      </c>
      <c r="AV838" s="103">
        <v>43</v>
      </c>
      <c r="AW838" s="103">
        <v>13</v>
      </c>
      <c r="AX838" s="103">
        <v>9</v>
      </c>
      <c r="AY838" s="103">
        <v>3</v>
      </c>
      <c r="AZ838" s="103">
        <v>1</v>
      </c>
      <c r="BA838" s="103">
        <v>0</v>
      </c>
      <c r="BB838" s="103">
        <v>0</v>
      </c>
      <c r="BC838" s="42"/>
      <c r="BD838" s="110"/>
      <c r="BE838" s="46" t="s">
        <v>2</v>
      </c>
      <c r="BF838" s="103">
        <v>11</v>
      </c>
      <c r="BG838" s="103">
        <v>36</v>
      </c>
      <c r="BH838" s="103">
        <v>51</v>
      </c>
      <c r="BI838" s="103">
        <v>35</v>
      </c>
      <c r="BJ838" s="103">
        <v>14</v>
      </c>
      <c r="BK838" s="103">
        <v>12</v>
      </c>
      <c r="BL838" s="103">
        <v>2</v>
      </c>
      <c r="BM838" s="103">
        <v>1</v>
      </c>
      <c r="BN838" s="103">
        <v>0</v>
      </c>
      <c r="BO838" s="103">
        <v>0</v>
      </c>
      <c r="BQ838" s="110"/>
      <c r="BR838" s="46" t="s">
        <v>2</v>
      </c>
      <c r="BS838" s="103">
        <v>15</v>
      </c>
      <c r="BT838" s="103">
        <v>58</v>
      </c>
      <c r="BU838" s="103">
        <v>74</v>
      </c>
      <c r="BV838" s="103">
        <v>39</v>
      </c>
      <c r="BW838" s="103">
        <v>12</v>
      </c>
      <c r="BX838" s="103">
        <v>10</v>
      </c>
      <c r="BY838" s="103">
        <v>2</v>
      </c>
      <c r="BZ838" s="103">
        <v>0</v>
      </c>
      <c r="CA838" s="103">
        <v>0</v>
      </c>
      <c r="CB838" s="103">
        <v>0</v>
      </c>
      <c r="CC838" s="42"/>
      <c r="CD838" s="110"/>
      <c r="CE838" s="46" t="s">
        <v>2</v>
      </c>
      <c r="CF838" s="103">
        <v>10</v>
      </c>
      <c r="CG838" s="103">
        <v>28</v>
      </c>
      <c r="CH838" s="103">
        <v>31</v>
      </c>
      <c r="CI838" s="103">
        <v>39</v>
      </c>
      <c r="CJ838" s="103">
        <v>15</v>
      </c>
      <c r="CK838" s="103">
        <v>11</v>
      </c>
      <c r="CL838" s="103">
        <v>3</v>
      </c>
      <c r="CM838" s="103">
        <v>2</v>
      </c>
      <c r="CN838" s="103">
        <v>0</v>
      </c>
      <c r="CO838" s="103">
        <v>0</v>
      </c>
      <c r="CQ838" s="110"/>
      <c r="CR838" s="46" t="s">
        <v>2</v>
      </c>
      <c r="CS838" s="103">
        <v>7</v>
      </c>
      <c r="CT838" s="103">
        <v>30</v>
      </c>
      <c r="CU838" s="103">
        <v>29</v>
      </c>
      <c r="CV838" s="103">
        <v>40</v>
      </c>
      <c r="CW838" s="103">
        <v>14</v>
      </c>
      <c r="CX838" s="103">
        <v>16</v>
      </c>
      <c r="CY838" s="103">
        <v>3</v>
      </c>
      <c r="CZ838" s="103">
        <v>2</v>
      </c>
      <c r="DA838" s="103">
        <v>0</v>
      </c>
      <c r="DB838" s="103">
        <v>0</v>
      </c>
      <c r="DC838" s="42"/>
      <c r="DD838" s="110"/>
      <c r="DE838" s="46" t="s">
        <v>2</v>
      </c>
      <c r="DF838" s="103">
        <v>18</v>
      </c>
      <c r="DG838" s="103">
        <v>56</v>
      </c>
      <c r="DH838" s="103">
        <v>76</v>
      </c>
      <c r="DI838" s="103">
        <v>38</v>
      </c>
      <c r="DJ838" s="103">
        <v>13</v>
      </c>
      <c r="DK838" s="103">
        <v>5</v>
      </c>
      <c r="DL838" s="103">
        <v>2</v>
      </c>
      <c r="DM838" s="103">
        <v>0</v>
      </c>
      <c r="DN838" s="103">
        <v>0</v>
      </c>
      <c r="DO838" s="103">
        <v>0</v>
      </c>
    </row>
    <row r="839" spans="2:119" ht="16.5" customHeight="1" x14ac:dyDescent="0.45">
      <c r="B839" s="134"/>
      <c r="C839" s="42"/>
      <c r="D839" s="110"/>
      <c r="E839" s="46" t="s">
        <v>3</v>
      </c>
      <c r="F839" s="103">
        <v>26</v>
      </c>
      <c r="G839" s="103">
        <v>53</v>
      </c>
      <c r="H839" s="103">
        <v>57</v>
      </c>
      <c r="I839" s="103">
        <v>54</v>
      </c>
      <c r="J839" s="103">
        <v>29</v>
      </c>
      <c r="K839" s="103">
        <v>12</v>
      </c>
      <c r="L839" s="103">
        <v>6</v>
      </c>
      <c r="M839" s="103">
        <v>4</v>
      </c>
      <c r="N839" s="103">
        <v>0</v>
      </c>
      <c r="O839" s="103">
        <v>0</v>
      </c>
      <c r="P839" s="42"/>
      <c r="Q839" s="110"/>
      <c r="R839" s="46" t="s">
        <v>3</v>
      </c>
      <c r="S839" s="103">
        <v>8</v>
      </c>
      <c r="T839" s="103">
        <v>20</v>
      </c>
      <c r="U839" s="103">
        <v>32</v>
      </c>
      <c r="V839" s="103">
        <v>33</v>
      </c>
      <c r="W839" s="103">
        <v>14</v>
      </c>
      <c r="X839" s="103">
        <v>8</v>
      </c>
      <c r="Y839" s="103">
        <v>4</v>
      </c>
      <c r="Z839" s="103">
        <v>2</v>
      </c>
      <c r="AA839" s="103">
        <v>0</v>
      </c>
      <c r="AB839" s="103">
        <v>0</v>
      </c>
      <c r="AC839" s="42"/>
      <c r="AD839" s="110"/>
      <c r="AE839" s="46" t="s">
        <v>3</v>
      </c>
      <c r="AF839" s="103">
        <v>18</v>
      </c>
      <c r="AG839" s="103">
        <v>33</v>
      </c>
      <c r="AH839" s="103">
        <v>25</v>
      </c>
      <c r="AI839" s="103">
        <v>21</v>
      </c>
      <c r="AJ839" s="103">
        <v>15</v>
      </c>
      <c r="AK839" s="103">
        <v>4</v>
      </c>
      <c r="AL839" s="103">
        <v>2</v>
      </c>
      <c r="AM839" s="103">
        <v>2</v>
      </c>
      <c r="AN839" s="103">
        <v>0</v>
      </c>
      <c r="AO839" s="103">
        <v>0</v>
      </c>
      <c r="AP839" s="6"/>
      <c r="AQ839" s="110"/>
      <c r="AR839" s="46" t="s">
        <v>3</v>
      </c>
      <c r="AS839" s="103">
        <v>14</v>
      </c>
      <c r="AT839" s="103">
        <v>28</v>
      </c>
      <c r="AU839" s="103">
        <v>24</v>
      </c>
      <c r="AV839" s="103">
        <v>19</v>
      </c>
      <c r="AW839" s="103">
        <v>13</v>
      </c>
      <c r="AX839" s="103">
        <v>3</v>
      </c>
      <c r="AY839" s="103">
        <v>1</v>
      </c>
      <c r="AZ839" s="103">
        <v>0</v>
      </c>
      <c r="BA839" s="103">
        <v>0</v>
      </c>
      <c r="BB839" s="103">
        <v>0</v>
      </c>
      <c r="BC839" s="42"/>
      <c r="BD839" s="110"/>
      <c r="BE839" s="46" t="s">
        <v>3</v>
      </c>
      <c r="BF839" s="103">
        <v>12</v>
      </c>
      <c r="BG839" s="103">
        <v>25</v>
      </c>
      <c r="BH839" s="103">
        <v>33</v>
      </c>
      <c r="BI839" s="103">
        <v>35</v>
      </c>
      <c r="BJ839" s="103">
        <v>16</v>
      </c>
      <c r="BK839" s="103">
        <v>9</v>
      </c>
      <c r="BL839" s="103">
        <v>5</v>
      </c>
      <c r="BM839" s="103">
        <v>4</v>
      </c>
      <c r="BN839" s="103">
        <v>0</v>
      </c>
      <c r="BO839" s="103">
        <v>0</v>
      </c>
      <c r="BQ839" s="110"/>
      <c r="BR839" s="46" t="s">
        <v>3</v>
      </c>
      <c r="BS839" s="103">
        <v>14</v>
      </c>
      <c r="BT839" s="103">
        <v>34</v>
      </c>
      <c r="BU839" s="103">
        <v>32</v>
      </c>
      <c r="BV839" s="103">
        <v>24</v>
      </c>
      <c r="BW839" s="103">
        <v>15</v>
      </c>
      <c r="BX839" s="103">
        <v>5</v>
      </c>
      <c r="BY839" s="103">
        <v>4</v>
      </c>
      <c r="BZ839" s="103">
        <v>2</v>
      </c>
      <c r="CA839" s="103">
        <v>0</v>
      </c>
      <c r="CB839" s="103">
        <v>0</v>
      </c>
      <c r="CC839" s="42"/>
      <c r="CD839" s="110"/>
      <c r="CE839" s="46" t="s">
        <v>3</v>
      </c>
      <c r="CF839" s="103">
        <v>12</v>
      </c>
      <c r="CG839" s="103">
        <v>19</v>
      </c>
      <c r="CH839" s="103">
        <v>25</v>
      </c>
      <c r="CI839" s="103">
        <v>30</v>
      </c>
      <c r="CJ839" s="103">
        <v>14</v>
      </c>
      <c r="CK839" s="103">
        <v>7</v>
      </c>
      <c r="CL839" s="103">
        <v>2</v>
      </c>
      <c r="CM839" s="103">
        <v>2</v>
      </c>
      <c r="CN839" s="103">
        <v>0</v>
      </c>
      <c r="CO839" s="103">
        <v>0</v>
      </c>
      <c r="CQ839" s="110"/>
      <c r="CR839" s="46" t="s">
        <v>3</v>
      </c>
      <c r="CS839" s="103">
        <v>3</v>
      </c>
      <c r="CT839" s="103">
        <v>14</v>
      </c>
      <c r="CU839" s="103">
        <v>19</v>
      </c>
      <c r="CV839" s="103">
        <v>17</v>
      </c>
      <c r="CW839" s="103">
        <v>15</v>
      </c>
      <c r="CX839" s="103">
        <v>6</v>
      </c>
      <c r="CY839" s="103">
        <v>3</v>
      </c>
      <c r="CZ839" s="103">
        <v>2</v>
      </c>
      <c r="DA839" s="103">
        <v>0</v>
      </c>
      <c r="DB839" s="103">
        <v>0</v>
      </c>
      <c r="DC839" s="42"/>
      <c r="DD839" s="110"/>
      <c r="DE839" s="46" t="s">
        <v>3</v>
      </c>
      <c r="DF839" s="103">
        <v>23</v>
      </c>
      <c r="DG839" s="103">
        <v>39</v>
      </c>
      <c r="DH839" s="103">
        <v>38</v>
      </c>
      <c r="DI839" s="103">
        <v>37</v>
      </c>
      <c r="DJ839" s="103">
        <v>14</v>
      </c>
      <c r="DK839" s="103">
        <v>6</v>
      </c>
      <c r="DL839" s="103">
        <v>3</v>
      </c>
      <c r="DM839" s="103">
        <v>2</v>
      </c>
      <c r="DN839" s="103">
        <v>0</v>
      </c>
      <c r="DO839" s="103">
        <v>0</v>
      </c>
    </row>
    <row r="840" spans="2:119" ht="16.5" customHeight="1" x14ac:dyDescent="0.45">
      <c r="B840" s="134"/>
      <c r="C840" s="42"/>
      <c r="D840" s="110"/>
      <c r="E840" s="46" t="s">
        <v>4</v>
      </c>
      <c r="F840" s="103">
        <v>31</v>
      </c>
      <c r="G840" s="103">
        <v>81</v>
      </c>
      <c r="H840" s="103">
        <v>104</v>
      </c>
      <c r="I840" s="103">
        <v>92</v>
      </c>
      <c r="J840" s="103">
        <v>44</v>
      </c>
      <c r="K840" s="103">
        <v>29</v>
      </c>
      <c r="L840" s="103">
        <v>10</v>
      </c>
      <c r="M840" s="103">
        <v>4</v>
      </c>
      <c r="N840" s="103">
        <v>0</v>
      </c>
      <c r="O840" s="103">
        <v>0</v>
      </c>
      <c r="P840" s="42"/>
      <c r="Q840" s="110"/>
      <c r="R840" s="46" t="s">
        <v>4</v>
      </c>
      <c r="S840" s="103">
        <v>11</v>
      </c>
      <c r="T840" s="103">
        <v>34</v>
      </c>
      <c r="U840" s="103">
        <v>53</v>
      </c>
      <c r="V840" s="103">
        <v>56</v>
      </c>
      <c r="W840" s="103">
        <v>27</v>
      </c>
      <c r="X840" s="103">
        <v>17</v>
      </c>
      <c r="Y840" s="103">
        <v>6</v>
      </c>
      <c r="Z840" s="103">
        <v>2</v>
      </c>
      <c r="AA840" s="103">
        <v>0</v>
      </c>
      <c r="AB840" s="103">
        <v>0</v>
      </c>
      <c r="AC840" s="42"/>
      <c r="AD840" s="110"/>
      <c r="AE840" s="46" t="s">
        <v>4</v>
      </c>
      <c r="AF840" s="103">
        <v>20</v>
      </c>
      <c r="AG840" s="103">
        <v>47</v>
      </c>
      <c r="AH840" s="103">
        <v>51</v>
      </c>
      <c r="AI840" s="103">
        <v>36</v>
      </c>
      <c r="AJ840" s="103">
        <v>17</v>
      </c>
      <c r="AK840" s="103">
        <v>12</v>
      </c>
      <c r="AL840" s="103">
        <v>4</v>
      </c>
      <c r="AM840" s="103">
        <v>2</v>
      </c>
      <c r="AN840" s="103">
        <v>0</v>
      </c>
      <c r="AO840" s="103">
        <v>0</v>
      </c>
      <c r="AP840" s="6"/>
      <c r="AQ840" s="110"/>
      <c r="AR840" s="46" t="s">
        <v>4</v>
      </c>
      <c r="AS840" s="103">
        <v>17</v>
      </c>
      <c r="AT840" s="103">
        <v>41</v>
      </c>
      <c r="AU840" s="103">
        <v>54</v>
      </c>
      <c r="AV840" s="103">
        <v>37</v>
      </c>
      <c r="AW840" s="103">
        <v>15</v>
      </c>
      <c r="AX840" s="103">
        <v>11</v>
      </c>
      <c r="AY840" s="103">
        <v>0</v>
      </c>
      <c r="AZ840" s="103">
        <v>3</v>
      </c>
      <c r="BA840" s="103">
        <v>0</v>
      </c>
      <c r="BB840" s="103">
        <v>0</v>
      </c>
      <c r="BC840" s="42"/>
      <c r="BD840" s="110"/>
      <c r="BE840" s="46" t="s">
        <v>4</v>
      </c>
      <c r="BF840" s="103">
        <v>14</v>
      </c>
      <c r="BG840" s="103">
        <v>40</v>
      </c>
      <c r="BH840" s="103">
        <v>50</v>
      </c>
      <c r="BI840" s="103">
        <v>55</v>
      </c>
      <c r="BJ840" s="103">
        <v>29</v>
      </c>
      <c r="BK840" s="103">
        <v>18</v>
      </c>
      <c r="BL840" s="103">
        <v>10</v>
      </c>
      <c r="BM840" s="103">
        <v>1</v>
      </c>
      <c r="BN840" s="103">
        <v>0</v>
      </c>
      <c r="BO840" s="103">
        <v>0</v>
      </c>
      <c r="BQ840" s="110"/>
      <c r="BR840" s="46" t="s">
        <v>4</v>
      </c>
      <c r="BS840" s="103">
        <v>11</v>
      </c>
      <c r="BT840" s="103">
        <v>39</v>
      </c>
      <c r="BU840" s="103">
        <v>52</v>
      </c>
      <c r="BV840" s="103">
        <v>32</v>
      </c>
      <c r="BW840" s="103">
        <v>14</v>
      </c>
      <c r="BX840" s="103">
        <v>8</v>
      </c>
      <c r="BY840" s="103">
        <v>3</v>
      </c>
      <c r="BZ840" s="103">
        <v>1</v>
      </c>
      <c r="CA840" s="103">
        <v>0</v>
      </c>
      <c r="CB840" s="103">
        <v>0</v>
      </c>
      <c r="CC840" s="42"/>
      <c r="CD840" s="110"/>
      <c r="CE840" s="46" t="s">
        <v>4</v>
      </c>
      <c r="CF840" s="103">
        <v>20</v>
      </c>
      <c r="CG840" s="103">
        <v>42</v>
      </c>
      <c r="CH840" s="103">
        <v>52</v>
      </c>
      <c r="CI840" s="103">
        <v>60</v>
      </c>
      <c r="CJ840" s="103">
        <v>30</v>
      </c>
      <c r="CK840" s="103">
        <v>21</v>
      </c>
      <c r="CL840" s="103">
        <v>7</v>
      </c>
      <c r="CM840" s="103">
        <v>3</v>
      </c>
      <c r="CN840" s="103">
        <v>0</v>
      </c>
      <c r="CO840" s="103">
        <v>0</v>
      </c>
      <c r="CQ840" s="110"/>
      <c r="CR840" s="46" t="s">
        <v>4</v>
      </c>
      <c r="CS840" s="103">
        <v>5</v>
      </c>
      <c r="CT840" s="103">
        <v>15</v>
      </c>
      <c r="CU840" s="103">
        <v>27</v>
      </c>
      <c r="CV840" s="103">
        <v>24</v>
      </c>
      <c r="CW840" s="103">
        <v>17</v>
      </c>
      <c r="CX840" s="103">
        <v>13</v>
      </c>
      <c r="CY840" s="103">
        <v>4</v>
      </c>
      <c r="CZ840" s="103">
        <v>3</v>
      </c>
      <c r="DA840" s="103">
        <v>0</v>
      </c>
      <c r="DB840" s="103">
        <v>0</v>
      </c>
      <c r="DC840" s="42"/>
      <c r="DD840" s="110"/>
      <c r="DE840" s="46" t="s">
        <v>4</v>
      </c>
      <c r="DF840" s="103">
        <v>26</v>
      </c>
      <c r="DG840" s="103">
        <v>66</v>
      </c>
      <c r="DH840" s="103">
        <v>77</v>
      </c>
      <c r="DI840" s="103">
        <v>68</v>
      </c>
      <c r="DJ840" s="103">
        <v>27</v>
      </c>
      <c r="DK840" s="103">
        <v>16</v>
      </c>
      <c r="DL840" s="103">
        <v>6</v>
      </c>
      <c r="DM840" s="103">
        <v>1</v>
      </c>
      <c r="DN840" s="103">
        <v>0</v>
      </c>
      <c r="DO840" s="103">
        <v>0</v>
      </c>
    </row>
    <row r="841" spans="2:119" ht="16.5" customHeight="1" x14ac:dyDescent="0.45">
      <c r="B841" s="134"/>
      <c r="C841" s="42"/>
      <c r="D841" s="110"/>
      <c r="E841" s="46" t="s">
        <v>5</v>
      </c>
      <c r="F841" s="103">
        <v>34</v>
      </c>
      <c r="G841" s="103">
        <v>108</v>
      </c>
      <c r="H841" s="103">
        <v>163</v>
      </c>
      <c r="I841" s="103">
        <v>214</v>
      </c>
      <c r="J841" s="103">
        <v>114</v>
      </c>
      <c r="K841" s="103">
        <v>74</v>
      </c>
      <c r="L841" s="103">
        <v>34</v>
      </c>
      <c r="M841" s="103">
        <v>8</v>
      </c>
      <c r="N841" s="103">
        <v>2</v>
      </c>
      <c r="O841" s="103">
        <v>0</v>
      </c>
      <c r="P841" s="42"/>
      <c r="Q841" s="110"/>
      <c r="R841" s="46" t="s">
        <v>5</v>
      </c>
      <c r="S841" s="103">
        <v>8</v>
      </c>
      <c r="T841" s="103">
        <v>50</v>
      </c>
      <c r="U841" s="103">
        <v>76</v>
      </c>
      <c r="V841" s="103">
        <v>123</v>
      </c>
      <c r="W841" s="103">
        <v>71</v>
      </c>
      <c r="X841" s="103">
        <v>43</v>
      </c>
      <c r="Y841" s="103">
        <v>22</v>
      </c>
      <c r="Z841" s="103">
        <v>5</v>
      </c>
      <c r="AA841" s="103">
        <v>1</v>
      </c>
      <c r="AB841" s="103">
        <v>0</v>
      </c>
      <c r="AC841" s="42"/>
      <c r="AD841" s="110"/>
      <c r="AE841" s="46" t="s">
        <v>5</v>
      </c>
      <c r="AF841" s="103">
        <v>26</v>
      </c>
      <c r="AG841" s="103">
        <v>58</v>
      </c>
      <c r="AH841" s="103">
        <v>87</v>
      </c>
      <c r="AI841" s="103">
        <v>91</v>
      </c>
      <c r="AJ841" s="103">
        <v>43</v>
      </c>
      <c r="AK841" s="103">
        <v>31</v>
      </c>
      <c r="AL841" s="103">
        <v>12</v>
      </c>
      <c r="AM841" s="103">
        <v>3</v>
      </c>
      <c r="AN841" s="103">
        <v>1</v>
      </c>
      <c r="AO841" s="103">
        <v>0</v>
      </c>
      <c r="AP841" s="6"/>
      <c r="AQ841" s="110"/>
      <c r="AR841" s="46" t="s">
        <v>5</v>
      </c>
      <c r="AS841" s="103">
        <v>19</v>
      </c>
      <c r="AT841" s="103">
        <v>57</v>
      </c>
      <c r="AU841" s="103">
        <v>89</v>
      </c>
      <c r="AV841" s="103">
        <v>102</v>
      </c>
      <c r="AW841" s="103">
        <v>43</v>
      </c>
      <c r="AX841" s="103">
        <v>21</v>
      </c>
      <c r="AY841" s="103">
        <v>11</v>
      </c>
      <c r="AZ841" s="103">
        <v>2</v>
      </c>
      <c r="BA841" s="103">
        <v>0</v>
      </c>
      <c r="BB841" s="103">
        <v>0</v>
      </c>
      <c r="BC841" s="42"/>
      <c r="BD841" s="110"/>
      <c r="BE841" s="46" t="s">
        <v>5</v>
      </c>
      <c r="BF841" s="103">
        <v>15</v>
      </c>
      <c r="BG841" s="103">
        <v>51</v>
      </c>
      <c r="BH841" s="103">
        <v>74</v>
      </c>
      <c r="BI841" s="103">
        <v>112</v>
      </c>
      <c r="BJ841" s="103">
        <v>71</v>
      </c>
      <c r="BK841" s="103">
        <v>53</v>
      </c>
      <c r="BL841" s="103">
        <v>23</v>
      </c>
      <c r="BM841" s="103">
        <v>6</v>
      </c>
      <c r="BN841" s="103">
        <v>2</v>
      </c>
      <c r="BO841" s="103">
        <v>0</v>
      </c>
      <c r="BQ841" s="110"/>
      <c r="BR841" s="46" t="s">
        <v>5</v>
      </c>
      <c r="BS841" s="103">
        <v>10</v>
      </c>
      <c r="BT841" s="103">
        <v>35</v>
      </c>
      <c r="BU841" s="103">
        <v>60</v>
      </c>
      <c r="BV841" s="103">
        <v>62</v>
      </c>
      <c r="BW841" s="103">
        <v>29</v>
      </c>
      <c r="BX841" s="103">
        <v>16</v>
      </c>
      <c r="BY841" s="103">
        <v>9</v>
      </c>
      <c r="BZ841" s="103">
        <v>0</v>
      </c>
      <c r="CA841" s="103">
        <v>1</v>
      </c>
      <c r="CB841" s="103">
        <v>0</v>
      </c>
      <c r="CC841" s="42"/>
      <c r="CD841" s="110"/>
      <c r="CE841" s="46" t="s">
        <v>5</v>
      </c>
      <c r="CF841" s="103">
        <v>24</v>
      </c>
      <c r="CG841" s="103">
        <v>73</v>
      </c>
      <c r="CH841" s="103">
        <v>103</v>
      </c>
      <c r="CI841" s="103">
        <v>152</v>
      </c>
      <c r="CJ841" s="103">
        <v>85</v>
      </c>
      <c r="CK841" s="103">
        <v>58</v>
      </c>
      <c r="CL841" s="103">
        <v>25</v>
      </c>
      <c r="CM841" s="103">
        <v>8</v>
      </c>
      <c r="CN841" s="103">
        <v>1</v>
      </c>
      <c r="CO841" s="103">
        <v>0</v>
      </c>
      <c r="CQ841" s="110"/>
      <c r="CR841" s="46" t="s">
        <v>5</v>
      </c>
      <c r="CS841" s="103">
        <v>5</v>
      </c>
      <c r="CT841" s="103">
        <v>16</v>
      </c>
      <c r="CU841" s="103">
        <v>31</v>
      </c>
      <c r="CV841" s="103">
        <v>42</v>
      </c>
      <c r="CW841" s="103">
        <v>35</v>
      </c>
      <c r="CX841" s="103">
        <v>26</v>
      </c>
      <c r="CY841" s="103">
        <v>16</v>
      </c>
      <c r="CZ841" s="103">
        <v>5</v>
      </c>
      <c r="DA841" s="103">
        <v>1</v>
      </c>
      <c r="DB841" s="103">
        <v>0</v>
      </c>
      <c r="DC841" s="42"/>
      <c r="DD841" s="110"/>
      <c r="DE841" s="46" t="s">
        <v>5</v>
      </c>
      <c r="DF841" s="103">
        <v>29</v>
      </c>
      <c r="DG841" s="103">
        <v>92</v>
      </c>
      <c r="DH841" s="103">
        <v>132</v>
      </c>
      <c r="DI841" s="103">
        <v>172</v>
      </c>
      <c r="DJ841" s="103">
        <v>79</v>
      </c>
      <c r="DK841" s="103">
        <v>48</v>
      </c>
      <c r="DL841" s="103">
        <v>18</v>
      </c>
      <c r="DM841" s="103">
        <v>3</v>
      </c>
      <c r="DN841" s="103">
        <v>1</v>
      </c>
      <c r="DO841" s="103">
        <v>0</v>
      </c>
    </row>
    <row r="842" spans="2:119" ht="16.5" customHeight="1" x14ac:dyDescent="0.45">
      <c r="B842" s="134"/>
      <c r="C842" s="42"/>
      <c r="D842" s="110"/>
      <c r="E842" s="46" t="s">
        <v>6</v>
      </c>
      <c r="F842" s="103">
        <v>56</v>
      </c>
      <c r="G842" s="103">
        <v>161</v>
      </c>
      <c r="H842" s="103">
        <v>270</v>
      </c>
      <c r="I842" s="103">
        <v>390</v>
      </c>
      <c r="J842" s="103">
        <v>285</v>
      </c>
      <c r="K842" s="103">
        <v>241</v>
      </c>
      <c r="L842" s="103">
        <v>100</v>
      </c>
      <c r="M842" s="103">
        <v>18</v>
      </c>
      <c r="N842" s="103">
        <v>10</v>
      </c>
      <c r="O842" s="103">
        <v>2</v>
      </c>
      <c r="P842" s="42"/>
      <c r="Q842" s="110"/>
      <c r="R842" s="46" t="s">
        <v>6</v>
      </c>
      <c r="S842" s="103">
        <v>19</v>
      </c>
      <c r="T842" s="103">
        <v>65</v>
      </c>
      <c r="U842" s="103">
        <v>148</v>
      </c>
      <c r="V842" s="103">
        <v>229</v>
      </c>
      <c r="W842" s="103">
        <v>173</v>
      </c>
      <c r="X842" s="103">
        <v>158</v>
      </c>
      <c r="Y842" s="103">
        <v>68</v>
      </c>
      <c r="Z842" s="103">
        <v>13</v>
      </c>
      <c r="AA842" s="103">
        <v>7</v>
      </c>
      <c r="AB842" s="103">
        <v>1</v>
      </c>
      <c r="AC842" s="42"/>
      <c r="AD842" s="110"/>
      <c r="AE842" s="46" t="s">
        <v>6</v>
      </c>
      <c r="AF842" s="103">
        <v>37</v>
      </c>
      <c r="AG842" s="103">
        <v>96</v>
      </c>
      <c r="AH842" s="103">
        <v>122</v>
      </c>
      <c r="AI842" s="103">
        <v>161</v>
      </c>
      <c r="AJ842" s="103">
        <v>112</v>
      </c>
      <c r="AK842" s="103">
        <v>83</v>
      </c>
      <c r="AL842" s="103">
        <v>32</v>
      </c>
      <c r="AM842" s="103">
        <v>5</v>
      </c>
      <c r="AN842" s="103">
        <v>3</v>
      </c>
      <c r="AO842" s="103">
        <v>1</v>
      </c>
      <c r="AP842" s="6"/>
      <c r="AQ842" s="110"/>
      <c r="AR842" s="46" t="s">
        <v>6</v>
      </c>
      <c r="AS842" s="103">
        <v>26</v>
      </c>
      <c r="AT842" s="103">
        <v>87</v>
      </c>
      <c r="AU842" s="103">
        <v>117</v>
      </c>
      <c r="AV842" s="103">
        <v>153</v>
      </c>
      <c r="AW842" s="103">
        <v>90</v>
      </c>
      <c r="AX842" s="103">
        <v>83</v>
      </c>
      <c r="AY842" s="103">
        <v>36</v>
      </c>
      <c r="AZ842" s="103">
        <v>3</v>
      </c>
      <c r="BA842" s="103">
        <v>3</v>
      </c>
      <c r="BB842" s="103">
        <v>0</v>
      </c>
      <c r="BC842" s="42"/>
      <c r="BD842" s="110"/>
      <c r="BE842" s="46" t="s">
        <v>6</v>
      </c>
      <c r="BF842" s="103">
        <v>30</v>
      </c>
      <c r="BG842" s="103">
        <v>74</v>
      </c>
      <c r="BH842" s="103">
        <v>153</v>
      </c>
      <c r="BI842" s="103">
        <v>237</v>
      </c>
      <c r="BJ842" s="103">
        <v>195</v>
      </c>
      <c r="BK842" s="103">
        <v>158</v>
      </c>
      <c r="BL842" s="103">
        <v>64</v>
      </c>
      <c r="BM842" s="103">
        <v>15</v>
      </c>
      <c r="BN842" s="103">
        <v>7</v>
      </c>
      <c r="BO842" s="103">
        <v>2</v>
      </c>
      <c r="BQ842" s="110"/>
      <c r="BR842" s="46" t="s">
        <v>6</v>
      </c>
      <c r="BS842" s="103">
        <v>17</v>
      </c>
      <c r="BT842" s="103">
        <v>40</v>
      </c>
      <c r="BU842" s="103">
        <v>45</v>
      </c>
      <c r="BV842" s="103">
        <v>70</v>
      </c>
      <c r="BW842" s="103">
        <v>38</v>
      </c>
      <c r="BX842" s="103">
        <v>35</v>
      </c>
      <c r="BY842" s="103">
        <v>13</v>
      </c>
      <c r="BZ842" s="103">
        <v>3</v>
      </c>
      <c r="CA842" s="103">
        <v>1</v>
      </c>
      <c r="CB842" s="103">
        <v>1</v>
      </c>
      <c r="CC842" s="42"/>
      <c r="CD842" s="110"/>
      <c r="CE842" s="46" t="s">
        <v>6</v>
      </c>
      <c r="CF842" s="103">
        <v>39</v>
      </c>
      <c r="CG842" s="103">
        <v>121</v>
      </c>
      <c r="CH842" s="103">
        <v>225</v>
      </c>
      <c r="CI842" s="103">
        <v>320</v>
      </c>
      <c r="CJ842" s="103">
        <v>247</v>
      </c>
      <c r="CK842" s="103">
        <v>206</v>
      </c>
      <c r="CL842" s="103">
        <v>87</v>
      </c>
      <c r="CM842" s="103">
        <v>15</v>
      </c>
      <c r="CN842" s="103">
        <v>9</v>
      </c>
      <c r="CO842" s="103">
        <v>1</v>
      </c>
      <c r="CQ842" s="110"/>
      <c r="CR842" s="46" t="s">
        <v>6</v>
      </c>
      <c r="CS842" s="103">
        <v>8</v>
      </c>
      <c r="CT842" s="103">
        <v>23</v>
      </c>
      <c r="CU842" s="103">
        <v>40</v>
      </c>
      <c r="CV842" s="103">
        <v>85</v>
      </c>
      <c r="CW842" s="103">
        <v>87</v>
      </c>
      <c r="CX842" s="103">
        <v>80</v>
      </c>
      <c r="CY842" s="103">
        <v>41</v>
      </c>
      <c r="CZ842" s="103">
        <v>7</v>
      </c>
      <c r="DA842" s="103">
        <v>4</v>
      </c>
      <c r="DB842" s="103">
        <v>1</v>
      </c>
      <c r="DC842" s="42"/>
      <c r="DD842" s="110"/>
      <c r="DE842" s="46" t="s">
        <v>6</v>
      </c>
      <c r="DF842" s="103">
        <v>48</v>
      </c>
      <c r="DG842" s="103">
        <v>138</v>
      </c>
      <c r="DH842" s="103">
        <v>230</v>
      </c>
      <c r="DI842" s="103">
        <v>305</v>
      </c>
      <c r="DJ842" s="103">
        <v>198</v>
      </c>
      <c r="DK842" s="103">
        <v>161</v>
      </c>
      <c r="DL842" s="103">
        <v>59</v>
      </c>
      <c r="DM842" s="103">
        <v>11</v>
      </c>
      <c r="DN842" s="103">
        <v>6</v>
      </c>
      <c r="DO842" s="103">
        <v>1</v>
      </c>
    </row>
    <row r="843" spans="2:119" ht="16.5" customHeight="1" x14ac:dyDescent="0.45">
      <c r="B843" s="134"/>
      <c r="C843" s="42"/>
      <c r="D843" s="110"/>
      <c r="E843" s="46" t="s">
        <v>7</v>
      </c>
      <c r="F843" s="103">
        <v>74</v>
      </c>
      <c r="G843" s="103">
        <v>196</v>
      </c>
      <c r="H843" s="103">
        <v>378</v>
      </c>
      <c r="I843" s="103">
        <v>598</v>
      </c>
      <c r="J843" s="103">
        <v>576</v>
      </c>
      <c r="K843" s="103">
        <v>491</v>
      </c>
      <c r="L843" s="103">
        <v>273</v>
      </c>
      <c r="M843" s="103">
        <v>101</v>
      </c>
      <c r="N843" s="103">
        <v>30</v>
      </c>
      <c r="O843" s="103">
        <v>7</v>
      </c>
      <c r="P843" s="42"/>
      <c r="Q843" s="110"/>
      <c r="R843" s="46" t="s">
        <v>7</v>
      </c>
      <c r="S843" s="103">
        <v>22</v>
      </c>
      <c r="T843" s="103">
        <v>75</v>
      </c>
      <c r="U843" s="103">
        <v>172</v>
      </c>
      <c r="V843" s="103">
        <v>330</v>
      </c>
      <c r="W843" s="103">
        <v>323</v>
      </c>
      <c r="X843" s="103">
        <v>322</v>
      </c>
      <c r="Y843" s="103">
        <v>191</v>
      </c>
      <c r="Z843" s="103">
        <v>74</v>
      </c>
      <c r="AA843" s="103">
        <v>23</v>
      </c>
      <c r="AB843" s="103">
        <v>3</v>
      </c>
      <c r="AC843" s="42"/>
      <c r="AD843" s="110"/>
      <c r="AE843" s="46" t="s">
        <v>7</v>
      </c>
      <c r="AF843" s="103">
        <v>52</v>
      </c>
      <c r="AG843" s="103">
        <v>121</v>
      </c>
      <c r="AH843" s="103">
        <v>206</v>
      </c>
      <c r="AI843" s="103">
        <v>268</v>
      </c>
      <c r="AJ843" s="103">
        <v>253</v>
      </c>
      <c r="AK843" s="103">
        <v>169</v>
      </c>
      <c r="AL843" s="103">
        <v>82</v>
      </c>
      <c r="AM843" s="103">
        <v>27</v>
      </c>
      <c r="AN843" s="103">
        <v>7</v>
      </c>
      <c r="AO843" s="103">
        <v>4</v>
      </c>
      <c r="AP843" s="6"/>
      <c r="AQ843" s="110"/>
      <c r="AR843" s="46" t="s">
        <v>7</v>
      </c>
      <c r="AS843" s="103">
        <v>35</v>
      </c>
      <c r="AT843" s="103">
        <v>93</v>
      </c>
      <c r="AU843" s="103">
        <v>157</v>
      </c>
      <c r="AV843" s="103">
        <v>216</v>
      </c>
      <c r="AW843" s="103">
        <v>215</v>
      </c>
      <c r="AX843" s="103">
        <v>166</v>
      </c>
      <c r="AY843" s="103">
        <v>92</v>
      </c>
      <c r="AZ843" s="103">
        <v>32</v>
      </c>
      <c r="BA843" s="103">
        <v>8</v>
      </c>
      <c r="BB843" s="103">
        <v>1</v>
      </c>
      <c r="BC843" s="42"/>
      <c r="BD843" s="110"/>
      <c r="BE843" s="46" t="s">
        <v>7</v>
      </c>
      <c r="BF843" s="103">
        <v>39</v>
      </c>
      <c r="BG843" s="103">
        <v>103</v>
      </c>
      <c r="BH843" s="103">
        <v>221</v>
      </c>
      <c r="BI843" s="103">
        <v>382</v>
      </c>
      <c r="BJ843" s="103">
        <v>361</v>
      </c>
      <c r="BK843" s="103">
        <v>325</v>
      </c>
      <c r="BL843" s="103">
        <v>181</v>
      </c>
      <c r="BM843" s="103">
        <v>69</v>
      </c>
      <c r="BN843" s="103">
        <v>22</v>
      </c>
      <c r="BO843" s="103">
        <v>6</v>
      </c>
      <c r="BQ843" s="110"/>
      <c r="BR843" s="46" t="s">
        <v>7</v>
      </c>
      <c r="BS843" s="103">
        <v>15</v>
      </c>
      <c r="BT843" s="103">
        <v>33</v>
      </c>
      <c r="BU843" s="103">
        <v>56</v>
      </c>
      <c r="BV843" s="103">
        <v>89</v>
      </c>
      <c r="BW843" s="103">
        <v>49</v>
      </c>
      <c r="BX843" s="103">
        <v>45</v>
      </c>
      <c r="BY843" s="103">
        <v>21</v>
      </c>
      <c r="BZ843" s="103">
        <v>11</v>
      </c>
      <c r="CA843" s="103">
        <v>5</v>
      </c>
      <c r="CB843" s="103">
        <v>1</v>
      </c>
      <c r="CC843" s="42"/>
      <c r="CD843" s="110"/>
      <c r="CE843" s="46" t="s">
        <v>7</v>
      </c>
      <c r="CF843" s="103">
        <v>59</v>
      </c>
      <c r="CG843" s="103">
        <v>163</v>
      </c>
      <c r="CH843" s="103">
        <v>322</v>
      </c>
      <c r="CI843" s="103">
        <v>509</v>
      </c>
      <c r="CJ843" s="103">
        <v>527</v>
      </c>
      <c r="CK843" s="103">
        <v>446</v>
      </c>
      <c r="CL843" s="103">
        <v>252</v>
      </c>
      <c r="CM843" s="103">
        <v>90</v>
      </c>
      <c r="CN843" s="103">
        <v>25</v>
      </c>
      <c r="CO843" s="103">
        <v>6</v>
      </c>
      <c r="CQ843" s="110"/>
      <c r="CR843" s="46" t="s">
        <v>7</v>
      </c>
      <c r="CS843" s="103">
        <v>4</v>
      </c>
      <c r="CT843" s="103">
        <v>18</v>
      </c>
      <c r="CU843" s="103">
        <v>41</v>
      </c>
      <c r="CV843" s="103">
        <v>120</v>
      </c>
      <c r="CW843" s="103">
        <v>141</v>
      </c>
      <c r="CX843" s="103">
        <v>141</v>
      </c>
      <c r="CY843" s="103">
        <v>86</v>
      </c>
      <c r="CZ843" s="103">
        <v>40</v>
      </c>
      <c r="DA843" s="103">
        <v>11</v>
      </c>
      <c r="DB843" s="103">
        <v>3</v>
      </c>
      <c r="DC843" s="42"/>
      <c r="DD843" s="110"/>
      <c r="DE843" s="46" t="s">
        <v>7</v>
      </c>
      <c r="DF843" s="103">
        <v>70</v>
      </c>
      <c r="DG843" s="103">
        <v>178</v>
      </c>
      <c r="DH843" s="103">
        <v>337</v>
      </c>
      <c r="DI843" s="103">
        <v>478</v>
      </c>
      <c r="DJ843" s="103">
        <v>435</v>
      </c>
      <c r="DK843" s="103">
        <v>350</v>
      </c>
      <c r="DL843" s="103">
        <v>187</v>
      </c>
      <c r="DM843" s="103">
        <v>61</v>
      </c>
      <c r="DN843" s="103">
        <v>19</v>
      </c>
      <c r="DO843" s="103">
        <v>4</v>
      </c>
    </row>
    <row r="844" spans="2:119" ht="16.5" customHeight="1" x14ac:dyDescent="0.45">
      <c r="B844" s="134"/>
      <c r="C844" s="42"/>
      <c r="D844" s="110"/>
      <c r="E844" s="46" t="s">
        <v>8</v>
      </c>
      <c r="F844" s="103">
        <v>56</v>
      </c>
      <c r="G844" s="103">
        <v>147</v>
      </c>
      <c r="H844" s="103">
        <v>302</v>
      </c>
      <c r="I844" s="103">
        <v>561</v>
      </c>
      <c r="J844" s="103">
        <v>695</v>
      </c>
      <c r="K844" s="103">
        <v>743</v>
      </c>
      <c r="L844" s="103">
        <v>588</v>
      </c>
      <c r="M844" s="103">
        <v>268</v>
      </c>
      <c r="N844" s="103">
        <v>110</v>
      </c>
      <c r="O844" s="103">
        <v>33</v>
      </c>
      <c r="P844" s="42"/>
      <c r="Q844" s="110"/>
      <c r="R844" s="46" t="s">
        <v>8</v>
      </c>
      <c r="S844" s="103">
        <v>7</v>
      </c>
      <c r="T844" s="103">
        <v>44</v>
      </c>
      <c r="U844" s="103">
        <v>113</v>
      </c>
      <c r="V844" s="103">
        <v>262</v>
      </c>
      <c r="W844" s="103">
        <v>377</v>
      </c>
      <c r="X844" s="103">
        <v>449</v>
      </c>
      <c r="Y844" s="103">
        <v>382</v>
      </c>
      <c r="Z844" s="103">
        <v>182</v>
      </c>
      <c r="AA844" s="103">
        <v>89</v>
      </c>
      <c r="AB844" s="103">
        <v>23</v>
      </c>
      <c r="AC844" s="42"/>
      <c r="AD844" s="110"/>
      <c r="AE844" s="46" t="s">
        <v>8</v>
      </c>
      <c r="AF844" s="103">
        <v>49</v>
      </c>
      <c r="AG844" s="103">
        <v>103</v>
      </c>
      <c r="AH844" s="103">
        <v>189</v>
      </c>
      <c r="AI844" s="103">
        <v>299</v>
      </c>
      <c r="AJ844" s="103">
        <v>318</v>
      </c>
      <c r="AK844" s="103">
        <v>294</v>
      </c>
      <c r="AL844" s="103">
        <v>206</v>
      </c>
      <c r="AM844" s="103">
        <v>86</v>
      </c>
      <c r="AN844" s="103">
        <v>21</v>
      </c>
      <c r="AO844" s="103">
        <v>10</v>
      </c>
      <c r="AP844" s="6"/>
      <c r="AQ844" s="110"/>
      <c r="AR844" s="46" t="s">
        <v>8</v>
      </c>
      <c r="AS844" s="103">
        <v>25</v>
      </c>
      <c r="AT844" s="103">
        <v>66</v>
      </c>
      <c r="AU844" s="103">
        <v>103</v>
      </c>
      <c r="AV844" s="103">
        <v>184</v>
      </c>
      <c r="AW844" s="103">
        <v>195</v>
      </c>
      <c r="AX844" s="103">
        <v>209</v>
      </c>
      <c r="AY844" s="103">
        <v>159</v>
      </c>
      <c r="AZ844" s="103">
        <v>79</v>
      </c>
      <c r="BA844" s="103">
        <v>35</v>
      </c>
      <c r="BB844" s="103">
        <v>8</v>
      </c>
      <c r="BC844" s="42"/>
      <c r="BD844" s="110"/>
      <c r="BE844" s="46" t="s">
        <v>8</v>
      </c>
      <c r="BF844" s="103">
        <v>31</v>
      </c>
      <c r="BG844" s="103">
        <v>81</v>
      </c>
      <c r="BH844" s="103">
        <v>199</v>
      </c>
      <c r="BI844" s="103">
        <v>377</v>
      </c>
      <c r="BJ844" s="103">
        <v>500</v>
      </c>
      <c r="BK844" s="103">
        <v>534</v>
      </c>
      <c r="BL844" s="103">
        <v>429</v>
      </c>
      <c r="BM844" s="103">
        <v>189</v>
      </c>
      <c r="BN844" s="103">
        <v>75</v>
      </c>
      <c r="BO844" s="103">
        <v>25</v>
      </c>
      <c r="BQ844" s="110"/>
      <c r="BR844" s="46" t="s">
        <v>8</v>
      </c>
      <c r="BS844" s="103">
        <v>14</v>
      </c>
      <c r="BT844" s="103">
        <v>23</v>
      </c>
      <c r="BU844" s="103">
        <v>34</v>
      </c>
      <c r="BV844" s="103">
        <v>50</v>
      </c>
      <c r="BW844" s="103">
        <v>53</v>
      </c>
      <c r="BX844" s="103">
        <v>45</v>
      </c>
      <c r="BY844" s="103">
        <v>29</v>
      </c>
      <c r="BZ844" s="103">
        <v>14</v>
      </c>
      <c r="CA844" s="103">
        <v>5</v>
      </c>
      <c r="CB844" s="103">
        <v>5</v>
      </c>
      <c r="CC844" s="42"/>
      <c r="CD844" s="110"/>
      <c r="CE844" s="46" t="s">
        <v>8</v>
      </c>
      <c r="CF844" s="103">
        <v>42</v>
      </c>
      <c r="CG844" s="103">
        <v>124</v>
      </c>
      <c r="CH844" s="103">
        <v>268</v>
      </c>
      <c r="CI844" s="103">
        <v>511</v>
      </c>
      <c r="CJ844" s="103">
        <v>642</v>
      </c>
      <c r="CK844" s="103">
        <v>698</v>
      </c>
      <c r="CL844" s="103">
        <v>559</v>
      </c>
      <c r="CM844" s="103">
        <v>254</v>
      </c>
      <c r="CN844" s="103">
        <v>105</v>
      </c>
      <c r="CO844" s="103">
        <v>28</v>
      </c>
      <c r="CQ844" s="110"/>
      <c r="CR844" s="46" t="s">
        <v>8</v>
      </c>
      <c r="CS844" s="103">
        <v>6</v>
      </c>
      <c r="CT844" s="103">
        <v>14</v>
      </c>
      <c r="CU844" s="103">
        <v>29</v>
      </c>
      <c r="CV844" s="103">
        <v>100</v>
      </c>
      <c r="CW844" s="103">
        <v>141</v>
      </c>
      <c r="CX844" s="103">
        <v>187</v>
      </c>
      <c r="CY844" s="103">
        <v>145</v>
      </c>
      <c r="CZ844" s="103">
        <v>92</v>
      </c>
      <c r="DA844" s="103">
        <v>42</v>
      </c>
      <c r="DB844" s="103">
        <v>12</v>
      </c>
      <c r="DC844" s="42"/>
      <c r="DD844" s="110"/>
      <c r="DE844" s="46" t="s">
        <v>8</v>
      </c>
      <c r="DF844" s="103">
        <v>50</v>
      </c>
      <c r="DG844" s="103">
        <v>133</v>
      </c>
      <c r="DH844" s="103">
        <v>273</v>
      </c>
      <c r="DI844" s="103">
        <v>461</v>
      </c>
      <c r="DJ844" s="103">
        <v>554</v>
      </c>
      <c r="DK844" s="103">
        <v>556</v>
      </c>
      <c r="DL844" s="103">
        <v>443</v>
      </c>
      <c r="DM844" s="103">
        <v>176</v>
      </c>
      <c r="DN844" s="103">
        <v>68</v>
      </c>
      <c r="DO844" s="103">
        <v>21</v>
      </c>
    </row>
    <row r="845" spans="2:119" ht="16.5" customHeight="1" x14ac:dyDescent="0.45">
      <c r="B845" s="134"/>
      <c r="C845" s="42"/>
      <c r="D845" s="110"/>
      <c r="E845" s="46" t="s">
        <v>9</v>
      </c>
      <c r="F845" s="103">
        <v>27</v>
      </c>
      <c r="G845" s="103">
        <v>88</v>
      </c>
      <c r="H845" s="103">
        <v>157</v>
      </c>
      <c r="I845" s="103">
        <v>368</v>
      </c>
      <c r="J845" s="103">
        <v>534</v>
      </c>
      <c r="K845" s="103">
        <v>738</v>
      </c>
      <c r="L845" s="103">
        <v>709</v>
      </c>
      <c r="M845" s="103">
        <v>461</v>
      </c>
      <c r="N845" s="103">
        <v>263</v>
      </c>
      <c r="O845" s="103">
        <v>92</v>
      </c>
      <c r="P845" s="42"/>
      <c r="Q845" s="110"/>
      <c r="R845" s="46" t="s">
        <v>9</v>
      </c>
      <c r="S845" s="103">
        <v>9</v>
      </c>
      <c r="T845" s="103">
        <v>29</v>
      </c>
      <c r="U845" s="103">
        <v>54</v>
      </c>
      <c r="V845" s="103">
        <v>165</v>
      </c>
      <c r="W845" s="103">
        <v>249</v>
      </c>
      <c r="X845" s="103">
        <v>374</v>
      </c>
      <c r="Y845" s="103">
        <v>410</v>
      </c>
      <c r="Z845" s="103">
        <v>289</v>
      </c>
      <c r="AA845" s="103">
        <v>192</v>
      </c>
      <c r="AB845" s="103">
        <v>77</v>
      </c>
      <c r="AC845" s="42"/>
      <c r="AD845" s="110"/>
      <c r="AE845" s="46" t="s">
        <v>9</v>
      </c>
      <c r="AF845" s="103">
        <v>18</v>
      </c>
      <c r="AG845" s="103">
        <v>59</v>
      </c>
      <c r="AH845" s="103">
        <v>103</v>
      </c>
      <c r="AI845" s="103">
        <v>203</v>
      </c>
      <c r="AJ845" s="103">
        <v>285</v>
      </c>
      <c r="AK845" s="103">
        <v>364</v>
      </c>
      <c r="AL845" s="103">
        <v>299</v>
      </c>
      <c r="AM845" s="103">
        <v>172</v>
      </c>
      <c r="AN845" s="103">
        <v>71</v>
      </c>
      <c r="AO845" s="103">
        <v>15</v>
      </c>
      <c r="AP845" s="6"/>
      <c r="AQ845" s="110"/>
      <c r="AR845" s="46" t="s">
        <v>9</v>
      </c>
      <c r="AS845" s="103">
        <v>14</v>
      </c>
      <c r="AT845" s="103">
        <v>41</v>
      </c>
      <c r="AU845" s="103">
        <v>56</v>
      </c>
      <c r="AV845" s="103">
        <v>113</v>
      </c>
      <c r="AW845" s="103">
        <v>128</v>
      </c>
      <c r="AX845" s="103">
        <v>167</v>
      </c>
      <c r="AY845" s="103">
        <v>164</v>
      </c>
      <c r="AZ845" s="103">
        <v>96</v>
      </c>
      <c r="BA845" s="103">
        <v>52</v>
      </c>
      <c r="BB845" s="103">
        <v>25</v>
      </c>
      <c r="BC845" s="42"/>
      <c r="BD845" s="110"/>
      <c r="BE845" s="46" t="s">
        <v>9</v>
      </c>
      <c r="BF845" s="103">
        <v>13</v>
      </c>
      <c r="BG845" s="103">
        <v>47</v>
      </c>
      <c r="BH845" s="103">
        <v>101</v>
      </c>
      <c r="BI845" s="103">
        <v>255</v>
      </c>
      <c r="BJ845" s="103">
        <v>406</v>
      </c>
      <c r="BK845" s="103">
        <v>571</v>
      </c>
      <c r="BL845" s="103">
        <v>545</v>
      </c>
      <c r="BM845" s="103">
        <v>365</v>
      </c>
      <c r="BN845" s="103">
        <v>211</v>
      </c>
      <c r="BO845" s="103">
        <v>67</v>
      </c>
      <c r="BQ845" s="110"/>
      <c r="BR845" s="46" t="s">
        <v>9</v>
      </c>
      <c r="BS845" s="103">
        <v>4</v>
      </c>
      <c r="BT845" s="103">
        <v>13</v>
      </c>
      <c r="BU845" s="103">
        <v>13</v>
      </c>
      <c r="BV845" s="103">
        <v>34</v>
      </c>
      <c r="BW845" s="103">
        <v>35</v>
      </c>
      <c r="BX845" s="103">
        <v>32</v>
      </c>
      <c r="BY845" s="103">
        <v>41</v>
      </c>
      <c r="BZ845" s="103">
        <v>18</v>
      </c>
      <c r="CA845" s="103">
        <v>11</v>
      </c>
      <c r="CB845" s="103">
        <v>5</v>
      </c>
      <c r="CC845" s="42"/>
      <c r="CD845" s="110"/>
      <c r="CE845" s="46" t="s">
        <v>9</v>
      </c>
      <c r="CF845" s="103">
        <v>23</v>
      </c>
      <c r="CG845" s="103">
        <v>75</v>
      </c>
      <c r="CH845" s="103">
        <v>144</v>
      </c>
      <c r="CI845" s="103">
        <v>334</v>
      </c>
      <c r="CJ845" s="103">
        <v>499</v>
      </c>
      <c r="CK845" s="103">
        <v>706</v>
      </c>
      <c r="CL845" s="103">
        <v>668</v>
      </c>
      <c r="CM845" s="103">
        <v>443</v>
      </c>
      <c r="CN845" s="103">
        <v>252</v>
      </c>
      <c r="CO845" s="103">
        <v>87</v>
      </c>
      <c r="CQ845" s="110"/>
      <c r="CR845" s="46" t="s">
        <v>9</v>
      </c>
      <c r="CS845" s="103">
        <v>3</v>
      </c>
      <c r="CT845" s="103">
        <v>5</v>
      </c>
      <c r="CU845" s="103">
        <v>18</v>
      </c>
      <c r="CV845" s="103">
        <v>50</v>
      </c>
      <c r="CW845" s="103">
        <v>88</v>
      </c>
      <c r="CX845" s="103">
        <v>123</v>
      </c>
      <c r="CY845" s="103">
        <v>190</v>
      </c>
      <c r="CZ845" s="103">
        <v>139</v>
      </c>
      <c r="DA845" s="103">
        <v>79</v>
      </c>
      <c r="DB845" s="103">
        <v>38</v>
      </c>
      <c r="DC845" s="42"/>
      <c r="DD845" s="110"/>
      <c r="DE845" s="46" t="s">
        <v>9</v>
      </c>
      <c r="DF845" s="103">
        <v>24</v>
      </c>
      <c r="DG845" s="103">
        <v>83</v>
      </c>
      <c r="DH845" s="103">
        <v>139</v>
      </c>
      <c r="DI845" s="103">
        <v>318</v>
      </c>
      <c r="DJ845" s="103">
        <v>446</v>
      </c>
      <c r="DK845" s="103">
        <v>615</v>
      </c>
      <c r="DL845" s="103">
        <v>519</v>
      </c>
      <c r="DM845" s="103">
        <v>322</v>
      </c>
      <c r="DN845" s="103">
        <v>184</v>
      </c>
      <c r="DO845" s="103">
        <v>54</v>
      </c>
    </row>
    <row r="846" spans="2:119" ht="16.5" customHeight="1" x14ac:dyDescent="0.45">
      <c r="B846" s="134"/>
      <c r="C846" s="42"/>
      <c r="D846" s="110"/>
      <c r="E846" s="46" t="s">
        <v>10</v>
      </c>
      <c r="F846" s="103">
        <v>2</v>
      </c>
      <c r="G846" s="103">
        <v>18</v>
      </c>
      <c r="H846" s="103">
        <v>42</v>
      </c>
      <c r="I846" s="103">
        <v>121</v>
      </c>
      <c r="J846" s="103">
        <v>213</v>
      </c>
      <c r="K846" s="103">
        <v>457</v>
      </c>
      <c r="L846" s="103">
        <v>627</v>
      </c>
      <c r="M846" s="103">
        <v>487</v>
      </c>
      <c r="N846" s="103">
        <v>313</v>
      </c>
      <c r="O846" s="103">
        <v>181</v>
      </c>
      <c r="P846" s="42"/>
      <c r="Q846" s="110"/>
      <c r="R846" s="46" t="s">
        <v>10</v>
      </c>
      <c r="S846" s="103">
        <v>1</v>
      </c>
      <c r="T846" s="103">
        <v>1</v>
      </c>
      <c r="U846" s="103">
        <v>11</v>
      </c>
      <c r="V846" s="103">
        <v>38</v>
      </c>
      <c r="W846" s="103">
        <v>82</v>
      </c>
      <c r="X846" s="103">
        <v>197</v>
      </c>
      <c r="Y846" s="103">
        <v>331</v>
      </c>
      <c r="Z846" s="103">
        <v>279</v>
      </c>
      <c r="AA846" s="103">
        <v>195</v>
      </c>
      <c r="AB846" s="103">
        <v>124</v>
      </c>
      <c r="AC846" s="42"/>
      <c r="AD846" s="110"/>
      <c r="AE846" s="46" t="s">
        <v>10</v>
      </c>
      <c r="AF846" s="103">
        <v>1</v>
      </c>
      <c r="AG846" s="103">
        <v>17</v>
      </c>
      <c r="AH846" s="103">
        <v>31</v>
      </c>
      <c r="AI846" s="103">
        <v>83</v>
      </c>
      <c r="AJ846" s="103">
        <v>131</v>
      </c>
      <c r="AK846" s="103">
        <v>260</v>
      </c>
      <c r="AL846" s="103">
        <v>296</v>
      </c>
      <c r="AM846" s="103">
        <v>208</v>
      </c>
      <c r="AN846" s="103">
        <v>118</v>
      </c>
      <c r="AO846" s="103">
        <v>57</v>
      </c>
      <c r="AP846" s="6"/>
      <c r="AQ846" s="110"/>
      <c r="AR846" s="46" t="s">
        <v>10</v>
      </c>
      <c r="AS846" s="103">
        <v>0</v>
      </c>
      <c r="AT846" s="103">
        <v>5</v>
      </c>
      <c r="AU846" s="103">
        <v>16</v>
      </c>
      <c r="AV846" s="103">
        <v>35</v>
      </c>
      <c r="AW846" s="103">
        <v>48</v>
      </c>
      <c r="AX846" s="103">
        <v>100</v>
      </c>
      <c r="AY846" s="103">
        <v>112</v>
      </c>
      <c r="AZ846" s="103">
        <v>85</v>
      </c>
      <c r="BA846" s="103">
        <v>47</v>
      </c>
      <c r="BB846" s="103">
        <v>26</v>
      </c>
      <c r="BC846" s="42"/>
      <c r="BD846" s="110"/>
      <c r="BE846" s="46" t="s">
        <v>10</v>
      </c>
      <c r="BF846" s="103">
        <v>2</v>
      </c>
      <c r="BG846" s="103">
        <v>13</v>
      </c>
      <c r="BH846" s="103">
        <v>26</v>
      </c>
      <c r="BI846" s="103">
        <v>86</v>
      </c>
      <c r="BJ846" s="103">
        <v>165</v>
      </c>
      <c r="BK846" s="103">
        <v>357</v>
      </c>
      <c r="BL846" s="103">
        <v>515</v>
      </c>
      <c r="BM846" s="103">
        <v>402</v>
      </c>
      <c r="BN846" s="103">
        <v>266</v>
      </c>
      <c r="BO846" s="103">
        <v>155</v>
      </c>
      <c r="BQ846" s="110"/>
      <c r="BR846" s="46" t="s">
        <v>10</v>
      </c>
      <c r="BS846" s="103">
        <v>0</v>
      </c>
      <c r="BT846" s="103">
        <v>3</v>
      </c>
      <c r="BU846" s="103">
        <v>5</v>
      </c>
      <c r="BV846" s="103">
        <v>12</v>
      </c>
      <c r="BW846" s="103">
        <v>12</v>
      </c>
      <c r="BX846" s="103">
        <v>25</v>
      </c>
      <c r="BY846" s="103">
        <v>26</v>
      </c>
      <c r="BZ846" s="103">
        <v>17</v>
      </c>
      <c r="CA846" s="103">
        <v>13</v>
      </c>
      <c r="CB846" s="103">
        <v>11</v>
      </c>
      <c r="CC846" s="42"/>
      <c r="CD846" s="110"/>
      <c r="CE846" s="46" t="s">
        <v>10</v>
      </c>
      <c r="CF846" s="103">
        <v>2</v>
      </c>
      <c r="CG846" s="103">
        <v>15</v>
      </c>
      <c r="CH846" s="103">
        <v>37</v>
      </c>
      <c r="CI846" s="103">
        <v>109</v>
      </c>
      <c r="CJ846" s="103">
        <v>201</v>
      </c>
      <c r="CK846" s="103">
        <v>432</v>
      </c>
      <c r="CL846" s="103">
        <v>601</v>
      </c>
      <c r="CM846" s="103">
        <v>470</v>
      </c>
      <c r="CN846" s="103">
        <v>300</v>
      </c>
      <c r="CO846" s="103">
        <v>170</v>
      </c>
      <c r="CQ846" s="110"/>
      <c r="CR846" s="46" t="s">
        <v>10</v>
      </c>
      <c r="CS846" s="103">
        <v>0</v>
      </c>
      <c r="CT846" s="103">
        <v>0</v>
      </c>
      <c r="CU846" s="103">
        <v>7</v>
      </c>
      <c r="CV846" s="103">
        <v>18</v>
      </c>
      <c r="CW846" s="103">
        <v>37</v>
      </c>
      <c r="CX846" s="103">
        <v>77</v>
      </c>
      <c r="CY846" s="103">
        <v>121</v>
      </c>
      <c r="CZ846" s="103">
        <v>114</v>
      </c>
      <c r="DA846" s="103">
        <v>67</v>
      </c>
      <c r="DB846" s="103">
        <v>55</v>
      </c>
      <c r="DC846" s="42"/>
      <c r="DD846" s="110"/>
      <c r="DE846" s="46" t="s">
        <v>10</v>
      </c>
      <c r="DF846" s="103">
        <v>2</v>
      </c>
      <c r="DG846" s="103">
        <v>18</v>
      </c>
      <c r="DH846" s="103">
        <v>35</v>
      </c>
      <c r="DI846" s="103">
        <v>103</v>
      </c>
      <c r="DJ846" s="103">
        <v>176</v>
      </c>
      <c r="DK846" s="103">
        <v>380</v>
      </c>
      <c r="DL846" s="103">
        <v>506</v>
      </c>
      <c r="DM846" s="103">
        <v>373</v>
      </c>
      <c r="DN846" s="103">
        <v>246</v>
      </c>
      <c r="DO846" s="103">
        <v>126</v>
      </c>
    </row>
    <row r="847" spans="2:119" ht="16.5" customHeight="1" x14ac:dyDescent="0.45">
      <c r="B847" s="134"/>
      <c r="C847" s="42"/>
      <c r="D847" s="111"/>
      <c r="E847" s="46" t="s">
        <v>11</v>
      </c>
      <c r="F847" s="103">
        <v>0</v>
      </c>
      <c r="G847" s="103">
        <v>1</v>
      </c>
      <c r="H847" s="103">
        <v>2</v>
      </c>
      <c r="I847" s="103">
        <v>5</v>
      </c>
      <c r="J847" s="103">
        <v>19</v>
      </c>
      <c r="K847" s="103">
        <v>38</v>
      </c>
      <c r="L847" s="103">
        <v>86</v>
      </c>
      <c r="M847" s="103">
        <v>116</v>
      </c>
      <c r="N847" s="103">
        <v>111</v>
      </c>
      <c r="O847" s="103">
        <v>89</v>
      </c>
      <c r="P847" s="42"/>
      <c r="Q847" s="111"/>
      <c r="R847" s="46" t="s">
        <v>11</v>
      </c>
      <c r="S847" s="103">
        <v>0</v>
      </c>
      <c r="T847" s="103">
        <v>0</v>
      </c>
      <c r="U847" s="103">
        <v>1</v>
      </c>
      <c r="V847" s="103">
        <v>1</v>
      </c>
      <c r="W847" s="103">
        <v>9</v>
      </c>
      <c r="X847" s="103">
        <v>17</v>
      </c>
      <c r="Y847" s="103">
        <v>31</v>
      </c>
      <c r="Z847" s="103">
        <v>65</v>
      </c>
      <c r="AA847" s="103">
        <v>70</v>
      </c>
      <c r="AB847" s="103">
        <v>46</v>
      </c>
      <c r="AC847" s="42"/>
      <c r="AD847" s="111"/>
      <c r="AE847" s="46" t="s">
        <v>11</v>
      </c>
      <c r="AF847" s="103">
        <v>0</v>
      </c>
      <c r="AG847" s="103">
        <v>1</v>
      </c>
      <c r="AH847" s="103">
        <v>1</v>
      </c>
      <c r="AI847" s="103">
        <v>4</v>
      </c>
      <c r="AJ847" s="103">
        <v>10</v>
      </c>
      <c r="AK847" s="103">
        <v>21</v>
      </c>
      <c r="AL847" s="103">
        <v>55</v>
      </c>
      <c r="AM847" s="103">
        <v>51</v>
      </c>
      <c r="AN847" s="103">
        <v>41</v>
      </c>
      <c r="AO847" s="103">
        <v>43</v>
      </c>
      <c r="AP847" s="6"/>
      <c r="AQ847" s="111"/>
      <c r="AR847" s="46" t="s">
        <v>11</v>
      </c>
      <c r="AS847" s="103">
        <v>0</v>
      </c>
      <c r="AT847" s="103">
        <v>1</v>
      </c>
      <c r="AU847" s="103">
        <v>0</v>
      </c>
      <c r="AV847" s="103">
        <v>0</v>
      </c>
      <c r="AW847" s="103">
        <v>6</v>
      </c>
      <c r="AX847" s="103">
        <v>6</v>
      </c>
      <c r="AY847" s="103">
        <v>4</v>
      </c>
      <c r="AZ847" s="103">
        <v>13</v>
      </c>
      <c r="BA847" s="103">
        <v>15</v>
      </c>
      <c r="BB847" s="103">
        <v>8</v>
      </c>
      <c r="BC847" s="42"/>
      <c r="BD847" s="111"/>
      <c r="BE847" s="46" t="s">
        <v>11</v>
      </c>
      <c r="BF847" s="103">
        <v>0</v>
      </c>
      <c r="BG847" s="103">
        <v>0</v>
      </c>
      <c r="BH847" s="103">
        <v>2</v>
      </c>
      <c r="BI847" s="103">
        <v>5</v>
      </c>
      <c r="BJ847" s="103">
        <v>13</v>
      </c>
      <c r="BK847" s="103">
        <v>32</v>
      </c>
      <c r="BL847" s="103">
        <v>82</v>
      </c>
      <c r="BM847" s="103">
        <v>103</v>
      </c>
      <c r="BN847" s="103">
        <v>96</v>
      </c>
      <c r="BO847" s="103">
        <v>81</v>
      </c>
      <c r="BQ847" s="111"/>
      <c r="BR847" s="46" t="s">
        <v>11</v>
      </c>
      <c r="BS847" s="103">
        <v>0</v>
      </c>
      <c r="BT847" s="103">
        <v>0</v>
      </c>
      <c r="BU847" s="103">
        <v>0</v>
      </c>
      <c r="BV847" s="103">
        <v>0</v>
      </c>
      <c r="BW847" s="103">
        <v>1</v>
      </c>
      <c r="BX847" s="103">
        <v>2</v>
      </c>
      <c r="BY847" s="103">
        <v>6</v>
      </c>
      <c r="BZ847" s="103">
        <v>3</v>
      </c>
      <c r="CA847" s="103">
        <v>2</v>
      </c>
      <c r="CB847" s="103">
        <v>7</v>
      </c>
      <c r="CC847" s="42"/>
      <c r="CD847" s="111"/>
      <c r="CE847" s="46" t="s">
        <v>11</v>
      </c>
      <c r="CF847" s="103">
        <v>0</v>
      </c>
      <c r="CG847" s="103">
        <v>1</v>
      </c>
      <c r="CH847" s="103">
        <v>2</v>
      </c>
      <c r="CI847" s="103">
        <v>5</v>
      </c>
      <c r="CJ847" s="103">
        <v>18</v>
      </c>
      <c r="CK847" s="103">
        <v>36</v>
      </c>
      <c r="CL847" s="103">
        <v>80</v>
      </c>
      <c r="CM847" s="103">
        <v>113</v>
      </c>
      <c r="CN847" s="103">
        <v>109</v>
      </c>
      <c r="CO847" s="103">
        <v>82</v>
      </c>
      <c r="CQ847" s="111"/>
      <c r="CR847" s="46" t="s">
        <v>11</v>
      </c>
      <c r="CS847" s="103">
        <v>0</v>
      </c>
      <c r="CT847" s="103">
        <v>0</v>
      </c>
      <c r="CU847" s="103">
        <v>0</v>
      </c>
      <c r="CV847" s="103">
        <v>0</v>
      </c>
      <c r="CW847" s="103">
        <v>1</v>
      </c>
      <c r="CX847" s="103">
        <v>6</v>
      </c>
      <c r="CY847" s="103">
        <v>9</v>
      </c>
      <c r="CZ847" s="103">
        <v>19</v>
      </c>
      <c r="DA847" s="103">
        <v>16</v>
      </c>
      <c r="DB847" s="103">
        <v>15</v>
      </c>
      <c r="DC847" s="42"/>
      <c r="DD847" s="111"/>
      <c r="DE847" s="46" t="s">
        <v>11</v>
      </c>
      <c r="DF847" s="103">
        <v>0</v>
      </c>
      <c r="DG847" s="103">
        <v>1</v>
      </c>
      <c r="DH847" s="103">
        <v>2</v>
      </c>
      <c r="DI847" s="103">
        <v>5</v>
      </c>
      <c r="DJ847" s="103">
        <v>18</v>
      </c>
      <c r="DK847" s="103">
        <v>32</v>
      </c>
      <c r="DL847" s="103">
        <v>77</v>
      </c>
      <c r="DM847" s="103">
        <v>97</v>
      </c>
      <c r="DN847" s="103">
        <v>95</v>
      </c>
      <c r="DO847" s="103">
        <v>74</v>
      </c>
    </row>
    <row r="848" spans="2:119" ht="16.5" customHeight="1" x14ac:dyDescent="0.45">
      <c r="B848" s="99"/>
      <c r="C848" s="42"/>
      <c r="D848" s="42"/>
      <c r="E848" s="42"/>
      <c r="F848" s="42"/>
      <c r="G848" s="42"/>
      <c r="H848" s="42"/>
      <c r="I848" s="42"/>
      <c r="J848" s="42"/>
      <c r="K848" s="42"/>
      <c r="L848" s="42"/>
      <c r="M848" s="42"/>
      <c r="N848" s="42"/>
      <c r="O848" s="42"/>
      <c r="P848" s="42"/>
      <c r="Q848" s="42"/>
      <c r="R848" s="42"/>
      <c r="S848" s="42"/>
      <c r="T848" s="42"/>
      <c r="U848" s="42"/>
      <c r="V848" s="42"/>
      <c r="W848" s="42"/>
      <c r="X848" s="42"/>
      <c r="Y848" s="42"/>
      <c r="Z848" s="42"/>
      <c r="AA848" s="42"/>
      <c r="AB848" s="42"/>
      <c r="AC848" s="42"/>
      <c r="AD848" s="42"/>
      <c r="AE848" s="42"/>
      <c r="AF848" s="42"/>
      <c r="AG848" s="42"/>
      <c r="AH848" s="42"/>
      <c r="AI848" s="42"/>
      <c r="AJ848" s="42"/>
      <c r="AK848" s="42"/>
      <c r="AL848" s="42"/>
      <c r="AM848" s="42"/>
      <c r="AN848" s="42"/>
      <c r="AO848" s="42"/>
      <c r="AP848" s="6"/>
      <c r="AQ848" s="42"/>
      <c r="AR848" s="42"/>
      <c r="AS848" s="42"/>
      <c r="AT848" s="42"/>
      <c r="AU848" s="42"/>
      <c r="AV848" s="42"/>
      <c r="AW848" s="42"/>
      <c r="AX848" s="42"/>
      <c r="AY848" s="42"/>
      <c r="AZ848" s="42"/>
      <c r="BA848" s="42"/>
      <c r="BB848" s="42"/>
      <c r="BC848" s="42"/>
      <c r="BD848" s="42"/>
      <c r="BE848" s="42"/>
      <c r="BF848" s="42"/>
      <c r="BG848" s="42"/>
      <c r="BH848" s="42"/>
      <c r="BI848" s="42"/>
      <c r="BJ848" s="42"/>
      <c r="BK848" s="42"/>
      <c r="BL848" s="42"/>
      <c r="BM848" s="42"/>
      <c r="BN848" s="42"/>
      <c r="BO848" s="42"/>
      <c r="BQ848" s="42"/>
      <c r="BR848" s="42"/>
      <c r="BS848" s="42"/>
      <c r="BT848" s="42"/>
      <c r="BU848" s="42"/>
      <c r="BV848" s="42"/>
      <c r="BW848" s="42"/>
      <c r="BX848" s="42"/>
      <c r="BY848" s="42"/>
      <c r="BZ848" s="42"/>
      <c r="CA848" s="42"/>
      <c r="CB848" s="42"/>
      <c r="CC848" s="42"/>
      <c r="CD848" s="42"/>
      <c r="CE848" s="42"/>
      <c r="CF848" s="42"/>
      <c r="CG848" s="42"/>
      <c r="CH848" s="42"/>
      <c r="CI848" s="42"/>
      <c r="CJ848" s="42"/>
      <c r="CK848" s="42"/>
      <c r="CL848" s="42"/>
      <c r="CM848" s="42"/>
      <c r="CN848" s="42"/>
      <c r="CO848" s="42"/>
      <c r="CQ848" s="42"/>
      <c r="CR848" s="42"/>
      <c r="CS848" s="42"/>
      <c r="CT848" s="42"/>
      <c r="CU848" s="42"/>
      <c r="CV848" s="42"/>
      <c r="CW848" s="42"/>
      <c r="CX848" s="42"/>
      <c r="CY848" s="42"/>
      <c r="CZ848" s="42"/>
      <c r="DA848" s="42"/>
      <c r="DB848" s="42"/>
      <c r="DC848" s="42"/>
      <c r="DD848" s="42"/>
      <c r="DE848" s="42"/>
      <c r="DF848" s="42"/>
      <c r="DG848" s="42"/>
      <c r="DH848" s="42"/>
      <c r="DI848" s="42"/>
      <c r="DJ848" s="42"/>
      <c r="DK848" s="42"/>
      <c r="DL848" s="42"/>
      <c r="DM848" s="42"/>
      <c r="DN848" s="42"/>
      <c r="DO848" s="42"/>
    </row>
    <row r="849" spans="2:119" ht="16.5" customHeight="1" x14ac:dyDescent="0.55000000000000004">
      <c r="B849" s="99"/>
      <c r="C849" s="42"/>
      <c r="D849" s="112" t="s">
        <v>16</v>
      </c>
      <c r="E849" s="112"/>
      <c r="F849" s="45"/>
      <c r="G849" s="45"/>
      <c r="H849" s="45"/>
      <c r="I849" s="45"/>
      <c r="J849" s="45"/>
      <c r="K849" s="45"/>
      <c r="L849" s="45"/>
      <c r="M849" s="45"/>
      <c r="N849" s="45"/>
      <c r="O849" s="45"/>
      <c r="P849" s="42"/>
      <c r="Q849" s="112" t="s">
        <v>16</v>
      </c>
      <c r="R849" s="112"/>
      <c r="S849" s="45"/>
      <c r="T849" s="45"/>
      <c r="U849" s="45"/>
      <c r="V849" s="45"/>
      <c r="W849" s="45"/>
      <c r="X849" s="45"/>
      <c r="Y849" s="45"/>
      <c r="Z849" s="45"/>
      <c r="AA849" s="45"/>
      <c r="AB849" s="45"/>
      <c r="AC849" s="42"/>
      <c r="AD849" s="112" t="s">
        <v>16</v>
      </c>
      <c r="AE849" s="112"/>
      <c r="AF849" s="45"/>
      <c r="AG849" s="45"/>
      <c r="AH849" s="45"/>
      <c r="AI849" s="45"/>
      <c r="AJ849" s="45"/>
      <c r="AK849" s="45"/>
      <c r="AL849" s="45"/>
      <c r="AM849" s="45"/>
      <c r="AN849" s="45"/>
      <c r="AO849" s="45"/>
      <c r="AP849" s="6"/>
      <c r="AQ849" s="112" t="s">
        <v>16</v>
      </c>
      <c r="AR849" s="112"/>
      <c r="AS849" s="45"/>
      <c r="AT849" s="45"/>
      <c r="AU849" s="45"/>
      <c r="AV849" s="45"/>
      <c r="AW849" s="45"/>
      <c r="AX849" s="45"/>
      <c r="AY849" s="45"/>
      <c r="AZ849" s="45"/>
      <c r="BA849" s="45"/>
      <c r="BB849" s="45"/>
      <c r="BC849" s="42"/>
      <c r="BD849" s="112" t="s">
        <v>16</v>
      </c>
      <c r="BE849" s="112"/>
      <c r="BF849" s="45"/>
      <c r="BG849" s="45"/>
      <c r="BH849" s="45"/>
      <c r="BI849" s="45"/>
      <c r="BJ849" s="45"/>
      <c r="BK849" s="45"/>
      <c r="BL849" s="45"/>
      <c r="BM849" s="45"/>
      <c r="BN849" s="45"/>
      <c r="BO849" s="45"/>
      <c r="BQ849" s="112" t="s">
        <v>16</v>
      </c>
      <c r="BR849" s="112"/>
      <c r="BS849" s="45"/>
      <c r="BT849" s="45"/>
      <c r="BU849" s="45"/>
      <c r="BV849" s="45"/>
      <c r="BW849" s="45"/>
      <c r="BX849" s="45"/>
      <c r="BY849" s="45"/>
      <c r="BZ849" s="45"/>
      <c r="CA849" s="45"/>
      <c r="CB849" s="45"/>
      <c r="CC849" s="42"/>
      <c r="CD849" s="112" t="s">
        <v>16</v>
      </c>
      <c r="CE849" s="112"/>
      <c r="CF849" s="45"/>
      <c r="CG849" s="45"/>
      <c r="CH849" s="45"/>
      <c r="CI849" s="45"/>
      <c r="CJ849" s="45"/>
      <c r="CK849" s="45"/>
      <c r="CL849" s="45"/>
      <c r="CM849" s="45"/>
      <c r="CN849" s="45"/>
      <c r="CO849" s="45"/>
      <c r="CQ849" s="112" t="s">
        <v>16</v>
      </c>
      <c r="CR849" s="112"/>
      <c r="CS849" s="45"/>
      <c r="CT849" s="45"/>
      <c r="CU849" s="45"/>
      <c r="CV849" s="45"/>
      <c r="CW849" s="45"/>
      <c r="CX849" s="45"/>
      <c r="CY849" s="45"/>
      <c r="CZ849" s="45"/>
      <c r="DA849" s="45"/>
      <c r="DB849" s="45"/>
      <c r="DC849" s="42"/>
      <c r="DD849" s="112" t="s">
        <v>16</v>
      </c>
      <c r="DE849" s="112"/>
      <c r="DF849" s="45"/>
      <c r="DG849" s="45"/>
      <c r="DH849" s="45"/>
      <c r="DI849" s="45"/>
      <c r="DJ849" s="45"/>
      <c r="DK849" s="45"/>
      <c r="DL849" s="45"/>
      <c r="DM849" s="45"/>
      <c r="DN849" s="45"/>
      <c r="DO849" s="45"/>
    </row>
    <row r="850" spans="2:119" ht="28.9" customHeight="1" x14ac:dyDescent="0.45">
      <c r="B850" s="99"/>
      <c r="C850" s="42"/>
      <c r="D850" s="112"/>
      <c r="E850" s="112"/>
      <c r="F850" s="108" t="s">
        <v>12</v>
      </c>
      <c r="G850" s="108"/>
      <c r="H850" s="108"/>
      <c r="I850" s="108"/>
      <c r="J850" s="108"/>
      <c r="K850" s="108"/>
      <c r="L850" s="108"/>
      <c r="M850" s="108"/>
      <c r="N850" s="108"/>
      <c r="O850" s="108"/>
      <c r="P850" s="42"/>
      <c r="Q850" s="112"/>
      <c r="R850" s="112"/>
      <c r="S850" s="108" t="s">
        <v>12</v>
      </c>
      <c r="T850" s="108"/>
      <c r="U850" s="108"/>
      <c r="V850" s="108"/>
      <c r="W850" s="108"/>
      <c r="X850" s="108"/>
      <c r="Y850" s="108"/>
      <c r="Z850" s="108"/>
      <c r="AA850" s="108"/>
      <c r="AB850" s="108"/>
      <c r="AC850" s="42"/>
      <c r="AD850" s="112"/>
      <c r="AE850" s="112"/>
      <c r="AF850" s="131" t="s">
        <v>12</v>
      </c>
      <c r="AG850" s="132"/>
      <c r="AH850" s="132"/>
      <c r="AI850" s="132"/>
      <c r="AJ850" s="132"/>
      <c r="AK850" s="132"/>
      <c r="AL850" s="132"/>
      <c r="AM850" s="132"/>
      <c r="AN850" s="132"/>
      <c r="AO850" s="133"/>
      <c r="AP850" s="6"/>
      <c r="AQ850" s="112"/>
      <c r="AR850" s="112"/>
      <c r="AS850" s="108" t="s">
        <v>12</v>
      </c>
      <c r="AT850" s="108"/>
      <c r="AU850" s="108"/>
      <c r="AV850" s="108"/>
      <c r="AW850" s="108"/>
      <c r="AX850" s="108"/>
      <c r="AY850" s="108"/>
      <c r="AZ850" s="108"/>
      <c r="BA850" s="108"/>
      <c r="BB850" s="108"/>
      <c r="BC850" s="42"/>
      <c r="BD850" s="112"/>
      <c r="BE850" s="112"/>
      <c r="BF850" s="108" t="s">
        <v>12</v>
      </c>
      <c r="BG850" s="108"/>
      <c r="BH850" s="108"/>
      <c r="BI850" s="108"/>
      <c r="BJ850" s="108"/>
      <c r="BK850" s="108"/>
      <c r="BL850" s="108"/>
      <c r="BM850" s="108"/>
      <c r="BN850" s="108"/>
      <c r="BO850" s="108"/>
      <c r="BQ850" s="112"/>
      <c r="BR850" s="112"/>
      <c r="BS850" s="108" t="s">
        <v>12</v>
      </c>
      <c r="BT850" s="108"/>
      <c r="BU850" s="108"/>
      <c r="BV850" s="108"/>
      <c r="BW850" s="108"/>
      <c r="BX850" s="108"/>
      <c r="BY850" s="108"/>
      <c r="BZ850" s="108"/>
      <c r="CA850" s="108"/>
      <c r="CB850" s="108"/>
      <c r="CC850" s="42"/>
      <c r="CD850" s="112"/>
      <c r="CE850" s="112"/>
      <c r="CF850" s="108" t="s">
        <v>12</v>
      </c>
      <c r="CG850" s="108"/>
      <c r="CH850" s="108"/>
      <c r="CI850" s="108"/>
      <c r="CJ850" s="108"/>
      <c r="CK850" s="108"/>
      <c r="CL850" s="108"/>
      <c r="CM850" s="108"/>
      <c r="CN850" s="108"/>
      <c r="CO850" s="108"/>
      <c r="CQ850" s="112"/>
      <c r="CR850" s="112"/>
      <c r="CS850" s="108" t="s">
        <v>12</v>
      </c>
      <c r="CT850" s="108"/>
      <c r="CU850" s="108"/>
      <c r="CV850" s="108"/>
      <c r="CW850" s="108"/>
      <c r="CX850" s="108"/>
      <c r="CY850" s="108"/>
      <c r="CZ850" s="108"/>
      <c r="DA850" s="108"/>
      <c r="DB850" s="108"/>
      <c r="DC850" s="42"/>
      <c r="DD850" s="112"/>
      <c r="DE850" s="112"/>
      <c r="DF850" s="108" t="s">
        <v>12</v>
      </c>
      <c r="DG850" s="108"/>
      <c r="DH850" s="108"/>
      <c r="DI850" s="108"/>
      <c r="DJ850" s="108"/>
      <c r="DK850" s="108"/>
      <c r="DL850" s="108"/>
      <c r="DM850" s="108"/>
      <c r="DN850" s="108"/>
      <c r="DO850" s="108"/>
    </row>
    <row r="851" spans="2:119" ht="15" customHeight="1" x14ac:dyDescent="0.45">
      <c r="B851" s="99"/>
      <c r="C851" s="42"/>
      <c r="D851" s="113"/>
      <c r="E851" s="113"/>
      <c r="F851" s="9" t="s">
        <v>0</v>
      </c>
      <c r="G851" s="9">
        <v>1</v>
      </c>
      <c r="H851" s="9">
        <v>2</v>
      </c>
      <c r="I851" s="9">
        <v>3</v>
      </c>
      <c r="J851" s="9">
        <v>4</v>
      </c>
      <c r="K851" s="9">
        <v>5</v>
      </c>
      <c r="L851" s="9">
        <v>6</v>
      </c>
      <c r="M851" s="9">
        <v>7</v>
      </c>
      <c r="N851" s="9">
        <v>8</v>
      </c>
      <c r="O851" s="9">
        <v>9</v>
      </c>
      <c r="P851" s="42"/>
      <c r="Q851" s="113"/>
      <c r="R851" s="113"/>
      <c r="S851" s="9" t="s">
        <v>0</v>
      </c>
      <c r="T851" s="9">
        <v>1</v>
      </c>
      <c r="U851" s="9">
        <v>2</v>
      </c>
      <c r="V851" s="9">
        <v>3</v>
      </c>
      <c r="W851" s="9">
        <v>4</v>
      </c>
      <c r="X851" s="9">
        <v>5</v>
      </c>
      <c r="Y851" s="9">
        <v>6</v>
      </c>
      <c r="Z851" s="9">
        <v>7</v>
      </c>
      <c r="AA851" s="9">
        <v>8</v>
      </c>
      <c r="AB851" s="9">
        <v>9</v>
      </c>
      <c r="AC851" s="42"/>
      <c r="AD851" s="113"/>
      <c r="AE851" s="113"/>
      <c r="AF851" s="9" t="s">
        <v>0</v>
      </c>
      <c r="AG851" s="9">
        <v>1</v>
      </c>
      <c r="AH851" s="9">
        <v>2</v>
      </c>
      <c r="AI851" s="9">
        <v>3</v>
      </c>
      <c r="AJ851" s="9">
        <v>4</v>
      </c>
      <c r="AK851" s="9">
        <v>5</v>
      </c>
      <c r="AL851" s="9">
        <v>6</v>
      </c>
      <c r="AM851" s="9">
        <v>7</v>
      </c>
      <c r="AN851" s="9">
        <v>8</v>
      </c>
      <c r="AO851" s="9">
        <v>9</v>
      </c>
      <c r="AP851" s="6"/>
      <c r="AQ851" s="113"/>
      <c r="AR851" s="113"/>
      <c r="AS851" s="9" t="s">
        <v>0</v>
      </c>
      <c r="AT851" s="9">
        <v>1</v>
      </c>
      <c r="AU851" s="9">
        <v>2</v>
      </c>
      <c r="AV851" s="9">
        <v>3</v>
      </c>
      <c r="AW851" s="9">
        <v>4</v>
      </c>
      <c r="AX851" s="9">
        <v>5</v>
      </c>
      <c r="AY851" s="9">
        <v>6</v>
      </c>
      <c r="AZ851" s="9">
        <v>7</v>
      </c>
      <c r="BA851" s="9">
        <v>8</v>
      </c>
      <c r="BB851" s="9">
        <v>9</v>
      </c>
      <c r="BC851" s="42"/>
      <c r="BD851" s="113"/>
      <c r="BE851" s="113"/>
      <c r="BF851" s="9" t="s">
        <v>0</v>
      </c>
      <c r="BG851" s="9">
        <v>1</v>
      </c>
      <c r="BH851" s="9">
        <v>2</v>
      </c>
      <c r="BI851" s="9">
        <v>3</v>
      </c>
      <c r="BJ851" s="9">
        <v>4</v>
      </c>
      <c r="BK851" s="9">
        <v>5</v>
      </c>
      <c r="BL851" s="9">
        <v>6</v>
      </c>
      <c r="BM851" s="9">
        <v>7</v>
      </c>
      <c r="BN851" s="9">
        <v>8</v>
      </c>
      <c r="BO851" s="9">
        <v>9</v>
      </c>
      <c r="BQ851" s="113"/>
      <c r="BR851" s="113"/>
      <c r="BS851" s="9" t="s">
        <v>0</v>
      </c>
      <c r="BT851" s="9">
        <v>1</v>
      </c>
      <c r="BU851" s="9">
        <v>2</v>
      </c>
      <c r="BV851" s="9">
        <v>3</v>
      </c>
      <c r="BW851" s="9">
        <v>4</v>
      </c>
      <c r="BX851" s="9">
        <v>5</v>
      </c>
      <c r="BY851" s="9">
        <v>6</v>
      </c>
      <c r="BZ851" s="9">
        <v>7</v>
      </c>
      <c r="CA851" s="9">
        <v>8</v>
      </c>
      <c r="CB851" s="9">
        <v>9</v>
      </c>
      <c r="CC851" s="42"/>
      <c r="CD851" s="113"/>
      <c r="CE851" s="113"/>
      <c r="CF851" s="9" t="s">
        <v>0</v>
      </c>
      <c r="CG851" s="9">
        <v>1</v>
      </c>
      <c r="CH851" s="9">
        <v>2</v>
      </c>
      <c r="CI851" s="9">
        <v>3</v>
      </c>
      <c r="CJ851" s="9">
        <v>4</v>
      </c>
      <c r="CK851" s="9">
        <v>5</v>
      </c>
      <c r="CL851" s="9">
        <v>6</v>
      </c>
      <c r="CM851" s="9">
        <v>7</v>
      </c>
      <c r="CN851" s="9">
        <v>8</v>
      </c>
      <c r="CO851" s="9">
        <v>9</v>
      </c>
      <c r="CQ851" s="113"/>
      <c r="CR851" s="113"/>
      <c r="CS851" s="9" t="s">
        <v>0</v>
      </c>
      <c r="CT851" s="9">
        <v>1</v>
      </c>
      <c r="CU851" s="9">
        <v>2</v>
      </c>
      <c r="CV851" s="9">
        <v>3</v>
      </c>
      <c r="CW851" s="9">
        <v>4</v>
      </c>
      <c r="CX851" s="9">
        <v>5</v>
      </c>
      <c r="CY851" s="9">
        <v>6</v>
      </c>
      <c r="CZ851" s="9">
        <v>7</v>
      </c>
      <c r="DA851" s="9">
        <v>8</v>
      </c>
      <c r="DB851" s="9">
        <v>9</v>
      </c>
      <c r="DC851" s="42"/>
      <c r="DD851" s="113"/>
      <c r="DE851" s="113"/>
      <c r="DF851" s="9" t="s">
        <v>0</v>
      </c>
      <c r="DG851" s="9">
        <v>1</v>
      </c>
      <c r="DH851" s="9">
        <v>2</v>
      </c>
      <c r="DI851" s="9">
        <v>3</v>
      </c>
      <c r="DJ851" s="9">
        <v>4</v>
      </c>
      <c r="DK851" s="9">
        <v>5</v>
      </c>
      <c r="DL851" s="9">
        <v>6</v>
      </c>
      <c r="DM851" s="9">
        <v>7</v>
      </c>
      <c r="DN851" s="9">
        <v>8</v>
      </c>
      <c r="DO851" s="9">
        <v>9</v>
      </c>
    </row>
    <row r="852" spans="2:119" ht="16.5" customHeight="1" x14ac:dyDescent="0.45">
      <c r="B852" s="99"/>
      <c r="C852" s="42"/>
      <c r="D852" s="109" t="s">
        <v>13</v>
      </c>
      <c r="E852" s="47" t="s">
        <v>1</v>
      </c>
      <c r="F852" s="103" t="s">
        <v>128</v>
      </c>
      <c r="G852" s="103" t="s">
        <v>128</v>
      </c>
      <c r="H852" s="103" t="s">
        <v>128</v>
      </c>
      <c r="I852" s="103" t="s">
        <v>128</v>
      </c>
      <c r="J852" s="103" t="s">
        <v>128</v>
      </c>
      <c r="K852" s="103" t="s">
        <v>128</v>
      </c>
      <c r="L852" s="103" t="s">
        <v>128</v>
      </c>
      <c r="M852" s="103" t="s">
        <v>128</v>
      </c>
      <c r="N852" s="103" t="s">
        <v>128</v>
      </c>
      <c r="O852" s="17" t="s">
        <v>128</v>
      </c>
      <c r="P852" s="42"/>
      <c r="Q852" s="109" t="s">
        <v>13</v>
      </c>
      <c r="R852" s="46" t="s">
        <v>1</v>
      </c>
      <c r="S852" s="103" t="s">
        <v>128</v>
      </c>
      <c r="T852" s="103" t="s">
        <v>128</v>
      </c>
      <c r="U852" s="103" t="s">
        <v>128</v>
      </c>
      <c r="V852" s="103" t="s">
        <v>128</v>
      </c>
      <c r="W852" s="103" t="s">
        <v>128</v>
      </c>
      <c r="X852" s="103" t="s">
        <v>128</v>
      </c>
      <c r="Y852" s="103" t="s">
        <v>128</v>
      </c>
      <c r="Z852" s="103" t="s">
        <v>128</v>
      </c>
      <c r="AA852" s="103" t="s">
        <v>128</v>
      </c>
      <c r="AB852" s="17" t="s">
        <v>128</v>
      </c>
      <c r="AC852" s="42"/>
      <c r="AD852" s="109" t="s">
        <v>13</v>
      </c>
      <c r="AE852" s="46" t="s">
        <v>1</v>
      </c>
      <c r="AF852" s="103" t="s">
        <v>128</v>
      </c>
      <c r="AG852" s="103" t="s">
        <v>128</v>
      </c>
      <c r="AH852" s="103" t="s">
        <v>128</v>
      </c>
      <c r="AI852" s="103" t="s">
        <v>128</v>
      </c>
      <c r="AJ852" s="103" t="s">
        <v>128</v>
      </c>
      <c r="AK852" s="103" t="s">
        <v>128</v>
      </c>
      <c r="AL852" s="103" t="s">
        <v>128</v>
      </c>
      <c r="AM852" s="103" t="s">
        <v>128</v>
      </c>
      <c r="AN852" s="103" t="s">
        <v>128</v>
      </c>
      <c r="AO852" s="17" t="s">
        <v>128</v>
      </c>
      <c r="AP852" s="6"/>
      <c r="AQ852" s="109" t="s">
        <v>13</v>
      </c>
      <c r="AR852" s="46" t="s">
        <v>1</v>
      </c>
      <c r="AS852" s="103" t="s">
        <v>128</v>
      </c>
      <c r="AT852" s="103" t="s">
        <v>128</v>
      </c>
      <c r="AU852" s="103" t="s">
        <v>128</v>
      </c>
      <c r="AV852" s="103" t="s">
        <v>128</v>
      </c>
      <c r="AW852" s="103" t="s">
        <v>128</v>
      </c>
      <c r="AX852" s="103" t="s">
        <v>128</v>
      </c>
      <c r="AY852" s="103" t="s">
        <v>128</v>
      </c>
      <c r="AZ852" s="103" t="s">
        <v>128</v>
      </c>
      <c r="BA852" s="103" t="s">
        <v>128</v>
      </c>
      <c r="BB852" s="17" t="s">
        <v>128</v>
      </c>
      <c r="BC852" s="42"/>
      <c r="BD852" s="109" t="s">
        <v>13</v>
      </c>
      <c r="BE852" s="46" t="s">
        <v>1</v>
      </c>
      <c r="BF852" s="103" t="s">
        <v>128</v>
      </c>
      <c r="BG852" s="103" t="s">
        <v>128</v>
      </c>
      <c r="BH852" s="103" t="s">
        <v>128</v>
      </c>
      <c r="BI852" s="103" t="s">
        <v>128</v>
      </c>
      <c r="BJ852" s="103" t="s">
        <v>128</v>
      </c>
      <c r="BK852" s="103" t="s">
        <v>128</v>
      </c>
      <c r="BL852" s="103" t="s">
        <v>128</v>
      </c>
      <c r="BM852" s="103" t="s">
        <v>128</v>
      </c>
      <c r="BN852" s="103" t="s">
        <v>128</v>
      </c>
      <c r="BO852" s="17" t="s">
        <v>128</v>
      </c>
      <c r="BQ852" s="109" t="s">
        <v>13</v>
      </c>
      <c r="BR852" s="46" t="s">
        <v>1</v>
      </c>
      <c r="BS852" s="103" t="s">
        <v>128</v>
      </c>
      <c r="BT852" s="103" t="s">
        <v>128</v>
      </c>
      <c r="BU852" s="103" t="s">
        <v>128</v>
      </c>
      <c r="BV852" s="103" t="s">
        <v>128</v>
      </c>
      <c r="BW852" s="103" t="s">
        <v>128</v>
      </c>
      <c r="BX852" s="103" t="s">
        <v>128</v>
      </c>
      <c r="BY852" s="103" t="s">
        <v>128</v>
      </c>
      <c r="BZ852" s="103" t="s">
        <v>128</v>
      </c>
      <c r="CA852" s="103" t="s">
        <v>128</v>
      </c>
      <c r="CB852" s="17" t="s">
        <v>128</v>
      </c>
      <c r="CC852" s="42"/>
      <c r="CD852" s="109" t="s">
        <v>13</v>
      </c>
      <c r="CE852" s="46" t="s">
        <v>1</v>
      </c>
      <c r="CF852" s="103" t="s">
        <v>128</v>
      </c>
      <c r="CG852" s="103" t="s">
        <v>128</v>
      </c>
      <c r="CH852" s="103" t="s">
        <v>128</v>
      </c>
      <c r="CI852" s="103" t="s">
        <v>128</v>
      </c>
      <c r="CJ852" s="103" t="s">
        <v>128</v>
      </c>
      <c r="CK852" s="103" t="s">
        <v>128</v>
      </c>
      <c r="CL852" s="103" t="s">
        <v>128</v>
      </c>
      <c r="CM852" s="103" t="s">
        <v>128</v>
      </c>
      <c r="CN852" s="103" t="s">
        <v>128</v>
      </c>
      <c r="CO852" s="17" t="s">
        <v>128</v>
      </c>
      <c r="CQ852" s="109" t="s">
        <v>13</v>
      </c>
      <c r="CR852" s="46" t="s">
        <v>1</v>
      </c>
      <c r="CS852" s="103" t="s">
        <v>128</v>
      </c>
      <c r="CT852" s="103" t="s">
        <v>128</v>
      </c>
      <c r="CU852" s="103" t="s">
        <v>128</v>
      </c>
      <c r="CV852" s="103" t="s">
        <v>128</v>
      </c>
      <c r="CW852" s="103" t="s">
        <v>128</v>
      </c>
      <c r="CX852" s="103" t="s">
        <v>128</v>
      </c>
      <c r="CY852" s="103" t="s">
        <v>128</v>
      </c>
      <c r="CZ852" s="103" t="s">
        <v>128</v>
      </c>
      <c r="DA852" s="103" t="s">
        <v>128</v>
      </c>
      <c r="DB852" s="17" t="s">
        <v>128</v>
      </c>
      <c r="DC852" s="42"/>
      <c r="DD852" s="109" t="s">
        <v>13</v>
      </c>
      <c r="DE852" s="46" t="s">
        <v>1</v>
      </c>
      <c r="DF852" s="103" t="s">
        <v>128</v>
      </c>
      <c r="DG852" s="103" t="s">
        <v>128</v>
      </c>
      <c r="DH852" s="103" t="s">
        <v>128</v>
      </c>
      <c r="DI852" s="103" t="s">
        <v>128</v>
      </c>
      <c r="DJ852" s="103" t="s">
        <v>128</v>
      </c>
      <c r="DK852" s="103" t="s">
        <v>128</v>
      </c>
      <c r="DL852" s="103" t="s">
        <v>128</v>
      </c>
      <c r="DM852" s="103" t="s">
        <v>128</v>
      </c>
      <c r="DN852" s="103" t="s">
        <v>128</v>
      </c>
      <c r="DO852" s="17" t="s">
        <v>128</v>
      </c>
    </row>
    <row r="853" spans="2:119" ht="16.5" customHeight="1" x14ac:dyDescent="0.45">
      <c r="B853" s="99"/>
      <c r="C853" s="42"/>
      <c r="D853" s="110"/>
      <c r="E853" s="47">
        <v>1</v>
      </c>
      <c r="F853" s="103">
        <v>0</v>
      </c>
      <c r="G853" s="103">
        <v>28.571428571428569</v>
      </c>
      <c r="H853" s="103">
        <v>0</v>
      </c>
      <c r="I853" s="103">
        <v>57.142857142857139</v>
      </c>
      <c r="J853" s="103">
        <v>0</v>
      </c>
      <c r="K853" s="103">
        <v>14.285714285714285</v>
      </c>
      <c r="L853" s="103">
        <v>0</v>
      </c>
      <c r="M853" s="103">
        <v>0</v>
      </c>
      <c r="N853" s="103">
        <v>0</v>
      </c>
      <c r="O853" s="103">
        <v>0</v>
      </c>
      <c r="P853" s="42"/>
      <c r="Q853" s="110"/>
      <c r="R853" s="46">
        <v>1</v>
      </c>
      <c r="S853" s="103">
        <v>0</v>
      </c>
      <c r="T853" s="103">
        <v>25</v>
      </c>
      <c r="U853" s="103">
        <v>0</v>
      </c>
      <c r="V853" s="103">
        <v>50</v>
      </c>
      <c r="W853" s="103">
        <v>0</v>
      </c>
      <c r="X853" s="103">
        <v>25</v>
      </c>
      <c r="Y853" s="103">
        <v>0</v>
      </c>
      <c r="Z853" s="103">
        <v>0</v>
      </c>
      <c r="AA853" s="103">
        <v>0</v>
      </c>
      <c r="AB853" s="103">
        <v>0</v>
      </c>
      <c r="AC853" s="42"/>
      <c r="AD853" s="110"/>
      <c r="AE853" s="46">
        <v>1</v>
      </c>
      <c r="AF853" s="103">
        <v>0</v>
      </c>
      <c r="AG853" s="103">
        <v>33.333333333333329</v>
      </c>
      <c r="AH853" s="103">
        <v>0</v>
      </c>
      <c r="AI853" s="103">
        <v>66.666666666666657</v>
      </c>
      <c r="AJ853" s="103">
        <v>0</v>
      </c>
      <c r="AK853" s="103">
        <v>0</v>
      </c>
      <c r="AL853" s="103">
        <v>0</v>
      </c>
      <c r="AM853" s="103">
        <v>0</v>
      </c>
      <c r="AN853" s="103">
        <v>0</v>
      </c>
      <c r="AO853" s="103">
        <v>0</v>
      </c>
      <c r="AP853" s="6"/>
      <c r="AQ853" s="110"/>
      <c r="AR853" s="46">
        <v>1</v>
      </c>
      <c r="AS853" s="103">
        <v>0</v>
      </c>
      <c r="AT853" s="103">
        <v>33.333333333333329</v>
      </c>
      <c r="AU853" s="103">
        <v>0</v>
      </c>
      <c r="AV853" s="103">
        <v>66.666666666666657</v>
      </c>
      <c r="AW853" s="103">
        <v>0</v>
      </c>
      <c r="AX853" s="103">
        <v>0</v>
      </c>
      <c r="AY853" s="103">
        <v>0</v>
      </c>
      <c r="AZ853" s="103">
        <v>0</v>
      </c>
      <c r="BA853" s="103">
        <v>0</v>
      </c>
      <c r="BB853" s="103">
        <v>0</v>
      </c>
      <c r="BC853" s="42"/>
      <c r="BD853" s="110"/>
      <c r="BE853" s="46">
        <v>1</v>
      </c>
      <c r="BF853" s="103">
        <v>0</v>
      </c>
      <c r="BG853" s="103">
        <v>25</v>
      </c>
      <c r="BH853" s="103">
        <v>0</v>
      </c>
      <c r="BI853" s="103">
        <v>50</v>
      </c>
      <c r="BJ853" s="103">
        <v>0</v>
      </c>
      <c r="BK853" s="103">
        <v>25</v>
      </c>
      <c r="BL853" s="103">
        <v>0</v>
      </c>
      <c r="BM853" s="103">
        <v>0</v>
      </c>
      <c r="BN853" s="103">
        <v>0</v>
      </c>
      <c r="BO853" s="103">
        <v>0</v>
      </c>
      <c r="BQ853" s="110"/>
      <c r="BR853" s="46">
        <v>1</v>
      </c>
      <c r="BS853" s="103">
        <v>0</v>
      </c>
      <c r="BT853" s="103">
        <v>66.666666666666657</v>
      </c>
      <c r="BU853" s="103">
        <v>0</v>
      </c>
      <c r="BV853" s="103">
        <v>33.333333333333329</v>
      </c>
      <c r="BW853" s="103">
        <v>0</v>
      </c>
      <c r="BX853" s="103">
        <v>0</v>
      </c>
      <c r="BY853" s="103">
        <v>0</v>
      </c>
      <c r="BZ853" s="103">
        <v>0</v>
      </c>
      <c r="CA853" s="103">
        <v>0</v>
      </c>
      <c r="CB853" s="103">
        <v>0</v>
      </c>
      <c r="CC853" s="42"/>
      <c r="CD853" s="110"/>
      <c r="CE853" s="46">
        <v>1</v>
      </c>
      <c r="CF853" s="103">
        <v>0</v>
      </c>
      <c r="CG853" s="103">
        <v>0</v>
      </c>
      <c r="CH853" s="103">
        <v>0</v>
      </c>
      <c r="CI853" s="103">
        <v>75</v>
      </c>
      <c r="CJ853" s="103">
        <v>0</v>
      </c>
      <c r="CK853" s="103">
        <v>25</v>
      </c>
      <c r="CL853" s="103">
        <v>0</v>
      </c>
      <c r="CM853" s="103">
        <v>0</v>
      </c>
      <c r="CN853" s="103">
        <v>0</v>
      </c>
      <c r="CO853" s="103">
        <v>0</v>
      </c>
      <c r="CQ853" s="110"/>
      <c r="CR853" s="46">
        <v>1</v>
      </c>
      <c r="CS853" s="103">
        <v>0</v>
      </c>
      <c r="CT853" s="103">
        <v>0</v>
      </c>
      <c r="CU853" s="103">
        <v>0</v>
      </c>
      <c r="CV853" s="103">
        <v>66.666666666666657</v>
      </c>
      <c r="CW853" s="103">
        <v>0</v>
      </c>
      <c r="CX853" s="103">
        <v>33.333333333333329</v>
      </c>
      <c r="CY853" s="103">
        <v>0</v>
      </c>
      <c r="CZ853" s="103">
        <v>0</v>
      </c>
      <c r="DA853" s="103">
        <v>0</v>
      </c>
      <c r="DB853" s="103">
        <v>0</v>
      </c>
      <c r="DC853" s="42"/>
      <c r="DD853" s="110"/>
      <c r="DE853" s="46">
        <v>1</v>
      </c>
      <c r="DF853" s="103">
        <v>0</v>
      </c>
      <c r="DG853" s="103">
        <v>50</v>
      </c>
      <c r="DH853" s="103">
        <v>0</v>
      </c>
      <c r="DI853" s="103">
        <v>50</v>
      </c>
      <c r="DJ853" s="103">
        <v>0</v>
      </c>
      <c r="DK853" s="103">
        <v>0</v>
      </c>
      <c r="DL853" s="103">
        <v>0</v>
      </c>
      <c r="DM853" s="103">
        <v>0</v>
      </c>
      <c r="DN853" s="103">
        <v>0</v>
      </c>
      <c r="DO853" s="103">
        <v>0</v>
      </c>
    </row>
    <row r="854" spans="2:119" ht="16.5" customHeight="1" x14ac:dyDescent="0.45">
      <c r="B854" s="99"/>
      <c r="C854" s="42"/>
      <c r="D854" s="110"/>
      <c r="E854" s="47" t="s">
        <v>2</v>
      </c>
      <c r="F854" s="103">
        <v>7.1633237822349569</v>
      </c>
      <c r="G854" s="103">
        <v>24.641833810888254</v>
      </c>
      <c r="H854" s="103">
        <v>30.085959885386821</v>
      </c>
      <c r="I854" s="103">
        <v>22.349570200573066</v>
      </c>
      <c r="J854" s="103">
        <v>7.7363896848137532</v>
      </c>
      <c r="K854" s="103">
        <v>6.0171919770773634</v>
      </c>
      <c r="L854" s="103">
        <v>1.4326647564469914</v>
      </c>
      <c r="M854" s="103">
        <v>0.57306590257879653</v>
      </c>
      <c r="N854" s="103">
        <v>0</v>
      </c>
      <c r="O854" s="103">
        <v>0</v>
      </c>
      <c r="P854" s="42"/>
      <c r="Q854" s="110"/>
      <c r="R854" s="46" t="s">
        <v>2</v>
      </c>
      <c r="S854" s="103">
        <v>2.9940119760479043</v>
      </c>
      <c r="T854" s="103">
        <v>23.952095808383234</v>
      </c>
      <c r="U854" s="103">
        <v>34.730538922155688</v>
      </c>
      <c r="V854" s="103">
        <v>23.353293413173652</v>
      </c>
      <c r="W854" s="103">
        <v>5.3892215568862278</v>
      </c>
      <c r="X854" s="103">
        <v>5.9880239520958085</v>
      </c>
      <c r="Y854" s="103">
        <v>2.3952095808383236</v>
      </c>
      <c r="Z854" s="103">
        <v>1.1976047904191618</v>
      </c>
      <c r="AA854" s="103">
        <v>0</v>
      </c>
      <c r="AB854" s="103">
        <v>0</v>
      </c>
      <c r="AC854" s="42"/>
      <c r="AD854" s="110"/>
      <c r="AE854" s="46" t="s">
        <v>2</v>
      </c>
      <c r="AF854" s="103">
        <v>10.989010989010989</v>
      </c>
      <c r="AG854" s="103">
        <v>25.274725274725274</v>
      </c>
      <c r="AH854" s="103">
        <v>25.824175824175828</v>
      </c>
      <c r="AI854" s="103">
        <v>21.428571428571427</v>
      </c>
      <c r="AJ854" s="103">
        <v>9.8901098901098905</v>
      </c>
      <c r="AK854" s="103">
        <v>6.0439560439560438</v>
      </c>
      <c r="AL854" s="103">
        <v>0.5494505494505495</v>
      </c>
      <c r="AM854" s="103">
        <v>0</v>
      </c>
      <c r="AN854" s="103">
        <v>0</v>
      </c>
      <c r="AO854" s="103">
        <v>0</v>
      </c>
      <c r="AP854" s="6"/>
      <c r="AQ854" s="110"/>
      <c r="AR854" s="46" t="s">
        <v>2</v>
      </c>
      <c r="AS854" s="103">
        <v>7.4866310160427805</v>
      </c>
      <c r="AT854" s="103">
        <v>26.737967914438503</v>
      </c>
      <c r="AU854" s="103">
        <v>28.877005347593581</v>
      </c>
      <c r="AV854" s="103">
        <v>22.994652406417114</v>
      </c>
      <c r="AW854" s="103">
        <v>6.9518716577540109</v>
      </c>
      <c r="AX854" s="103">
        <v>4.8128342245989302</v>
      </c>
      <c r="AY854" s="103">
        <v>1.6042780748663104</v>
      </c>
      <c r="AZ854" s="103">
        <v>0.53475935828876997</v>
      </c>
      <c r="BA854" s="103">
        <v>0</v>
      </c>
      <c r="BB854" s="103">
        <v>0</v>
      </c>
      <c r="BC854" s="42"/>
      <c r="BD854" s="110"/>
      <c r="BE854" s="46" t="s">
        <v>2</v>
      </c>
      <c r="BF854" s="103">
        <v>6.7901234567901234</v>
      </c>
      <c r="BG854" s="103">
        <v>22.222222222222221</v>
      </c>
      <c r="BH854" s="103">
        <v>31.481481481481481</v>
      </c>
      <c r="BI854" s="103">
        <v>21.604938271604937</v>
      </c>
      <c r="BJ854" s="103">
        <v>8.6419753086419746</v>
      </c>
      <c r="BK854" s="103">
        <v>7.4074074074074066</v>
      </c>
      <c r="BL854" s="103">
        <v>1.2345679012345678</v>
      </c>
      <c r="BM854" s="103">
        <v>0.61728395061728392</v>
      </c>
      <c r="BN854" s="103">
        <v>0</v>
      </c>
      <c r="BO854" s="103">
        <v>0</v>
      </c>
      <c r="BQ854" s="110"/>
      <c r="BR854" s="46" t="s">
        <v>2</v>
      </c>
      <c r="BS854" s="103">
        <v>7.1428571428571423</v>
      </c>
      <c r="BT854" s="103">
        <v>27.61904761904762</v>
      </c>
      <c r="BU854" s="103">
        <v>35.238095238095241</v>
      </c>
      <c r="BV854" s="103">
        <v>18.571428571428573</v>
      </c>
      <c r="BW854" s="103">
        <v>5.7142857142857144</v>
      </c>
      <c r="BX854" s="103">
        <v>4.7619047619047619</v>
      </c>
      <c r="BY854" s="103">
        <v>0.95238095238095244</v>
      </c>
      <c r="BZ854" s="103">
        <v>0</v>
      </c>
      <c r="CA854" s="103">
        <v>0</v>
      </c>
      <c r="CB854" s="103">
        <v>0</v>
      </c>
      <c r="CC854" s="42"/>
      <c r="CD854" s="110"/>
      <c r="CE854" s="46" t="s">
        <v>2</v>
      </c>
      <c r="CF854" s="103">
        <v>7.1942446043165464</v>
      </c>
      <c r="CG854" s="103">
        <v>20.14388489208633</v>
      </c>
      <c r="CH854" s="103">
        <v>22.302158273381295</v>
      </c>
      <c r="CI854" s="103">
        <v>28.057553956834528</v>
      </c>
      <c r="CJ854" s="103">
        <v>10.791366906474821</v>
      </c>
      <c r="CK854" s="103">
        <v>7.9136690647482011</v>
      </c>
      <c r="CL854" s="103">
        <v>2.1582733812949639</v>
      </c>
      <c r="CM854" s="103">
        <v>1.4388489208633095</v>
      </c>
      <c r="CN854" s="103">
        <v>0</v>
      </c>
      <c r="CO854" s="103">
        <v>0</v>
      </c>
      <c r="CQ854" s="110"/>
      <c r="CR854" s="46" t="s">
        <v>2</v>
      </c>
      <c r="CS854" s="103">
        <v>4.9645390070921991</v>
      </c>
      <c r="CT854" s="103">
        <v>21.276595744680851</v>
      </c>
      <c r="CU854" s="103">
        <v>20.567375886524822</v>
      </c>
      <c r="CV854" s="103">
        <v>28.368794326241137</v>
      </c>
      <c r="CW854" s="103">
        <v>9.9290780141843982</v>
      </c>
      <c r="CX854" s="103">
        <v>11.347517730496454</v>
      </c>
      <c r="CY854" s="103">
        <v>2.1276595744680851</v>
      </c>
      <c r="CZ854" s="103">
        <v>1.4184397163120568</v>
      </c>
      <c r="DA854" s="103">
        <v>0</v>
      </c>
      <c r="DB854" s="103">
        <v>0</v>
      </c>
      <c r="DC854" s="42"/>
      <c r="DD854" s="110"/>
      <c r="DE854" s="46" t="s">
        <v>2</v>
      </c>
      <c r="DF854" s="103">
        <v>8.6538461538461533</v>
      </c>
      <c r="DG854" s="103">
        <v>26.923076923076923</v>
      </c>
      <c r="DH854" s="103">
        <v>36.538461538461533</v>
      </c>
      <c r="DI854" s="103">
        <v>18.269230769230766</v>
      </c>
      <c r="DJ854" s="103">
        <v>6.25</v>
      </c>
      <c r="DK854" s="103">
        <v>2.4038461538461542</v>
      </c>
      <c r="DL854" s="103">
        <v>0.96153846153846156</v>
      </c>
      <c r="DM854" s="103">
        <v>0</v>
      </c>
      <c r="DN854" s="103">
        <v>0</v>
      </c>
      <c r="DO854" s="103">
        <v>0</v>
      </c>
    </row>
    <row r="855" spans="2:119" ht="16.5" customHeight="1" x14ac:dyDescent="0.45">
      <c r="B855" s="99"/>
      <c r="C855" s="42"/>
      <c r="D855" s="110"/>
      <c r="E855" s="47" t="s">
        <v>3</v>
      </c>
      <c r="F855" s="103">
        <v>10.78838174273859</v>
      </c>
      <c r="G855" s="103">
        <v>21.991701244813278</v>
      </c>
      <c r="H855" s="103">
        <v>23.651452282157674</v>
      </c>
      <c r="I855" s="103">
        <v>22.40663900414938</v>
      </c>
      <c r="J855" s="103">
        <v>12.033195020746888</v>
      </c>
      <c r="K855" s="103">
        <v>4.9792531120331951</v>
      </c>
      <c r="L855" s="103">
        <v>2.4896265560165975</v>
      </c>
      <c r="M855" s="103">
        <v>1.6597510373443984</v>
      </c>
      <c r="N855" s="103">
        <v>0</v>
      </c>
      <c r="O855" s="103">
        <v>0</v>
      </c>
      <c r="P855" s="42"/>
      <c r="Q855" s="110"/>
      <c r="R855" s="46" t="s">
        <v>3</v>
      </c>
      <c r="S855" s="103">
        <v>6.6115702479338845</v>
      </c>
      <c r="T855" s="103">
        <v>16.528925619834713</v>
      </c>
      <c r="U855" s="103">
        <v>26.446280991735538</v>
      </c>
      <c r="V855" s="103">
        <v>27.27272727272727</v>
      </c>
      <c r="W855" s="103">
        <v>11.570247933884298</v>
      </c>
      <c r="X855" s="103">
        <v>6.6115702479338845</v>
      </c>
      <c r="Y855" s="103">
        <v>3.3057851239669422</v>
      </c>
      <c r="Z855" s="103">
        <v>1.6528925619834711</v>
      </c>
      <c r="AA855" s="103">
        <v>0</v>
      </c>
      <c r="AB855" s="103">
        <v>0</v>
      </c>
      <c r="AC855" s="42"/>
      <c r="AD855" s="110"/>
      <c r="AE855" s="46" t="s">
        <v>3</v>
      </c>
      <c r="AF855" s="103">
        <v>15</v>
      </c>
      <c r="AG855" s="103">
        <v>27.500000000000004</v>
      </c>
      <c r="AH855" s="103">
        <v>20.833333333333336</v>
      </c>
      <c r="AI855" s="103">
        <v>17.5</v>
      </c>
      <c r="AJ855" s="103">
        <v>12.5</v>
      </c>
      <c r="AK855" s="103">
        <v>3.3333333333333335</v>
      </c>
      <c r="AL855" s="103">
        <v>1.6666666666666667</v>
      </c>
      <c r="AM855" s="103">
        <v>1.6666666666666667</v>
      </c>
      <c r="AN855" s="103">
        <v>0</v>
      </c>
      <c r="AO855" s="103">
        <v>0</v>
      </c>
      <c r="AP855" s="6"/>
      <c r="AQ855" s="110"/>
      <c r="AR855" s="46" t="s">
        <v>3</v>
      </c>
      <c r="AS855" s="103">
        <v>13.725490196078432</v>
      </c>
      <c r="AT855" s="103">
        <v>27.450980392156865</v>
      </c>
      <c r="AU855" s="103">
        <v>23.52941176470588</v>
      </c>
      <c r="AV855" s="103">
        <v>18.627450980392158</v>
      </c>
      <c r="AW855" s="103">
        <v>12.745098039215685</v>
      </c>
      <c r="AX855" s="103">
        <v>2.9411764705882351</v>
      </c>
      <c r="AY855" s="103">
        <v>0.98039215686274506</v>
      </c>
      <c r="AZ855" s="103">
        <v>0</v>
      </c>
      <c r="BA855" s="103">
        <v>0</v>
      </c>
      <c r="BB855" s="103">
        <v>0</v>
      </c>
      <c r="BC855" s="42"/>
      <c r="BD855" s="110"/>
      <c r="BE855" s="46" t="s">
        <v>3</v>
      </c>
      <c r="BF855" s="103">
        <v>8.6330935251798557</v>
      </c>
      <c r="BG855" s="103">
        <v>17.985611510791365</v>
      </c>
      <c r="BH855" s="103">
        <v>23.741007194244602</v>
      </c>
      <c r="BI855" s="103">
        <v>25.179856115107913</v>
      </c>
      <c r="BJ855" s="103">
        <v>11.510791366906476</v>
      </c>
      <c r="BK855" s="103">
        <v>6.4748201438848918</v>
      </c>
      <c r="BL855" s="103">
        <v>3.5971223021582732</v>
      </c>
      <c r="BM855" s="103">
        <v>2.877697841726619</v>
      </c>
      <c r="BN855" s="103">
        <v>0</v>
      </c>
      <c r="BO855" s="103">
        <v>0</v>
      </c>
      <c r="BQ855" s="110"/>
      <c r="BR855" s="46" t="s">
        <v>3</v>
      </c>
      <c r="BS855" s="103">
        <v>10.76923076923077</v>
      </c>
      <c r="BT855" s="103">
        <v>26.153846153846157</v>
      </c>
      <c r="BU855" s="103">
        <v>24.615384615384617</v>
      </c>
      <c r="BV855" s="103">
        <v>18.461538461538463</v>
      </c>
      <c r="BW855" s="103">
        <v>11.538461538461538</v>
      </c>
      <c r="BX855" s="103">
        <v>3.8461538461538463</v>
      </c>
      <c r="BY855" s="103">
        <v>3.0769230769230771</v>
      </c>
      <c r="BZ855" s="103">
        <v>1.5384615384615385</v>
      </c>
      <c r="CA855" s="103">
        <v>0</v>
      </c>
      <c r="CB855" s="103">
        <v>0</v>
      </c>
      <c r="CC855" s="42"/>
      <c r="CD855" s="110"/>
      <c r="CE855" s="46" t="s">
        <v>3</v>
      </c>
      <c r="CF855" s="103">
        <v>10.810810810810811</v>
      </c>
      <c r="CG855" s="103">
        <v>17.117117117117118</v>
      </c>
      <c r="CH855" s="103">
        <v>22.522522522522522</v>
      </c>
      <c r="CI855" s="103">
        <v>27.027027027027028</v>
      </c>
      <c r="CJ855" s="103">
        <v>12.612612612612612</v>
      </c>
      <c r="CK855" s="103">
        <v>6.3063063063063058</v>
      </c>
      <c r="CL855" s="103">
        <v>1.8018018018018018</v>
      </c>
      <c r="CM855" s="103">
        <v>1.8018018018018018</v>
      </c>
      <c r="CN855" s="103">
        <v>0</v>
      </c>
      <c r="CO855" s="103">
        <v>0</v>
      </c>
      <c r="CQ855" s="110"/>
      <c r="CR855" s="46" t="s">
        <v>3</v>
      </c>
      <c r="CS855" s="103">
        <v>3.79746835443038</v>
      </c>
      <c r="CT855" s="103">
        <v>17.721518987341771</v>
      </c>
      <c r="CU855" s="103">
        <v>24.050632911392405</v>
      </c>
      <c r="CV855" s="103">
        <v>21.518987341772153</v>
      </c>
      <c r="CW855" s="103">
        <v>18.9873417721519</v>
      </c>
      <c r="CX855" s="103">
        <v>7.59493670886076</v>
      </c>
      <c r="CY855" s="103">
        <v>3.79746835443038</v>
      </c>
      <c r="CZ855" s="103">
        <v>2.5316455696202533</v>
      </c>
      <c r="DA855" s="103">
        <v>0</v>
      </c>
      <c r="DB855" s="103">
        <v>0</v>
      </c>
      <c r="DC855" s="42"/>
      <c r="DD855" s="110"/>
      <c r="DE855" s="46" t="s">
        <v>3</v>
      </c>
      <c r="DF855" s="103">
        <v>14.19753086419753</v>
      </c>
      <c r="DG855" s="103">
        <v>24.074074074074073</v>
      </c>
      <c r="DH855" s="103">
        <v>23.456790123456788</v>
      </c>
      <c r="DI855" s="103">
        <v>22.839506172839506</v>
      </c>
      <c r="DJ855" s="103">
        <v>8.6419753086419746</v>
      </c>
      <c r="DK855" s="103">
        <v>3.7037037037037033</v>
      </c>
      <c r="DL855" s="103">
        <v>1.8518518518518516</v>
      </c>
      <c r="DM855" s="103">
        <v>1.2345679012345678</v>
      </c>
      <c r="DN855" s="103">
        <v>0</v>
      </c>
      <c r="DO855" s="103">
        <v>0</v>
      </c>
    </row>
    <row r="856" spans="2:119" ht="16.5" customHeight="1" x14ac:dyDescent="0.45">
      <c r="B856" s="99"/>
      <c r="C856" s="42"/>
      <c r="D856" s="110"/>
      <c r="E856" s="47" t="s">
        <v>4</v>
      </c>
      <c r="F856" s="103">
        <v>7.8481012658227849</v>
      </c>
      <c r="G856" s="103">
        <v>20.506329113924053</v>
      </c>
      <c r="H856" s="103">
        <v>26.329113924050635</v>
      </c>
      <c r="I856" s="103">
        <v>23.291139240506329</v>
      </c>
      <c r="J856" s="103">
        <v>11.139240506329113</v>
      </c>
      <c r="K856" s="103">
        <v>7.3417721518987342</v>
      </c>
      <c r="L856" s="103">
        <v>2.5316455696202533</v>
      </c>
      <c r="M856" s="103">
        <v>1.0126582278481013</v>
      </c>
      <c r="N856" s="103">
        <v>0</v>
      </c>
      <c r="O856" s="103">
        <v>0</v>
      </c>
      <c r="P856" s="42"/>
      <c r="Q856" s="110"/>
      <c r="R856" s="46" t="s">
        <v>4</v>
      </c>
      <c r="S856" s="103">
        <v>5.3398058252427179</v>
      </c>
      <c r="T856" s="103">
        <v>16.50485436893204</v>
      </c>
      <c r="U856" s="103">
        <v>25.728155339805824</v>
      </c>
      <c r="V856" s="103">
        <v>27.184466019417474</v>
      </c>
      <c r="W856" s="103">
        <v>13.106796116504855</v>
      </c>
      <c r="X856" s="103">
        <v>8.2524271844660202</v>
      </c>
      <c r="Y856" s="103">
        <v>2.912621359223301</v>
      </c>
      <c r="Z856" s="103">
        <v>0.97087378640776689</v>
      </c>
      <c r="AA856" s="103">
        <v>0</v>
      </c>
      <c r="AB856" s="103">
        <v>0</v>
      </c>
      <c r="AC856" s="42"/>
      <c r="AD856" s="110"/>
      <c r="AE856" s="46" t="s">
        <v>4</v>
      </c>
      <c r="AF856" s="103">
        <v>10.582010582010582</v>
      </c>
      <c r="AG856" s="103">
        <v>24.867724867724867</v>
      </c>
      <c r="AH856" s="103">
        <v>26.984126984126984</v>
      </c>
      <c r="AI856" s="103">
        <v>19.047619047619047</v>
      </c>
      <c r="AJ856" s="103">
        <v>8.9947089947089935</v>
      </c>
      <c r="AK856" s="103">
        <v>6.3492063492063489</v>
      </c>
      <c r="AL856" s="103">
        <v>2.1164021164021163</v>
      </c>
      <c r="AM856" s="103">
        <v>1.0582010582010581</v>
      </c>
      <c r="AN856" s="103">
        <v>0</v>
      </c>
      <c r="AO856" s="103">
        <v>0</v>
      </c>
      <c r="AP856" s="6"/>
      <c r="AQ856" s="110"/>
      <c r="AR856" s="46" t="s">
        <v>4</v>
      </c>
      <c r="AS856" s="103">
        <v>9.5505617977528079</v>
      </c>
      <c r="AT856" s="103">
        <v>23.033707865168541</v>
      </c>
      <c r="AU856" s="103">
        <v>30.337078651685395</v>
      </c>
      <c r="AV856" s="103">
        <v>20.786516853932586</v>
      </c>
      <c r="AW856" s="103">
        <v>8.4269662921348321</v>
      </c>
      <c r="AX856" s="103">
        <v>6.179775280898876</v>
      </c>
      <c r="AY856" s="103">
        <v>0</v>
      </c>
      <c r="AZ856" s="103">
        <v>1.6853932584269662</v>
      </c>
      <c r="BA856" s="103">
        <v>0</v>
      </c>
      <c r="BB856" s="103">
        <v>0</v>
      </c>
      <c r="BC856" s="42"/>
      <c r="BD856" s="110"/>
      <c r="BE856" s="46" t="s">
        <v>4</v>
      </c>
      <c r="BF856" s="103">
        <v>6.4516129032258061</v>
      </c>
      <c r="BG856" s="103">
        <v>18.433179723502306</v>
      </c>
      <c r="BH856" s="103">
        <v>23.041474654377879</v>
      </c>
      <c r="BI856" s="103">
        <v>25.345622119815669</v>
      </c>
      <c r="BJ856" s="103">
        <v>13.364055299539171</v>
      </c>
      <c r="BK856" s="103">
        <v>8.2949308755760374</v>
      </c>
      <c r="BL856" s="103">
        <v>4.6082949308755765</v>
      </c>
      <c r="BM856" s="103">
        <v>0.46082949308755761</v>
      </c>
      <c r="BN856" s="103">
        <v>0</v>
      </c>
      <c r="BO856" s="103">
        <v>0</v>
      </c>
      <c r="BQ856" s="110"/>
      <c r="BR856" s="46" t="s">
        <v>4</v>
      </c>
      <c r="BS856" s="103">
        <v>6.8750000000000009</v>
      </c>
      <c r="BT856" s="103">
        <v>24.375</v>
      </c>
      <c r="BU856" s="103">
        <v>32.5</v>
      </c>
      <c r="BV856" s="103">
        <v>20</v>
      </c>
      <c r="BW856" s="103">
        <v>8.75</v>
      </c>
      <c r="BX856" s="103">
        <v>5</v>
      </c>
      <c r="BY856" s="103">
        <v>1.875</v>
      </c>
      <c r="BZ856" s="103">
        <v>0.625</v>
      </c>
      <c r="CA856" s="103">
        <v>0</v>
      </c>
      <c r="CB856" s="103">
        <v>0</v>
      </c>
      <c r="CC856" s="42"/>
      <c r="CD856" s="110"/>
      <c r="CE856" s="46" t="s">
        <v>4</v>
      </c>
      <c r="CF856" s="103">
        <v>8.5106382978723403</v>
      </c>
      <c r="CG856" s="103">
        <v>17.872340425531917</v>
      </c>
      <c r="CH856" s="103">
        <v>22.127659574468083</v>
      </c>
      <c r="CI856" s="103">
        <v>25.531914893617021</v>
      </c>
      <c r="CJ856" s="103">
        <v>12.76595744680851</v>
      </c>
      <c r="CK856" s="103">
        <v>8.9361702127659584</v>
      </c>
      <c r="CL856" s="103">
        <v>2.9787234042553195</v>
      </c>
      <c r="CM856" s="103">
        <v>1.2765957446808509</v>
      </c>
      <c r="CN856" s="103">
        <v>0</v>
      </c>
      <c r="CO856" s="103">
        <v>0</v>
      </c>
      <c r="CQ856" s="110"/>
      <c r="CR856" s="46" t="s">
        <v>4</v>
      </c>
      <c r="CS856" s="103">
        <v>4.6296296296296298</v>
      </c>
      <c r="CT856" s="103">
        <v>13.888888888888889</v>
      </c>
      <c r="CU856" s="103">
        <v>25</v>
      </c>
      <c r="CV856" s="103">
        <v>22.222222222222221</v>
      </c>
      <c r="CW856" s="103">
        <v>15.74074074074074</v>
      </c>
      <c r="CX856" s="103">
        <v>12.037037037037036</v>
      </c>
      <c r="CY856" s="103">
        <v>3.7037037037037033</v>
      </c>
      <c r="CZ856" s="103">
        <v>2.7777777777777777</v>
      </c>
      <c r="DA856" s="103">
        <v>0</v>
      </c>
      <c r="DB856" s="103">
        <v>0</v>
      </c>
      <c r="DC856" s="42"/>
      <c r="DD856" s="110"/>
      <c r="DE856" s="46" t="s">
        <v>4</v>
      </c>
      <c r="DF856" s="103">
        <v>9.0592334494773521</v>
      </c>
      <c r="DG856" s="103">
        <v>22.99651567944251</v>
      </c>
      <c r="DH856" s="103">
        <v>26.829268292682929</v>
      </c>
      <c r="DI856" s="103">
        <v>23.693379790940767</v>
      </c>
      <c r="DJ856" s="103">
        <v>9.4076655052264808</v>
      </c>
      <c r="DK856" s="103">
        <v>5.5749128919860631</v>
      </c>
      <c r="DL856" s="103">
        <v>2.0905923344947737</v>
      </c>
      <c r="DM856" s="103">
        <v>0.34843205574912894</v>
      </c>
      <c r="DN856" s="103">
        <v>0</v>
      </c>
      <c r="DO856" s="103">
        <v>0</v>
      </c>
    </row>
    <row r="857" spans="2:119" ht="16.5" customHeight="1" x14ac:dyDescent="0.45">
      <c r="B857" s="99"/>
      <c r="C857" s="42"/>
      <c r="D857" s="110"/>
      <c r="E857" s="47" t="s">
        <v>5</v>
      </c>
      <c r="F857" s="103">
        <v>4.5272969374167777</v>
      </c>
      <c r="G857" s="103">
        <v>14.380825565912117</v>
      </c>
      <c r="H857" s="103">
        <v>21.704394141145141</v>
      </c>
      <c r="I857" s="103">
        <v>28.495339547270305</v>
      </c>
      <c r="J857" s="103">
        <v>15.179760319573901</v>
      </c>
      <c r="K857" s="103">
        <v>9.8535286284953401</v>
      </c>
      <c r="L857" s="103">
        <v>4.5272969374167777</v>
      </c>
      <c r="M857" s="103">
        <v>1.0652463382157125</v>
      </c>
      <c r="N857" s="103">
        <v>0.26631158455392812</v>
      </c>
      <c r="O857" s="103">
        <v>0</v>
      </c>
      <c r="P857" s="42"/>
      <c r="Q857" s="110"/>
      <c r="R857" s="46" t="s">
        <v>5</v>
      </c>
      <c r="S857" s="103">
        <v>2.0050125313283207</v>
      </c>
      <c r="T857" s="103">
        <v>12.531328320802004</v>
      </c>
      <c r="U857" s="103">
        <v>19.047619047619047</v>
      </c>
      <c r="V857" s="103">
        <v>30.82706766917293</v>
      </c>
      <c r="W857" s="103">
        <v>17.794486215538846</v>
      </c>
      <c r="X857" s="103">
        <v>10.776942355889723</v>
      </c>
      <c r="Y857" s="103">
        <v>5.5137844611528823</v>
      </c>
      <c r="Z857" s="103">
        <v>1.2531328320802004</v>
      </c>
      <c r="AA857" s="103">
        <v>0.25062656641604009</v>
      </c>
      <c r="AB857" s="103">
        <v>0</v>
      </c>
      <c r="AC857" s="42"/>
      <c r="AD857" s="110"/>
      <c r="AE857" s="46" t="s">
        <v>5</v>
      </c>
      <c r="AF857" s="103">
        <v>7.3863636363636367</v>
      </c>
      <c r="AG857" s="103">
        <v>16.477272727272727</v>
      </c>
      <c r="AH857" s="103">
        <v>24.71590909090909</v>
      </c>
      <c r="AI857" s="103">
        <v>25.85227272727273</v>
      </c>
      <c r="AJ857" s="103">
        <v>12.215909090909092</v>
      </c>
      <c r="AK857" s="103">
        <v>8.8068181818181817</v>
      </c>
      <c r="AL857" s="103">
        <v>3.4090909090909087</v>
      </c>
      <c r="AM857" s="103">
        <v>0.85227272727272718</v>
      </c>
      <c r="AN857" s="103">
        <v>0.28409090909090912</v>
      </c>
      <c r="AO857" s="103">
        <v>0</v>
      </c>
      <c r="AP857" s="6"/>
      <c r="AQ857" s="110"/>
      <c r="AR857" s="46" t="s">
        <v>5</v>
      </c>
      <c r="AS857" s="103">
        <v>5.5232558139534884</v>
      </c>
      <c r="AT857" s="103">
        <v>16.569767441860463</v>
      </c>
      <c r="AU857" s="103">
        <v>25.872093023255815</v>
      </c>
      <c r="AV857" s="103">
        <v>29.651162790697676</v>
      </c>
      <c r="AW857" s="103">
        <v>12.5</v>
      </c>
      <c r="AX857" s="103">
        <v>6.104651162790697</v>
      </c>
      <c r="AY857" s="103">
        <v>3.1976744186046515</v>
      </c>
      <c r="AZ857" s="103">
        <v>0.58139534883720934</v>
      </c>
      <c r="BA857" s="103">
        <v>0</v>
      </c>
      <c r="BB857" s="103">
        <v>0</v>
      </c>
      <c r="BC857" s="42"/>
      <c r="BD857" s="110"/>
      <c r="BE857" s="46" t="s">
        <v>5</v>
      </c>
      <c r="BF857" s="103">
        <v>3.6855036855036856</v>
      </c>
      <c r="BG857" s="103">
        <v>12.530712530712531</v>
      </c>
      <c r="BH857" s="103">
        <v>18.181818181818183</v>
      </c>
      <c r="BI857" s="103">
        <v>27.518427518427519</v>
      </c>
      <c r="BJ857" s="103">
        <v>17.444717444717444</v>
      </c>
      <c r="BK857" s="103">
        <v>13.022113022113022</v>
      </c>
      <c r="BL857" s="103">
        <v>5.6511056511056514</v>
      </c>
      <c r="BM857" s="103">
        <v>1.4742014742014742</v>
      </c>
      <c r="BN857" s="103">
        <v>0.49140049140049141</v>
      </c>
      <c r="BO857" s="103">
        <v>0</v>
      </c>
      <c r="BQ857" s="110"/>
      <c r="BR857" s="46" t="s">
        <v>5</v>
      </c>
      <c r="BS857" s="103">
        <v>4.5045045045045047</v>
      </c>
      <c r="BT857" s="103">
        <v>15.765765765765765</v>
      </c>
      <c r="BU857" s="103">
        <v>27.027027027027028</v>
      </c>
      <c r="BV857" s="103">
        <v>27.927927927927925</v>
      </c>
      <c r="BW857" s="103">
        <v>13.063063063063062</v>
      </c>
      <c r="BX857" s="103">
        <v>7.2072072072072073</v>
      </c>
      <c r="BY857" s="103">
        <v>4.0540540540540544</v>
      </c>
      <c r="BZ857" s="103">
        <v>0</v>
      </c>
      <c r="CA857" s="103">
        <v>0.45045045045045046</v>
      </c>
      <c r="CB857" s="103">
        <v>0</v>
      </c>
      <c r="CC857" s="42"/>
      <c r="CD857" s="110"/>
      <c r="CE857" s="46" t="s">
        <v>5</v>
      </c>
      <c r="CF857" s="103">
        <v>4.536862003780719</v>
      </c>
      <c r="CG857" s="103">
        <v>13.799621928166353</v>
      </c>
      <c r="CH857" s="103">
        <v>19.47069943289225</v>
      </c>
      <c r="CI857" s="103">
        <v>28.733459357277884</v>
      </c>
      <c r="CJ857" s="103">
        <v>16.068052930056712</v>
      </c>
      <c r="CK857" s="103">
        <v>10.964083175803403</v>
      </c>
      <c r="CL857" s="103">
        <v>4.7258979206049148</v>
      </c>
      <c r="CM857" s="103">
        <v>1.5122873345935728</v>
      </c>
      <c r="CN857" s="103">
        <v>0.1890359168241966</v>
      </c>
      <c r="CO857" s="103">
        <v>0</v>
      </c>
      <c r="CQ857" s="110"/>
      <c r="CR857" s="46" t="s">
        <v>5</v>
      </c>
      <c r="CS857" s="103">
        <v>2.8248587570621471</v>
      </c>
      <c r="CT857" s="103">
        <v>9.0395480225988702</v>
      </c>
      <c r="CU857" s="103">
        <v>17.514124293785311</v>
      </c>
      <c r="CV857" s="103">
        <v>23.728813559322035</v>
      </c>
      <c r="CW857" s="103">
        <v>19.774011299435028</v>
      </c>
      <c r="CX857" s="103">
        <v>14.689265536723164</v>
      </c>
      <c r="CY857" s="103">
        <v>9.0395480225988702</v>
      </c>
      <c r="CZ857" s="103">
        <v>2.8248587570621471</v>
      </c>
      <c r="DA857" s="103">
        <v>0.56497175141242939</v>
      </c>
      <c r="DB857" s="103">
        <v>0</v>
      </c>
      <c r="DC857" s="42"/>
      <c r="DD857" s="110"/>
      <c r="DE857" s="46" t="s">
        <v>5</v>
      </c>
      <c r="DF857" s="103">
        <v>5.0522648083623691</v>
      </c>
      <c r="DG857" s="103">
        <v>16.027874564459928</v>
      </c>
      <c r="DH857" s="103">
        <v>22.99651567944251</v>
      </c>
      <c r="DI857" s="103">
        <v>29.965156794425084</v>
      </c>
      <c r="DJ857" s="103">
        <v>13.763066202090593</v>
      </c>
      <c r="DK857" s="103">
        <v>8.3623693379790947</v>
      </c>
      <c r="DL857" s="103">
        <v>3.1358885017421603</v>
      </c>
      <c r="DM857" s="103">
        <v>0.52264808362369342</v>
      </c>
      <c r="DN857" s="103">
        <v>0.17421602787456447</v>
      </c>
      <c r="DO857" s="103">
        <v>0</v>
      </c>
    </row>
    <row r="858" spans="2:119" ht="16.5" customHeight="1" x14ac:dyDescent="0.45">
      <c r="B858" s="99"/>
      <c r="C858" s="42"/>
      <c r="D858" s="110"/>
      <c r="E858" s="47" t="s">
        <v>6</v>
      </c>
      <c r="F858" s="103">
        <v>3.6529680365296802</v>
      </c>
      <c r="G858" s="103">
        <v>10.50228310502283</v>
      </c>
      <c r="H858" s="103">
        <v>17.612524461839531</v>
      </c>
      <c r="I858" s="103">
        <v>25.440313111545986</v>
      </c>
      <c r="J858" s="103">
        <v>18.590998043052835</v>
      </c>
      <c r="K858" s="103">
        <v>15.720808871493801</v>
      </c>
      <c r="L858" s="103">
        <v>6.5231572080887146</v>
      </c>
      <c r="M858" s="103">
        <v>1.1741682974559686</v>
      </c>
      <c r="N858" s="103">
        <v>0.65231572080887146</v>
      </c>
      <c r="O858" s="103">
        <v>0.13046314416177429</v>
      </c>
      <c r="P858" s="42"/>
      <c r="Q858" s="110"/>
      <c r="R858" s="46" t="s">
        <v>6</v>
      </c>
      <c r="S858" s="103">
        <v>2.1566401816118046</v>
      </c>
      <c r="T858" s="103">
        <v>7.3779795686719636</v>
      </c>
      <c r="U858" s="103">
        <v>16.799091940976162</v>
      </c>
      <c r="V858" s="103">
        <v>25.993189557321227</v>
      </c>
      <c r="W858" s="103">
        <v>19.636776390465378</v>
      </c>
      <c r="X858" s="103">
        <v>17.934165720771851</v>
      </c>
      <c r="Y858" s="103">
        <v>7.7185017026106699</v>
      </c>
      <c r="Z858" s="103">
        <v>1.4755959137343928</v>
      </c>
      <c r="AA858" s="103">
        <v>0.79455164585698068</v>
      </c>
      <c r="AB858" s="103">
        <v>0.11350737797956867</v>
      </c>
      <c r="AC858" s="42"/>
      <c r="AD858" s="110"/>
      <c r="AE858" s="46" t="s">
        <v>6</v>
      </c>
      <c r="AF858" s="103">
        <v>5.6748466257668708</v>
      </c>
      <c r="AG858" s="103">
        <v>14.723926380368098</v>
      </c>
      <c r="AH858" s="103">
        <v>18.711656441717793</v>
      </c>
      <c r="AI858" s="103">
        <v>24.69325153374233</v>
      </c>
      <c r="AJ858" s="103">
        <v>17.177914110429448</v>
      </c>
      <c r="AK858" s="103">
        <v>12.73006134969325</v>
      </c>
      <c r="AL858" s="103">
        <v>4.9079754601226995</v>
      </c>
      <c r="AM858" s="103">
        <v>0.76687116564417179</v>
      </c>
      <c r="AN858" s="103">
        <v>0.46012269938650308</v>
      </c>
      <c r="AO858" s="103">
        <v>0.15337423312883436</v>
      </c>
      <c r="AP858" s="6"/>
      <c r="AQ858" s="110"/>
      <c r="AR858" s="46" t="s">
        <v>6</v>
      </c>
      <c r="AS858" s="103">
        <v>4.3478260869565215</v>
      </c>
      <c r="AT858" s="103">
        <v>14.548494983277591</v>
      </c>
      <c r="AU858" s="103">
        <v>19.565217391304348</v>
      </c>
      <c r="AV858" s="103">
        <v>25.585284280936456</v>
      </c>
      <c r="AW858" s="103">
        <v>15.050167224080269</v>
      </c>
      <c r="AX858" s="103">
        <v>13.879598662207357</v>
      </c>
      <c r="AY858" s="103">
        <v>6.0200668896321075</v>
      </c>
      <c r="AZ858" s="103">
        <v>0.50167224080267558</v>
      </c>
      <c r="BA858" s="103">
        <v>0.50167224080267558</v>
      </c>
      <c r="BB858" s="103">
        <v>0</v>
      </c>
      <c r="BC858" s="42"/>
      <c r="BD858" s="110"/>
      <c r="BE858" s="46" t="s">
        <v>6</v>
      </c>
      <c r="BF858" s="103">
        <v>3.2085561497326207</v>
      </c>
      <c r="BG858" s="103">
        <v>7.9144385026737973</v>
      </c>
      <c r="BH858" s="103">
        <v>16.363636363636363</v>
      </c>
      <c r="BI858" s="103">
        <v>25.347593582887701</v>
      </c>
      <c r="BJ858" s="103">
        <v>20.855614973262032</v>
      </c>
      <c r="BK858" s="103">
        <v>16.898395721925134</v>
      </c>
      <c r="BL858" s="103">
        <v>6.8449197860962565</v>
      </c>
      <c r="BM858" s="103">
        <v>1.6042780748663104</v>
      </c>
      <c r="BN858" s="103">
        <v>0.74866310160427807</v>
      </c>
      <c r="BO858" s="103">
        <v>0.21390374331550802</v>
      </c>
      <c r="BQ858" s="110"/>
      <c r="BR858" s="46" t="s">
        <v>6</v>
      </c>
      <c r="BS858" s="103">
        <v>6.4638783269961975</v>
      </c>
      <c r="BT858" s="103">
        <v>15.209125475285171</v>
      </c>
      <c r="BU858" s="103">
        <v>17.110266159695815</v>
      </c>
      <c r="BV858" s="103">
        <v>26.615969581749049</v>
      </c>
      <c r="BW858" s="103">
        <v>14.448669201520911</v>
      </c>
      <c r="BX858" s="103">
        <v>13.307984790874524</v>
      </c>
      <c r="BY858" s="103">
        <v>4.9429657794676807</v>
      </c>
      <c r="BZ858" s="103">
        <v>1.1406844106463878</v>
      </c>
      <c r="CA858" s="103">
        <v>0.38022813688212925</v>
      </c>
      <c r="CB858" s="103">
        <v>0.38022813688212925</v>
      </c>
      <c r="CC858" s="42"/>
      <c r="CD858" s="110"/>
      <c r="CE858" s="46" t="s">
        <v>6</v>
      </c>
      <c r="CF858" s="103">
        <v>3.0708661417322833</v>
      </c>
      <c r="CG858" s="103">
        <v>9.5275590551181111</v>
      </c>
      <c r="CH858" s="103">
        <v>17.716535433070867</v>
      </c>
      <c r="CI858" s="103">
        <v>25.196850393700785</v>
      </c>
      <c r="CJ858" s="103">
        <v>19.448818897637796</v>
      </c>
      <c r="CK858" s="103">
        <v>16.220472440944881</v>
      </c>
      <c r="CL858" s="103">
        <v>6.8503937007874018</v>
      </c>
      <c r="CM858" s="103">
        <v>1.1811023622047243</v>
      </c>
      <c r="CN858" s="103">
        <v>0.70866141732283461</v>
      </c>
      <c r="CO858" s="103">
        <v>7.874015748031496E-2</v>
      </c>
      <c r="CQ858" s="110"/>
      <c r="CR858" s="46" t="s">
        <v>6</v>
      </c>
      <c r="CS858" s="103">
        <v>2.1276595744680851</v>
      </c>
      <c r="CT858" s="103">
        <v>6.1170212765957448</v>
      </c>
      <c r="CU858" s="103">
        <v>10.638297872340425</v>
      </c>
      <c r="CV858" s="103">
        <v>22.606382978723406</v>
      </c>
      <c r="CW858" s="103">
        <v>23.138297872340424</v>
      </c>
      <c r="CX858" s="103">
        <v>21.276595744680851</v>
      </c>
      <c r="CY858" s="103">
        <v>10.904255319148938</v>
      </c>
      <c r="CZ858" s="103">
        <v>1.8617021276595744</v>
      </c>
      <c r="DA858" s="103">
        <v>1.0638297872340425</v>
      </c>
      <c r="DB858" s="103">
        <v>0.26595744680851063</v>
      </c>
      <c r="DC858" s="42"/>
      <c r="DD858" s="110"/>
      <c r="DE858" s="46" t="s">
        <v>6</v>
      </c>
      <c r="DF858" s="103">
        <v>4.1486603284356089</v>
      </c>
      <c r="DG858" s="103">
        <v>11.927398444252377</v>
      </c>
      <c r="DH858" s="103">
        <v>19.878997407087297</v>
      </c>
      <c r="DI858" s="103">
        <v>26.361279170267931</v>
      </c>
      <c r="DJ858" s="103">
        <v>17.113223854796889</v>
      </c>
      <c r="DK858" s="103">
        <v>13.915298184961106</v>
      </c>
      <c r="DL858" s="103">
        <v>5.0993949870354358</v>
      </c>
      <c r="DM858" s="103">
        <v>0.95073465859982709</v>
      </c>
      <c r="DN858" s="103">
        <v>0.51858254105445112</v>
      </c>
      <c r="DO858" s="103">
        <v>8.6430423509075191E-2</v>
      </c>
    </row>
    <row r="859" spans="2:119" ht="16.5" customHeight="1" x14ac:dyDescent="0.45">
      <c r="B859" s="99"/>
      <c r="C859" s="42"/>
      <c r="D859" s="110"/>
      <c r="E859" s="47" t="s">
        <v>7</v>
      </c>
      <c r="F859" s="103">
        <v>2.7165932452276063</v>
      </c>
      <c r="G859" s="103">
        <v>7.1953010279001468</v>
      </c>
      <c r="H859" s="103">
        <v>13.876651982378855</v>
      </c>
      <c r="I859" s="103">
        <v>21.953010279001468</v>
      </c>
      <c r="J859" s="103">
        <v>21.145374449339208</v>
      </c>
      <c r="K859" s="103">
        <v>18.024963289280471</v>
      </c>
      <c r="L859" s="103">
        <v>10.022026431718063</v>
      </c>
      <c r="M859" s="103">
        <v>3.7077826725403815</v>
      </c>
      <c r="N859" s="103">
        <v>1.1013215859030838</v>
      </c>
      <c r="O859" s="103">
        <v>0.25697503671071953</v>
      </c>
      <c r="P859" s="42"/>
      <c r="Q859" s="110"/>
      <c r="R859" s="46" t="s">
        <v>7</v>
      </c>
      <c r="S859" s="103">
        <v>1.4332247557003257</v>
      </c>
      <c r="T859" s="103">
        <v>4.8859934853420199</v>
      </c>
      <c r="U859" s="103">
        <v>11.205211726384364</v>
      </c>
      <c r="V859" s="103">
        <v>21.498371335504888</v>
      </c>
      <c r="W859" s="103">
        <v>21.042345276872965</v>
      </c>
      <c r="X859" s="103">
        <v>20.977198697068403</v>
      </c>
      <c r="Y859" s="103">
        <v>12.44299674267101</v>
      </c>
      <c r="Z859" s="103">
        <v>4.8208469055374588</v>
      </c>
      <c r="AA859" s="103">
        <v>1.498371335504886</v>
      </c>
      <c r="AB859" s="103">
        <v>0.19543973941368079</v>
      </c>
      <c r="AC859" s="42"/>
      <c r="AD859" s="110"/>
      <c r="AE859" s="46" t="s">
        <v>7</v>
      </c>
      <c r="AF859" s="103">
        <v>4.3734230445752731</v>
      </c>
      <c r="AG859" s="103">
        <v>10.176619007569386</v>
      </c>
      <c r="AH859" s="103">
        <v>17.325483599663581</v>
      </c>
      <c r="AI859" s="103">
        <v>22.539949537426409</v>
      </c>
      <c r="AJ859" s="103">
        <v>21.278385197645079</v>
      </c>
      <c r="AK859" s="103">
        <v>14.213624894869639</v>
      </c>
      <c r="AL859" s="103">
        <v>6.8965517241379306</v>
      </c>
      <c r="AM859" s="103">
        <v>2.2708158116063917</v>
      </c>
      <c r="AN859" s="103">
        <v>0.58873002523128681</v>
      </c>
      <c r="AO859" s="103">
        <v>0.33641715727502103</v>
      </c>
      <c r="AP859" s="6"/>
      <c r="AQ859" s="110"/>
      <c r="AR859" s="46" t="s">
        <v>7</v>
      </c>
      <c r="AS859" s="103">
        <v>3.4482758620689653</v>
      </c>
      <c r="AT859" s="103">
        <v>9.1625615763546797</v>
      </c>
      <c r="AU859" s="103">
        <v>15.467980295566502</v>
      </c>
      <c r="AV859" s="103">
        <v>21.2807881773399</v>
      </c>
      <c r="AW859" s="103">
        <v>21.182266009852217</v>
      </c>
      <c r="AX859" s="103">
        <v>16.354679802955665</v>
      </c>
      <c r="AY859" s="103">
        <v>9.0640394088669947</v>
      </c>
      <c r="AZ859" s="103">
        <v>3.152709359605911</v>
      </c>
      <c r="BA859" s="103">
        <v>0.78817733990147776</v>
      </c>
      <c r="BB859" s="103">
        <v>9.852216748768472E-2</v>
      </c>
      <c r="BC859" s="42"/>
      <c r="BD859" s="110"/>
      <c r="BE859" s="46" t="s">
        <v>7</v>
      </c>
      <c r="BF859" s="103">
        <v>2.2820362785254535</v>
      </c>
      <c r="BG859" s="103">
        <v>6.0269163253364537</v>
      </c>
      <c r="BH859" s="103">
        <v>12.931538911644235</v>
      </c>
      <c r="BI859" s="103">
        <v>22.352252779403159</v>
      </c>
      <c r="BJ859" s="103">
        <v>21.1234640140433</v>
      </c>
      <c r="BK859" s="103">
        <v>19.016968987712112</v>
      </c>
      <c r="BL859" s="103">
        <v>10.590988882387361</v>
      </c>
      <c r="BM859" s="103">
        <v>4.0374488004681099</v>
      </c>
      <c r="BN859" s="103">
        <v>1.2873025160912814</v>
      </c>
      <c r="BO859" s="103">
        <v>0.35108250438853128</v>
      </c>
      <c r="BQ859" s="110"/>
      <c r="BR859" s="46" t="s">
        <v>7</v>
      </c>
      <c r="BS859" s="103">
        <v>4.6153846153846159</v>
      </c>
      <c r="BT859" s="103">
        <v>10.153846153846153</v>
      </c>
      <c r="BU859" s="103">
        <v>17.23076923076923</v>
      </c>
      <c r="BV859" s="103">
        <v>27.384615384615387</v>
      </c>
      <c r="BW859" s="103">
        <v>15.076923076923077</v>
      </c>
      <c r="BX859" s="103">
        <v>13.846153846153847</v>
      </c>
      <c r="BY859" s="103">
        <v>6.4615384615384617</v>
      </c>
      <c r="BZ859" s="103">
        <v>3.3846153846153846</v>
      </c>
      <c r="CA859" s="103">
        <v>1.5384615384615385</v>
      </c>
      <c r="CB859" s="103">
        <v>0.30769230769230771</v>
      </c>
      <c r="CC859" s="42"/>
      <c r="CD859" s="110"/>
      <c r="CE859" s="46" t="s">
        <v>7</v>
      </c>
      <c r="CF859" s="103">
        <v>2.459358065860775</v>
      </c>
      <c r="CG859" s="103">
        <v>6.7944977073780732</v>
      </c>
      <c r="CH859" s="103">
        <v>13.42225927469779</v>
      </c>
      <c r="CI859" s="103">
        <v>21.217173822426012</v>
      </c>
      <c r="CJ859" s="103">
        <v>21.967486452688618</v>
      </c>
      <c r="CK859" s="103">
        <v>18.591079616506878</v>
      </c>
      <c r="CL859" s="103">
        <v>10.504376823676532</v>
      </c>
      <c r="CM859" s="103">
        <v>3.751563151313047</v>
      </c>
      <c r="CN859" s="103">
        <v>1.0421008753647354</v>
      </c>
      <c r="CO859" s="103">
        <v>0.25010421008753647</v>
      </c>
      <c r="CQ859" s="110"/>
      <c r="CR859" s="46" t="s">
        <v>7</v>
      </c>
      <c r="CS859" s="103">
        <v>0.66115702479338845</v>
      </c>
      <c r="CT859" s="103">
        <v>2.9752066115702478</v>
      </c>
      <c r="CU859" s="103">
        <v>6.776859504132231</v>
      </c>
      <c r="CV859" s="103">
        <v>19.834710743801654</v>
      </c>
      <c r="CW859" s="103">
        <v>23.305785123966942</v>
      </c>
      <c r="CX859" s="103">
        <v>23.305785123966942</v>
      </c>
      <c r="CY859" s="103">
        <v>14.214876033057852</v>
      </c>
      <c r="CZ859" s="103">
        <v>6.6115702479338845</v>
      </c>
      <c r="DA859" s="103">
        <v>1.8181818181818181</v>
      </c>
      <c r="DB859" s="103">
        <v>0.49586776859504134</v>
      </c>
      <c r="DC859" s="42"/>
      <c r="DD859" s="110"/>
      <c r="DE859" s="46" t="s">
        <v>7</v>
      </c>
      <c r="DF859" s="103">
        <v>3.3034450212364321</v>
      </c>
      <c r="DG859" s="103">
        <v>8.4001887682869274</v>
      </c>
      <c r="DH859" s="103">
        <v>15.903728173666822</v>
      </c>
      <c r="DI859" s="103">
        <v>22.557810287871639</v>
      </c>
      <c r="DJ859" s="103">
        <v>20.528551203397829</v>
      </c>
      <c r="DK859" s="103">
        <v>16.517225106182163</v>
      </c>
      <c r="DL859" s="103">
        <v>8.8249174138744699</v>
      </c>
      <c r="DM859" s="103">
        <v>2.8787163756488909</v>
      </c>
      <c r="DN859" s="103">
        <v>0.89664936290703157</v>
      </c>
      <c r="DO859" s="103">
        <v>0.18876828692779613</v>
      </c>
    </row>
    <row r="860" spans="2:119" ht="16.5" customHeight="1" x14ac:dyDescent="0.45">
      <c r="B860" s="99"/>
      <c r="C860" s="42"/>
      <c r="D860" s="110"/>
      <c r="E860" s="47" t="s">
        <v>8</v>
      </c>
      <c r="F860" s="103">
        <v>1.5986297459320582</v>
      </c>
      <c r="G860" s="103">
        <v>4.1964030830716528</v>
      </c>
      <c r="H860" s="103">
        <v>8.6211818441335986</v>
      </c>
      <c r="I860" s="103">
        <v>16.01484441906937</v>
      </c>
      <c r="J860" s="103">
        <v>19.840137025406797</v>
      </c>
      <c r="K860" s="103">
        <v>21.210391093348559</v>
      </c>
      <c r="L860" s="103">
        <v>16.785612332286611</v>
      </c>
      <c r="M860" s="103">
        <v>7.6505852126748497</v>
      </c>
      <c r="N860" s="103">
        <v>3.1401655723665427</v>
      </c>
      <c r="O860" s="103">
        <v>0.94204967170996279</v>
      </c>
      <c r="P860" s="42"/>
      <c r="Q860" s="110"/>
      <c r="R860" s="46" t="s">
        <v>8</v>
      </c>
      <c r="S860" s="103">
        <v>0.36307053941908712</v>
      </c>
      <c r="T860" s="103">
        <v>2.2821576763485476</v>
      </c>
      <c r="U860" s="103">
        <v>5.8609958506224062</v>
      </c>
      <c r="V860" s="103">
        <v>13.589211618257261</v>
      </c>
      <c r="W860" s="103">
        <v>19.553941908713693</v>
      </c>
      <c r="X860" s="103">
        <v>23.28838174273859</v>
      </c>
      <c r="Y860" s="103">
        <v>19.813278008298756</v>
      </c>
      <c r="Z860" s="103">
        <v>9.4398340248962658</v>
      </c>
      <c r="AA860" s="103">
        <v>4.6161825726141084</v>
      </c>
      <c r="AB860" s="103">
        <v>1.1929460580912863</v>
      </c>
      <c r="AC860" s="42"/>
      <c r="AD860" s="110"/>
      <c r="AE860" s="46" t="s">
        <v>8</v>
      </c>
      <c r="AF860" s="103">
        <v>3.1111111111111112</v>
      </c>
      <c r="AG860" s="103">
        <v>6.5396825396825395</v>
      </c>
      <c r="AH860" s="103">
        <v>12</v>
      </c>
      <c r="AI860" s="103">
        <v>18.984126984126984</v>
      </c>
      <c r="AJ860" s="103">
        <v>20.19047619047619</v>
      </c>
      <c r="AK860" s="103">
        <v>18.666666666666668</v>
      </c>
      <c r="AL860" s="103">
        <v>13.079365079365079</v>
      </c>
      <c r="AM860" s="103">
        <v>5.4603174603174605</v>
      </c>
      <c r="AN860" s="103">
        <v>1.3333333333333335</v>
      </c>
      <c r="AO860" s="103">
        <v>0.63492063492063489</v>
      </c>
      <c r="AP860" s="6"/>
      <c r="AQ860" s="110"/>
      <c r="AR860" s="46" t="s">
        <v>8</v>
      </c>
      <c r="AS860" s="103">
        <v>2.3518344308560679</v>
      </c>
      <c r="AT860" s="103">
        <v>6.2088428974600189</v>
      </c>
      <c r="AU860" s="103">
        <v>9.6895578551269992</v>
      </c>
      <c r="AV860" s="103">
        <v>17.309501411100658</v>
      </c>
      <c r="AW860" s="103">
        <v>18.344308560677327</v>
      </c>
      <c r="AX860" s="103">
        <v>19.661335841956724</v>
      </c>
      <c r="AY860" s="103">
        <v>14.957666980244591</v>
      </c>
      <c r="AZ860" s="103">
        <v>7.4317968015051736</v>
      </c>
      <c r="BA860" s="103">
        <v>3.2925682031984946</v>
      </c>
      <c r="BB860" s="103">
        <v>0.75258701787394167</v>
      </c>
      <c r="BC860" s="42"/>
      <c r="BD860" s="110"/>
      <c r="BE860" s="46" t="s">
        <v>8</v>
      </c>
      <c r="BF860" s="103">
        <v>1.2704918032786885</v>
      </c>
      <c r="BG860" s="103">
        <v>3.3196721311475406</v>
      </c>
      <c r="BH860" s="103">
        <v>8.1557377049180335</v>
      </c>
      <c r="BI860" s="103">
        <v>15.450819672131146</v>
      </c>
      <c r="BJ860" s="103">
        <v>20.491803278688526</v>
      </c>
      <c r="BK860" s="103">
        <v>21.885245901639344</v>
      </c>
      <c r="BL860" s="103">
        <v>17.581967213114755</v>
      </c>
      <c r="BM860" s="103">
        <v>7.7459016393442619</v>
      </c>
      <c r="BN860" s="103">
        <v>3.0737704918032787</v>
      </c>
      <c r="BO860" s="103">
        <v>1.0245901639344261</v>
      </c>
      <c r="BQ860" s="110"/>
      <c r="BR860" s="46" t="s">
        <v>8</v>
      </c>
      <c r="BS860" s="103">
        <v>5.1470588235294112</v>
      </c>
      <c r="BT860" s="103">
        <v>8.4558823529411775</v>
      </c>
      <c r="BU860" s="103">
        <v>12.5</v>
      </c>
      <c r="BV860" s="103">
        <v>18.382352941176471</v>
      </c>
      <c r="BW860" s="103">
        <v>19.485294117647058</v>
      </c>
      <c r="BX860" s="103">
        <v>16.544117647058822</v>
      </c>
      <c r="BY860" s="103">
        <v>10.661764705882353</v>
      </c>
      <c r="BZ860" s="103">
        <v>5.1470588235294112</v>
      </c>
      <c r="CA860" s="103">
        <v>1.8382352941176472</v>
      </c>
      <c r="CB860" s="103">
        <v>1.8382352941176472</v>
      </c>
      <c r="CC860" s="42"/>
      <c r="CD860" s="110"/>
      <c r="CE860" s="46" t="s">
        <v>8</v>
      </c>
      <c r="CF860" s="103">
        <v>1.2999071494893222</v>
      </c>
      <c r="CG860" s="103">
        <v>3.8378211080160942</v>
      </c>
      <c r="CH860" s="103">
        <v>8.2946456205509129</v>
      </c>
      <c r="CI860" s="103">
        <v>15.815536985453422</v>
      </c>
      <c r="CJ860" s="103">
        <v>19.870009285051069</v>
      </c>
      <c r="CK860" s="103">
        <v>21.6032188177035</v>
      </c>
      <c r="CL860" s="103">
        <v>17.301145156298357</v>
      </c>
      <c r="CM860" s="103">
        <v>7.8613432373878052</v>
      </c>
      <c r="CN860" s="103">
        <v>3.2497678737233056</v>
      </c>
      <c r="CO860" s="103">
        <v>0.86660476632621475</v>
      </c>
      <c r="CQ860" s="110"/>
      <c r="CR860" s="46" t="s">
        <v>8</v>
      </c>
      <c r="CS860" s="103">
        <v>0.78125</v>
      </c>
      <c r="CT860" s="103">
        <v>1.8229166666666667</v>
      </c>
      <c r="CU860" s="103">
        <v>3.7760416666666665</v>
      </c>
      <c r="CV860" s="103">
        <v>13.020833333333334</v>
      </c>
      <c r="CW860" s="103">
        <v>18.359375</v>
      </c>
      <c r="CX860" s="103">
        <v>24.348958333333336</v>
      </c>
      <c r="CY860" s="103">
        <v>18.880208333333336</v>
      </c>
      <c r="CZ860" s="103">
        <v>11.979166666666668</v>
      </c>
      <c r="DA860" s="103">
        <v>5.46875</v>
      </c>
      <c r="DB860" s="103">
        <v>1.5625</v>
      </c>
      <c r="DC860" s="42"/>
      <c r="DD860" s="110"/>
      <c r="DE860" s="46" t="s">
        <v>8</v>
      </c>
      <c r="DF860" s="103">
        <v>1.8281535648994516</v>
      </c>
      <c r="DG860" s="103">
        <v>4.8628884826325409</v>
      </c>
      <c r="DH860" s="103">
        <v>9.9817184643510046</v>
      </c>
      <c r="DI860" s="103">
        <v>16.855575868372945</v>
      </c>
      <c r="DJ860" s="103">
        <v>20.255941499085921</v>
      </c>
      <c r="DK860" s="103">
        <v>20.329067641681899</v>
      </c>
      <c r="DL860" s="103">
        <v>16.19744058500914</v>
      </c>
      <c r="DM860" s="103">
        <v>6.4351005484460693</v>
      </c>
      <c r="DN860" s="103">
        <v>2.4862888482632539</v>
      </c>
      <c r="DO860" s="103">
        <v>0.76782449725776958</v>
      </c>
    </row>
    <row r="861" spans="2:119" ht="16.5" customHeight="1" x14ac:dyDescent="0.45">
      <c r="B861" s="99"/>
      <c r="C861" s="42"/>
      <c r="D861" s="110"/>
      <c r="E861" s="47" t="s">
        <v>9</v>
      </c>
      <c r="F861" s="103">
        <v>0.78556881000872858</v>
      </c>
      <c r="G861" s="103">
        <v>2.5603724178062266</v>
      </c>
      <c r="H861" s="103">
        <v>4.5679371544951985</v>
      </c>
      <c r="I861" s="103">
        <v>10.707011929007857</v>
      </c>
      <c r="J861" s="103">
        <v>15.536805353505963</v>
      </c>
      <c r="K861" s="103">
        <v>21.472214140238581</v>
      </c>
      <c r="L861" s="103">
        <v>20.628455048006984</v>
      </c>
      <c r="M861" s="103">
        <v>13.412860052371252</v>
      </c>
      <c r="N861" s="103">
        <v>7.6520221123072441</v>
      </c>
      <c r="O861" s="103">
        <v>2.6767529822519642</v>
      </c>
      <c r="P861" s="42"/>
      <c r="Q861" s="110"/>
      <c r="R861" s="46" t="s">
        <v>9</v>
      </c>
      <c r="S861" s="103">
        <v>0.48701298701298701</v>
      </c>
      <c r="T861" s="103">
        <v>1.5692640692640691</v>
      </c>
      <c r="U861" s="103">
        <v>2.9220779220779218</v>
      </c>
      <c r="V861" s="103">
        <v>8.9285714285714288</v>
      </c>
      <c r="W861" s="103">
        <v>13.474025974025974</v>
      </c>
      <c r="X861" s="103">
        <v>20.238095238095237</v>
      </c>
      <c r="Y861" s="103">
        <v>22.186147186147188</v>
      </c>
      <c r="Z861" s="103">
        <v>15.638528138528137</v>
      </c>
      <c r="AA861" s="103">
        <v>10.38961038961039</v>
      </c>
      <c r="AB861" s="103">
        <v>4.1666666666666661</v>
      </c>
      <c r="AC861" s="42"/>
      <c r="AD861" s="110"/>
      <c r="AE861" s="46" t="s">
        <v>9</v>
      </c>
      <c r="AF861" s="103">
        <v>1.1327879169288861</v>
      </c>
      <c r="AG861" s="103">
        <v>3.7130270610446825</v>
      </c>
      <c r="AH861" s="103">
        <v>6.4820641913152928</v>
      </c>
      <c r="AI861" s="103">
        <v>12.77533039647577</v>
      </c>
      <c r="AJ861" s="103">
        <v>17.935808684707364</v>
      </c>
      <c r="AK861" s="103">
        <v>22.907488986784141</v>
      </c>
      <c r="AL861" s="103">
        <v>18.816865953429829</v>
      </c>
      <c r="AM861" s="103">
        <v>10.824417872876023</v>
      </c>
      <c r="AN861" s="103">
        <v>4.4682190056639399</v>
      </c>
      <c r="AO861" s="103">
        <v>0.94398993077407178</v>
      </c>
      <c r="AP861" s="6"/>
      <c r="AQ861" s="110"/>
      <c r="AR861" s="46" t="s">
        <v>9</v>
      </c>
      <c r="AS861" s="103">
        <v>1.6355140186915886</v>
      </c>
      <c r="AT861" s="103">
        <v>4.7897196261682238</v>
      </c>
      <c r="AU861" s="103">
        <v>6.5420560747663545</v>
      </c>
      <c r="AV861" s="103">
        <v>13.200934579439252</v>
      </c>
      <c r="AW861" s="103">
        <v>14.953271028037381</v>
      </c>
      <c r="AX861" s="103">
        <v>19.509345794392523</v>
      </c>
      <c r="AY861" s="103">
        <v>19.158878504672895</v>
      </c>
      <c r="AZ861" s="103">
        <v>11.214953271028037</v>
      </c>
      <c r="BA861" s="103">
        <v>6.0747663551401869</v>
      </c>
      <c r="BB861" s="103">
        <v>2.9205607476635516</v>
      </c>
      <c r="BC861" s="42"/>
      <c r="BD861" s="110"/>
      <c r="BE861" s="46" t="s">
        <v>9</v>
      </c>
      <c r="BF861" s="103">
        <v>0.50368074389771411</v>
      </c>
      <c r="BG861" s="103">
        <v>1.8209996125532739</v>
      </c>
      <c r="BH861" s="103">
        <v>3.9132119333591633</v>
      </c>
      <c r="BI861" s="103">
        <v>9.8798915149166984</v>
      </c>
      <c r="BJ861" s="103">
        <v>15.730337078651685</v>
      </c>
      <c r="BK861" s="103">
        <v>22.123208058891901</v>
      </c>
      <c r="BL861" s="103">
        <v>21.115846571096476</v>
      </c>
      <c r="BM861" s="103">
        <v>14.141805501743509</v>
      </c>
      <c r="BN861" s="103">
        <v>8.1751259201859749</v>
      </c>
      <c r="BO861" s="103">
        <v>2.5958930647036036</v>
      </c>
      <c r="BQ861" s="110"/>
      <c r="BR861" s="46" t="s">
        <v>9</v>
      </c>
      <c r="BS861" s="103">
        <v>1.9417475728155338</v>
      </c>
      <c r="BT861" s="103">
        <v>6.3106796116504853</v>
      </c>
      <c r="BU861" s="103">
        <v>6.3106796116504853</v>
      </c>
      <c r="BV861" s="103">
        <v>16.50485436893204</v>
      </c>
      <c r="BW861" s="103">
        <v>16.990291262135923</v>
      </c>
      <c r="BX861" s="103">
        <v>15.53398058252427</v>
      </c>
      <c r="BY861" s="103">
        <v>19.902912621359224</v>
      </c>
      <c r="BZ861" s="103">
        <v>8.7378640776699026</v>
      </c>
      <c r="CA861" s="103">
        <v>5.3398058252427179</v>
      </c>
      <c r="CB861" s="103">
        <v>2.4271844660194173</v>
      </c>
      <c r="CC861" s="42"/>
      <c r="CD861" s="110"/>
      <c r="CE861" s="46" t="s">
        <v>9</v>
      </c>
      <c r="CF861" s="103">
        <v>0.71185391519653352</v>
      </c>
      <c r="CG861" s="103">
        <v>2.3212627669452179</v>
      </c>
      <c r="CH861" s="103">
        <v>4.4568245125348191</v>
      </c>
      <c r="CI861" s="103">
        <v>10.337356855462705</v>
      </c>
      <c r="CJ861" s="103">
        <v>15.444134942742185</v>
      </c>
      <c r="CK861" s="103">
        <v>21.85082017951099</v>
      </c>
      <c r="CL861" s="103">
        <v>20.67471371092541</v>
      </c>
      <c r="CM861" s="103">
        <v>13.710925410089756</v>
      </c>
      <c r="CN861" s="103">
        <v>7.7994428969359335</v>
      </c>
      <c r="CO861" s="103">
        <v>2.6926648096564532</v>
      </c>
      <c r="CQ861" s="110"/>
      <c r="CR861" s="46" t="s">
        <v>9</v>
      </c>
      <c r="CS861" s="103">
        <v>0.40927694406548432</v>
      </c>
      <c r="CT861" s="103">
        <v>0.68212824010914053</v>
      </c>
      <c r="CU861" s="103">
        <v>2.4556616643929061</v>
      </c>
      <c r="CV861" s="103">
        <v>6.8212824010914055</v>
      </c>
      <c r="CW861" s="103">
        <v>12.005457025920874</v>
      </c>
      <c r="CX861" s="103">
        <v>16.780354706684857</v>
      </c>
      <c r="CY861" s="103">
        <v>25.920873124147342</v>
      </c>
      <c r="CZ861" s="103">
        <v>18.963165075034105</v>
      </c>
      <c r="DA861" s="103">
        <v>10.777626193724419</v>
      </c>
      <c r="DB861" s="103">
        <v>5.1841746248294678</v>
      </c>
      <c r="DC861" s="42"/>
      <c r="DD861" s="110"/>
      <c r="DE861" s="46" t="s">
        <v>9</v>
      </c>
      <c r="DF861" s="103">
        <v>0.8875739644970414</v>
      </c>
      <c r="DG861" s="103">
        <v>3.0695266272189348</v>
      </c>
      <c r="DH861" s="103">
        <v>5.140532544378698</v>
      </c>
      <c r="DI861" s="103">
        <v>11.760355029585799</v>
      </c>
      <c r="DJ861" s="103">
        <v>16.494082840236686</v>
      </c>
      <c r="DK861" s="103">
        <v>22.744082840236686</v>
      </c>
      <c r="DL861" s="103">
        <v>19.193786982248522</v>
      </c>
      <c r="DM861" s="103">
        <v>11.908284023668639</v>
      </c>
      <c r="DN861" s="103">
        <v>6.8047337278106506</v>
      </c>
      <c r="DO861" s="103">
        <v>1.9970414201183433</v>
      </c>
    </row>
    <row r="862" spans="2:119" ht="16.5" customHeight="1" x14ac:dyDescent="0.45">
      <c r="B862" s="99"/>
      <c r="C862" s="42"/>
      <c r="D862" s="110"/>
      <c r="E862" s="47" t="s">
        <v>10</v>
      </c>
      <c r="F862" s="103">
        <v>8.1267777326290119E-2</v>
      </c>
      <c r="G862" s="103">
        <v>0.73140999593661105</v>
      </c>
      <c r="H862" s="103">
        <v>1.7066233238520925</v>
      </c>
      <c r="I862" s="103">
        <v>4.9167005282405531</v>
      </c>
      <c r="J862" s="103">
        <v>8.6550182852498985</v>
      </c>
      <c r="K862" s="103">
        <v>18.569687119057292</v>
      </c>
      <c r="L862" s="103">
        <v>25.477448191791957</v>
      </c>
      <c r="M862" s="103">
        <v>19.788703778951646</v>
      </c>
      <c r="N862" s="103">
        <v>12.718407151564403</v>
      </c>
      <c r="O862" s="103">
        <v>7.3547338480292561</v>
      </c>
      <c r="P862" s="42"/>
      <c r="Q862" s="110"/>
      <c r="R862" s="46" t="s">
        <v>10</v>
      </c>
      <c r="S862" s="103">
        <v>7.9428117553613981E-2</v>
      </c>
      <c r="T862" s="103">
        <v>7.9428117553613981E-2</v>
      </c>
      <c r="U862" s="103">
        <v>0.87370929308975376</v>
      </c>
      <c r="V862" s="103">
        <v>3.0182684670373314</v>
      </c>
      <c r="W862" s="103">
        <v>6.5131056393963469</v>
      </c>
      <c r="X862" s="103">
        <v>15.647339158061953</v>
      </c>
      <c r="Y862" s="103">
        <v>26.290706910246225</v>
      </c>
      <c r="Z862" s="103">
        <v>22.1604447974583</v>
      </c>
      <c r="AA862" s="103">
        <v>15.488482922954727</v>
      </c>
      <c r="AB862" s="103">
        <v>9.8490865766481335</v>
      </c>
      <c r="AC862" s="42"/>
      <c r="AD862" s="110"/>
      <c r="AE862" s="46" t="s">
        <v>10</v>
      </c>
      <c r="AF862" s="103">
        <v>8.3194675540765387E-2</v>
      </c>
      <c r="AG862" s="103">
        <v>1.4143094841930115</v>
      </c>
      <c r="AH862" s="103">
        <v>2.5790349417637271</v>
      </c>
      <c r="AI862" s="103">
        <v>6.9051580698835267</v>
      </c>
      <c r="AJ862" s="103">
        <v>10.898502495840265</v>
      </c>
      <c r="AK862" s="103">
        <v>21.630615640599</v>
      </c>
      <c r="AL862" s="103">
        <v>24.625623960066555</v>
      </c>
      <c r="AM862" s="103">
        <v>17.304492512479204</v>
      </c>
      <c r="AN862" s="103">
        <v>9.8169717138103163</v>
      </c>
      <c r="AO862" s="103">
        <v>4.7420965058236275</v>
      </c>
      <c r="AP862" s="6"/>
      <c r="AQ862" s="110"/>
      <c r="AR862" s="46" t="s">
        <v>10</v>
      </c>
      <c r="AS862" s="103">
        <v>0</v>
      </c>
      <c r="AT862" s="103">
        <v>1.0548523206751055</v>
      </c>
      <c r="AU862" s="103">
        <v>3.3755274261603372</v>
      </c>
      <c r="AV862" s="103">
        <v>7.3839662447257384</v>
      </c>
      <c r="AW862" s="103">
        <v>10.126582278481013</v>
      </c>
      <c r="AX862" s="103">
        <v>21.09704641350211</v>
      </c>
      <c r="AY862" s="103">
        <v>23.628691983122362</v>
      </c>
      <c r="AZ862" s="103">
        <v>17.932489451476794</v>
      </c>
      <c r="BA862" s="103">
        <v>9.9156118143459917</v>
      </c>
      <c r="BB862" s="103">
        <v>5.485232067510549</v>
      </c>
      <c r="BC862" s="42"/>
      <c r="BD862" s="110"/>
      <c r="BE862" s="46" t="s">
        <v>10</v>
      </c>
      <c r="BF862" s="103">
        <v>0.10065425264217413</v>
      </c>
      <c r="BG862" s="103">
        <v>0.65425264217413193</v>
      </c>
      <c r="BH862" s="103">
        <v>1.3085052843482639</v>
      </c>
      <c r="BI862" s="103">
        <v>4.3281328636134875</v>
      </c>
      <c r="BJ862" s="103">
        <v>8.3039758429793658</v>
      </c>
      <c r="BK862" s="103">
        <v>17.966784096628082</v>
      </c>
      <c r="BL862" s="103">
        <v>25.918470055359837</v>
      </c>
      <c r="BM862" s="103">
        <v>20.231504781077</v>
      </c>
      <c r="BN862" s="103">
        <v>13.387015601409161</v>
      </c>
      <c r="BO862" s="103">
        <v>7.800704579768496</v>
      </c>
      <c r="BQ862" s="110"/>
      <c r="BR862" s="46" t="s">
        <v>10</v>
      </c>
      <c r="BS862" s="103">
        <v>0</v>
      </c>
      <c r="BT862" s="103">
        <v>2.4193548387096775</v>
      </c>
      <c r="BU862" s="103">
        <v>4.032258064516129</v>
      </c>
      <c r="BV862" s="103">
        <v>9.67741935483871</v>
      </c>
      <c r="BW862" s="103">
        <v>9.67741935483871</v>
      </c>
      <c r="BX862" s="103">
        <v>20.161290322580644</v>
      </c>
      <c r="BY862" s="103">
        <v>20.967741935483872</v>
      </c>
      <c r="BZ862" s="103">
        <v>13.709677419354838</v>
      </c>
      <c r="CA862" s="103">
        <v>10.483870967741936</v>
      </c>
      <c r="CB862" s="103">
        <v>8.870967741935484</v>
      </c>
      <c r="CC862" s="42"/>
      <c r="CD862" s="110"/>
      <c r="CE862" s="46" t="s">
        <v>10</v>
      </c>
      <c r="CF862" s="103">
        <v>8.5579803166452723E-2</v>
      </c>
      <c r="CG862" s="103">
        <v>0.64184852374839541</v>
      </c>
      <c r="CH862" s="103">
        <v>1.5832263585793753</v>
      </c>
      <c r="CI862" s="103">
        <v>4.664099272571673</v>
      </c>
      <c r="CJ862" s="103">
        <v>8.6007702182284991</v>
      </c>
      <c r="CK862" s="103">
        <v>18.485237483953789</v>
      </c>
      <c r="CL862" s="103">
        <v>25.716730851519042</v>
      </c>
      <c r="CM862" s="103">
        <v>20.111253744116389</v>
      </c>
      <c r="CN862" s="103">
        <v>12.836970474967908</v>
      </c>
      <c r="CO862" s="103">
        <v>7.2742832691484809</v>
      </c>
      <c r="CQ862" s="110"/>
      <c r="CR862" s="46" t="s">
        <v>10</v>
      </c>
      <c r="CS862" s="103">
        <v>0</v>
      </c>
      <c r="CT862" s="103">
        <v>0</v>
      </c>
      <c r="CU862" s="103">
        <v>1.411290322580645</v>
      </c>
      <c r="CV862" s="103">
        <v>3.6290322580645165</v>
      </c>
      <c r="CW862" s="103">
        <v>7.459677419354839</v>
      </c>
      <c r="CX862" s="103">
        <v>15.524193548387096</v>
      </c>
      <c r="CY862" s="103">
        <v>24.39516129032258</v>
      </c>
      <c r="CZ862" s="103">
        <v>22.983870967741936</v>
      </c>
      <c r="DA862" s="103">
        <v>13.508064516129032</v>
      </c>
      <c r="DB862" s="103">
        <v>11.088709677419354</v>
      </c>
      <c r="DC862" s="42"/>
      <c r="DD862" s="110"/>
      <c r="DE862" s="46" t="s">
        <v>10</v>
      </c>
      <c r="DF862" s="103">
        <v>0.10178117048346055</v>
      </c>
      <c r="DG862" s="103">
        <v>0.91603053435114512</v>
      </c>
      <c r="DH862" s="103">
        <v>1.7811704834605597</v>
      </c>
      <c r="DI862" s="103">
        <v>5.2417302798982188</v>
      </c>
      <c r="DJ862" s="103">
        <v>8.9567430025445294</v>
      </c>
      <c r="DK862" s="103">
        <v>19.338422391857506</v>
      </c>
      <c r="DL862" s="103">
        <v>25.750636132315524</v>
      </c>
      <c r="DM862" s="103">
        <v>18.982188295165393</v>
      </c>
      <c r="DN862" s="103">
        <v>12.519083969465649</v>
      </c>
      <c r="DO862" s="103">
        <v>6.4122137404580153</v>
      </c>
    </row>
    <row r="863" spans="2:119" ht="16.5" customHeight="1" x14ac:dyDescent="0.45">
      <c r="B863" s="99"/>
      <c r="C863" s="42"/>
      <c r="D863" s="111"/>
      <c r="E863" s="47" t="s">
        <v>11</v>
      </c>
      <c r="F863" s="103">
        <v>0</v>
      </c>
      <c r="G863" s="103">
        <v>0.21413276231263384</v>
      </c>
      <c r="H863" s="103">
        <v>0.42826552462526768</v>
      </c>
      <c r="I863" s="103">
        <v>1.070663811563169</v>
      </c>
      <c r="J863" s="103">
        <v>4.0685224839400433</v>
      </c>
      <c r="K863" s="103">
        <v>8.1370449678800867</v>
      </c>
      <c r="L863" s="103">
        <v>18.41541755888651</v>
      </c>
      <c r="M863" s="103">
        <v>24.839400428265524</v>
      </c>
      <c r="N863" s="103">
        <v>23.768736616702355</v>
      </c>
      <c r="O863" s="103">
        <v>19.057815845824411</v>
      </c>
      <c r="P863" s="42"/>
      <c r="Q863" s="111"/>
      <c r="R863" s="46" t="s">
        <v>11</v>
      </c>
      <c r="S863" s="103">
        <v>0</v>
      </c>
      <c r="T863" s="103">
        <v>0</v>
      </c>
      <c r="U863" s="103">
        <v>0.41666666666666669</v>
      </c>
      <c r="V863" s="103">
        <v>0.41666666666666669</v>
      </c>
      <c r="W863" s="103">
        <v>3.75</v>
      </c>
      <c r="X863" s="103">
        <v>7.083333333333333</v>
      </c>
      <c r="Y863" s="103">
        <v>12.916666666666668</v>
      </c>
      <c r="Z863" s="103">
        <v>27.083333333333332</v>
      </c>
      <c r="AA863" s="103">
        <v>29.166666666666668</v>
      </c>
      <c r="AB863" s="103">
        <v>19.166666666666668</v>
      </c>
      <c r="AC863" s="42"/>
      <c r="AD863" s="111"/>
      <c r="AE863" s="46" t="s">
        <v>11</v>
      </c>
      <c r="AF863" s="103">
        <v>0</v>
      </c>
      <c r="AG863" s="103">
        <v>0.44052863436123352</v>
      </c>
      <c r="AH863" s="103">
        <v>0.44052863436123352</v>
      </c>
      <c r="AI863" s="103">
        <v>1.7621145374449341</v>
      </c>
      <c r="AJ863" s="103">
        <v>4.4052863436123353</v>
      </c>
      <c r="AK863" s="103">
        <v>9.251101321585903</v>
      </c>
      <c r="AL863" s="103">
        <v>24.229074889867842</v>
      </c>
      <c r="AM863" s="103">
        <v>22.466960352422909</v>
      </c>
      <c r="AN863" s="103">
        <v>18.06167400881057</v>
      </c>
      <c r="AO863" s="103">
        <v>18.942731277533039</v>
      </c>
      <c r="AP863" s="6"/>
      <c r="AQ863" s="111"/>
      <c r="AR863" s="46" t="s">
        <v>11</v>
      </c>
      <c r="AS863" s="103">
        <v>0</v>
      </c>
      <c r="AT863" s="103">
        <v>1.8867924528301887</v>
      </c>
      <c r="AU863" s="103">
        <v>0</v>
      </c>
      <c r="AV863" s="103">
        <v>0</v>
      </c>
      <c r="AW863" s="103">
        <v>11.320754716981133</v>
      </c>
      <c r="AX863" s="103">
        <v>11.320754716981133</v>
      </c>
      <c r="AY863" s="103">
        <v>7.5471698113207548</v>
      </c>
      <c r="AZ863" s="103">
        <v>24.528301886792452</v>
      </c>
      <c r="BA863" s="103">
        <v>28.30188679245283</v>
      </c>
      <c r="BB863" s="103">
        <v>15.09433962264151</v>
      </c>
      <c r="BC863" s="42"/>
      <c r="BD863" s="111"/>
      <c r="BE863" s="46" t="s">
        <v>11</v>
      </c>
      <c r="BF863" s="103">
        <v>0</v>
      </c>
      <c r="BG863" s="103">
        <v>0</v>
      </c>
      <c r="BH863" s="103">
        <v>0.48309178743961351</v>
      </c>
      <c r="BI863" s="103">
        <v>1.2077294685990339</v>
      </c>
      <c r="BJ863" s="103">
        <v>3.1400966183574881</v>
      </c>
      <c r="BK863" s="103">
        <v>7.7294685990338161</v>
      </c>
      <c r="BL863" s="103">
        <v>19.806763285024154</v>
      </c>
      <c r="BM863" s="103">
        <v>24.879227053140095</v>
      </c>
      <c r="BN863" s="103">
        <v>23.188405797101449</v>
      </c>
      <c r="BO863" s="103">
        <v>19.565217391304348</v>
      </c>
      <c r="BQ863" s="111"/>
      <c r="BR863" s="46" t="s">
        <v>11</v>
      </c>
      <c r="BS863" s="103">
        <v>0</v>
      </c>
      <c r="BT863" s="103">
        <v>0</v>
      </c>
      <c r="BU863" s="103">
        <v>0</v>
      </c>
      <c r="BV863" s="103">
        <v>0</v>
      </c>
      <c r="BW863" s="103">
        <v>4.7619047619047619</v>
      </c>
      <c r="BX863" s="103">
        <v>9.5238095238095237</v>
      </c>
      <c r="BY863" s="103">
        <v>28.571428571428569</v>
      </c>
      <c r="BZ863" s="103">
        <v>14.285714285714285</v>
      </c>
      <c r="CA863" s="103">
        <v>9.5238095238095237</v>
      </c>
      <c r="CB863" s="103">
        <v>33.333333333333329</v>
      </c>
      <c r="CC863" s="42"/>
      <c r="CD863" s="111"/>
      <c r="CE863" s="46" t="s">
        <v>11</v>
      </c>
      <c r="CF863" s="103">
        <v>0</v>
      </c>
      <c r="CG863" s="103">
        <v>0.22421524663677131</v>
      </c>
      <c r="CH863" s="103">
        <v>0.44843049327354262</v>
      </c>
      <c r="CI863" s="103">
        <v>1.1210762331838564</v>
      </c>
      <c r="CJ863" s="103">
        <v>4.0358744394618835</v>
      </c>
      <c r="CK863" s="103">
        <v>8.071748878923767</v>
      </c>
      <c r="CL863" s="103">
        <v>17.937219730941703</v>
      </c>
      <c r="CM863" s="103">
        <v>25.336322869955158</v>
      </c>
      <c r="CN863" s="103">
        <v>24.439461883408072</v>
      </c>
      <c r="CO863" s="103">
        <v>18.385650224215247</v>
      </c>
      <c r="CQ863" s="111"/>
      <c r="CR863" s="46" t="s">
        <v>11</v>
      </c>
      <c r="CS863" s="103">
        <v>0</v>
      </c>
      <c r="CT863" s="103">
        <v>0</v>
      </c>
      <c r="CU863" s="103">
        <v>0</v>
      </c>
      <c r="CV863" s="103">
        <v>0</v>
      </c>
      <c r="CW863" s="103">
        <v>1.5151515151515151</v>
      </c>
      <c r="CX863" s="103">
        <v>9.0909090909090917</v>
      </c>
      <c r="CY863" s="103">
        <v>13.636363636363635</v>
      </c>
      <c r="CZ863" s="103">
        <v>28.787878787878789</v>
      </c>
      <c r="DA863" s="103">
        <v>24.242424242424242</v>
      </c>
      <c r="DB863" s="103">
        <v>22.727272727272727</v>
      </c>
      <c r="DC863" s="42"/>
      <c r="DD863" s="111"/>
      <c r="DE863" s="46" t="s">
        <v>11</v>
      </c>
      <c r="DF863" s="103">
        <v>0</v>
      </c>
      <c r="DG863" s="103">
        <v>0.24937655860349126</v>
      </c>
      <c r="DH863" s="103">
        <v>0.49875311720698251</v>
      </c>
      <c r="DI863" s="103">
        <v>1.2468827930174564</v>
      </c>
      <c r="DJ863" s="103">
        <v>4.4887780548628431</v>
      </c>
      <c r="DK863" s="103">
        <v>7.9800498753117202</v>
      </c>
      <c r="DL863" s="103">
        <v>19.201995012468828</v>
      </c>
      <c r="DM863" s="103">
        <v>24.189526184538654</v>
      </c>
      <c r="DN863" s="103">
        <v>23.690773067331673</v>
      </c>
      <c r="DO863" s="103">
        <v>18.453865336658353</v>
      </c>
    </row>
    <row r="864" spans="2:119" ht="16.5" customHeight="1" x14ac:dyDescent="0.45">
      <c r="B864" s="99"/>
      <c r="C864" s="42"/>
      <c r="D864" s="42"/>
      <c r="E864" s="42"/>
      <c r="F864" s="42"/>
      <c r="G864" s="42"/>
      <c r="H864" s="42"/>
      <c r="I864" s="42"/>
      <c r="J864" s="42"/>
      <c r="K864" s="42"/>
      <c r="L864" s="42"/>
      <c r="M864" s="42"/>
      <c r="N864" s="42"/>
      <c r="O864" s="42"/>
      <c r="P864" s="42"/>
      <c r="Q864" s="42"/>
      <c r="R864" s="42"/>
      <c r="S864" s="42"/>
      <c r="T864" s="42"/>
      <c r="U864" s="42"/>
      <c r="V864" s="42"/>
      <c r="W864" s="42"/>
      <c r="X864" s="42"/>
      <c r="Y864" s="42"/>
      <c r="Z864" s="42"/>
      <c r="AA864" s="42"/>
      <c r="AB864" s="42"/>
      <c r="AC864" s="42"/>
      <c r="AD864" s="42"/>
      <c r="AE864" s="42"/>
      <c r="AF864" s="42"/>
      <c r="AG864" s="42"/>
      <c r="AH864" s="42"/>
      <c r="AI864" s="42"/>
      <c r="AJ864" s="42"/>
      <c r="AK864" s="42"/>
      <c r="AL864" s="42"/>
      <c r="AM864" s="42"/>
      <c r="AN864" s="42"/>
      <c r="AO864" s="42"/>
      <c r="AQ864" s="42"/>
      <c r="AR864" s="42"/>
      <c r="AS864" s="42"/>
      <c r="AT864" s="42"/>
      <c r="AU864" s="42"/>
      <c r="AV864" s="42"/>
      <c r="AW864" s="42"/>
      <c r="AX864" s="42"/>
      <c r="AY864" s="42"/>
      <c r="AZ864" s="42"/>
      <c r="BA864" s="42"/>
      <c r="BB864" s="42"/>
      <c r="BC864" s="42"/>
      <c r="BD864" s="42"/>
      <c r="BE864" s="42"/>
      <c r="BF864" s="42"/>
      <c r="BG864" s="42"/>
      <c r="BH864" s="42"/>
      <c r="BI864" s="42"/>
      <c r="BJ864" s="42"/>
      <c r="BK864" s="42"/>
      <c r="BL864" s="42"/>
      <c r="BM864" s="42"/>
      <c r="BN864" s="42"/>
      <c r="BO864" s="42"/>
      <c r="BQ864" s="42"/>
      <c r="BR864" s="42"/>
      <c r="BS864" s="42"/>
      <c r="BT864" s="42"/>
      <c r="BU864" s="42"/>
      <c r="BV864" s="42"/>
      <c r="BW864" s="42"/>
      <c r="BX864" s="42"/>
      <c r="BY864" s="42"/>
      <c r="BZ864" s="42"/>
      <c r="CA864" s="42"/>
      <c r="CB864" s="42"/>
      <c r="CC864" s="42"/>
      <c r="CD864" s="42"/>
      <c r="CE864" s="42"/>
      <c r="CF864" s="42"/>
      <c r="CG864" s="42"/>
      <c r="CH864" s="42"/>
      <c r="CI864" s="42"/>
      <c r="CJ864" s="42"/>
      <c r="CK864" s="42"/>
      <c r="CL864" s="42"/>
      <c r="CM864" s="42"/>
      <c r="CN864" s="42"/>
      <c r="CO864" s="42"/>
      <c r="CQ864" s="42"/>
      <c r="CR864" s="42"/>
      <c r="CS864" s="42"/>
      <c r="CT864" s="42"/>
      <c r="CU864" s="42"/>
      <c r="CV864" s="42"/>
      <c r="CW864" s="42"/>
      <c r="CX864" s="42"/>
      <c r="CY864" s="42"/>
      <c r="CZ864" s="42"/>
      <c r="DA864" s="42"/>
      <c r="DB864" s="42"/>
      <c r="DC864" s="42"/>
      <c r="DD864" s="42"/>
      <c r="DE864" s="42"/>
      <c r="DF864" s="42"/>
      <c r="DG864" s="42"/>
      <c r="DH864" s="42"/>
      <c r="DI864" s="42"/>
      <c r="DJ864" s="42"/>
      <c r="DK864" s="42"/>
      <c r="DL864" s="42"/>
      <c r="DM864" s="42"/>
      <c r="DN864" s="42"/>
      <c r="DO864" s="42"/>
    </row>
    <row r="865" spans="2:119" x14ac:dyDescent="0.45">
      <c r="B865" s="99"/>
      <c r="C865" s="42"/>
      <c r="D865" s="42"/>
      <c r="E865" s="42"/>
      <c r="F865" s="42"/>
      <c r="G865" s="42"/>
      <c r="H865" s="42"/>
      <c r="I865" s="42"/>
      <c r="J865" s="42"/>
      <c r="K865" s="42"/>
      <c r="L865" s="42"/>
      <c r="M865" s="42"/>
      <c r="N865" s="42"/>
      <c r="O865" s="42"/>
      <c r="P865" s="42"/>
      <c r="Q865" s="42"/>
      <c r="R865" s="42"/>
      <c r="S865" s="42"/>
      <c r="T865" s="42"/>
      <c r="U865" s="42"/>
      <c r="V865" s="42"/>
      <c r="W865" s="42"/>
      <c r="X865" s="42"/>
      <c r="Y865" s="42"/>
      <c r="Z865" s="42"/>
      <c r="AA865" s="42"/>
      <c r="AB865" s="42"/>
      <c r="AC865" s="42"/>
      <c r="AD865" s="42"/>
      <c r="AE865" s="42"/>
      <c r="AF865" s="42"/>
      <c r="AG865" s="42"/>
      <c r="AH865" s="42"/>
      <c r="AI865" s="42"/>
      <c r="AJ865" s="42"/>
      <c r="AK865" s="42"/>
      <c r="AL865" s="42"/>
      <c r="AM865" s="42"/>
      <c r="AN865" s="42"/>
      <c r="AO865" s="42"/>
      <c r="AQ865" s="42"/>
      <c r="AR865" s="42"/>
      <c r="AS865" s="42"/>
      <c r="AT865" s="42"/>
      <c r="AU865" s="42"/>
      <c r="AV865" s="42"/>
      <c r="AW865" s="42"/>
      <c r="AX865" s="42"/>
      <c r="AY865" s="42"/>
      <c r="AZ865" s="42"/>
      <c r="BA865" s="42"/>
      <c r="BB865" s="42"/>
      <c r="BC865" s="42"/>
      <c r="BD865" s="42"/>
      <c r="BE865" s="42"/>
      <c r="BF865" s="42"/>
      <c r="BG865" s="42"/>
      <c r="BH865" s="42"/>
      <c r="BI865" s="42"/>
      <c r="BJ865" s="42"/>
      <c r="BK865" s="42"/>
      <c r="BL865" s="42"/>
      <c r="BM865" s="42"/>
      <c r="BN865" s="42"/>
      <c r="BO865" s="42"/>
      <c r="BQ865" s="42"/>
      <c r="BR865" s="42"/>
      <c r="BS865" s="42"/>
      <c r="BT865" s="42"/>
      <c r="BU865" s="42"/>
      <c r="BV865" s="42"/>
      <c r="BW865" s="42"/>
      <c r="BX865" s="42"/>
      <c r="BY865" s="42"/>
      <c r="BZ865" s="42"/>
      <c r="CA865" s="42"/>
      <c r="CB865" s="42"/>
      <c r="CC865" s="42"/>
      <c r="CD865" s="42"/>
      <c r="CE865" s="42"/>
      <c r="CF865" s="42"/>
      <c r="CG865" s="42"/>
      <c r="CH865" s="42"/>
      <c r="CI865" s="42"/>
      <c r="CJ865" s="42"/>
      <c r="CK865" s="42"/>
      <c r="CL865" s="42"/>
      <c r="CM865" s="42"/>
      <c r="CN865" s="42"/>
      <c r="CO865" s="42"/>
      <c r="CQ865" s="42"/>
      <c r="CR865" s="42"/>
      <c r="CS865" s="42"/>
      <c r="CT865" s="42"/>
      <c r="CU865" s="42"/>
      <c r="CV865" s="42"/>
      <c r="CW865" s="42"/>
      <c r="CX865" s="42"/>
      <c r="CY865" s="42"/>
      <c r="CZ865" s="42"/>
      <c r="DA865" s="42"/>
      <c r="DB865" s="42"/>
      <c r="DC865" s="42"/>
      <c r="DD865" s="42"/>
      <c r="DE865" s="42"/>
      <c r="DF865" s="42"/>
      <c r="DG865" s="42"/>
      <c r="DH865" s="42"/>
      <c r="DI865" s="42"/>
      <c r="DJ865" s="42"/>
      <c r="DK865" s="42"/>
      <c r="DL865" s="42"/>
      <c r="DM865" s="42"/>
      <c r="DN865" s="42"/>
      <c r="DO865" s="42"/>
    </row>
    <row r="866" spans="2:119" ht="18.75" customHeight="1" x14ac:dyDescent="0.55000000000000004">
      <c r="B866" s="99"/>
      <c r="C866" s="42"/>
      <c r="D866" s="112" t="s">
        <v>24</v>
      </c>
      <c r="E866" s="112"/>
      <c r="F866" s="45"/>
      <c r="G866" s="45"/>
      <c r="H866" s="45"/>
      <c r="I866" s="45"/>
      <c r="J866" s="45"/>
      <c r="K866" s="45"/>
      <c r="L866" s="45"/>
      <c r="M866" s="45"/>
      <c r="N866" s="45"/>
      <c r="O866" s="45"/>
      <c r="P866" s="42"/>
      <c r="Q866" s="112" t="s">
        <v>24</v>
      </c>
      <c r="R866" s="112"/>
      <c r="S866" s="45"/>
      <c r="T866" s="45"/>
      <c r="U866" s="45"/>
      <c r="V866" s="45"/>
      <c r="W866" s="45"/>
      <c r="X866" s="45"/>
      <c r="Y866" s="45"/>
      <c r="Z866" s="45"/>
      <c r="AA866" s="45"/>
      <c r="AB866" s="45"/>
      <c r="AC866" s="42"/>
      <c r="AD866" s="112" t="s">
        <v>24</v>
      </c>
      <c r="AE866" s="112"/>
      <c r="AF866" s="45"/>
      <c r="AG866" s="45"/>
      <c r="AH866" s="45"/>
      <c r="AI866" s="45"/>
      <c r="AJ866" s="45"/>
      <c r="AK866" s="45"/>
      <c r="AL866" s="45"/>
      <c r="AM866" s="45"/>
      <c r="AN866" s="45"/>
      <c r="AO866" s="45"/>
      <c r="AP866" s="6"/>
      <c r="AQ866" s="112" t="s">
        <v>24</v>
      </c>
      <c r="AR866" s="112"/>
      <c r="AS866" s="45"/>
      <c r="AT866" s="45"/>
      <c r="AU866" s="45"/>
      <c r="AV866" s="45"/>
      <c r="AW866" s="45"/>
      <c r="AX866" s="45"/>
      <c r="AY866" s="45"/>
      <c r="AZ866" s="45"/>
      <c r="BA866" s="45"/>
      <c r="BB866" s="45"/>
      <c r="BC866" s="42"/>
      <c r="BD866" s="112" t="s">
        <v>24</v>
      </c>
      <c r="BE866" s="112"/>
      <c r="BF866" s="45"/>
      <c r="BG866" s="45"/>
      <c r="BH866" s="45"/>
      <c r="BI866" s="45"/>
      <c r="BJ866" s="45"/>
      <c r="BK866" s="45"/>
      <c r="BL866" s="45"/>
      <c r="BM866" s="45"/>
      <c r="BN866" s="45"/>
      <c r="BO866" s="45"/>
      <c r="BQ866" s="112" t="s">
        <v>24</v>
      </c>
      <c r="BR866" s="112"/>
      <c r="BS866" s="45"/>
      <c r="BT866" s="45"/>
      <c r="BU866" s="45"/>
      <c r="BV866" s="45"/>
      <c r="BW866" s="45"/>
      <c r="BX866" s="45"/>
      <c r="BY866" s="45"/>
      <c r="BZ866" s="45"/>
      <c r="CA866" s="45"/>
      <c r="CB866" s="45"/>
      <c r="CC866" s="42"/>
      <c r="CD866" s="112" t="s">
        <v>24</v>
      </c>
      <c r="CE866" s="112"/>
      <c r="CF866" s="45"/>
      <c r="CG866" s="45"/>
      <c r="CH866" s="45"/>
      <c r="CI866" s="45"/>
      <c r="CJ866" s="45"/>
      <c r="CK866" s="45"/>
      <c r="CL866" s="45"/>
      <c r="CM866" s="45"/>
      <c r="CN866" s="45"/>
      <c r="CO866" s="45"/>
      <c r="CQ866" s="112" t="s">
        <v>24</v>
      </c>
      <c r="CR866" s="112"/>
      <c r="CS866" s="45"/>
      <c r="CT866" s="45"/>
      <c r="CU866" s="45"/>
      <c r="CV866" s="45"/>
      <c r="CW866" s="45"/>
      <c r="CX866" s="45"/>
      <c r="CY866" s="45"/>
      <c r="CZ866" s="45"/>
      <c r="DA866" s="45"/>
      <c r="DB866" s="45"/>
      <c r="DC866" s="42"/>
      <c r="DD866" s="112" t="s">
        <v>24</v>
      </c>
      <c r="DE866" s="112"/>
      <c r="DF866" s="45"/>
      <c r="DG866" s="45"/>
      <c r="DH866" s="45"/>
      <c r="DI866" s="45"/>
      <c r="DJ866" s="45"/>
      <c r="DK866" s="45"/>
      <c r="DL866" s="45"/>
      <c r="DM866" s="45"/>
      <c r="DN866" s="45"/>
      <c r="DO866" s="45"/>
    </row>
    <row r="867" spans="2:119" ht="28.9" customHeight="1" x14ac:dyDescent="0.45">
      <c r="B867" s="99"/>
      <c r="C867" s="42"/>
      <c r="D867" s="112"/>
      <c r="E867" s="112"/>
      <c r="F867" s="108" t="s">
        <v>12</v>
      </c>
      <c r="G867" s="108"/>
      <c r="H867" s="108"/>
      <c r="I867" s="108"/>
      <c r="J867" s="108"/>
      <c r="K867" s="108"/>
      <c r="L867" s="108"/>
      <c r="M867" s="108"/>
      <c r="N867" s="108"/>
      <c r="O867" s="108"/>
      <c r="P867" s="42"/>
      <c r="Q867" s="112"/>
      <c r="R867" s="112"/>
      <c r="S867" s="108" t="s">
        <v>12</v>
      </c>
      <c r="T867" s="108"/>
      <c r="U867" s="108"/>
      <c r="V867" s="108"/>
      <c r="W867" s="108"/>
      <c r="X867" s="108"/>
      <c r="Y867" s="108"/>
      <c r="Z867" s="108"/>
      <c r="AA867" s="108"/>
      <c r="AB867" s="108"/>
      <c r="AC867" s="42"/>
      <c r="AD867" s="112"/>
      <c r="AE867" s="112"/>
      <c r="AF867" s="108" t="s">
        <v>12</v>
      </c>
      <c r="AG867" s="108"/>
      <c r="AH867" s="108"/>
      <c r="AI867" s="108"/>
      <c r="AJ867" s="108"/>
      <c r="AK867" s="108"/>
      <c r="AL867" s="108"/>
      <c r="AM867" s="108"/>
      <c r="AN867" s="108"/>
      <c r="AO867" s="108"/>
      <c r="AP867" s="6"/>
      <c r="AQ867" s="112"/>
      <c r="AR867" s="112"/>
      <c r="AS867" s="108" t="s">
        <v>12</v>
      </c>
      <c r="AT867" s="108"/>
      <c r="AU867" s="108"/>
      <c r="AV867" s="108"/>
      <c r="AW867" s="108"/>
      <c r="AX867" s="108"/>
      <c r="AY867" s="108"/>
      <c r="AZ867" s="108"/>
      <c r="BA867" s="108"/>
      <c r="BB867" s="108"/>
      <c r="BC867" s="42"/>
      <c r="BD867" s="112"/>
      <c r="BE867" s="112"/>
      <c r="BF867" s="108" t="s">
        <v>12</v>
      </c>
      <c r="BG867" s="108"/>
      <c r="BH867" s="108"/>
      <c r="BI867" s="108"/>
      <c r="BJ867" s="108"/>
      <c r="BK867" s="108"/>
      <c r="BL867" s="108"/>
      <c r="BM867" s="108"/>
      <c r="BN867" s="108"/>
      <c r="BO867" s="108"/>
      <c r="BQ867" s="112"/>
      <c r="BR867" s="112"/>
      <c r="BS867" s="108" t="s">
        <v>12</v>
      </c>
      <c r="BT867" s="108"/>
      <c r="BU867" s="108"/>
      <c r="BV867" s="108"/>
      <c r="BW867" s="108"/>
      <c r="BX867" s="108"/>
      <c r="BY867" s="108"/>
      <c r="BZ867" s="108"/>
      <c r="CA867" s="108"/>
      <c r="CB867" s="108"/>
      <c r="CC867" s="42"/>
      <c r="CD867" s="112"/>
      <c r="CE867" s="112"/>
      <c r="CF867" s="108" t="s">
        <v>12</v>
      </c>
      <c r="CG867" s="108"/>
      <c r="CH867" s="108"/>
      <c r="CI867" s="108"/>
      <c r="CJ867" s="108"/>
      <c r="CK867" s="108"/>
      <c r="CL867" s="108"/>
      <c r="CM867" s="108"/>
      <c r="CN867" s="108"/>
      <c r="CO867" s="108"/>
      <c r="CQ867" s="112"/>
      <c r="CR867" s="112"/>
      <c r="CS867" s="108" t="s">
        <v>12</v>
      </c>
      <c r="CT867" s="108"/>
      <c r="CU867" s="108"/>
      <c r="CV867" s="108"/>
      <c r="CW867" s="108"/>
      <c r="CX867" s="108"/>
      <c r="CY867" s="108"/>
      <c r="CZ867" s="108"/>
      <c r="DA867" s="108"/>
      <c r="DB867" s="108"/>
      <c r="DC867" s="42"/>
      <c r="DD867" s="112"/>
      <c r="DE867" s="112"/>
      <c r="DF867" s="108" t="s">
        <v>12</v>
      </c>
      <c r="DG867" s="108"/>
      <c r="DH867" s="108"/>
      <c r="DI867" s="108"/>
      <c r="DJ867" s="108"/>
      <c r="DK867" s="108"/>
      <c r="DL867" s="108"/>
      <c r="DM867" s="108"/>
      <c r="DN867" s="108"/>
      <c r="DO867" s="108"/>
    </row>
    <row r="868" spans="2:119" ht="15" customHeight="1" x14ac:dyDescent="0.45">
      <c r="B868" s="99"/>
      <c r="C868" s="42"/>
      <c r="D868" s="113"/>
      <c r="E868" s="113"/>
      <c r="F868" s="9" t="s">
        <v>0</v>
      </c>
      <c r="G868" s="9">
        <v>1</v>
      </c>
      <c r="H868" s="9">
        <v>2</v>
      </c>
      <c r="I868" s="9">
        <v>3</v>
      </c>
      <c r="J868" s="9">
        <v>4</v>
      </c>
      <c r="K868" s="9">
        <v>5</v>
      </c>
      <c r="L868" s="9">
        <v>6</v>
      </c>
      <c r="M868" s="9">
        <v>7</v>
      </c>
      <c r="N868" s="9">
        <v>8</v>
      </c>
      <c r="O868" s="9">
        <v>9</v>
      </c>
      <c r="P868" s="42"/>
      <c r="Q868" s="113"/>
      <c r="R868" s="113"/>
      <c r="S868" s="9" t="s">
        <v>0</v>
      </c>
      <c r="T868" s="9">
        <v>1</v>
      </c>
      <c r="U868" s="9">
        <v>2</v>
      </c>
      <c r="V868" s="9">
        <v>3</v>
      </c>
      <c r="W868" s="9">
        <v>4</v>
      </c>
      <c r="X868" s="9">
        <v>5</v>
      </c>
      <c r="Y868" s="9">
        <v>6</v>
      </c>
      <c r="Z868" s="9">
        <v>7</v>
      </c>
      <c r="AA868" s="9">
        <v>8</v>
      </c>
      <c r="AB868" s="9">
        <v>9</v>
      </c>
      <c r="AC868" s="42"/>
      <c r="AD868" s="113"/>
      <c r="AE868" s="113"/>
      <c r="AF868" s="9" t="s">
        <v>0</v>
      </c>
      <c r="AG868" s="9">
        <v>1</v>
      </c>
      <c r="AH868" s="9">
        <v>2</v>
      </c>
      <c r="AI868" s="9">
        <v>3</v>
      </c>
      <c r="AJ868" s="9">
        <v>4</v>
      </c>
      <c r="AK868" s="9">
        <v>5</v>
      </c>
      <c r="AL868" s="9">
        <v>6</v>
      </c>
      <c r="AM868" s="9">
        <v>7</v>
      </c>
      <c r="AN868" s="9">
        <v>8</v>
      </c>
      <c r="AO868" s="9">
        <v>9</v>
      </c>
      <c r="AP868" s="6"/>
      <c r="AQ868" s="113"/>
      <c r="AR868" s="113"/>
      <c r="AS868" s="9" t="s">
        <v>0</v>
      </c>
      <c r="AT868" s="9">
        <v>1</v>
      </c>
      <c r="AU868" s="9">
        <v>2</v>
      </c>
      <c r="AV868" s="9">
        <v>3</v>
      </c>
      <c r="AW868" s="9">
        <v>4</v>
      </c>
      <c r="AX868" s="9">
        <v>5</v>
      </c>
      <c r="AY868" s="9">
        <v>6</v>
      </c>
      <c r="AZ868" s="9">
        <v>7</v>
      </c>
      <c r="BA868" s="9">
        <v>8</v>
      </c>
      <c r="BB868" s="9">
        <v>9</v>
      </c>
      <c r="BC868" s="42"/>
      <c r="BD868" s="113"/>
      <c r="BE868" s="113"/>
      <c r="BF868" s="9" t="s">
        <v>0</v>
      </c>
      <c r="BG868" s="9">
        <v>1</v>
      </c>
      <c r="BH868" s="9">
        <v>2</v>
      </c>
      <c r="BI868" s="9">
        <v>3</v>
      </c>
      <c r="BJ868" s="9">
        <v>4</v>
      </c>
      <c r="BK868" s="9">
        <v>5</v>
      </c>
      <c r="BL868" s="9">
        <v>6</v>
      </c>
      <c r="BM868" s="9">
        <v>7</v>
      </c>
      <c r="BN868" s="9">
        <v>8</v>
      </c>
      <c r="BO868" s="9">
        <v>9</v>
      </c>
      <c r="BQ868" s="113"/>
      <c r="BR868" s="113"/>
      <c r="BS868" s="9" t="s">
        <v>0</v>
      </c>
      <c r="BT868" s="9">
        <v>1</v>
      </c>
      <c r="BU868" s="9">
        <v>2</v>
      </c>
      <c r="BV868" s="9">
        <v>3</v>
      </c>
      <c r="BW868" s="9">
        <v>4</v>
      </c>
      <c r="BX868" s="9">
        <v>5</v>
      </c>
      <c r="BY868" s="9">
        <v>6</v>
      </c>
      <c r="BZ868" s="9">
        <v>7</v>
      </c>
      <c r="CA868" s="9">
        <v>8</v>
      </c>
      <c r="CB868" s="9">
        <v>9</v>
      </c>
      <c r="CC868" s="42"/>
      <c r="CD868" s="113"/>
      <c r="CE868" s="113"/>
      <c r="CF868" s="9" t="s">
        <v>0</v>
      </c>
      <c r="CG868" s="9">
        <v>1</v>
      </c>
      <c r="CH868" s="9">
        <v>2</v>
      </c>
      <c r="CI868" s="9">
        <v>3</v>
      </c>
      <c r="CJ868" s="9">
        <v>4</v>
      </c>
      <c r="CK868" s="9">
        <v>5</v>
      </c>
      <c r="CL868" s="9">
        <v>6</v>
      </c>
      <c r="CM868" s="9">
        <v>7</v>
      </c>
      <c r="CN868" s="9">
        <v>8</v>
      </c>
      <c r="CO868" s="9">
        <v>9</v>
      </c>
      <c r="CQ868" s="113"/>
      <c r="CR868" s="113"/>
      <c r="CS868" s="9" t="s">
        <v>0</v>
      </c>
      <c r="CT868" s="9">
        <v>1</v>
      </c>
      <c r="CU868" s="9">
        <v>2</v>
      </c>
      <c r="CV868" s="9">
        <v>3</v>
      </c>
      <c r="CW868" s="9">
        <v>4</v>
      </c>
      <c r="CX868" s="9">
        <v>5</v>
      </c>
      <c r="CY868" s="9">
        <v>6</v>
      </c>
      <c r="CZ868" s="9">
        <v>7</v>
      </c>
      <c r="DA868" s="9">
        <v>8</v>
      </c>
      <c r="DB868" s="9">
        <v>9</v>
      </c>
      <c r="DC868" s="42"/>
      <c r="DD868" s="113"/>
      <c r="DE868" s="113"/>
      <c r="DF868" s="9" t="s">
        <v>0</v>
      </c>
      <c r="DG868" s="9">
        <v>1</v>
      </c>
      <c r="DH868" s="9">
        <v>2</v>
      </c>
      <c r="DI868" s="9">
        <v>3</v>
      </c>
      <c r="DJ868" s="9">
        <v>4</v>
      </c>
      <c r="DK868" s="9">
        <v>5</v>
      </c>
      <c r="DL868" s="9">
        <v>6</v>
      </c>
      <c r="DM868" s="9">
        <v>7</v>
      </c>
      <c r="DN868" s="9">
        <v>8</v>
      </c>
      <c r="DO868" s="9">
        <v>9</v>
      </c>
    </row>
    <row r="869" spans="2:119" ht="16.5" customHeight="1" x14ac:dyDescent="0.45">
      <c r="B869" s="134" t="s">
        <v>42</v>
      </c>
      <c r="C869" s="42"/>
      <c r="D869" s="109" t="s">
        <v>13</v>
      </c>
      <c r="E869" s="46" t="s">
        <v>1</v>
      </c>
      <c r="F869" s="103">
        <v>0</v>
      </c>
      <c r="G869" s="103">
        <v>0</v>
      </c>
      <c r="H869" s="103">
        <v>0</v>
      </c>
      <c r="I869" s="103">
        <v>2</v>
      </c>
      <c r="J869" s="103">
        <v>0</v>
      </c>
      <c r="K869" s="103">
        <v>0</v>
      </c>
      <c r="L869" s="103">
        <v>0</v>
      </c>
      <c r="M869" s="103">
        <v>0</v>
      </c>
      <c r="N869" s="103">
        <v>0</v>
      </c>
      <c r="O869" s="17">
        <v>0</v>
      </c>
      <c r="P869" s="42"/>
      <c r="Q869" s="109" t="s">
        <v>13</v>
      </c>
      <c r="R869" s="46" t="s">
        <v>1</v>
      </c>
      <c r="S869" s="103">
        <v>0</v>
      </c>
      <c r="T869" s="103">
        <v>0</v>
      </c>
      <c r="U869" s="103">
        <v>0</v>
      </c>
      <c r="V869" s="103">
        <v>2</v>
      </c>
      <c r="W869" s="103">
        <v>0</v>
      </c>
      <c r="X869" s="103">
        <v>0</v>
      </c>
      <c r="Y869" s="103">
        <v>0</v>
      </c>
      <c r="Z869" s="103">
        <v>0</v>
      </c>
      <c r="AA869" s="103">
        <v>0</v>
      </c>
      <c r="AB869" s="17">
        <v>0</v>
      </c>
      <c r="AC869" s="42"/>
      <c r="AD869" s="109" t="s">
        <v>13</v>
      </c>
      <c r="AE869" s="46" t="s">
        <v>1</v>
      </c>
      <c r="AF869" s="103">
        <v>0</v>
      </c>
      <c r="AG869" s="103">
        <v>0</v>
      </c>
      <c r="AH869" s="103">
        <v>0</v>
      </c>
      <c r="AI869" s="103">
        <v>0</v>
      </c>
      <c r="AJ869" s="103">
        <v>0</v>
      </c>
      <c r="AK869" s="103">
        <v>0</v>
      </c>
      <c r="AL869" s="103">
        <v>0</v>
      </c>
      <c r="AM869" s="103">
        <v>0</v>
      </c>
      <c r="AN869" s="103">
        <v>0</v>
      </c>
      <c r="AO869" s="17">
        <v>0</v>
      </c>
      <c r="AP869" s="6"/>
      <c r="AQ869" s="109" t="s">
        <v>13</v>
      </c>
      <c r="AR869" s="46" t="s">
        <v>1</v>
      </c>
      <c r="AS869" s="103">
        <v>0</v>
      </c>
      <c r="AT869" s="103">
        <v>0</v>
      </c>
      <c r="AU869" s="103">
        <v>0</v>
      </c>
      <c r="AV869" s="103">
        <v>1</v>
      </c>
      <c r="AW869" s="103">
        <v>0</v>
      </c>
      <c r="AX869" s="103">
        <v>0</v>
      </c>
      <c r="AY869" s="103">
        <v>0</v>
      </c>
      <c r="AZ869" s="103">
        <v>0</v>
      </c>
      <c r="BA869" s="103">
        <v>0</v>
      </c>
      <c r="BB869" s="17">
        <v>0</v>
      </c>
      <c r="BC869" s="42"/>
      <c r="BD869" s="109" t="s">
        <v>13</v>
      </c>
      <c r="BE869" s="46" t="s">
        <v>1</v>
      </c>
      <c r="BF869" s="103">
        <v>0</v>
      </c>
      <c r="BG869" s="103">
        <v>0</v>
      </c>
      <c r="BH869" s="103">
        <v>0</v>
      </c>
      <c r="BI869" s="103">
        <v>1</v>
      </c>
      <c r="BJ869" s="103">
        <v>0</v>
      </c>
      <c r="BK869" s="103">
        <v>0</v>
      </c>
      <c r="BL869" s="103">
        <v>0</v>
      </c>
      <c r="BM869" s="103">
        <v>0</v>
      </c>
      <c r="BN869" s="103">
        <v>0</v>
      </c>
      <c r="BO869" s="17">
        <v>0</v>
      </c>
      <c r="BQ869" s="109" t="s">
        <v>13</v>
      </c>
      <c r="BR869" s="46" t="s">
        <v>1</v>
      </c>
      <c r="BS869" s="103">
        <v>0</v>
      </c>
      <c r="BT869" s="103">
        <v>0</v>
      </c>
      <c r="BU869" s="103">
        <v>0</v>
      </c>
      <c r="BV869" s="103">
        <v>1</v>
      </c>
      <c r="BW869" s="103">
        <v>0</v>
      </c>
      <c r="BX869" s="103">
        <v>0</v>
      </c>
      <c r="BY869" s="103">
        <v>0</v>
      </c>
      <c r="BZ869" s="103">
        <v>0</v>
      </c>
      <c r="CA869" s="103">
        <v>0</v>
      </c>
      <c r="CB869" s="17">
        <v>0</v>
      </c>
      <c r="CC869" s="42"/>
      <c r="CD869" s="109" t="s">
        <v>13</v>
      </c>
      <c r="CE869" s="46" t="s">
        <v>1</v>
      </c>
      <c r="CF869" s="103">
        <v>0</v>
      </c>
      <c r="CG869" s="103">
        <v>0</v>
      </c>
      <c r="CH869" s="103">
        <v>0</v>
      </c>
      <c r="CI869" s="103">
        <v>1</v>
      </c>
      <c r="CJ869" s="103">
        <v>0</v>
      </c>
      <c r="CK869" s="103">
        <v>0</v>
      </c>
      <c r="CL869" s="103">
        <v>0</v>
      </c>
      <c r="CM869" s="103">
        <v>0</v>
      </c>
      <c r="CN869" s="103">
        <v>0</v>
      </c>
      <c r="CO869" s="17">
        <v>0</v>
      </c>
      <c r="CQ869" s="109" t="s">
        <v>13</v>
      </c>
      <c r="CR869" s="46" t="s">
        <v>1</v>
      </c>
      <c r="CS869" s="103">
        <v>0</v>
      </c>
      <c r="CT869" s="103">
        <v>0</v>
      </c>
      <c r="CU869" s="103">
        <v>0</v>
      </c>
      <c r="CV869" s="103">
        <v>2</v>
      </c>
      <c r="CW869" s="103">
        <v>0</v>
      </c>
      <c r="CX869" s="103">
        <v>0</v>
      </c>
      <c r="CY869" s="103">
        <v>0</v>
      </c>
      <c r="CZ869" s="103">
        <v>0</v>
      </c>
      <c r="DA869" s="103">
        <v>0</v>
      </c>
      <c r="DB869" s="17">
        <v>0</v>
      </c>
      <c r="DC869" s="42"/>
      <c r="DD869" s="109" t="s">
        <v>13</v>
      </c>
      <c r="DE869" s="46" t="s">
        <v>1</v>
      </c>
      <c r="DF869" s="103">
        <v>0</v>
      </c>
      <c r="DG869" s="103">
        <v>0</v>
      </c>
      <c r="DH869" s="103">
        <v>0</v>
      </c>
      <c r="DI869" s="103">
        <v>0</v>
      </c>
      <c r="DJ869" s="103">
        <v>0</v>
      </c>
      <c r="DK869" s="103">
        <v>0</v>
      </c>
      <c r="DL869" s="103">
        <v>0</v>
      </c>
      <c r="DM869" s="103">
        <v>0</v>
      </c>
      <c r="DN869" s="103">
        <v>0</v>
      </c>
      <c r="DO869" s="17">
        <v>0</v>
      </c>
    </row>
    <row r="870" spans="2:119" ht="16.5" customHeight="1" x14ac:dyDescent="0.45">
      <c r="B870" s="134"/>
      <c r="C870" s="42"/>
      <c r="D870" s="110"/>
      <c r="E870" s="46">
        <v>1</v>
      </c>
      <c r="F870" s="103">
        <v>0</v>
      </c>
      <c r="G870" s="103">
        <v>0</v>
      </c>
      <c r="H870" s="103">
        <v>0</v>
      </c>
      <c r="I870" s="103">
        <v>2</v>
      </c>
      <c r="J870" s="103">
        <v>0</v>
      </c>
      <c r="K870" s="103">
        <v>0</v>
      </c>
      <c r="L870" s="103">
        <v>0</v>
      </c>
      <c r="M870" s="103">
        <v>0</v>
      </c>
      <c r="N870" s="103">
        <v>0</v>
      </c>
      <c r="O870" s="103">
        <v>0</v>
      </c>
      <c r="P870" s="42"/>
      <c r="Q870" s="110"/>
      <c r="R870" s="46">
        <v>1</v>
      </c>
      <c r="S870" s="103">
        <v>0</v>
      </c>
      <c r="T870" s="103">
        <v>0</v>
      </c>
      <c r="U870" s="103">
        <v>0</v>
      </c>
      <c r="V870" s="103">
        <v>2</v>
      </c>
      <c r="W870" s="103">
        <v>0</v>
      </c>
      <c r="X870" s="103">
        <v>0</v>
      </c>
      <c r="Y870" s="103">
        <v>0</v>
      </c>
      <c r="Z870" s="103">
        <v>0</v>
      </c>
      <c r="AA870" s="103">
        <v>0</v>
      </c>
      <c r="AB870" s="103">
        <v>0</v>
      </c>
      <c r="AC870" s="42"/>
      <c r="AD870" s="110"/>
      <c r="AE870" s="46">
        <v>1</v>
      </c>
      <c r="AF870" s="103">
        <v>0</v>
      </c>
      <c r="AG870" s="103">
        <v>0</v>
      </c>
      <c r="AH870" s="103">
        <v>0</v>
      </c>
      <c r="AI870" s="103">
        <v>0</v>
      </c>
      <c r="AJ870" s="103">
        <v>0</v>
      </c>
      <c r="AK870" s="103">
        <v>0</v>
      </c>
      <c r="AL870" s="103">
        <v>0</v>
      </c>
      <c r="AM870" s="103">
        <v>0</v>
      </c>
      <c r="AN870" s="103">
        <v>0</v>
      </c>
      <c r="AO870" s="103">
        <v>0</v>
      </c>
      <c r="AP870" s="6"/>
      <c r="AQ870" s="110"/>
      <c r="AR870" s="46">
        <v>1</v>
      </c>
      <c r="AS870" s="103">
        <v>0</v>
      </c>
      <c r="AT870" s="103">
        <v>0</v>
      </c>
      <c r="AU870" s="103">
        <v>0</v>
      </c>
      <c r="AV870" s="103">
        <v>0</v>
      </c>
      <c r="AW870" s="103">
        <v>0</v>
      </c>
      <c r="AX870" s="103">
        <v>0</v>
      </c>
      <c r="AY870" s="103">
        <v>0</v>
      </c>
      <c r="AZ870" s="103">
        <v>0</v>
      </c>
      <c r="BA870" s="103">
        <v>0</v>
      </c>
      <c r="BB870" s="103">
        <v>0</v>
      </c>
      <c r="BC870" s="42"/>
      <c r="BD870" s="110"/>
      <c r="BE870" s="46">
        <v>1</v>
      </c>
      <c r="BF870" s="103">
        <v>0</v>
      </c>
      <c r="BG870" s="103">
        <v>0</v>
      </c>
      <c r="BH870" s="103">
        <v>0</v>
      </c>
      <c r="BI870" s="103">
        <v>2</v>
      </c>
      <c r="BJ870" s="103">
        <v>0</v>
      </c>
      <c r="BK870" s="103">
        <v>0</v>
      </c>
      <c r="BL870" s="103">
        <v>0</v>
      </c>
      <c r="BM870" s="103">
        <v>0</v>
      </c>
      <c r="BN870" s="103">
        <v>0</v>
      </c>
      <c r="BO870" s="103">
        <v>0</v>
      </c>
      <c r="BQ870" s="110"/>
      <c r="BR870" s="46">
        <v>1</v>
      </c>
      <c r="BS870" s="103">
        <v>0</v>
      </c>
      <c r="BT870" s="103">
        <v>0</v>
      </c>
      <c r="BU870" s="103">
        <v>0</v>
      </c>
      <c r="BV870" s="103">
        <v>0</v>
      </c>
      <c r="BW870" s="103">
        <v>0</v>
      </c>
      <c r="BX870" s="103">
        <v>0</v>
      </c>
      <c r="BY870" s="103">
        <v>0</v>
      </c>
      <c r="BZ870" s="103">
        <v>0</v>
      </c>
      <c r="CA870" s="103">
        <v>0</v>
      </c>
      <c r="CB870" s="103">
        <v>0</v>
      </c>
      <c r="CC870" s="42"/>
      <c r="CD870" s="110"/>
      <c r="CE870" s="46">
        <v>1</v>
      </c>
      <c r="CF870" s="103">
        <v>0</v>
      </c>
      <c r="CG870" s="103">
        <v>0</v>
      </c>
      <c r="CH870" s="103">
        <v>0</v>
      </c>
      <c r="CI870" s="103">
        <v>2</v>
      </c>
      <c r="CJ870" s="103">
        <v>0</v>
      </c>
      <c r="CK870" s="103">
        <v>0</v>
      </c>
      <c r="CL870" s="103">
        <v>0</v>
      </c>
      <c r="CM870" s="103">
        <v>0</v>
      </c>
      <c r="CN870" s="103">
        <v>0</v>
      </c>
      <c r="CO870" s="103">
        <v>0</v>
      </c>
      <c r="CQ870" s="110"/>
      <c r="CR870" s="46">
        <v>1</v>
      </c>
      <c r="CS870" s="103">
        <v>0</v>
      </c>
      <c r="CT870" s="103">
        <v>0</v>
      </c>
      <c r="CU870" s="103">
        <v>0</v>
      </c>
      <c r="CV870" s="103">
        <v>2</v>
      </c>
      <c r="CW870" s="103">
        <v>0</v>
      </c>
      <c r="CX870" s="103">
        <v>0</v>
      </c>
      <c r="CY870" s="103">
        <v>0</v>
      </c>
      <c r="CZ870" s="103">
        <v>0</v>
      </c>
      <c r="DA870" s="103">
        <v>0</v>
      </c>
      <c r="DB870" s="103">
        <v>0</v>
      </c>
      <c r="DC870" s="42"/>
      <c r="DD870" s="110"/>
      <c r="DE870" s="46">
        <v>1</v>
      </c>
      <c r="DF870" s="103">
        <v>0</v>
      </c>
      <c r="DG870" s="103">
        <v>0</v>
      </c>
      <c r="DH870" s="103">
        <v>0</v>
      </c>
      <c r="DI870" s="103">
        <v>0</v>
      </c>
      <c r="DJ870" s="103">
        <v>0</v>
      </c>
      <c r="DK870" s="103">
        <v>0</v>
      </c>
      <c r="DL870" s="103">
        <v>0</v>
      </c>
      <c r="DM870" s="103">
        <v>0</v>
      </c>
      <c r="DN870" s="103">
        <v>0</v>
      </c>
      <c r="DO870" s="103">
        <v>0</v>
      </c>
    </row>
    <row r="871" spans="2:119" ht="16.5" customHeight="1" x14ac:dyDescent="0.45">
      <c r="B871" s="134"/>
      <c r="C871" s="42"/>
      <c r="D871" s="110"/>
      <c r="E871" s="46" t="s">
        <v>2</v>
      </c>
      <c r="F871" s="103">
        <v>7</v>
      </c>
      <c r="G871" s="103">
        <v>29</v>
      </c>
      <c r="H871" s="103">
        <v>40</v>
      </c>
      <c r="I871" s="103">
        <v>37</v>
      </c>
      <c r="J871" s="103">
        <v>3</v>
      </c>
      <c r="K871" s="103">
        <v>2</v>
      </c>
      <c r="L871" s="103">
        <v>0</v>
      </c>
      <c r="M871" s="103">
        <v>0</v>
      </c>
      <c r="N871" s="103">
        <v>0</v>
      </c>
      <c r="O871" s="103">
        <v>0</v>
      </c>
      <c r="P871" s="42"/>
      <c r="Q871" s="110"/>
      <c r="R871" s="46" t="s">
        <v>2</v>
      </c>
      <c r="S871" s="103">
        <v>7</v>
      </c>
      <c r="T871" s="103">
        <v>24</v>
      </c>
      <c r="U871" s="103">
        <v>34</v>
      </c>
      <c r="V871" s="103">
        <v>37</v>
      </c>
      <c r="W871" s="103">
        <v>3</v>
      </c>
      <c r="X871" s="103">
        <v>1</v>
      </c>
      <c r="Y871" s="103">
        <v>0</v>
      </c>
      <c r="Z871" s="103">
        <v>0</v>
      </c>
      <c r="AA871" s="103">
        <v>0</v>
      </c>
      <c r="AB871" s="103">
        <v>0</v>
      </c>
      <c r="AC871" s="42"/>
      <c r="AD871" s="110"/>
      <c r="AE871" s="46" t="s">
        <v>2</v>
      </c>
      <c r="AF871" s="103">
        <v>0</v>
      </c>
      <c r="AG871" s="103">
        <v>5</v>
      </c>
      <c r="AH871" s="103">
        <v>6</v>
      </c>
      <c r="AI871" s="103">
        <v>0</v>
      </c>
      <c r="AJ871" s="103">
        <v>0</v>
      </c>
      <c r="AK871" s="103">
        <v>1</v>
      </c>
      <c r="AL871" s="103">
        <v>0</v>
      </c>
      <c r="AM871" s="103">
        <v>0</v>
      </c>
      <c r="AN871" s="103">
        <v>0</v>
      </c>
      <c r="AO871" s="103">
        <v>0</v>
      </c>
      <c r="AP871" s="6"/>
      <c r="AQ871" s="110"/>
      <c r="AR871" s="46" t="s">
        <v>2</v>
      </c>
      <c r="AS871" s="103">
        <v>5</v>
      </c>
      <c r="AT871" s="103">
        <v>17</v>
      </c>
      <c r="AU871" s="103">
        <v>22</v>
      </c>
      <c r="AV871" s="103">
        <v>18</v>
      </c>
      <c r="AW871" s="103">
        <v>1</v>
      </c>
      <c r="AX871" s="103">
        <v>0</v>
      </c>
      <c r="AY871" s="103">
        <v>0</v>
      </c>
      <c r="AZ871" s="103">
        <v>0</v>
      </c>
      <c r="BA871" s="103">
        <v>0</v>
      </c>
      <c r="BB871" s="103">
        <v>0</v>
      </c>
      <c r="BC871" s="42"/>
      <c r="BD871" s="110"/>
      <c r="BE871" s="46" t="s">
        <v>2</v>
      </c>
      <c r="BF871" s="103">
        <v>2</v>
      </c>
      <c r="BG871" s="103">
        <v>12</v>
      </c>
      <c r="BH871" s="103">
        <v>18</v>
      </c>
      <c r="BI871" s="103">
        <v>19</v>
      </c>
      <c r="BJ871" s="103">
        <v>2</v>
      </c>
      <c r="BK871" s="103">
        <v>2</v>
      </c>
      <c r="BL871" s="103">
        <v>0</v>
      </c>
      <c r="BM871" s="103">
        <v>0</v>
      </c>
      <c r="BN871" s="103">
        <v>0</v>
      </c>
      <c r="BO871" s="103">
        <v>0</v>
      </c>
      <c r="BQ871" s="110"/>
      <c r="BR871" s="46" t="s">
        <v>2</v>
      </c>
      <c r="BS871" s="103">
        <v>4</v>
      </c>
      <c r="BT871" s="103">
        <v>19</v>
      </c>
      <c r="BU871" s="103">
        <v>24</v>
      </c>
      <c r="BV871" s="103">
        <v>21</v>
      </c>
      <c r="BW871" s="103">
        <v>2</v>
      </c>
      <c r="BX871" s="103">
        <v>0</v>
      </c>
      <c r="BY871" s="103">
        <v>0</v>
      </c>
      <c r="BZ871" s="103">
        <v>0</v>
      </c>
      <c r="CA871" s="103">
        <v>0</v>
      </c>
      <c r="CB871" s="103">
        <v>0</v>
      </c>
      <c r="CC871" s="42"/>
      <c r="CD871" s="110"/>
      <c r="CE871" s="46" t="s">
        <v>2</v>
      </c>
      <c r="CF871" s="103">
        <v>3</v>
      </c>
      <c r="CG871" s="103">
        <v>10</v>
      </c>
      <c r="CH871" s="103">
        <v>16</v>
      </c>
      <c r="CI871" s="103">
        <v>16</v>
      </c>
      <c r="CJ871" s="103">
        <v>1</v>
      </c>
      <c r="CK871" s="103">
        <v>2</v>
      </c>
      <c r="CL871" s="103">
        <v>0</v>
      </c>
      <c r="CM871" s="103">
        <v>0</v>
      </c>
      <c r="CN871" s="103">
        <v>0</v>
      </c>
      <c r="CO871" s="103">
        <v>0</v>
      </c>
      <c r="CQ871" s="110"/>
      <c r="CR871" s="46" t="s">
        <v>2</v>
      </c>
      <c r="CS871" s="103">
        <v>3</v>
      </c>
      <c r="CT871" s="103">
        <v>3</v>
      </c>
      <c r="CU871" s="103">
        <v>5</v>
      </c>
      <c r="CV871" s="103">
        <v>10</v>
      </c>
      <c r="CW871" s="103">
        <v>0</v>
      </c>
      <c r="CX871" s="103">
        <v>1</v>
      </c>
      <c r="CY871" s="103">
        <v>0</v>
      </c>
      <c r="CZ871" s="103">
        <v>0</v>
      </c>
      <c r="DA871" s="103">
        <v>0</v>
      </c>
      <c r="DB871" s="103">
        <v>0</v>
      </c>
      <c r="DC871" s="42"/>
      <c r="DD871" s="110"/>
      <c r="DE871" s="46" t="s">
        <v>2</v>
      </c>
      <c r="DF871" s="103">
        <v>4</v>
      </c>
      <c r="DG871" s="103">
        <v>26</v>
      </c>
      <c r="DH871" s="103">
        <v>35</v>
      </c>
      <c r="DI871" s="103">
        <v>27</v>
      </c>
      <c r="DJ871" s="103">
        <v>3</v>
      </c>
      <c r="DK871" s="103">
        <v>1</v>
      </c>
      <c r="DL871" s="103">
        <v>0</v>
      </c>
      <c r="DM871" s="103">
        <v>0</v>
      </c>
      <c r="DN871" s="103">
        <v>0</v>
      </c>
      <c r="DO871" s="103">
        <v>0</v>
      </c>
    </row>
    <row r="872" spans="2:119" ht="16.5" customHeight="1" x14ac:dyDescent="0.45">
      <c r="B872" s="134"/>
      <c r="C872" s="42"/>
      <c r="D872" s="110"/>
      <c r="E872" s="46" t="s">
        <v>3</v>
      </c>
      <c r="F872" s="103">
        <v>3</v>
      </c>
      <c r="G872" s="103">
        <v>11</v>
      </c>
      <c r="H872" s="103">
        <v>31</v>
      </c>
      <c r="I872" s="103">
        <v>32</v>
      </c>
      <c r="J872" s="103">
        <v>10</v>
      </c>
      <c r="K872" s="103">
        <v>5</v>
      </c>
      <c r="L872" s="103">
        <v>3</v>
      </c>
      <c r="M872" s="103">
        <v>1</v>
      </c>
      <c r="N872" s="103">
        <v>0</v>
      </c>
      <c r="O872" s="103">
        <v>0</v>
      </c>
      <c r="P872" s="42"/>
      <c r="Q872" s="110"/>
      <c r="R872" s="46" t="s">
        <v>3</v>
      </c>
      <c r="S872" s="103">
        <v>3</v>
      </c>
      <c r="T872" s="103">
        <v>10</v>
      </c>
      <c r="U872" s="103">
        <v>28</v>
      </c>
      <c r="V872" s="103">
        <v>31</v>
      </c>
      <c r="W872" s="103">
        <v>8</v>
      </c>
      <c r="X872" s="103">
        <v>5</v>
      </c>
      <c r="Y872" s="103">
        <v>3</v>
      </c>
      <c r="Z872" s="103">
        <v>1</v>
      </c>
      <c r="AA872" s="103">
        <v>0</v>
      </c>
      <c r="AB872" s="103">
        <v>0</v>
      </c>
      <c r="AC872" s="42"/>
      <c r="AD872" s="110"/>
      <c r="AE872" s="46" t="s">
        <v>3</v>
      </c>
      <c r="AF872" s="103">
        <v>0</v>
      </c>
      <c r="AG872" s="103">
        <v>1</v>
      </c>
      <c r="AH872" s="103">
        <v>3</v>
      </c>
      <c r="AI872" s="103">
        <v>1</v>
      </c>
      <c r="AJ872" s="103">
        <v>2</v>
      </c>
      <c r="AK872" s="103">
        <v>0</v>
      </c>
      <c r="AL872" s="103">
        <v>0</v>
      </c>
      <c r="AM872" s="103">
        <v>0</v>
      </c>
      <c r="AN872" s="103">
        <v>0</v>
      </c>
      <c r="AO872" s="103">
        <v>0</v>
      </c>
      <c r="AP872" s="6"/>
      <c r="AQ872" s="110"/>
      <c r="AR872" s="46" t="s">
        <v>3</v>
      </c>
      <c r="AS872" s="103">
        <v>2</v>
      </c>
      <c r="AT872" s="103">
        <v>8</v>
      </c>
      <c r="AU872" s="103">
        <v>15</v>
      </c>
      <c r="AV872" s="103">
        <v>9</v>
      </c>
      <c r="AW872" s="103">
        <v>3</v>
      </c>
      <c r="AX872" s="103">
        <v>1</v>
      </c>
      <c r="AY872" s="103">
        <v>0</v>
      </c>
      <c r="AZ872" s="103">
        <v>1</v>
      </c>
      <c r="BA872" s="103">
        <v>0</v>
      </c>
      <c r="BB872" s="103">
        <v>0</v>
      </c>
      <c r="BC872" s="42"/>
      <c r="BD872" s="110"/>
      <c r="BE872" s="46" t="s">
        <v>3</v>
      </c>
      <c r="BF872" s="103">
        <v>1</v>
      </c>
      <c r="BG872" s="103">
        <v>3</v>
      </c>
      <c r="BH872" s="103">
        <v>16</v>
      </c>
      <c r="BI872" s="103">
        <v>23</v>
      </c>
      <c r="BJ872" s="103">
        <v>7</v>
      </c>
      <c r="BK872" s="103">
        <v>4</v>
      </c>
      <c r="BL872" s="103">
        <v>3</v>
      </c>
      <c r="BM872" s="103">
        <v>0</v>
      </c>
      <c r="BN872" s="103">
        <v>0</v>
      </c>
      <c r="BO872" s="103">
        <v>0</v>
      </c>
      <c r="BQ872" s="110"/>
      <c r="BR872" s="46" t="s">
        <v>3</v>
      </c>
      <c r="BS872" s="103">
        <v>1</v>
      </c>
      <c r="BT872" s="103">
        <v>6</v>
      </c>
      <c r="BU872" s="103">
        <v>20</v>
      </c>
      <c r="BV872" s="103">
        <v>8</v>
      </c>
      <c r="BW872" s="103">
        <v>4</v>
      </c>
      <c r="BX872" s="103">
        <v>3</v>
      </c>
      <c r="BY872" s="103">
        <v>2</v>
      </c>
      <c r="BZ872" s="103">
        <v>0</v>
      </c>
      <c r="CA872" s="103">
        <v>0</v>
      </c>
      <c r="CB872" s="103">
        <v>0</v>
      </c>
      <c r="CC872" s="42"/>
      <c r="CD872" s="110"/>
      <c r="CE872" s="46" t="s">
        <v>3</v>
      </c>
      <c r="CF872" s="103">
        <v>2</v>
      </c>
      <c r="CG872" s="103">
        <v>5</v>
      </c>
      <c r="CH872" s="103">
        <v>11</v>
      </c>
      <c r="CI872" s="103">
        <v>24</v>
      </c>
      <c r="CJ872" s="103">
        <v>6</v>
      </c>
      <c r="CK872" s="103">
        <v>2</v>
      </c>
      <c r="CL872" s="103">
        <v>1</v>
      </c>
      <c r="CM872" s="103">
        <v>1</v>
      </c>
      <c r="CN872" s="103">
        <v>0</v>
      </c>
      <c r="CO872" s="103">
        <v>0</v>
      </c>
      <c r="CQ872" s="110"/>
      <c r="CR872" s="46" t="s">
        <v>3</v>
      </c>
      <c r="CS872" s="103">
        <v>0</v>
      </c>
      <c r="CT872" s="103">
        <v>2</v>
      </c>
      <c r="CU872" s="103">
        <v>1</v>
      </c>
      <c r="CV872" s="103">
        <v>5</v>
      </c>
      <c r="CW872" s="103">
        <v>2</v>
      </c>
      <c r="CX872" s="103">
        <v>0</v>
      </c>
      <c r="CY872" s="103">
        <v>0</v>
      </c>
      <c r="CZ872" s="103">
        <v>1</v>
      </c>
      <c r="DA872" s="103">
        <v>0</v>
      </c>
      <c r="DB872" s="103">
        <v>0</v>
      </c>
      <c r="DC872" s="42"/>
      <c r="DD872" s="110"/>
      <c r="DE872" s="46" t="s">
        <v>3</v>
      </c>
      <c r="DF872" s="103">
        <v>3</v>
      </c>
      <c r="DG872" s="103">
        <v>9</v>
      </c>
      <c r="DH872" s="103">
        <v>30</v>
      </c>
      <c r="DI872" s="103">
        <v>27</v>
      </c>
      <c r="DJ872" s="103">
        <v>8</v>
      </c>
      <c r="DK872" s="103">
        <v>5</v>
      </c>
      <c r="DL872" s="103">
        <v>3</v>
      </c>
      <c r="DM872" s="103">
        <v>0</v>
      </c>
      <c r="DN872" s="103">
        <v>0</v>
      </c>
      <c r="DO872" s="103">
        <v>0</v>
      </c>
    </row>
    <row r="873" spans="2:119" ht="16.5" customHeight="1" x14ac:dyDescent="0.45">
      <c r="B873" s="134"/>
      <c r="C873" s="42"/>
      <c r="D873" s="110"/>
      <c r="E873" s="46" t="s">
        <v>4</v>
      </c>
      <c r="F873" s="103">
        <v>7</v>
      </c>
      <c r="G873" s="103">
        <v>22</v>
      </c>
      <c r="H873" s="103">
        <v>65</v>
      </c>
      <c r="I873" s="103">
        <v>64</v>
      </c>
      <c r="J873" s="103">
        <v>16</v>
      </c>
      <c r="K873" s="103">
        <v>5</v>
      </c>
      <c r="L873" s="103">
        <v>12</v>
      </c>
      <c r="M873" s="103">
        <v>3</v>
      </c>
      <c r="N873" s="103">
        <v>1</v>
      </c>
      <c r="O873" s="103">
        <v>0</v>
      </c>
      <c r="P873" s="42"/>
      <c r="Q873" s="110"/>
      <c r="R873" s="46" t="s">
        <v>4</v>
      </c>
      <c r="S873" s="103">
        <v>7</v>
      </c>
      <c r="T873" s="103">
        <v>19</v>
      </c>
      <c r="U873" s="103">
        <v>58</v>
      </c>
      <c r="V873" s="103">
        <v>57</v>
      </c>
      <c r="W873" s="103">
        <v>15</v>
      </c>
      <c r="X873" s="103">
        <v>4</v>
      </c>
      <c r="Y873" s="103">
        <v>12</v>
      </c>
      <c r="Z873" s="103">
        <v>3</v>
      </c>
      <c r="AA873" s="103">
        <v>1</v>
      </c>
      <c r="AB873" s="103">
        <v>0</v>
      </c>
      <c r="AC873" s="42"/>
      <c r="AD873" s="110"/>
      <c r="AE873" s="46" t="s">
        <v>4</v>
      </c>
      <c r="AF873" s="103">
        <v>0</v>
      </c>
      <c r="AG873" s="103">
        <v>3</v>
      </c>
      <c r="AH873" s="103">
        <v>7</v>
      </c>
      <c r="AI873" s="103">
        <v>7</v>
      </c>
      <c r="AJ873" s="103">
        <v>1</v>
      </c>
      <c r="AK873" s="103">
        <v>1</v>
      </c>
      <c r="AL873" s="103">
        <v>0</v>
      </c>
      <c r="AM873" s="103">
        <v>0</v>
      </c>
      <c r="AN873" s="103">
        <v>0</v>
      </c>
      <c r="AO873" s="103">
        <v>0</v>
      </c>
      <c r="AP873" s="6"/>
      <c r="AQ873" s="110"/>
      <c r="AR873" s="46" t="s">
        <v>4</v>
      </c>
      <c r="AS873" s="103">
        <v>6</v>
      </c>
      <c r="AT873" s="103">
        <v>15</v>
      </c>
      <c r="AU873" s="103">
        <v>28</v>
      </c>
      <c r="AV873" s="103">
        <v>19</v>
      </c>
      <c r="AW873" s="103">
        <v>8</v>
      </c>
      <c r="AX873" s="103">
        <v>1</v>
      </c>
      <c r="AY873" s="103">
        <v>2</v>
      </c>
      <c r="AZ873" s="103">
        <v>0</v>
      </c>
      <c r="BA873" s="103">
        <v>0</v>
      </c>
      <c r="BB873" s="103">
        <v>0</v>
      </c>
      <c r="BC873" s="42"/>
      <c r="BD873" s="110"/>
      <c r="BE873" s="46" t="s">
        <v>4</v>
      </c>
      <c r="BF873" s="103">
        <v>1</v>
      </c>
      <c r="BG873" s="103">
        <v>7</v>
      </c>
      <c r="BH873" s="103">
        <v>37</v>
      </c>
      <c r="BI873" s="103">
        <v>45</v>
      </c>
      <c r="BJ873" s="103">
        <v>8</v>
      </c>
      <c r="BK873" s="103">
        <v>4</v>
      </c>
      <c r="BL873" s="103">
        <v>10</v>
      </c>
      <c r="BM873" s="103">
        <v>3</v>
      </c>
      <c r="BN873" s="103">
        <v>1</v>
      </c>
      <c r="BO873" s="103">
        <v>0</v>
      </c>
      <c r="BQ873" s="110"/>
      <c r="BR873" s="46" t="s">
        <v>4</v>
      </c>
      <c r="BS873" s="103">
        <v>2</v>
      </c>
      <c r="BT873" s="103">
        <v>11</v>
      </c>
      <c r="BU873" s="103">
        <v>18</v>
      </c>
      <c r="BV873" s="103">
        <v>25</v>
      </c>
      <c r="BW873" s="103">
        <v>4</v>
      </c>
      <c r="BX873" s="103">
        <v>2</v>
      </c>
      <c r="BY873" s="103">
        <v>5</v>
      </c>
      <c r="BZ873" s="103">
        <v>0</v>
      </c>
      <c r="CA873" s="103">
        <v>1</v>
      </c>
      <c r="CB873" s="103">
        <v>0</v>
      </c>
      <c r="CC873" s="42"/>
      <c r="CD873" s="110"/>
      <c r="CE873" s="46" t="s">
        <v>4</v>
      </c>
      <c r="CF873" s="103">
        <v>5</v>
      </c>
      <c r="CG873" s="103">
        <v>11</v>
      </c>
      <c r="CH873" s="103">
        <v>47</v>
      </c>
      <c r="CI873" s="103">
        <v>39</v>
      </c>
      <c r="CJ873" s="103">
        <v>12</v>
      </c>
      <c r="CK873" s="103">
        <v>3</v>
      </c>
      <c r="CL873" s="103">
        <v>7</v>
      </c>
      <c r="CM873" s="103">
        <v>3</v>
      </c>
      <c r="CN873" s="103">
        <v>0</v>
      </c>
      <c r="CO873" s="103">
        <v>0</v>
      </c>
      <c r="CQ873" s="110"/>
      <c r="CR873" s="46" t="s">
        <v>4</v>
      </c>
      <c r="CS873" s="103">
        <v>2</v>
      </c>
      <c r="CT873" s="103">
        <v>4</v>
      </c>
      <c r="CU873" s="103">
        <v>5</v>
      </c>
      <c r="CV873" s="103">
        <v>6</v>
      </c>
      <c r="CW873" s="103">
        <v>3</v>
      </c>
      <c r="CX873" s="103">
        <v>0</v>
      </c>
      <c r="CY873" s="103">
        <v>1</v>
      </c>
      <c r="CZ873" s="103">
        <v>1</v>
      </c>
      <c r="DA873" s="103">
        <v>0</v>
      </c>
      <c r="DB873" s="103">
        <v>0</v>
      </c>
      <c r="DC873" s="42"/>
      <c r="DD873" s="110"/>
      <c r="DE873" s="46" t="s">
        <v>4</v>
      </c>
      <c r="DF873" s="103">
        <v>5</v>
      </c>
      <c r="DG873" s="103">
        <v>18</v>
      </c>
      <c r="DH873" s="103">
        <v>60</v>
      </c>
      <c r="DI873" s="103">
        <v>58</v>
      </c>
      <c r="DJ873" s="103">
        <v>13</v>
      </c>
      <c r="DK873" s="103">
        <v>5</v>
      </c>
      <c r="DL873" s="103">
        <v>11</v>
      </c>
      <c r="DM873" s="103">
        <v>2</v>
      </c>
      <c r="DN873" s="103">
        <v>1</v>
      </c>
      <c r="DO873" s="103">
        <v>0</v>
      </c>
    </row>
    <row r="874" spans="2:119" ht="16.5" customHeight="1" x14ac:dyDescent="0.45">
      <c r="B874" s="134"/>
      <c r="C874" s="42"/>
      <c r="D874" s="110"/>
      <c r="E874" s="46" t="s">
        <v>5</v>
      </c>
      <c r="F874" s="103">
        <v>6</v>
      </c>
      <c r="G874" s="103">
        <v>18</v>
      </c>
      <c r="H874" s="103">
        <v>82</v>
      </c>
      <c r="I874" s="103">
        <v>128</v>
      </c>
      <c r="J874" s="103">
        <v>56</v>
      </c>
      <c r="K874" s="103">
        <v>35</v>
      </c>
      <c r="L874" s="103">
        <v>23</v>
      </c>
      <c r="M874" s="103">
        <v>5</v>
      </c>
      <c r="N874" s="103">
        <v>1</v>
      </c>
      <c r="O874" s="103">
        <v>0</v>
      </c>
      <c r="P874" s="42"/>
      <c r="Q874" s="110"/>
      <c r="R874" s="46" t="s">
        <v>5</v>
      </c>
      <c r="S874" s="103">
        <v>6</v>
      </c>
      <c r="T874" s="103">
        <v>17</v>
      </c>
      <c r="U874" s="103">
        <v>75</v>
      </c>
      <c r="V874" s="103">
        <v>120</v>
      </c>
      <c r="W874" s="103">
        <v>49</v>
      </c>
      <c r="X874" s="103">
        <v>34</v>
      </c>
      <c r="Y874" s="103">
        <v>23</v>
      </c>
      <c r="Z874" s="103">
        <v>5</v>
      </c>
      <c r="AA874" s="103">
        <v>1</v>
      </c>
      <c r="AB874" s="103">
        <v>0</v>
      </c>
      <c r="AC874" s="42"/>
      <c r="AD874" s="110"/>
      <c r="AE874" s="46" t="s">
        <v>5</v>
      </c>
      <c r="AF874" s="103">
        <v>0</v>
      </c>
      <c r="AG874" s="103">
        <v>1</v>
      </c>
      <c r="AH874" s="103">
        <v>7</v>
      </c>
      <c r="AI874" s="103">
        <v>8</v>
      </c>
      <c r="AJ874" s="103">
        <v>7</v>
      </c>
      <c r="AK874" s="103">
        <v>1</v>
      </c>
      <c r="AL874" s="103">
        <v>0</v>
      </c>
      <c r="AM874" s="103">
        <v>0</v>
      </c>
      <c r="AN874" s="103">
        <v>0</v>
      </c>
      <c r="AO874" s="103">
        <v>0</v>
      </c>
      <c r="AP874" s="6"/>
      <c r="AQ874" s="110"/>
      <c r="AR874" s="46" t="s">
        <v>5</v>
      </c>
      <c r="AS874" s="103">
        <v>2</v>
      </c>
      <c r="AT874" s="103">
        <v>10</v>
      </c>
      <c r="AU874" s="103">
        <v>31</v>
      </c>
      <c r="AV874" s="103">
        <v>39</v>
      </c>
      <c r="AW874" s="103">
        <v>12</v>
      </c>
      <c r="AX874" s="103">
        <v>2</v>
      </c>
      <c r="AY874" s="103">
        <v>1</v>
      </c>
      <c r="AZ874" s="103">
        <v>0</v>
      </c>
      <c r="BA874" s="103">
        <v>0</v>
      </c>
      <c r="BB874" s="103">
        <v>0</v>
      </c>
      <c r="BC874" s="42"/>
      <c r="BD874" s="110"/>
      <c r="BE874" s="46" t="s">
        <v>5</v>
      </c>
      <c r="BF874" s="103">
        <v>4</v>
      </c>
      <c r="BG874" s="103">
        <v>8</v>
      </c>
      <c r="BH874" s="103">
        <v>51</v>
      </c>
      <c r="BI874" s="103">
        <v>89</v>
      </c>
      <c r="BJ874" s="103">
        <v>44</v>
      </c>
      <c r="BK874" s="103">
        <v>33</v>
      </c>
      <c r="BL874" s="103">
        <v>22</v>
      </c>
      <c r="BM874" s="103">
        <v>5</v>
      </c>
      <c r="BN874" s="103">
        <v>1</v>
      </c>
      <c r="BO874" s="103">
        <v>0</v>
      </c>
      <c r="BQ874" s="110"/>
      <c r="BR874" s="46" t="s">
        <v>5</v>
      </c>
      <c r="BS874" s="103">
        <v>2</v>
      </c>
      <c r="BT874" s="103">
        <v>4</v>
      </c>
      <c r="BU874" s="103">
        <v>13</v>
      </c>
      <c r="BV874" s="103">
        <v>33</v>
      </c>
      <c r="BW874" s="103">
        <v>14</v>
      </c>
      <c r="BX874" s="103">
        <v>8</v>
      </c>
      <c r="BY874" s="103">
        <v>3</v>
      </c>
      <c r="BZ874" s="103">
        <v>1</v>
      </c>
      <c r="CA874" s="103">
        <v>0</v>
      </c>
      <c r="CB874" s="103">
        <v>0</v>
      </c>
      <c r="CC874" s="42"/>
      <c r="CD874" s="110"/>
      <c r="CE874" s="46" t="s">
        <v>5</v>
      </c>
      <c r="CF874" s="103">
        <v>4</v>
      </c>
      <c r="CG874" s="103">
        <v>14</v>
      </c>
      <c r="CH874" s="103">
        <v>69</v>
      </c>
      <c r="CI874" s="103">
        <v>95</v>
      </c>
      <c r="CJ874" s="103">
        <v>42</v>
      </c>
      <c r="CK874" s="103">
        <v>27</v>
      </c>
      <c r="CL874" s="103">
        <v>20</v>
      </c>
      <c r="CM874" s="103">
        <v>4</v>
      </c>
      <c r="CN874" s="103">
        <v>1</v>
      </c>
      <c r="CO874" s="103">
        <v>0</v>
      </c>
      <c r="CQ874" s="110"/>
      <c r="CR874" s="46" t="s">
        <v>5</v>
      </c>
      <c r="CS874" s="103">
        <v>0</v>
      </c>
      <c r="CT874" s="103">
        <v>6</v>
      </c>
      <c r="CU874" s="103">
        <v>3</v>
      </c>
      <c r="CV874" s="103">
        <v>8</v>
      </c>
      <c r="CW874" s="103">
        <v>5</v>
      </c>
      <c r="CX874" s="103">
        <v>2</v>
      </c>
      <c r="CY874" s="103">
        <v>0</v>
      </c>
      <c r="CZ874" s="103">
        <v>0</v>
      </c>
      <c r="DA874" s="103">
        <v>0</v>
      </c>
      <c r="DB874" s="103">
        <v>0</v>
      </c>
      <c r="DC874" s="42"/>
      <c r="DD874" s="110"/>
      <c r="DE874" s="46" t="s">
        <v>5</v>
      </c>
      <c r="DF874" s="103">
        <v>6</v>
      </c>
      <c r="DG874" s="103">
        <v>12</v>
      </c>
      <c r="DH874" s="103">
        <v>79</v>
      </c>
      <c r="DI874" s="103">
        <v>120</v>
      </c>
      <c r="DJ874" s="103">
        <v>51</v>
      </c>
      <c r="DK874" s="103">
        <v>33</v>
      </c>
      <c r="DL874" s="103">
        <v>23</v>
      </c>
      <c r="DM874" s="103">
        <v>5</v>
      </c>
      <c r="DN874" s="103">
        <v>1</v>
      </c>
      <c r="DO874" s="103">
        <v>0</v>
      </c>
    </row>
    <row r="875" spans="2:119" ht="16.5" customHeight="1" x14ac:dyDescent="0.45">
      <c r="B875" s="134"/>
      <c r="C875" s="42"/>
      <c r="D875" s="110"/>
      <c r="E875" s="46" t="s">
        <v>6</v>
      </c>
      <c r="F875" s="103">
        <v>10</v>
      </c>
      <c r="G875" s="103">
        <v>29</v>
      </c>
      <c r="H875" s="103">
        <v>133</v>
      </c>
      <c r="I875" s="103">
        <v>214</v>
      </c>
      <c r="J875" s="103">
        <v>134</v>
      </c>
      <c r="K875" s="103">
        <v>98</v>
      </c>
      <c r="L875" s="103">
        <v>90</v>
      </c>
      <c r="M875" s="103">
        <v>34</v>
      </c>
      <c r="N875" s="103">
        <v>12</v>
      </c>
      <c r="O875" s="103">
        <v>5</v>
      </c>
      <c r="P875" s="42"/>
      <c r="Q875" s="110"/>
      <c r="R875" s="46" t="s">
        <v>6</v>
      </c>
      <c r="S875" s="103">
        <v>8</v>
      </c>
      <c r="T875" s="103">
        <v>26</v>
      </c>
      <c r="U875" s="103">
        <v>121</v>
      </c>
      <c r="V875" s="103">
        <v>207</v>
      </c>
      <c r="W875" s="103">
        <v>124</v>
      </c>
      <c r="X875" s="103">
        <v>87</v>
      </c>
      <c r="Y875" s="103">
        <v>88</v>
      </c>
      <c r="Z875" s="103">
        <v>29</v>
      </c>
      <c r="AA875" s="103">
        <v>11</v>
      </c>
      <c r="AB875" s="103">
        <v>5</v>
      </c>
      <c r="AC875" s="42"/>
      <c r="AD875" s="110"/>
      <c r="AE875" s="46" t="s">
        <v>6</v>
      </c>
      <c r="AF875" s="103">
        <v>2</v>
      </c>
      <c r="AG875" s="103">
        <v>3</v>
      </c>
      <c r="AH875" s="103">
        <v>12</v>
      </c>
      <c r="AI875" s="103">
        <v>7</v>
      </c>
      <c r="AJ875" s="103">
        <v>10</v>
      </c>
      <c r="AK875" s="103">
        <v>11</v>
      </c>
      <c r="AL875" s="103">
        <v>2</v>
      </c>
      <c r="AM875" s="103">
        <v>5</v>
      </c>
      <c r="AN875" s="103">
        <v>1</v>
      </c>
      <c r="AO875" s="103">
        <v>0</v>
      </c>
      <c r="AP875" s="6"/>
      <c r="AQ875" s="110"/>
      <c r="AR875" s="46" t="s">
        <v>6</v>
      </c>
      <c r="AS875" s="103">
        <v>4</v>
      </c>
      <c r="AT875" s="103">
        <v>16</v>
      </c>
      <c r="AU875" s="103">
        <v>46</v>
      </c>
      <c r="AV875" s="103">
        <v>73</v>
      </c>
      <c r="AW875" s="103">
        <v>34</v>
      </c>
      <c r="AX875" s="103">
        <v>29</v>
      </c>
      <c r="AY875" s="103">
        <v>9</v>
      </c>
      <c r="AZ875" s="103">
        <v>7</v>
      </c>
      <c r="BA875" s="103">
        <v>0</v>
      </c>
      <c r="BB875" s="103">
        <v>0</v>
      </c>
      <c r="BC875" s="42"/>
      <c r="BD875" s="110"/>
      <c r="BE875" s="46" t="s">
        <v>6</v>
      </c>
      <c r="BF875" s="103">
        <v>6</v>
      </c>
      <c r="BG875" s="103">
        <v>13</v>
      </c>
      <c r="BH875" s="103">
        <v>87</v>
      </c>
      <c r="BI875" s="103">
        <v>141</v>
      </c>
      <c r="BJ875" s="103">
        <v>100</v>
      </c>
      <c r="BK875" s="103">
        <v>69</v>
      </c>
      <c r="BL875" s="103">
        <v>81</v>
      </c>
      <c r="BM875" s="103">
        <v>27</v>
      </c>
      <c r="BN875" s="103">
        <v>12</v>
      </c>
      <c r="BO875" s="103">
        <v>5</v>
      </c>
      <c r="BQ875" s="110"/>
      <c r="BR875" s="46" t="s">
        <v>6</v>
      </c>
      <c r="BS875" s="103">
        <v>1</v>
      </c>
      <c r="BT875" s="103">
        <v>6</v>
      </c>
      <c r="BU875" s="103">
        <v>22</v>
      </c>
      <c r="BV875" s="103">
        <v>28</v>
      </c>
      <c r="BW875" s="103">
        <v>16</v>
      </c>
      <c r="BX875" s="103">
        <v>11</v>
      </c>
      <c r="BY875" s="103">
        <v>14</v>
      </c>
      <c r="BZ875" s="103">
        <v>5</v>
      </c>
      <c r="CA875" s="103">
        <v>2</v>
      </c>
      <c r="CB875" s="103">
        <v>0</v>
      </c>
      <c r="CC875" s="42"/>
      <c r="CD875" s="110"/>
      <c r="CE875" s="46" t="s">
        <v>6</v>
      </c>
      <c r="CF875" s="103">
        <v>9</v>
      </c>
      <c r="CG875" s="103">
        <v>23</v>
      </c>
      <c r="CH875" s="103">
        <v>111</v>
      </c>
      <c r="CI875" s="103">
        <v>186</v>
      </c>
      <c r="CJ875" s="103">
        <v>118</v>
      </c>
      <c r="CK875" s="103">
        <v>87</v>
      </c>
      <c r="CL875" s="103">
        <v>76</v>
      </c>
      <c r="CM875" s="103">
        <v>29</v>
      </c>
      <c r="CN875" s="103">
        <v>10</v>
      </c>
      <c r="CO875" s="103">
        <v>5</v>
      </c>
      <c r="CQ875" s="110"/>
      <c r="CR875" s="46" t="s">
        <v>6</v>
      </c>
      <c r="CS875" s="103">
        <v>0</v>
      </c>
      <c r="CT875" s="103">
        <v>2</v>
      </c>
      <c r="CU875" s="103">
        <v>6</v>
      </c>
      <c r="CV875" s="103">
        <v>20</v>
      </c>
      <c r="CW875" s="103">
        <v>6</v>
      </c>
      <c r="CX875" s="103">
        <v>7</v>
      </c>
      <c r="CY875" s="103">
        <v>4</v>
      </c>
      <c r="CZ875" s="103">
        <v>3</v>
      </c>
      <c r="DA875" s="103">
        <v>0</v>
      </c>
      <c r="DB875" s="103">
        <v>0</v>
      </c>
      <c r="DC875" s="42"/>
      <c r="DD875" s="110"/>
      <c r="DE875" s="46" t="s">
        <v>6</v>
      </c>
      <c r="DF875" s="103">
        <v>10</v>
      </c>
      <c r="DG875" s="103">
        <v>27</v>
      </c>
      <c r="DH875" s="103">
        <v>127</v>
      </c>
      <c r="DI875" s="103">
        <v>194</v>
      </c>
      <c r="DJ875" s="103">
        <v>128</v>
      </c>
      <c r="DK875" s="103">
        <v>91</v>
      </c>
      <c r="DL875" s="103">
        <v>86</v>
      </c>
      <c r="DM875" s="103">
        <v>31</v>
      </c>
      <c r="DN875" s="103">
        <v>12</v>
      </c>
      <c r="DO875" s="103">
        <v>5</v>
      </c>
    </row>
    <row r="876" spans="2:119" ht="16.5" customHeight="1" x14ac:dyDescent="0.45">
      <c r="B876" s="134"/>
      <c r="C876" s="42"/>
      <c r="D876" s="110"/>
      <c r="E876" s="46" t="s">
        <v>7</v>
      </c>
      <c r="F876" s="103">
        <v>17</v>
      </c>
      <c r="G876" s="103">
        <v>30</v>
      </c>
      <c r="H876" s="103">
        <v>149</v>
      </c>
      <c r="I876" s="103">
        <v>368</v>
      </c>
      <c r="J876" s="103">
        <v>311</v>
      </c>
      <c r="K876" s="103">
        <v>239</v>
      </c>
      <c r="L876" s="103">
        <v>170</v>
      </c>
      <c r="M876" s="103">
        <v>95</v>
      </c>
      <c r="N876" s="103">
        <v>56</v>
      </c>
      <c r="O876" s="103">
        <v>15</v>
      </c>
      <c r="P876" s="42"/>
      <c r="Q876" s="110"/>
      <c r="R876" s="46" t="s">
        <v>7</v>
      </c>
      <c r="S876" s="103">
        <v>17</v>
      </c>
      <c r="T876" s="103">
        <v>23</v>
      </c>
      <c r="U876" s="103">
        <v>143</v>
      </c>
      <c r="V876" s="103">
        <v>338</v>
      </c>
      <c r="W876" s="103">
        <v>295</v>
      </c>
      <c r="X876" s="103">
        <v>225</v>
      </c>
      <c r="Y876" s="103">
        <v>165</v>
      </c>
      <c r="Z876" s="103">
        <v>94</v>
      </c>
      <c r="AA876" s="103">
        <v>55</v>
      </c>
      <c r="AB876" s="103">
        <v>14</v>
      </c>
      <c r="AC876" s="42"/>
      <c r="AD876" s="110"/>
      <c r="AE876" s="46" t="s">
        <v>7</v>
      </c>
      <c r="AF876" s="103">
        <v>0</v>
      </c>
      <c r="AG876" s="103">
        <v>7</v>
      </c>
      <c r="AH876" s="103">
        <v>6</v>
      </c>
      <c r="AI876" s="103">
        <v>30</v>
      </c>
      <c r="AJ876" s="103">
        <v>16</v>
      </c>
      <c r="AK876" s="103">
        <v>14</v>
      </c>
      <c r="AL876" s="103">
        <v>5</v>
      </c>
      <c r="AM876" s="103">
        <v>1</v>
      </c>
      <c r="AN876" s="103">
        <v>1</v>
      </c>
      <c r="AO876" s="103">
        <v>1</v>
      </c>
      <c r="AP876" s="6"/>
      <c r="AQ876" s="110"/>
      <c r="AR876" s="46" t="s">
        <v>7</v>
      </c>
      <c r="AS876" s="103">
        <v>10</v>
      </c>
      <c r="AT876" s="103">
        <v>15</v>
      </c>
      <c r="AU876" s="103">
        <v>64</v>
      </c>
      <c r="AV876" s="103">
        <v>109</v>
      </c>
      <c r="AW876" s="103">
        <v>71</v>
      </c>
      <c r="AX876" s="103">
        <v>42</v>
      </c>
      <c r="AY876" s="103">
        <v>34</v>
      </c>
      <c r="AZ876" s="103">
        <v>13</v>
      </c>
      <c r="BA876" s="103">
        <v>5</v>
      </c>
      <c r="BB876" s="103">
        <v>1</v>
      </c>
      <c r="BC876" s="42"/>
      <c r="BD876" s="110"/>
      <c r="BE876" s="46" t="s">
        <v>7</v>
      </c>
      <c r="BF876" s="103">
        <v>7</v>
      </c>
      <c r="BG876" s="103">
        <v>15</v>
      </c>
      <c r="BH876" s="103">
        <v>85</v>
      </c>
      <c r="BI876" s="103">
        <v>259</v>
      </c>
      <c r="BJ876" s="103">
        <v>240</v>
      </c>
      <c r="BK876" s="103">
        <v>197</v>
      </c>
      <c r="BL876" s="103">
        <v>136</v>
      </c>
      <c r="BM876" s="103">
        <v>82</v>
      </c>
      <c r="BN876" s="103">
        <v>51</v>
      </c>
      <c r="BO876" s="103">
        <v>14</v>
      </c>
      <c r="BQ876" s="110"/>
      <c r="BR876" s="46" t="s">
        <v>7</v>
      </c>
      <c r="BS876" s="103">
        <v>2</v>
      </c>
      <c r="BT876" s="103">
        <v>3</v>
      </c>
      <c r="BU876" s="103">
        <v>15</v>
      </c>
      <c r="BV876" s="103">
        <v>36</v>
      </c>
      <c r="BW876" s="103">
        <v>26</v>
      </c>
      <c r="BX876" s="103">
        <v>27</v>
      </c>
      <c r="BY876" s="103">
        <v>12</v>
      </c>
      <c r="BZ876" s="103">
        <v>6</v>
      </c>
      <c r="CA876" s="103">
        <v>2</v>
      </c>
      <c r="CB876" s="103">
        <v>0</v>
      </c>
      <c r="CC876" s="42"/>
      <c r="CD876" s="110"/>
      <c r="CE876" s="46" t="s">
        <v>7</v>
      </c>
      <c r="CF876" s="103">
        <v>15</v>
      </c>
      <c r="CG876" s="103">
        <v>27</v>
      </c>
      <c r="CH876" s="103">
        <v>134</v>
      </c>
      <c r="CI876" s="103">
        <v>332</v>
      </c>
      <c r="CJ876" s="103">
        <v>285</v>
      </c>
      <c r="CK876" s="103">
        <v>212</v>
      </c>
      <c r="CL876" s="103">
        <v>158</v>
      </c>
      <c r="CM876" s="103">
        <v>89</v>
      </c>
      <c r="CN876" s="103">
        <v>54</v>
      </c>
      <c r="CO876" s="103">
        <v>15</v>
      </c>
      <c r="CQ876" s="110"/>
      <c r="CR876" s="46" t="s">
        <v>7</v>
      </c>
      <c r="CS876" s="103">
        <v>2</v>
      </c>
      <c r="CT876" s="103">
        <v>3</v>
      </c>
      <c r="CU876" s="103">
        <v>9</v>
      </c>
      <c r="CV876" s="103">
        <v>23</v>
      </c>
      <c r="CW876" s="103">
        <v>20</v>
      </c>
      <c r="CX876" s="103">
        <v>9</v>
      </c>
      <c r="CY876" s="103">
        <v>17</v>
      </c>
      <c r="CZ876" s="103">
        <v>3</v>
      </c>
      <c r="DA876" s="103">
        <v>3</v>
      </c>
      <c r="DB876" s="103">
        <v>0</v>
      </c>
      <c r="DC876" s="42"/>
      <c r="DD876" s="110"/>
      <c r="DE876" s="46" t="s">
        <v>7</v>
      </c>
      <c r="DF876" s="103">
        <v>15</v>
      </c>
      <c r="DG876" s="103">
        <v>27</v>
      </c>
      <c r="DH876" s="103">
        <v>140</v>
      </c>
      <c r="DI876" s="103">
        <v>345</v>
      </c>
      <c r="DJ876" s="103">
        <v>291</v>
      </c>
      <c r="DK876" s="103">
        <v>230</v>
      </c>
      <c r="DL876" s="103">
        <v>153</v>
      </c>
      <c r="DM876" s="103">
        <v>92</v>
      </c>
      <c r="DN876" s="103">
        <v>53</v>
      </c>
      <c r="DO876" s="103">
        <v>15</v>
      </c>
    </row>
    <row r="877" spans="2:119" ht="16.5" customHeight="1" x14ac:dyDescent="0.45">
      <c r="B877" s="134"/>
      <c r="C877" s="42"/>
      <c r="D877" s="110"/>
      <c r="E877" s="46" t="s">
        <v>8</v>
      </c>
      <c r="F877" s="103">
        <v>5</v>
      </c>
      <c r="G877" s="103">
        <v>27</v>
      </c>
      <c r="H877" s="103">
        <v>104</v>
      </c>
      <c r="I877" s="103">
        <v>340</v>
      </c>
      <c r="J877" s="103">
        <v>374</v>
      </c>
      <c r="K877" s="103">
        <v>370</v>
      </c>
      <c r="L877" s="103">
        <v>353</v>
      </c>
      <c r="M877" s="103">
        <v>203</v>
      </c>
      <c r="N877" s="103">
        <v>100</v>
      </c>
      <c r="O877" s="103">
        <v>28</v>
      </c>
      <c r="P877" s="42"/>
      <c r="Q877" s="110"/>
      <c r="R877" s="46" t="s">
        <v>8</v>
      </c>
      <c r="S877" s="103">
        <v>4</v>
      </c>
      <c r="T877" s="103">
        <v>26</v>
      </c>
      <c r="U877" s="103">
        <v>96</v>
      </c>
      <c r="V877" s="103">
        <v>310</v>
      </c>
      <c r="W877" s="103">
        <v>356</v>
      </c>
      <c r="X877" s="103">
        <v>344</v>
      </c>
      <c r="Y877" s="103">
        <v>335</v>
      </c>
      <c r="Z877" s="103">
        <v>194</v>
      </c>
      <c r="AA877" s="103">
        <v>93</v>
      </c>
      <c r="AB877" s="103">
        <v>25</v>
      </c>
      <c r="AC877" s="42"/>
      <c r="AD877" s="110"/>
      <c r="AE877" s="46" t="s">
        <v>8</v>
      </c>
      <c r="AF877" s="103">
        <v>1</v>
      </c>
      <c r="AG877" s="103">
        <v>1</v>
      </c>
      <c r="AH877" s="103">
        <v>8</v>
      </c>
      <c r="AI877" s="103">
        <v>30</v>
      </c>
      <c r="AJ877" s="103">
        <v>18</v>
      </c>
      <c r="AK877" s="103">
        <v>26</v>
      </c>
      <c r="AL877" s="103">
        <v>18</v>
      </c>
      <c r="AM877" s="103">
        <v>9</v>
      </c>
      <c r="AN877" s="103">
        <v>7</v>
      </c>
      <c r="AO877" s="103">
        <v>3</v>
      </c>
      <c r="AP877" s="6"/>
      <c r="AQ877" s="110"/>
      <c r="AR877" s="46" t="s">
        <v>8</v>
      </c>
      <c r="AS877" s="103">
        <v>3</v>
      </c>
      <c r="AT877" s="103">
        <v>13</v>
      </c>
      <c r="AU877" s="103">
        <v>38</v>
      </c>
      <c r="AV877" s="103">
        <v>93</v>
      </c>
      <c r="AW877" s="103">
        <v>54</v>
      </c>
      <c r="AX877" s="103">
        <v>47</v>
      </c>
      <c r="AY877" s="103">
        <v>51</v>
      </c>
      <c r="AZ877" s="103">
        <v>16</v>
      </c>
      <c r="BA877" s="103">
        <v>8</v>
      </c>
      <c r="BB877" s="103">
        <v>4</v>
      </c>
      <c r="BC877" s="42"/>
      <c r="BD877" s="110"/>
      <c r="BE877" s="46" t="s">
        <v>8</v>
      </c>
      <c r="BF877" s="103">
        <v>2</v>
      </c>
      <c r="BG877" s="103">
        <v>14</v>
      </c>
      <c r="BH877" s="103">
        <v>66</v>
      </c>
      <c r="BI877" s="103">
        <v>247</v>
      </c>
      <c r="BJ877" s="103">
        <v>320</v>
      </c>
      <c r="BK877" s="103">
        <v>323</v>
      </c>
      <c r="BL877" s="103">
        <v>302</v>
      </c>
      <c r="BM877" s="103">
        <v>187</v>
      </c>
      <c r="BN877" s="103">
        <v>92</v>
      </c>
      <c r="BO877" s="103">
        <v>24</v>
      </c>
      <c r="BQ877" s="110"/>
      <c r="BR877" s="46" t="s">
        <v>8</v>
      </c>
      <c r="BS877" s="103">
        <v>0</v>
      </c>
      <c r="BT877" s="103">
        <v>5</v>
      </c>
      <c r="BU877" s="103">
        <v>10</v>
      </c>
      <c r="BV877" s="103">
        <v>19</v>
      </c>
      <c r="BW877" s="103">
        <v>17</v>
      </c>
      <c r="BX877" s="103">
        <v>11</v>
      </c>
      <c r="BY877" s="103">
        <v>13</v>
      </c>
      <c r="BZ877" s="103">
        <v>10</v>
      </c>
      <c r="CA877" s="103">
        <v>3</v>
      </c>
      <c r="CB877" s="103">
        <v>0</v>
      </c>
      <c r="CC877" s="42"/>
      <c r="CD877" s="110"/>
      <c r="CE877" s="46" t="s">
        <v>8</v>
      </c>
      <c r="CF877" s="103">
        <v>5</v>
      </c>
      <c r="CG877" s="103">
        <v>22</v>
      </c>
      <c r="CH877" s="103">
        <v>94</v>
      </c>
      <c r="CI877" s="103">
        <v>321</v>
      </c>
      <c r="CJ877" s="103">
        <v>357</v>
      </c>
      <c r="CK877" s="103">
        <v>359</v>
      </c>
      <c r="CL877" s="103">
        <v>340</v>
      </c>
      <c r="CM877" s="103">
        <v>193</v>
      </c>
      <c r="CN877" s="103">
        <v>97</v>
      </c>
      <c r="CO877" s="103">
        <v>28</v>
      </c>
      <c r="CQ877" s="110"/>
      <c r="CR877" s="46" t="s">
        <v>8</v>
      </c>
      <c r="CS877" s="103">
        <v>0</v>
      </c>
      <c r="CT877" s="103">
        <v>0</v>
      </c>
      <c r="CU877" s="103">
        <v>6</v>
      </c>
      <c r="CV877" s="103">
        <v>15</v>
      </c>
      <c r="CW877" s="103">
        <v>13</v>
      </c>
      <c r="CX877" s="103">
        <v>17</v>
      </c>
      <c r="CY877" s="103">
        <v>15</v>
      </c>
      <c r="CZ877" s="103">
        <v>12</v>
      </c>
      <c r="DA877" s="103">
        <v>2</v>
      </c>
      <c r="DB877" s="103">
        <v>1</v>
      </c>
      <c r="DC877" s="42"/>
      <c r="DD877" s="110"/>
      <c r="DE877" s="46" t="s">
        <v>8</v>
      </c>
      <c r="DF877" s="103">
        <v>5</v>
      </c>
      <c r="DG877" s="103">
        <v>27</v>
      </c>
      <c r="DH877" s="103">
        <v>98</v>
      </c>
      <c r="DI877" s="103">
        <v>325</v>
      </c>
      <c r="DJ877" s="103">
        <v>361</v>
      </c>
      <c r="DK877" s="103">
        <v>353</v>
      </c>
      <c r="DL877" s="103">
        <v>338</v>
      </c>
      <c r="DM877" s="103">
        <v>191</v>
      </c>
      <c r="DN877" s="103">
        <v>98</v>
      </c>
      <c r="DO877" s="103">
        <v>27</v>
      </c>
    </row>
    <row r="878" spans="2:119" ht="16.5" customHeight="1" x14ac:dyDescent="0.45">
      <c r="B878" s="134"/>
      <c r="C878" s="42"/>
      <c r="D878" s="110"/>
      <c r="E878" s="46" t="s">
        <v>9</v>
      </c>
      <c r="F878" s="103">
        <v>6</v>
      </c>
      <c r="G878" s="103">
        <v>9</v>
      </c>
      <c r="H878" s="103">
        <v>54</v>
      </c>
      <c r="I878" s="103">
        <v>226</v>
      </c>
      <c r="J878" s="103">
        <v>270</v>
      </c>
      <c r="K878" s="103">
        <v>401</v>
      </c>
      <c r="L878" s="103">
        <v>385</v>
      </c>
      <c r="M878" s="103">
        <v>273</v>
      </c>
      <c r="N878" s="103">
        <v>202</v>
      </c>
      <c r="O878" s="103">
        <v>80</v>
      </c>
      <c r="P878" s="42"/>
      <c r="Q878" s="110"/>
      <c r="R878" s="46" t="s">
        <v>9</v>
      </c>
      <c r="S878" s="103">
        <v>4</v>
      </c>
      <c r="T878" s="103">
        <v>8</v>
      </c>
      <c r="U878" s="103">
        <v>48</v>
      </c>
      <c r="V878" s="103">
        <v>215</v>
      </c>
      <c r="W878" s="103">
        <v>251</v>
      </c>
      <c r="X878" s="103">
        <v>380</v>
      </c>
      <c r="Y878" s="103">
        <v>375</v>
      </c>
      <c r="Z878" s="103">
        <v>265</v>
      </c>
      <c r="AA878" s="103">
        <v>192</v>
      </c>
      <c r="AB878" s="103">
        <v>76</v>
      </c>
      <c r="AC878" s="42"/>
      <c r="AD878" s="110"/>
      <c r="AE878" s="46" t="s">
        <v>9</v>
      </c>
      <c r="AF878" s="103">
        <v>2</v>
      </c>
      <c r="AG878" s="103">
        <v>1</v>
      </c>
      <c r="AH878" s="103">
        <v>6</v>
      </c>
      <c r="AI878" s="103">
        <v>11</v>
      </c>
      <c r="AJ878" s="103">
        <v>19</v>
      </c>
      <c r="AK878" s="103">
        <v>21</v>
      </c>
      <c r="AL878" s="103">
        <v>10</v>
      </c>
      <c r="AM878" s="103">
        <v>8</v>
      </c>
      <c r="AN878" s="103">
        <v>10</v>
      </c>
      <c r="AO878" s="103">
        <v>4</v>
      </c>
      <c r="AP878" s="6"/>
      <c r="AQ878" s="110"/>
      <c r="AR878" s="46" t="s">
        <v>9</v>
      </c>
      <c r="AS878" s="103">
        <v>2</v>
      </c>
      <c r="AT878" s="103">
        <v>4</v>
      </c>
      <c r="AU878" s="103">
        <v>17</v>
      </c>
      <c r="AV878" s="103">
        <v>62</v>
      </c>
      <c r="AW878" s="103">
        <v>49</v>
      </c>
      <c r="AX878" s="103">
        <v>58</v>
      </c>
      <c r="AY878" s="103">
        <v>43</v>
      </c>
      <c r="AZ878" s="103">
        <v>27</v>
      </c>
      <c r="BA878" s="103">
        <v>15</v>
      </c>
      <c r="BB878" s="103">
        <v>5</v>
      </c>
      <c r="BC878" s="42"/>
      <c r="BD878" s="110"/>
      <c r="BE878" s="46" t="s">
        <v>9</v>
      </c>
      <c r="BF878" s="103">
        <v>4</v>
      </c>
      <c r="BG878" s="103">
        <v>5</v>
      </c>
      <c r="BH878" s="103">
        <v>37</v>
      </c>
      <c r="BI878" s="103">
        <v>164</v>
      </c>
      <c r="BJ878" s="103">
        <v>221</v>
      </c>
      <c r="BK878" s="103">
        <v>343</v>
      </c>
      <c r="BL878" s="103">
        <v>342</v>
      </c>
      <c r="BM878" s="103">
        <v>246</v>
      </c>
      <c r="BN878" s="103">
        <v>187</v>
      </c>
      <c r="BO878" s="103">
        <v>75</v>
      </c>
      <c r="BQ878" s="110"/>
      <c r="BR878" s="46" t="s">
        <v>9</v>
      </c>
      <c r="BS878" s="103">
        <v>1</v>
      </c>
      <c r="BT878" s="103">
        <v>0</v>
      </c>
      <c r="BU878" s="103">
        <v>4</v>
      </c>
      <c r="BV878" s="103">
        <v>6</v>
      </c>
      <c r="BW878" s="103">
        <v>6</v>
      </c>
      <c r="BX878" s="103">
        <v>13</v>
      </c>
      <c r="BY878" s="103">
        <v>11</v>
      </c>
      <c r="BZ878" s="103">
        <v>9</v>
      </c>
      <c r="CA878" s="103">
        <v>7</v>
      </c>
      <c r="CB878" s="103">
        <v>1</v>
      </c>
      <c r="CC878" s="42"/>
      <c r="CD878" s="110"/>
      <c r="CE878" s="46" t="s">
        <v>9</v>
      </c>
      <c r="CF878" s="103">
        <v>5</v>
      </c>
      <c r="CG878" s="103">
        <v>9</v>
      </c>
      <c r="CH878" s="103">
        <v>50</v>
      </c>
      <c r="CI878" s="103">
        <v>220</v>
      </c>
      <c r="CJ878" s="103">
        <v>264</v>
      </c>
      <c r="CK878" s="103">
        <v>388</v>
      </c>
      <c r="CL878" s="103">
        <v>374</v>
      </c>
      <c r="CM878" s="103">
        <v>264</v>
      </c>
      <c r="CN878" s="103">
        <v>195</v>
      </c>
      <c r="CO878" s="103">
        <v>79</v>
      </c>
      <c r="CQ878" s="110"/>
      <c r="CR878" s="46" t="s">
        <v>9</v>
      </c>
      <c r="CS878" s="103">
        <v>1</v>
      </c>
      <c r="CT878" s="103">
        <v>0</v>
      </c>
      <c r="CU878" s="103">
        <v>5</v>
      </c>
      <c r="CV878" s="103">
        <v>9</v>
      </c>
      <c r="CW878" s="103">
        <v>21</v>
      </c>
      <c r="CX878" s="103">
        <v>22</v>
      </c>
      <c r="CY878" s="103">
        <v>19</v>
      </c>
      <c r="CZ878" s="103">
        <v>14</v>
      </c>
      <c r="DA878" s="103">
        <v>6</v>
      </c>
      <c r="DB878" s="103">
        <v>3</v>
      </c>
      <c r="DC878" s="42"/>
      <c r="DD878" s="110"/>
      <c r="DE878" s="46" t="s">
        <v>9</v>
      </c>
      <c r="DF878" s="103">
        <v>5</v>
      </c>
      <c r="DG878" s="103">
        <v>9</v>
      </c>
      <c r="DH878" s="103">
        <v>49</v>
      </c>
      <c r="DI878" s="103">
        <v>217</v>
      </c>
      <c r="DJ878" s="103">
        <v>249</v>
      </c>
      <c r="DK878" s="103">
        <v>379</v>
      </c>
      <c r="DL878" s="103">
        <v>366</v>
      </c>
      <c r="DM878" s="103">
        <v>259</v>
      </c>
      <c r="DN878" s="103">
        <v>196</v>
      </c>
      <c r="DO878" s="103">
        <v>77</v>
      </c>
    </row>
    <row r="879" spans="2:119" ht="16.5" customHeight="1" x14ac:dyDescent="0.45">
      <c r="B879" s="134"/>
      <c r="C879" s="42"/>
      <c r="D879" s="110"/>
      <c r="E879" s="46" t="s">
        <v>10</v>
      </c>
      <c r="F879" s="103">
        <v>0</v>
      </c>
      <c r="G879" s="103">
        <v>3</v>
      </c>
      <c r="H879" s="103">
        <v>18</v>
      </c>
      <c r="I879" s="103">
        <v>93</v>
      </c>
      <c r="J879" s="103">
        <v>151</v>
      </c>
      <c r="K879" s="103">
        <v>218</v>
      </c>
      <c r="L879" s="103">
        <v>288</v>
      </c>
      <c r="M879" s="103">
        <v>276</v>
      </c>
      <c r="N879" s="103">
        <v>203</v>
      </c>
      <c r="O879" s="103">
        <v>144</v>
      </c>
      <c r="P879" s="42"/>
      <c r="Q879" s="110"/>
      <c r="R879" s="46" t="s">
        <v>10</v>
      </c>
      <c r="S879" s="103">
        <v>0</v>
      </c>
      <c r="T879" s="103">
        <v>2</v>
      </c>
      <c r="U879" s="103">
        <v>17</v>
      </c>
      <c r="V879" s="103">
        <v>81</v>
      </c>
      <c r="W879" s="103">
        <v>144</v>
      </c>
      <c r="X879" s="103">
        <v>202</v>
      </c>
      <c r="Y879" s="103">
        <v>277</v>
      </c>
      <c r="Z879" s="103">
        <v>257</v>
      </c>
      <c r="AA879" s="103">
        <v>199</v>
      </c>
      <c r="AB879" s="103">
        <v>134</v>
      </c>
      <c r="AC879" s="42"/>
      <c r="AD879" s="110"/>
      <c r="AE879" s="46" t="s">
        <v>10</v>
      </c>
      <c r="AF879" s="103">
        <v>0</v>
      </c>
      <c r="AG879" s="103">
        <v>1</v>
      </c>
      <c r="AH879" s="103">
        <v>1</v>
      </c>
      <c r="AI879" s="103">
        <v>12</v>
      </c>
      <c r="AJ879" s="103">
        <v>7</v>
      </c>
      <c r="AK879" s="103">
        <v>16</v>
      </c>
      <c r="AL879" s="103">
        <v>11</v>
      </c>
      <c r="AM879" s="103">
        <v>19</v>
      </c>
      <c r="AN879" s="103">
        <v>4</v>
      </c>
      <c r="AO879" s="103">
        <v>10</v>
      </c>
      <c r="AP879" s="6"/>
      <c r="AQ879" s="110"/>
      <c r="AR879" s="46" t="s">
        <v>10</v>
      </c>
      <c r="AS879" s="103">
        <v>0</v>
      </c>
      <c r="AT879" s="103">
        <v>0</v>
      </c>
      <c r="AU879" s="103">
        <v>7</v>
      </c>
      <c r="AV879" s="103">
        <v>16</v>
      </c>
      <c r="AW879" s="103">
        <v>20</v>
      </c>
      <c r="AX879" s="103">
        <v>26</v>
      </c>
      <c r="AY879" s="103">
        <v>30</v>
      </c>
      <c r="AZ879" s="103">
        <v>17</v>
      </c>
      <c r="BA879" s="103">
        <v>14</v>
      </c>
      <c r="BB879" s="103">
        <v>7</v>
      </c>
      <c r="BC879" s="42"/>
      <c r="BD879" s="110"/>
      <c r="BE879" s="46" t="s">
        <v>10</v>
      </c>
      <c r="BF879" s="103">
        <v>0</v>
      </c>
      <c r="BG879" s="103">
        <v>3</v>
      </c>
      <c r="BH879" s="103">
        <v>11</v>
      </c>
      <c r="BI879" s="103">
        <v>77</v>
      </c>
      <c r="BJ879" s="103">
        <v>131</v>
      </c>
      <c r="BK879" s="103">
        <v>192</v>
      </c>
      <c r="BL879" s="103">
        <v>258</v>
      </c>
      <c r="BM879" s="103">
        <v>259</v>
      </c>
      <c r="BN879" s="103">
        <v>189</v>
      </c>
      <c r="BO879" s="103">
        <v>137</v>
      </c>
      <c r="BQ879" s="110"/>
      <c r="BR879" s="46" t="s">
        <v>10</v>
      </c>
      <c r="BS879" s="103">
        <v>0</v>
      </c>
      <c r="BT879" s="103">
        <v>0</v>
      </c>
      <c r="BU879" s="103">
        <v>0</v>
      </c>
      <c r="BV879" s="103">
        <v>4</v>
      </c>
      <c r="BW879" s="103">
        <v>3</v>
      </c>
      <c r="BX879" s="103">
        <v>7</v>
      </c>
      <c r="BY879" s="103">
        <v>7</v>
      </c>
      <c r="BZ879" s="103">
        <v>5</v>
      </c>
      <c r="CA879" s="103">
        <v>3</v>
      </c>
      <c r="CB879" s="103">
        <v>5</v>
      </c>
      <c r="CC879" s="42"/>
      <c r="CD879" s="110"/>
      <c r="CE879" s="46" t="s">
        <v>10</v>
      </c>
      <c r="CF879" s="103">
        <v>0</v>
      </c>
      <c r="CG879" s="103">
        <v>3</v>
      </c>
      <c r="CH879" s="103">
        <v>18</v>
      </c>
      <c r="CI879" s="103">
        <v>89</v>
      </c>
      <c r="CJ879" s="103">
        <v>148</v>
      </c>
      <c r="CK879" s="103">
        <v>211</v>
      </c>
      <c r="CL879" s="103">
        <v>281</v>
      </c>
      <c r="CM879" s="103">
        <v>271</v>
      </c>
      <c r="CN879" s="103">
        <v>200</v>
      </c>
      <c r="CO879" s="103">
        <v>139</v>
      </c>
      <c r="CQ879" s="110"/>
      <c r="CR879" s="46" t="s">
        <v>10</v>
      </c>
      <c r="CS879" s="103">
        <v>0</v>
      </c>
      <c r="CT879" s="103">
        <v>0</v>
      </c>
      <c r="CU879" s="103">
        <v>2</v>
      </c>
      <c r="CV879" s="103">
        <v>10</v>
      </c>
      <c r="CW879" s="103">
        <v>6</v>
      </c>
      <c r="CX879" s="103">
        <v>12</v>
      </c>
      <c r="CY879" s="103">
        <v>19</v>
      </c>
      <c r="CZ879" s="103">
        <v>13</v>
      </c>
      <c r="DA879" s="103">
        <v>10</v>
      </c>
      <c r="DB879" s="103">
        <v>4</v>
      </c>
      <c r="DC879" s="42"/>
      <c r="DD879" s="110"/>
      <c r="DE879" s="46" t="s">
        <v>10</v>
      </c>
      <c r="DF879" s="103">
        <v>0</v>
      </c>
      <c r="DG879" s="103">
        <v>3</v>
      </c>
      <c r="DH879" s="103">
        <v>16</v>
      </c>
      <c r="DI879" s="103">
        <v>83</v>
      </c>
      <c r="DJ879" s="103">
        <v>145</v>
      </c>
      <c r="DK879" s="103">
        <v>206</v>
      </c>
      <c r="DL879" s="103">
        <v>269</v>
      </c>
      <c r="DM879" s="103">
        <v>263</v>
      </c>
      <c r="DN879" s="103">
        <v>193</v>
      </c>
      <c r="DO879" s="103">
        <v>140</v>
      </c>
    </row>
    <row r="880" spans="2:119" ht="16.5" customHeight="1" x14ac:dyDescent="0.45">
      <c r="B880" s="134"/>
      <c r="C880" s="42"/>
      <c r="D880" s="111"/>
      <c r="E880" s="46" t="s">
        <v>11</v>
      </c>
      <c r="F880" s="103">
        <v>1</v>
      </c>
      <c r="G880" s="103">
        <v>0</v>
      </c>
      <c r="H880" s="103">
        <v>3</v>
      </c>
      <c r="I880" s="103">
        <v>11</v>
      </c>
      <c r="J880" s="103">
        <v>18</v>
      </c>
      <c r="K880" s="103">
        <v>36</v>
      </c>
      <c r="L880" s="103">
        <v>48</v>
      </c>
      <c r="M880" s="103">
        <v>58</v>
      </c>
      <c r="N880" s="103">
        <v>46</v>
      </c>
      <c r="O880" s="103">
        <v>58</v>
      </c>
      <c r="P880" s="42"/>
      <c r="Q880" s="111"/>
      <c r="R880" s="46" t="s">
        <v>11</v>
      </c>
      <c r="S880" s="103">
        <v>1</v>
      </c>
      <c r="T880" s="103">
        <v>0</v>
      </c>
      <c r="U880" s="103">
        <v>3</v>
      </c>
      <c r="V880" s="103">
        <v>9</v>
      </c>
      <c r="W880" s="103">
        <v>17</v>
      </c>
      <c r="X880" s="103">
        <v>33</v>
      </c>
      <c r="Y880" s="103">
        <v>44</v>
      </c>
      <c r="Z880" s="103">
        <v>53</v>
      </c>
      <c r="AA880" s="103">
        <v>45</v>
      </c>
      <c r="AB880" s="103">
        <v>54</v>
      </c>
      <c r="AC880" s="42"/>
      <c r="AD880" s="111"/>
      <c r="AE880" s="46" t="s">
        <v>11</v>
      </c>
      <c r="AF880" s="103">
        <v>0</v>
      </c>
      <c r="AG880" s="103">
        <v>0</v>
      </c>
      <c r="AH880" s="103">
        <v>0</v>
      </c>
      <c r="AI880" s="103">
        <v>2</v>
      </c>
      <c r="AJ880" s="103">
        <v>1</v>
      </c>
      <c r="AK880" s="103">
        <v>3</v>
      </c>
      <c r="AL880" s="103">
        <v>4</v>
      </c>
      <c r="AM880" s="103">
        <v>5</v>
      </c>
      <c r="AN880" s="103">
        <v>1</v>
      </c>
      <c r="AO880" s="103">
        <v>4</v>
      </c>
      <c r="AP880" s="6"/>
      <c r="AQ880" s="111"/>
      <c r="AR880" s="46" t="s">
        <v>11</v>
      </c>
      <c r="AS880" s="103">
        <v>0</v>
      </c>
      <c r="AT880" s="103">
        <v>0</v>
      </c>
      <c r="AU880" s="103">
        <v>0</v>
      </c>
      <c r="AV880" s="103">
        <v>2</v>
      </c>
      <c r="AW880" s="103">
        <v>4</v>
      </c>
      <c r="AX880" s="103">
        <v>3</v>
      </c>
      <c r="AY880" s="103">
        <v>6</v>
      </c>
      <c r="AZ880" s="103">
        <v>3</v>
      </c>
      <c r="BA880" s="103">
        <v>2</v>
      </c>
      <c r="BB880" s="103">
        <v>2</v>
      </c>
      <c r="BC880" s="42"/>
      <c r="BD880" s="111"/>
      <c r="BE880" s="46" t="s">
        <v>11</v>
      </c>
      <c r="BF880" s="103">
        <v>1</v>
      </c>
      <c r="BG880" s="103">
        <v>0</v>
      </c>
      <c r="BH880" s="103">
        <v>3</v>
      </c>
      <c r="BI880" s="103">
        <v>9</v>
      </c>
      <c r="BJ880" s="103">
        <v>14</v>
      </c>
      <c r="BK880" s="103">
        <v>33</v>
      </c>
      <c r="BL880" s="103">
        <v>42</v>
      </c>
      <c r="BM880" s="103">
        <v>55</v>
      </c>
      <c r="BN880" s="103">
        <v>44</v>
      </c>
      <c r="BO880" s="103">
        <v>56</v>
      </c>
      <c r="BQ880" s="111"/>
      <c r="BR880" s="46" t="s">
        <v>11</v>
      </c>
      <c r="BS880" s="103">
        <v>0</v>
      </c>
      <c r="BT880" s="103">
        <v>0</v>
      </c>
      <c r="BU880" s="103">
        <v>0</v>
      </c>
      <c r="BV880" s="103">
        <v>1</v>
      </c>
      <c r="BW880" s="103">
        <v>0</v>
      </c>
      <c r="BX880" s="103">
        <v>0</v>
      </c>
      <c r="BY880" s="103">
        <v>0</v>
      </c>
      <c r="BZ880" s="103">
        <v>0</v>
      </c>
      <c r="CA880" s="103">
        <v>1</v>
      </c>
      <c r="CB880" s="103">
        <v>1</v>
      </c>
      <c r="CC880" s="42"/>
      <c r="CD880" s="111"/>
      <c r="CE880" s="46" t="s">
        <v>11</v>
      </c>
      <c r="CF880" s="103">
        <v>1</v>
      </c>
      <c r="CG880" s="103">
        <v>0</v>
      </c>
      <c r="CH880" s="103">
        <v>3</v>
      </c>
      <c r="CI880" s="103">
        <v>10</v>
      </c>
      <c r="CJ880" s="103">
        <v>18</v>
      </c>
      <c r="CK880" s="103">
        <v>36</v>
      </c>
      <c r="CL880" s="103">
        <v>48</v>
      </c>
      <c r="CM880" s="103">
        <v>58</v>
      </c>
      <c r="CN880" s="103">
        <v>45</v>
      </c>
      <c r="CO880" s="103">
        <v>57</v>
      </c>
      <c r="CQ880" s="111"/>
      <c r="CR880" s="46" t="s">
        <v>11</v>
      </c>
      <c r="CS880" s="103">
        <v>1</v>
      </c>
      <c r="CT880" s="103">
        <v>0</v>
      </c>
      <c r="CU880" s="103">
        <v>0</v>
      </c>
      <c r="CV880" s="103">
        <v>1</v>
      </c>
      <c r="CW880" s="103">
        <v>1</v>
      </c>
      <c r="CX880" s="103">
        <v>1</v>
      </c>
      <c r="CY880" s="103">
        <v>3</v>
      </c>
      <c r="CZ880" s="103">
        <v>1</v>
      </c>
      <c r="DA880" s="103">
        <v>3</v>
      </c>
      <c r="DB880" s="103">
        <v>0</v>
      </c>
      <c r="DC880" s="42"/>
      <c r="DD880" s="111"/>
      <c r="DE880" s="46" t="s">
        <v>11</v>
      </c>
      <c r="DF880" s="103">
        <v>0</v>
      </c>
      <c r="DG880" s="103">
        <v>0</v>
      </c>
      <c r="DH880" s="103">
        <v>3</v>
      </c>
      <c r="DI880" s="103">
        <v>10</v>
      </c>
      <c r="DJ880" s="103">
        <v>17</v>
      </c>
      <c r="DK880" s="103">
        <v>35</v>
      </c>
      <c r="DL880" s="103">
        <v>45</v>
      </c>
      <c r="DM880" s="103">
        <v>57</v>
      </c>
      <c r="DN880" s="103">
        <v>43</v>
      </c>
      <c r="DO880" s="103">
        <v>58</v>
      </c>
    </row>
    <row r="881" spans="2:119" ht="16.5" customHeight="1" x14ac:dyDescent="0.45">
      <c r="B881" s="99"/>
      <c r="C881" s="42"/>
      <c r="D881" s="42"/>
      <c r="E881" s="42"/>
      <c r="F881" s="42"/>
      <c r="G881" s="42"/>
      <c r="H881" s="42"/>
      <c r="I881" s="42"/>
      <c r="J881" s="42"/>
      <c r="K881" s="42"/>
      <c r="L881" s="42"/>
      <c r="M881" s="42"/>
      <c r="N881" s="42"/>
      <c r="O881" s="42"/>
      <c r="P881" s="42"/>
      <c r="Q881" s="42"/>
      <c r="R881" s="42"/>
      <c r="S881" s="42"/>
      <c r="T881" s="42"/>
      <c r="U881" s="42"/>
      <c r="V881" s="42"/>
      <c r="W881" s="42"/>
      <c r="X881" s="42"/>
      <c r="Y881" s="42"/>
      <c r="Z881" s="42"/>
      <c r="AA881" s="42"/>
      <c r="AB881" s="42"/>
      <c r="AC881" s="42"/>
      <c r="AD881" s="42"/>
      <c r="AE881" s="42"/>
      <c r="AF881" s="42"/>
      <c r="AG881" s="42"/>
      <c r="AH881" s="42"/>
      <c r="AI881" s="42"/>
      <c r="AJ881" s="42"/>
      <c r="AK881" s="42"/>
      <c r="AL881" s="42"/>
      <c r="AM881" s="42"/>
      <c r="AN881" s="42"/>
      <c r="AO881" s="42"/>
      <c r="AP881" s="6"/>
      <c r="AQ881" s="42"/>
      <c r="AR881" s="42"/>
      <c r="AS881" s="42"/>
      <c r="AT881" s="42"/>
      <c r="AU881" s="42"/>
      <c r="AV881" s="42"/>
      <c r="AW881" s="42"/>
      <c r="AX881" s="42"/>
      <c r="AY881" s="42"/>
      <c r="AZ881" s="42"/>
      <c r="BA881" s="42"/>
      <c r="BB881" s="42"/>
      <c r="BC881" s="42"/>
      <c r="BD881" s="42"/>
      <c r="BE881" s="42"/>
      <c r="BF881" s="42"/>
      <c r="BG881" s="42"/>
      <c r="BH881" s="42"/>
      <c r="BI881" s="42"/>
      <c r="BJ881" s="42"/>
      <c r="BK881" s="42"/>
      <c r="BL881" s="42"/>
      <c r="BM881" s="42"/>
      <c r="BN881" s="42"/>
      <c r="BO881" s="42"/>
      <c r="BQ881" s="42"/>
      <c r="BR881" s="42"/>
      <c r="BS881" s="42"/>
      <c r="BT881" s="42"/>
      <c r="BU881" s="42"/>
      <c r="BV881" s="42"/>
      <c r="BW881" s="42"/>
      <c r="BX881" s="42"/>
      <c r="BY881" s="42"/>
      <c r="BZ881" s="42"/>
      <c r="CA881" s="42"/>
      <c r="CB881" s="42"/>
      <c r="CC881" s="42"/>
      <c r="CD881" s="42"/>
      <c r="CE881" s="42"/>
      <c r="CF881" s="42"/>
      <c r="CG881" s="42"/>
      <c r="CH881" s="42"/>
      <c r="CI881" s="42"/>
      <c r="CJ881" s="42"/>
      <c r="CK881" s="42"/>
      <c r="CL881" s="42"/>
      <c r="CM881" s="42"/>
      <c r="CN881" s="42"/>
      <c r="CO881" s="42"/>
      <c r="CQ881" s="42"/>
      <c r="CR881" s="42"/>
      <c r="CS881" s="42"/>
      <c r="CT881" s="42"/>
      <c r="CU881" s="42"/>
      <c r="CV881" s="42"/>
      <c r="CW881" s="42"/>
      <c r="CX881" s="42"/>
      <c r="CY881" s="42"/>
      <c r="CZ881" s="42"/>
      <c r="DA881" s="42"/>
      <c r="DB881" s="42"/>
      <c r="DC881" s="42"/>
      <c r="DD881" s="42"/>
      <c r="DE881" s="42"/>
      <c r="DF881" s="42"/>
      <c r="DG881" s="42"/>
      <c r="DH881" s="42"/>
      <c r="DI881" s="42"/>
      <c r="DJ881" s="42"/>
      <c r="DK881" s="42"/>
      <c r="DL881" s="42"/>
      <c r="DM881" s="42"/>
      <c r="DN881" s="42"/>
      <c r="DO881" s="42"/>
    </row>
    <row r="882" spans="2:119" ht="16.5" customHeight="1" x14ac:dyDescent="0.55000000000000004">
      <c r="B882" s="99"/>
      <c r="C882" s="42"/>
      <c r="D882" s="112" t="s">
        <v>16</v>
      </c>
      <c r="E882" s="112"/>
      <c r="F882" s="45"/>
      <c r="G882" s="45"/>
      <c r="H882" s="45"/>
      <c r="I882" s="45"/>
      <c r="J882" s="45"/>
      <c r="K882" s="45"/>
      <c r="L882" s="45"/>
      <c r="M882" s="45"/>
      <c r="N882" s="45"/>
      <c r="O882" s="45"/>
      <c r="P882" s="42"/>
      <c r="Q882" s="112" t="s">
        <v>16</v>
      </c>
      <c r="R882" s="112"/>
      <c r="S882" s="45"/>
      <c r="T882" s="45"/>
      <c r="U882" s="45"/>
      <c r="V882" s="45"/>
      <c r="W882" s="45"/>
      <c r="X882" s="45"/>
      <c r="Y882" s="45"/>
      <c r="Z882" s="45"/>
      <c r="AA882" s="45"/>
      <c r="AB882" s="45"/>
      <c r="AC882" s="42"/>
      <c r="AD882" s="112" t="s">
        <v>16</v>
      </c>
      <c r="AE882" s="112"/>
      <c r="AF882" s="45"/>
      <c r="AG882" s="45"/>
      <c r="AH882" s="45"/>
      <c r="AI882" s="45"/>
      <c r="AJ882" s="45"/>
      <c r="AK882" s="45"/>
      <c r="AL882" s="45"/>
      <c r="AM882" s="45"/>
      <c r="AN882" s="45"/>
      <c r="AO882" s="45"/>
      <c r="AP882" s="6"/>
      <c r="AQ882" s="112" t="s">
        <v>16</v>
      </c>
      <c r="AR882" s="112"/>
      <c r="AS882" s="45"/>
      <c r="AT882" s="45"/>
      <c r="AU882" s="45"/>
      <c r="AV882" s="45"/>
      <c r="AW882" s="45"/>
      <c r="AX882" s="45"/>
      <c r="AY882" s="45"/>
      <c r="AZ882" s="45"/>
      <c r="BA882" s="45"/>
      <c r="BB882" s="45"/>
      <c r="BC882" s="42"/>
      <c r="BD882" s="112" t="s">
        <v>16</v>
      </c>
      <c r="BE882" s="112"/>
      <c r="BF882" s="45"/>
      <c r="BG882" s="45"/>
      <c r="BH882" s="45"/>
      <c r="BI882" s="45"/>
      <c r="BJ882" s="45"/>
      <c r="BK882" s="45"/>
      <c r="BL882" s="45"/>
      <c r="BM882" s="45"/>
      <c r="BN882" s="45"/>
      <c r="BO882" s="45"/>
      <c r="BQ882" s="112" t="s">
        <v>16</v>
      </c>
      <c r="BR882" s="112"/>
      <c r="BS882" s="45"/>
      <c r="BT882" s="45"/>
      <c r="BU882" s="45"/>
      <c r="BV882" s="45"/>
      <c r="BW882" s="45"/>
      <c r="BX882" s="45"/>
      <c r="BY882" s="45"/>
      <c r="BZ882" s="45"/>
      <c r="CA882" s="45"/>
      <c r="CB882" s="45"/>
      <c r="CC882" s="42"/>
      <c r="CD882" s="112" t="s">
        <v>16</v>
      </c>
      <c r="CE882" s="112"/>
      <c r="CF882" s="45"/>
      <c r="CG882" s="45"/>
      <c r="CH882" s="45"/>
      <c r="CI882" s="45"/>
      <c r="CJ882" s="45"/>
      <c r="CK882" s="45"/>
      <c r="CL882" s="45"/>
      <c r="CM882" s="45"/>
      <c r="CN882" s="45"/>
      <c r="CO882" s="45"/>
      <c r="CQ882" s="112" t="s">
        <v>16</v>
      </c>
      <c r="CR882" s="112"/>
      <c r="CS882" s="45"/>
      <c r="CT882" s="45"/>
      <c r="CU882" s="45"/>
      <c r="CV882" s="45"/>
      <c r="CW882" s="45"/>
      <c r="CX882" s="45"/>
      <c r="CY882" s="45"/>
      <c r="CZ882" s="45"/>
      <c r="DA882" s="45"/>
      <c r="DB882" s="45"/>
      <c r="DC882" s="42"/>
      <c r="DD882" s="112" t="s">
        <v>16</v>
      </c>
      <c r="DE882" s="112"/>
      <c r="DF882" s="45"/>
      <c r="DG882" s="45"/>
      <c r="DH882" s="45"/>
      <c r="DI882" s="45"/>
      <c r="DJ882" s="45"/>
      <c r="DK882" s="45"/>
      <c r="DL882" s="45"/>
      <c r="DM882" s="45"/>
      <c r="DN882" s="45"/>
      <c r="DO882" s="45"/>
    </row>
    <row r="883" spans="2:119" ht="28.9" customHeight="1" x14ac:dyDescent="0.45">
      <c r="B883" s="99"/>
      <c r="C883" s="42"/>
      <c r="D883" s="112"/>
      <c r="E883" s="112"/>
      <c r="F883" s="108" t="s">
        <v>12</v>
      </c>
      <c r="G883" s="108"/>
      <c r="H883" s="108"/>
      <c r="I883" s="108"/>
      <c r="J883" s="108"/>
      <c r="K883" s="108"/>
      <c r="L883" s="108"/>
      <c r="M883" s="108"/>
      <c r="N883" s="108"/>
      <c r="O883" s="108"/>
      <c r="P883" s="42"/>
      <c r="Q883" s="112"/>
      <c r="R883" s="112"/>
      <c r="S883" s="108" t="s">
        <v>12</v>
      </c>
      <c r="T883" s="108"/>
      <c r="U883" s="108"/>
      <c r="V883" s="108"/>
      <c r="W883" s="108"/>
      <c r="X883" s="108"/>
      <c r="Y883" s="108"/>
      <c r="Z883" s="108"/>
      <c r="AA883" s="108"/>
      <c r="AB883" s="108"/>
      <c r="AC883" s="42"/>
      <c r="AD883" s="112"/>
      <c r="AE883" s="112"/>
      <c r="AF883" s="131" t="s">
        <v>12</v>
      </c>
      <c r="AG883" s="132"/>
      <c r="AH883" s="132"/>
      <c r="AI883" s="132"/>
      <c r="AJ883" s="132"/>
      <c r="AK883" s="132"/>
      <c r="AL883" s="132"/>
      <c r="AM883" s="132"/>
      <c r="AN883" s="132"/>
      <c r="AO883" s="133"/>
      <c r="AP883" s="6"/>
      <c r="AQ883" s="112"/>
      <c r="AR883" s="112"/>
      <c r="AS883" s="108" t="s">
        <v>12</v>
      </c>
      <c r="AT883" s="108"/>
      <c r="AU883" s="108"/>
      <c r="AV883" s="108"/>
      <c r="AW883" s="108"/>
      <c r="AX883" s="108"/>
      <c r="AY883" s="108"/>
      <c r="AZ883" s="108"/>
      <c r="BA883" s="108"/>
      <c r="BB883" s="108"/>
      <c r="BC883" s="42"/>
      <c r="BD883" s="112"/>
      <c r="BE883" s="112"/>
      <c r="BF883" s="108" t="s">
        <v>12</v>
      </c>
      <c r="BG883" s="108"/>
      <c r="BH883" s="108"/>
      <c r="BI883" s="108"/>
      <c r="BJ883" s="108"/>
      <c r="BK883" s="108"/>
      <c r="BL883" s="108"/>
      <c r="BM883" s="108"/>
      <c r="BN883" s="108"/>
      <c r="BO883" s="108"/>
      <c r="BQ883" s="112"/>
      <c r="BR883" s="112"/>
      <c r="BS883" s="108" t="s">
        <v>12</v>
      </c>
      <c r="BT883" s="108"/>
      <c r="BU883" s="108"/>
      <c r="BV883" s="108"/>
      <c r="BW883" s="108"/>
      <c r="BX883" s="108"/>
      <c r="BY883" s="108"/>
      <c r="BZ883" s="108"/>
      <c r="CA883" s="108"/>
      <c r="CB883" s="108"/>
      <c r="CC883" s="42"/>
      <c r="CD883" s="112"/>
      <c r="CE883" s="112"/>
      <c r="CF883" s="108" t="s">
        <v>12</v>
      </c>
      <c r="CG883" s="108"/>
      <c r="CH883" s="108"/>
      <c r="CI883" s="108"/>
      <c r="CJ883" s="108"/>
      <c r="CK883" s="108"/>
      <c r="CL883" s="108"/>
      <c r="CM883" s="108"/>
      <c r="CN883" s="108"/>
      <c r="CO883" s="108"/>
      <c r="CQ883" s="112"/>
      <c r="CR883" s="112"/>
      <c r="CS883" s="108" t="s">
        <v>12</v>
      </c>
      <c r="CT883" s="108"/>
      <c r="CU883" s="108"/>
      <c r="CV883" s="108"/>
      <c r="CW883" s="108"/>
      <c r="CX883" s="108"/>
      <c r="CY883" s="108"/>
      <c r="CZ883" s="108"/>
      <c r="DA883" s="108"/>
      <c r="DB883" s="108"/>
      <c r="DC883" s="42"/>
      <c r="DD883" s="112"/>
      <c r="DE883" s="112"/>
      <c r="DF883" s="108" t="s">
        <v>12</v>
      </c>
      <c r="DG883" s="108"/>
      <c r="DH883" s="108"/>
      <c r="DI883" s="108"/>
      <c r="DJ883" s="108"/>
      <c r="DK883" s="108"/>
      <c r="DL883" s="108"/>
      <c r="DM883" s="108"/>
      <c r="DN883" s="108"/>
      <c r="DO883" s="108"/>
    </row>
    <row r="884" spans="2:119" ht="15" customHeight="1" x14ac:dyDescent="0.45">
      <c r="B884" s="99"/>
      <c r="C884" s="42"/>
      <c r="D884" s="113"/>
      <c r="E884" s="113"/>
      <c r="F884" s="9" t="s">
        <v>0</v>
      </c>
      <c r="G884" s="9">
        <v>1</v>
      </c>
      <c r="H884" s="9">
        <v>2</v>
      </c>
      <c r="I884" s="9">
        <v>3</v>
      </c>
      <c r="J884" s="9">
        <v>4</v>
      </c>
      <c r="K884" s="9">
        <v>5</v>
      </c>
      <c r="L884" s="9">
        <v>6</v>
      </c>
      <c r="M884" s="9">
        <v>7</v>
      </c>
      <c r="N884" s="9">
        <v>8</v>
      </c>
      <c r="O884" s="9">
        <v>9</v>
      </c>
      <c r="P884" s="42"/>
      <c r="Q884" s="113"/>
      <c r="R884" s="113"/>
      <c r="S884" s="9" t="s">
        <v>0</v>
      </c>
      <c r="T884" s="9">
        <v>1</v>
      </c>
      <c r="U884" s="9">
        <v>2</v>
      </c>
      <c r="V884" s="9">
        <v>3</v>
      </c>
      <c r="W884" s="9">
        <v>4</v>
      </c>
      <c r="X884" s="9">
        <v>5</v>
      </c>
      <c r="Y884" s="9">
        <v>6</v>
      </c>
      <c r="Z884" s="9">
        <v>7</v>
      </c>
      <c r="AA884" s="9">
        <v>8</v>
      </c>
      <c r="AB884" s="9">
        <v>9</v>
      </c>
      <c r="AC884" s="42"/>
      <c r="AD884" s="113"/>
      <c r="AE884" s="113"/>
      <c r="AF884" s="9" t="s">
        <v>0</v>
      </c>
      <c r="AG884" s="9">
        <v>1</v>
      </c>
      <c r="AH884" s="9">
        <v>2</v>
      </c>
      <c r="AI884" s="9">
        <v>3</v>
      </c>
      <c r="AJ884" s="9">
        <v>4</v>
      </c>
      <c r="AK884" s="9">
        <v>5</v>
      </c>
      <c r="AL884" s="9">
        <v>6</v>
      </c>
      <c r="AM884" s="9">
        <v>7</v>
      </c>
      <c r="AN884" s="9">
        <v>8</v>
      </c>
      <c r="AO884" s="9">
        <v>9</v>
      </c>
      <c r="AP884" s="6"/>
      <c r="AQ884" s="113"/>
      <c r="AR884" s="113"/>
      <c r="AS884" s="9" t="s">
        <v>0</v>
      </c>
      <c r="AT884" s="9">
        <v>1</v>
      </c>
      <c r="AU884" s="9">
        <v>2</v>
      </c>
      <c r="AV884" s="9">
        <v>3</v>
      </c>
      <c r="AW884" s="9">
        <v>4</v>
      </c>
      <c r="AX884" s="9">
        <v>5</v>
      </c>
      <c r="AY884" s="9">
        <v>6</v>
      </c>
      <c r="AZ884" s="9">
        <v>7</v>
      </c>
      <c r="BA884" s="9">
        <v>8</v>
      </c>
      <c r="BB884" s="9">
        <v>9</v>
      </c>
      <c r="BC884" s="42"/>
      <c r="BD884" s="113"/>
      <c r="BE884" s="113"/>
      <c r="BF884" s="9" t="s">
        <v>0</v>
      </c>
      <c r="BG884" s="9">
        <v>1</v>
      </c>
      <c r="BH884" s="9">
        <v>2</v>
      </c>
      <c r="BI884" s="9">
        <v>3</v>
      </c>
      <c r="BJ884" s="9">
        <v>4</v>
      </c>
      <c r="BK884" s="9">
        <v>5</v>
      </c>
      <c r="BL884" s="9">
        <v>6</v>
      </c>
      <c r="BM884" s="9">
        <v>7</v>
      </c>
      <c r="BN884" s="9">
        <v>8</v>
      </c>
      <c r="BO884" s="9">
        <v>9</v>
      </c>
      <c r="BQ884" s="113"/>
      <c r="BR884" s="113"/>
      <c r="BS884" s="9" t="s">
        <v>0</v>
      </c>
      <c r="BT884" s="9">
        <v>1</v>
      </c>
      <c r="BU884" s="9">
        <v>2</v>
      </c>
      <c r="BV884" s="9">
        <v>3</v>
      </c>
      <c r="BW884" s="9">
        <v>4</v>
      </c>
      <c r="BX884" s="9">
        <v>5</v>
      </c>
      <c r="BY884" s="9">
        <v>6</v>
      </c>
      <c r="BZ884" s="9">
        <v>7</v>
      </c>
      <c r="CA884" s="9">
        <v>8</v>
      </c>
      <c r="CB884" s="9">
        <v>9</v>
      </c>
      <c r="CC884" s="42"/>
      <c r="CD884" s="113"/>
      <c r="CE884" s="113"/>
      <c r="CF884" s="9" t="s">
        <v>0</v>
      </c>
      <c r="CG884" s="9">
        <v>1</v>
      </c>
      <c r="CH884" s="9">
        <v>2</v>
      </c>
      <c r="CI884" s="9">
        <v>3</v>
      </c>
      <c r="CJ884" s="9">
        <v>4</v>
      </c>
      <c r="CK884" s="9">
        <v>5</v>
      </c>
      <c r="CL884" s="9">
        <v>6</v>
      </c>
      <c r="CM884" s="9">
        <v>7</v>
      </c>
      <c r="CN884" s="9">
        <v>8</v>
      </c>
      <c r="CO884" s="9">
        <v>9</v>
      </c>
      <c r="CQ884" s="113"/>
      <c r="CR884" s="113"/>
      <c r="CS884" s="9" t="s">
        <v>0</v>
      </c>
      <c r="CT884" s="9">
        <v>1</v>
      </c>
      <c r="CU884" s="9">
        <v>2</v>
      </c>
      <c r="CV884" s="9">
        <v>3</v>
      </c>
      <c r="CW884" s="9">
        <v>4</v>
      </c>
      <c r="CX884" s="9">
        <v>5</v>
      </c>
      <c r="CY884" s="9">
        <v>6</v>
      </c>
      <c r="CZ884" s="9">
        <v>7</v>
      </c>
      <c r="DA884" s="9">
        <v>8</v>
      </c>
      <c r="DB884" s="9">
        <v>9</v>
      </c>
      <c r="DC884" s="42"/>
      <c r="DD884" s="113"/>
      <c r="DE884" s="113"/>
      <c r="DF884" s="9" t="s">
        <v>0</v>
      </c>
      <c r="DG884" s="9">
        <v>1</v>
      </c>
      <c r="DH884" s="9">
        <v>2</v>
      </c>
      <c r="DI884" s="9">
        <v>3</v>
      </c>
      <c r="DJ884" s="9">
        <v>4</v>
      </c>
      <c r="DK884" s="9">
        <v>5</v>
      </c>
      <c r="DL884" s="9">
        <v>6</v>
      </c>
      <c r="DM884" s="9">
        <v>7</v>
      </c>
      <c r="DN884" s="9">
        <v>8</v>
      </c>
      <c r="DO884" s="9">
        <v>9</v>
      </c>
    </row>
    <row r="885" spans="2:119" ht="16.5" customHeight="1" x14ac:dyDescent="0.45">
      <c r="B885" s="99"/>
      <c r="C885" s="42"/>
      <c r="D885" s="109" t="s">
        <v>13</v>
      </c>
      <c r="E885" s="47" t="s">
        <v>1</v>
      </c>
      <c r="F885" s="103">
        <v>0</v>
      </c>
      <c r="G885" s="103">
        <v>0</v>
      </c>
      <c r="H885" s="103">
        <v>0</v>
      </c>
      <c r="I885" s="103">
        <v>100</v>
      </c>
      <c r="J885" s="103">
        <v>0</v>
      </c>
      <c r="K885" s="103">
        <v>0</v>
      </c>
      <c r="L885" s="103">
        <v>0</v>
      </c>
      <c r="M885" s="103">
        <v>0</v>
      </c>
      <c r="N885" s="103">
        <v>0</v>
      </c>
      <c r="O885" s="17">
        <v>0</v>
      </c>
      <c r="P885" s="42"/>
      <c r="Q885" s="109" t="s">
        <v>13</v>
      </c>
      <c r="R885" s="46" t="s">
        <v>1</v>
      </c>
      <c r="S885" s="103">
        <v>0</v>
      </c>
      <c r="T885" s="103">
        <v>0</v>
      </c>
      <c r="U885" s="103">
        <v>0</v>
      </c>
      <c r="V885" s="103">
        <v>100</v>
      </c>
      <c r="W885" s="103">
        <v>0</v>
      </c>
      <c r="X885" s="103">
        <v>0</v>
      </c>
      <c r="Y885" s="103">
        <v>0</v>
      </c>
      <c r="Z885" s="103">
        <v>0</v>
      </c>
      <c r="AA885" s="103">
        <v>0</v>
      </c>
      <c r="AB885" s="17">
        <v>0</v>
      </c>
      <c r="AC885" s="42"/>
      <c r="AD885" s="109" t="s">
        <v>13</v>
      </c>
      <c r="AE885" s="46" t="s">
        <v>1</v>
      </c>
      <c r="AF885" s="103" t="s">
        <v>128</v>
      </c>
      <c r="AG885" s="103" t="s">
        <v>128</v>
      </c>
      <c r="AH885" s="103" t="s">
        <v>128</v>
      </c>
      <c r="AI885" s="103" t="s">
        <v>128</v>
      </c>
      <c r="AJ885" s="103" t="s">
        <v>128</v>
      </c>
      <c r="AK885" s="103" t="s">
        <v>128</v>
      </c>
      <c r="AL885" s="103" t="s">
        <v>128</v>
      </c>
      <c r="AM885" s="103" t="s">
        <v>128</v>
      </c>
      <c r="AN885" s="103" t="s">
        <v>128</v>
      </c>
      <c r="AO885" s="17" t="s">
        <v>128</v>
      </c>
      <c r="AP885" s="6"/>
      <c r="AQ885" s="109" t="s">
        <v>13</v>
      </c>
      <c r="AR885" s="46" t="s">
        <v>1</v>
      </c>
      <c r="AS885" s="103">
        <v>0</v>
      </c>
      <c r="AT885" s="103">
        <v>0</v>
      </c>
      <c r="AU885" s="103">
        <v>0</v>
      </c>
      <c r="AV885" s="103">
        <v>100</v>
      </c>
      <c r="AW885" s="103">
        <v>0</v>
      </c>
      <c r="AX885" s="103">
        <v>0</v>
      </c>
      <c r="AY885" s="103">
        <v>0</v>
      </c>
      <c r="AZ885" s="103">
        <v>0</v>
      </c>
      <c r="BA885" s="103">
        <v>0</v>
      </c>
      <c r="BB885" s="17">
        <v>0</v>
      </c>
      <c r="BC885" s="42"/>
      <c r="BD885" s="109" t="s">
        <v>13</v>
      </c>
      <c r="BE885" s="46" t="s">
        <v>1</v>
      </c>
      <c r="BF885" s="103">
        <v>0</v>
      </c>
      <c r="BG885" s="103">
        <v>0</v>
      </c>
      <c r="BH885" s="103">
        <v>0</v>
      </c>
      <c r="BI885" s="103">
        <v>100</v>
      </c>
      <c r="BJ885" s="103">
        <v>0</v>
      </c>
      <c r="BK885" s="103">
        <v>0</v>
      </c>
      <c r="BL885" s="103">
        <v>0</v>
      </c>
      <c r="BM885" s="103">
        <v>0</v>
      </c>
      <c r="BN885" s="103">
        <v>0</v>
      </c>
      <c r="BO885" s="17">
        <v>0</v>
      </c>
      <c r="BQ885" s="109" t="s">
        <v>13</v>
      </c>
      <c r="BR885" s="46" t="s">
        <v>1</v>
      </c>
      <c r="BS885" s="103">
        <v>0</v>
      </c>
      <c r="BT885" s="103">
        <v>0</v>
      </c>
      <c r="BU885" s="103">
        <v>0</v>
      </c>
      <c r="BV885" s="103">
        <v>100</v>
      </c>
      <c r="BW885" s="103">
        <v>0</v>
      </c>
      <c r="BX885" s="103">
        <v>0</v>
      </c>
      <c r="BY885" s="103">
        <v>0</v>
      </c>
      <c r="BZ885" s="103">
        <v>0</v>
      </c>
      <c r="CA885" s="103">
        <v>0</v>
      </c>
      <c r="CB885" s="17">
        <v>0</v>
      </c>
      <c r="CC885" s="42"/>
      <c r="CD885" s="109" t="s">
        <v>13</v>
      </c>
      <c r="CE885" s="46" t="s">
        <v>1</v>
      </c>
      <c r="CF885" s="103">
        <v>0</v>
      </c>
      <c r="CG885" s="103">
        <v>0</v>
      </c>
      <c r="CH885" s="103">
        <v>0</v>
      </c>
      <c r="CI885" s="103">
        <v>100</v>
      </c>
      <c r="CJ885" s="103">
        <v>0</v>
      </c>
      <c r="CK885" s="103">
        <v>0</v>
      </c>
      <c r="CL885" s="103">
        <v>0</v>
      </c>
      <c r="CM885" s="103">
        <v>0</v>
      </c>
      <c r="CN885" s="103">
        <v>0</v>
      </c>
      <c r="CO885" s="17">
        <v>0</v>
      </c>
      <c r="CQ885" s="109" t="s">
        <v>13</v>
      </c>
      <c r="CR885" s="46" t="s">
        <v>1</v>
      </c>
      <c r="CS885" s="103">
        <v>0</v>
      </c>
      <c r="CT885" s="103">
        <v>0</v>
      </c>
      <c r="CU885" s="103">
        <v>0</v>
      </c>
      <c r="CV885" s="103">
        <v>100</v>
      </c>
      <c r="CW885" s="103">
        <v>0</v>
      </c>
      <c r="CX885" s="103">
        <v>0</v>
      </c>
      <c r="CY885" s="103">
        <v>0</v>
      </c>
      <c r="CZ885" s="103">
        <v>0</v>
      </c>
      <c r="DA885" s="103">
        <v>0</v>
      </c>
      <c r="DB885" s="17">
        <v>0</v>
      </c>
      <c r="DC885" s="42"/>
      <c r="DD885" s="109" t="s">
        <v>13</v>
      </c>
      <c r="DE885" s="46" t="s">
        <v>1</v>
      </c>
      <c r="DF885" s="103" t="s">
        <v>128</v>
      </c>
      <c r="DG885" s="103" t="s">
        <v>128</v>
      </c>
      <c r="DH885" s="103" t="s">
        <v>128</v>
      </c>
      <c r="DI885" s="103" t="s">
        <v>128</v>
      </c>
      <c r="DJ885" s="103" t="s">
        <v>128</v>
      </c>
      <c r="DK885" s="103" t="s">
        <v>128</v>
      </c>
      <c r="DL885" s="103" t="s">
        <v>128</v>
      </c>
      <c r="DM885" s="103" t="s">
        <v>128</v>
      </c>
      <c r="DN885" s="103" t="s">
        <v>128</v>
      </c>
      <c r="DO885" s="17" t="s">
        <v>128</v>
      </c>
    </row>
    <row r="886" spans="2:119" ht="16.5" customHeight="1" x14ac:dyDescent="0.45">
      <c r="B886" s="99"/>
      <c r="C886" s="42"/>
      <c r="D886" s="110"/>
      <c r="E886" s="47">
        <v>1</v>
      </c>
      <c r="F886" s="103">
        <v>0</v>
      </c>
      <c r="G886" s="103">
        <v>0</v>
      </c>
      <c r="H886" s="103">
        <v>0</v>
      </c>
      <c r="I886" s="103">
        <v>100</v>
      </c>
      <c r="J886" s="103">
        <v>0</v>
      </c>
      <c r="K886" s="103">
        <v>0</v>
      </c>
      <c r="L886" s="103">
        <v>0</v>
      </c>
      <c r="M886" s="103">
        <v>0</v>
      </c>
      <c r="N886" s="103">
        <v>0</v>
      </c>
      <c r="O886" s="103">
        <v>0</v>
      </c>
      <c r="P886" s="42"/>
      <c r="Q886" s="110"/>
      <c r="R886" s="46">
        <v>1</v>
      </c>
      <c r="S886" s="103">
        <v>0</v>
      </c>
      <c r="T886" s="103">
        <v>0</v>
      </c>
      <c r="U886" s="103">
        <v>0</v>
      </c>
      <c r="V886" s="103">
        <v>100</v>
      </c>
      <c r="W886" s="103">
        <v>0</v>
      </c>
      <c r="X886" s="103">
        <v>0</v>
      </c>
      <c r="Y886" s="103">
        <v>0</v>
      </c>
      <c r="Z886" s="103">
        <v>0</v>
      </c>
      <c r="AA886" s="103">
        <v>0</v>
      </c>
      <c r="AB886" s="103">
        <v>0</v>
      </c>
      <c r="AC886" s="42"/>
      <c r="AD886" s="110"/>
      <c r="AE886" s="46">
        <v>1</v>
      </c>
      <c r="AF886" s="103" t="s">
        <v>128</v>
      </c>
      <c r="AG886" s="103" t="s">
        <v>128</v>
      </c>
      <c r="AH886" s="103" t="s">
        <v>128</v>
      </c>
      <c r="AI886" s="103" t="s">
        <v>128</v>
      </c>
      <c r="AJ886" s="103" t="s">
        <v>128</v>
      </c>
      <c r="AK886" s="103" t="s">
        <v>128</v>
      </c>
      <c r="AL886" s="103" t="s">
        <v>128</v>
      </c>
      <c r="AM886" s="103" t="s">
        <v>128</v>
      </c>
      <c r="AN886" s="103" t="s">
        <v>128</v>
      </c>
      <c r="AO886" s="103" t="s">
        <v>128</v>
      </c>
      <c r="AP886" s="6"/>
      <c r="AQ886" s="110"/>
      <c r="AR886" s="46">
        <v>1</v>
      </c>
      <c r="AS886" s="103" t="s">
        <v>128</v>
      </c>
      <c r="AT886" s="103" t="s">
        <v>128</v>
      </c>
      <c r="AU886" s="103" t="s">
        <v>128</v>
      </c>
      <c r="AV886" s="103" t="s">
        <v>128</v>
      </c>
      <c r="AW886" s="103" t="s">
        <v>128</v>
      </c>
      <c r="AX886" s="103" t="s">
        <v>128</v>
      </c>
      <c r="AY886" s="103" t="s">
        <v>128</v>
      </c>
      <c r="AZ886" s="103" t="s">
        <v>128</v>
      </c>
      <c r="BA886" s="103" t="s">
        <v>128</v>
      </c>
      <c r="BB886" s="103" t="s">
        <v>128</v>
      </c>
      <c r="BC886" s="42"/>
      <c r="BD886" s="110"/>
      <c r="BE886" s="46">
        <v>1</v>
      </c>
      <c r="BF886" s="103">
        <v>0</v>
      </c>
      <c r="BG886" s="103">
        <v>0</v>
      </c>
      <c r="BH886" s="103">
        <v>0</v>
      </c>
      <c r="BI886" s="103">
        <v>100</v>
      </c>
      <c r="BJ886" s="103">
        <v>0</v>
      </c>
      <c r="BK886" s="103">
        <v>0</v>
      </c>
      <c r="BL886" s="103">
        <v>0</v>
      </c>
      <c r="BM886" s="103">
        <v>0</v>
      </c>
      <c r="BN886" s="103">
        <v>0</v>
      </c>
      <c r="BO886" s="103">
        <v>0</v>
      </c>
      <c r="BQ886" s="110"/>
      <c r="BR886" s="46">
        <v>1</v>
      </c>
      <c r="BS886" s="103" t="s">
        <v>128</v>
      </c>
      <c r="BT886" s="103" t="s">
        <v>128</v>
      </c>
      <c r="BU886" s="103" t="s">
        <v>128</v>
      </c>
      <c r="BV886" s="103" t="s">
        <v>128</v>
      </c>
      <c r="BW886" s="103" t="s">
        <v>128</v>
      </c>
      <c r="BX886" s="103" t="s">
        <v>128</v>
      </c>
      <c r="BY886" s="103" t="s">
        <v>128</v>
      </c>
      <c r="BZ886" s="103" t="s">
        <v>128</v>
      </c>
      <c r="CA886" s="103" t="s">
        <v>128</v>
      </c>
      <c r="CB886" s="103" t="s">
        <v>128</v>
      </c>
      <c r="CC886" s="42"/>
      <c r="CD886" s="110"/>
      <c r="CE886" s="46">
        <v>1</v>
      </c>
      <c r="CF886" s="103">
        <v>0</v>
      </c>
      <c r="CG886" s="103">
        <v>0</v>
      </c>
      <c r="CH886" s="103">
        <v>0</v>
      </c>
      <c r="CI886" s="103">
        <v>100</v>
      </c>
      <c r="CJ886" s="103">
        <v>0</v>
      </c>
      <c r="CK886" s="103">
        <v>0</v>
      </c>
      <c r="CL886" s="103">
        <v>0</v>
      </c>
      <c r="CM886" s="103">
        <v>0</v>
      </c>
      <c r="CN886" s="103">
        <v>0</v>
      </c>
      <c r="CO886" s="103">
        <v>0</v>
      </c>
      <c r="CQ886" s="110"/>
      <c r="CR886" s="46">
        <v>1</v>
      </c>
      <c r="CS886" s="103">
        <v>0</v>
      </c>
      <c r="CT886" s="103">
        <v>0</v>
      </c>
      <c r="CU886" s="103">
        <v>0</v>
      </c>
      <c r="CV886" s="103">
        <v>100</v>
      </c>
      <c r="CW886" s="103">
        <v>0</v>
      </c>
      <c r="CX886" s="103">
        <v>0</v>
      </c>
      <c r="CY886" s="103">
        <v>0</v>
      </c>
      <c r="CZ886" s="103">
        <v>0</v>
      </c>
      <c r="DA886" s="103">
        <v>0</v>
      </c>
      <c r="DB886" s="103">
        <v>0</v>
      </c>
      <c r="DC886" s="42"/>
      <c r="DD886" s="110"/>
      <c r="DE886" s="46">
        <v>1</v>
      </c>
      <c r="DF886" s="103" t="s">
        <v>128</v>
      </c>
      <c r="DG886" s="103" t="s">
        <v>128</v>
      </c>
      <c r="DH886" s="103" t="s">
        <v>128</v>
      </c>
      <c r="DI886" s="103" t="s">
        <v>128</v>
      </c>
      <c r="DJ886" s="103" t="s">
        <v>128</v>
      </c>
      <c r="DK886" s="103" t="s">
        <v>128</v>
      </c>
      <c r="DL886" s="103" t="s">
        <v>128</v>
      </c>
      <c r="DM886" s="103" t="s">
        <v>128</v>
      </c>
      <c r="DN886" s="103" t="s">
        <v>128</v>
      </c>
      <c r="DO886" s="103" t="s">
        <v>128</v>
      </c>
    </row>
    <row r="887" spans="2:119" ht="16.5" customHeight="1" x14ac:dyDescent="0.45">
      <c r="B887" s="99"/>
      <c r="C887" s="42"/>
      <c r="D887" s="110"/>
      <c r="E887" s="47" t="s">
        <v>2</v>
      </c>
      <c r="F887" s="103">
        <v>5.9322033898305087</v>
      </c>
      <c r="G887" s="103">
        <v>24.576271186440678</v>
      </c>
      <c r="H887" s="103">
        <v>33.898305084745758</v>
      </c>
      <c r="I887" s="103">
        <v>31.35593220338983</v>
      </c>
      <c r="J887" s="103">
        <v>2.5423728813559325</v>
      </c>
      <c r="K887" s="103">
        <v>1.6949152542372881</v>
      </c>
      <c r="L887" s="103">
        <v>0</v>
      </c>
      <c r="M887" s="103">
        <v>0</v>
      </c>
      <c r="N887" s="103">
        <v>0</v>
      </c>
      <c r="O887" s="103">
        <v>0</v>
      </c>
      <c r="P887" s="42"/>
      <c r="Q887" s="110"/>
      <c r="R887" s="46" t="s">
        <v>2</v>
      </c>
      <c r="S887" s="103">
        <v>6.6037735849056602</v>
      </c>
      <c r="T887" s="103">
        <v>22.641509433962266</v>
      </c>
      <c r="U887" s="103">
        <v>32.075471698113205</v>
      </c>
      <c r="V887" s="103">
        <v>34.905660377358487</v>
      </c>
      <c r="W887" s="103">
        <v>2.8301886792452833</v>
      </c>
      <c r="X887" s="103">
        <v>0.94339622641509435</v>
      </c>
      <c r="Y887" s="103">
        <v>0</v>
      </c>
      <c r="Z887" s="103">
        <v>0</v>
      </c>
      <c r="AA887" s="103">
        <v>0</v>
      </c>
      <c r="AB887" s="103">
        <v>0</v>
      </c>
      <c r="AC887" s="42"/>
      <c r="AD887" s="110"/>
      <c r="AE887" s="46" t="s">
        <v>2</v>
      </c>
      <c r="AF887" s="103">
        <v>0</v>
      </c>
      <c r="AG887" s="103">
        <v>41.666666666666671</v>
      </c>
      <c r="AH887" s="103">
        <v>50</v>
      </c>
      <c r="AI887" s="103">
        <v>0</v>
      </c>
      <c r="AJ887" s="103">
        <v>0</v>
      </c>
      <c r="AK887" s="103">
        <v>8.3333333333333321</v>
      </c>
      <c r="AL887" s="103">
        <v>0</v>
      </c>
      <c r="AM887" s="103">
        <v>0</v>
      </c>
      <c r="AN887" s="103">
        <v>0</v>
      </c>
      <c r="AO887" s="103">
        <v>0</v>
      </c>
      <c r="AP887" s="6"/>
      <c r="AQ887" s="110"/>
      <c r="AR887" s="46" t="s">
        <v>2</v>
      </c>
      <c r="AS887" s="103">
        <v>7.9365079365079358</v>
      </c>
      <c r="AT887" s="103">
        <v>26.984126984126984</v>
      </c>
      <c r="AU887" s="103">
        <v>34.920634920634917</v>
      </c>
      <c r="AV887" s="103">
        <v>28.571428571428569</v>
      </c>
      <c r="AW887" s="103">
        <v>1.5873015873015872</v>
      </c>
      <c r="AX887" s="103">
        <v>0</v>
      </c>
      <c r="AY887" s="103">
        <v>0</v>
      </c>
      <c r="AZ887" s="103">
        <v>0</v>
      </c>
      <c r="BA887" s="103">
        <v>0</v>
      </c>
      <c r="BB887" s="103">
        <v>0</v>
      </c>
      <c r="BC887" s="42"/>
      <c r="BD887" s="110"/>
      <c r="BE887" s="46" t="s">
        <v>2</v>
      </c>
      <c r="BF887" s="103">
        <v>3.6363636363636362</v>
      </c>
      <c r="BG887" s="103">
        <v>21.818181818181817</v>
      </c>
      <c r="BH887" s="103">
        <v>32.727272727272727</v>
      </c>
      <c r="BI887" s="103">
        <v>34.545454545454547</v>
      </c>
      <c r="BJ887" s="103">
        <v>3.6363636363636362</v>
      </c>
      <c r="BK887" s="103">
        <v>3.6363636363636362</v>
      </c>
      <c r="BL887" s="103">
        <v>0</v>
      </c>
      <c r="BM887" s="103">
        <v>0</v>
      </c>
      <c r="BN887" s="103">
        <v>0</v>
      </c>
      <c r="BO887" s="103">
        <v>0</v>
      </c>
      <c r="BQ887" s="110"/>
      <c r="BR887" s="46" t="s">
        <v>2</v>
      </c>
      <c r="BS887" s="103">
        <v>5.7142857142857144</v>
      </c>
      <c r="BT887" s="103">
        <v>27.142857142857142</v>
      </c>
      <c r="BU887" s="103">
        <v>34.285714285714285</v>
      </c>
      <c r="BV887" s="103">
        <v>30</v>
      </c>
      <c r="BW887" s="103">
        <v>2.8571428571428572</v>
      </c>
      <c r="BX887" s="103">
        <v>0</v>
      </c>
      <c r="BY887" s="103">
        <v>0</v>
      </c>
      <c r="BZ887" s="103">
        <v>0</v>
      </c>
      <c r="CA887" s="103">
        <v>0</v>
      </c>
      <c r="CB887" s="103">
        <v>0</v>
      </c>
      <c r="CC887" s="42"/>
      <c r="CD887" s="110"/>
      <c r="CE887" s="46" t="s">
        <v>2</v>
      </c>
      <c r="CF887" s="103">
        <v>6.25</v>
      </c>
      <c r="CG887" s="103">
        <v>20.833333333333336</v>
      </c>
      <c r="CH887" s="103">
        <v>33.333333333333329</v>
      </c>
      <c r="CI887" s="103">
        <v>33.333333333333329</v>
      </c>
      <c r="CJ887" s="103">
        <v>2.083333333333333</v>
      </c>
      <c r="CK887" s="103">
        <v>4.1666666666666661</v>
      </c>
      <c r="CL887" s="103">
        <v>0</v>
      </c>
      <c r="CM887" s="103">
        <v>0</v>
      </c>
      <c r="CN887" s="103">
        <v>0</v>
      </c>
      <c r="CO887" s="103">
        <v>0</v>
      </c>
      <c r="CQ887" s="110"/>
      <c r="CR887" s="46" t="s">
        <v>2</v>
      </c>
      <c r="CS887" s="103">
        <v>13.636363636363635</v>
      </c>
      <c r="CT887" s="103">
        <v>13.636363636363635</v>
      </c>
      <c r="CU887" s="103">
        <v>22.727272727272727</v>
      </c>
      <c r="CV887" s="103">
        <v>45.454545454545453</v>
      </c>
      <c r="CW887" s="103">
        <v>0</v>
      </c>
      <c r="CX887" s="103">
        <v>4.5454545454545459</v>
      </c>
      <c r="CY887" s="103">
        <v>0</v>
      </c>
      <c r="CZ887" s="103">
        <v>0</v>
      </c>
      <c r="DA887" s="103">
        <v>0</v>
      </c>
      <c r="DB887" s="103">
        <v>0</v>
      </c>
      <c r="DC887" s="42"/>
      <c r="DD887" s="110"/>
      <c r="DE887" s="46" t="s">
        <v>2</v>
      </c>
      <c r="DF887" s="103">
        <v>4.1666666666666661</v>
      </c>
      <c r="DG887" s="103">
        <v>27.083333333333332</v>
      </c>
      <c r="DH887" s="103">
        <v>36.458333333333329</v>
      </c>
      <c r="DI887" s="103">
        <v>28.125</v>
      </c>
      <c r="DJ887" s="103">
        <v>3.125</v>
      </c>
      <c r="DK887" s="103">
        <v>1.0416666666666665</v>
      </c>
      <c r="DL887" s="103">
        <v>0</v>
      </c>
      <c r="DM887" s="103">
        <v>0</v>
      </c>
      <c r="DN887" s="103">
        <v>0</v>
      </c>
      <c r="DO887" s="103">
        <v>0</v>
      </c>
    </row>
    <row r="888" spans="2:119" ht="16.5" customHeight="1" x14ac:dyDescent="0.45">
      <c r="B888" s="99"/>
      <c r="C888" s="42"/>
      <c r="D888" s="110"/>
      <c r="E888" s="47" t="s">
        <v>3</v>
      </c>
      <c r="F888" s="103">
        <v>3.125</v>
      </c>
      <c r="G888" s="103">
        <v>11.458333333333332</v>
      </c>
      <c r="H888" s="103">
        <v>32.291666666666671</v>
      </c>
      <c r="I888" s="103">
        <v>33.333333333333329</v>
      </c>
      <c r="J888" s="103">
        <v>10.416666666666668</v>
      </c>
      <c r="K888" s="103">
        <v>5.2083333333333339</v>
      </c>
      <c r="L888" s="103">
        <v>3.125</v>
      </c>
      <c r="M888" s="103">
        <v>1.0416666666666665</v>
      </c>
      <c r="N888" s="103">
        <v>0</v>
      </c>
      <c r="O888" s="103">
        <v>0</v>
      </c>
      <c r="P888" s="42"/>
      <c r="Q888" s="110"/>
      <c r="R888" s="46" t="s">
        <v>3</v>
      </c>
      <c r="S888" s="103">
        <v>3.3707865168539324</v>
      </c>
      <c r="T888" s="103">
        <v>11.235955056179774</v>
      </c>
      <c r="U888" s="103">
        <v>31.460674157303369</v>
      </c>
      <c r="V888" s="103">
        <v>34.831460674157306</v>
      </c>
      <c r="W888" s="103">
        <v>8.9887640449438209</v>
      </c>
      <c r="X888" s="103">
        <v>5.6179775280898872</v>
      </c>
      <c r="Y888" s="103">
        <v>3.3707865168539324</v>
      </c>
      <c r="Z888" s="103">
        <v>1.1235955056179776</v>
      </c>
      <c r="AA888" s="103">
        <v>0</v>
      </c>
      <c r="AB888" s="103">
        <v>0</v>
      </c>
      <c r="AC888" s="42"/>
      <c r="AD888" s="110"/>
      <c r="AE888" s="46" t="s">
        <v>3</v>
      </c>
      <c r="AF888" s="103">
        <v>0</v>
      </c>
      <c r="AG888" s="103">
        <v>14.285714285714285</v>
      </c>
      <c r="AH888" s="103">
        <v>42.857142857142854</v>
      </c>
      <c r="AI888" s="103">
        <v>14.285714285714285</v>
      </c>
      <c r="AJ888" s="103">
        <v>28.571428571428569</v>
      </c>
      <c r="AK888" s="103">
        <v>0</v>
      </c>
      <c r="AL888" s="103">
        <v>0</v>
      </c>
      <c r="AM888" s="103">
        <v>0</v>
      </c>
      <c r="AN888" s="103">
        <v>0</v>
      </c>
      <c r="AO888" s="103">
        <v>0</v>
      </c>
      <c r="AP888" s="6"/>
      <c r="AQ888" s="110"/>
      <c r="AR888" s="46" t="s">
        <v>3</v>
      </c>
      <c r="AS888" s="103">
        <v>5.1282051282051277</v>
      </c>
      <c r="AT888" s="103">
        <v>20.512820512820511</v>
      </c>
      <c r="AU888" s="103">
        <v>38.461538461538467</v>
      </c>
      <c r="AV888" s="103">
        <v>23.076923076923077</v>
      </c>
      <c r="AW888" s="103">
        <v>7.6923076923076925</v>
      </c>
      <c r="AX888" s="103">
        <v>2.5641025641025639</v>
      </c>
      <c r="AY888" s="103">
        <v>0</v>
      </c>
      <c r="AZ888" s="103">
        <v>2.5641025641025639</v>
      </c>
      <c r="BA888" s="103">
        <v>0</v>
      </c>
      <c r="BB888" s="103">
        <v>0</v>
      </c>
      <c r="BC888" s="42"/>
      <c r="BD888" s="110"/>
      <c r="BE888" s="46" t="s">
        <v>3</v>
      </c>
      <c r="BF888" s="103">
        <v>1.7543859649122806</v>
      </c>
      <c r="BG888" s="103">
        <v>5.2631578947368416</v>
      </c>
      <c r="BH888" s="103">
        <v>28.07017543859649</v>
      </c>
      <c r="BI888" s="103">
        <v>40.350877192982452</v>
      </c>
      <c r="BJ888" s="103">
        <v>12.280701754385964</v>
      </c>
      <c r="BK888" s="103">
        <v>7.0175438596491224</v>
      </c>
      <c r="BL888" s="103">
        <v>5.2631578947368416</v>
      </c>
      <c r="BM888" s="103">
        <v>0</v>
      </c>
      <c r="BN888" s="103">
        <v>0</v>
      </c>
      <c r="BO888" s="103">
        <v>0</v>
      </c>
      <c r="BQ888" s="110"/>
      <c r="BR888" s="46" t="s">
        <v>3</v>
      </c>
      <c r="BS888" s="103">
        <v>2.2727272727272729</v>
      </c>
      <c r="BT888" s="103">
        <v>13.636363636363635</v>
      </c>
      <c r="BU888" s="103">
        <v>45.454545454545453</v>
      </c>
      <c r="BV888" s="103">
        <v>18.181818181818183</v>
      </c>
      <c r="BW888" s="103">
        <v>9.0909090909090917</v>
      </c>
      <c r="BX888" s="103">
        <v>6.8181818181818175</v>
      </c>
      <c r="BY888" s="103">
        <v>4.5454545454545459</v>
      </c>
      <c r="BZ888" s="103">
        <v>0</v>
      </c>
      <c r="CA888" s="103">
        <v>0</v>
      </c>
      <c r="CB888" s="103">
        <v>0</v>
      </c>
      <c r="CC888" s="42"/>
      <c r="CD888" s="110"/>
      <c r="CE888" s="46" t="s">
        <v>3</v>
      </c>
      <c r="CF888" s="103">
        <v>3.8461538461538463</v>
      </c>
      <c r="CG888" s="103">
        <v>9.6153846153846168</v>
      </c>
      <c r="CH888" s="103">
        <v>21.153846153846153</v>
      </c>
      <c r="CI888" s="103">
        <v>46.153846153846153</v>
      </c>
      <c r="CJ888" s="103">
        <v>11.538461538461538</v>
      </c>
      <c r="CK888" s="103">
        <v>3.8461538461538463</v>
      </c>
      <c r="CL888" s="103">
        <v>1.9230769230769231</v>
      </c>
      <c r="CM888" s="103">
        <v>1.9230769230769231</v>
      </c>
      <c r="CN888" s="103">
        <v>0</v>
      </c>
      <c r="CO888" s="103">
        <v>0</v>
      </c>
      <c r="CQ888" s="110"/>
      <c r="CR888" s="46" t="s">
        <v>3</v>
      </c>
      <c r="CS888" s="103">
        <v>0</v>
      </c>
      <c r="CT888" s="103">
        <v>18.181818181818183</v>
      </c>
      <c r="CU888" s="103">
        <v>9.0909090909090917</v>
      </c>
      <c r="CV888" s="103">
        <v>45.454545454545453</v>
      </c>
      <c r="CW888" s="103">
        <v>18.181818181818183</v>
      </c>
      <c r="CX888" s="103">
        <v>0</v>
      </c>
      <c r="CY888" s="103">
        <v>0</v>
      </c>
      <c r="CZ888" s="103">
        <v>9.0909090909090917</v>
      </c>
      <c r="DA888" s="103">
        <v>0</v>
      </c>
      <c r="DB888" s="103">
        <v>0</v>
      </c>
      <c r="DC888" s="42"/>
      <c r="DD888" s="110"/>
      <c r="DE888" s="46" t="s">
        <v>3</v>
      </c>
      <c r="DF888" s="103">
        <v>3.5294117647058822</v>
      </c>
      <c r="DG888" s="103">
        <v>10.588235294117647</v>
      </c>
      <c r="DH888" s="103">
        <v>35.294117647058826</v>
      </c>
      <c r="DI888" s="103">
        <v>31.764705882352938</v>
      </c>
      <c r="DJ888" s="103">
        <v>9.4117647058823533</v>
      </c>
      <c r="DK888" s="103">
        <v>5.8823529411764701</v>
      </c>
      <c r="DL888" s="103">
        <v>3.5294117647058822</v>
      </c>
      <c r="DM888" s="103">
        <v>0</v>
      </c>
      <c r="DN888" s="103">
        <v>0</v>
      </c>
      <c r="DO888" s="103">
        <v>0</v>
      </c>
    </row>
    <row r="889" spans="2:119" ht="16.5" customHeight="1" x14ac:dyDescent="0.45">
      <c r="B889" s="99"/>
      <c r="C889" s="42"/>
      <c r="D889" s="110"/>
      <c r="E889" s="47" t="s">
        <v>4</v>
      </c>
      <c r="F889" s="103">
        <v>3.5897435897435894</v>
      </c>
      <c r="G889" s="103">
        <v>11.282051282051283</v>
      </c>
      <c r="H889" s="103">
        <v>33.333333333333329</v>
      </c>
      <c r="I889" s="103">
        <v>32.820512820512818</v>
      </c>
      <c r="J889" s="103">
        <v>8.2051282051282044</v>
      </c>
      <c r="K889" s="103">
        <v>2.5641025641025639</v>
      </c>
      <c r="L889" s="103">
        <v>6.1538461538461542</v>
      </c>
      <c r="M889" s="103">
        <v>1.5384615384615385</v>
      </c>
      <c r="N889" s="103">
        <v>0.51282051282051277</v>
      </c>
      <c r="O889" s="103">
        <v>0</v>
      </c>
      <c r="P889" s="42"/>
      <c r="Q889" s="110"/>
      <c r="R889" s="46" t="s">
        <v>4</v>
      </c>
      <c r="S889" s="103">
        <v>3.9772727272727271</v>
      </c>
      <c r="T889" s="103">
        <v>10.795454545454545</v>
      </c>
      <c r="U889" s="103">
        <v>32.954545454545453</v>
      </c>
      <c r="V889" s="103">
        <v>32.386363636363633</v>
      </c>
      <c r="W889" s="103">
        <v>8.5227272727272716</v>
      </c>
      <c r="X889" s="103">
        <v>2.2727272727272729</v>
      </c>
      <c r="Y889" s="103">
        <v>6.8181818181818175</v>
      </c>
      <c r="Z889" s="103">
        <v>1.7045454545454544</v>
      </c>
      <c r="AA889" s="103">
        <v>0.56818181818181823</v>
      </c>
      <c r="AB889" s="103">
        <v>0</v>
      </c>
      <c r="AC889" s="42"/>
      <c r="AD889" s="110"/>
      <c r="AE889" s="46" t="s">
        <v>4</v>
      </c>
      <c r="AF889" s="103">
        <v>0</v>
      </c>
      <c r="AG889" s="103">
        <v>15.789473684210526</v>
      </c>
      <c r="AH889" s="103">
        <v>36.84210526315789</v>
      </c>
      <c r="AI889" s="103">
        <v>36.84210526315789</v>
      </c>
      <c r="AJ889" s="103">
        <v>5.2631578947368416</v>
      </c>
      <c r="AK889" s="103">
        <v>5.2631578947368416</v>
      </c>
      <c r="AL889" s="103">
        <v>0</v>
      </c>
      <c r="AM889" s="103">
        <v>0</v>
      </c>
      <c r="AN889" s="103">
        <v>0</v>
      </c>
      <c r="AO889" s="103">
        <v>0</v>
      </c>
      <c r="AP889" s="6"/>
      <c r="AQ889" s="110"/>
      <c r="AR889" s="46" t="s">
        <v>4</v>
      </c>
      <c r="AS889" s="103">
        <v>7.59493670886076</v>
      </c>
      <c r="AT889" s="103">
        <v>18.9873417721519</v>
      </c>
      <c r="AU889" s="103">
        <v>35.443037974683541</v>
      </c>
      <c r="AV889" s="103">
        <v>24.050632911392405</v>
      </c>
      <c r="AW889" s="103">
        <v>10.126582278481013</v>
      </c>
      <c r="AX889" s="103">
        <v>1.2658227848101267</v>
      </c>
      <c r="AY889" s="103">
        <v>2.5316455696202533</v>
      </c>
      <c r="AZ889" s="103">
        <v>0</v>
      </c>
      <c r="BA889" s="103">
        <v>0</v>
      </c>
      <c r="BB889" s="103">
        <v>0</v>
      </c>
      <c r="BC889" s="42"/>
      <c r="BD889" s="110"/>
      <c r="BE889" s="46" t="s">
        <v>4</v>
      </c>
      <c r="BF889" s="103">
        <v>0.86206896551724133</v>
      </c>
      <c r="BG889" s="103">
        <v>6.0344827586206895</v>
      </c>
      <c r="BH889" s="103">
        <v>31.896551724137932</v>
      </c>
      <c r="BI889" s="103">
        <v>38.793103448275865</v>
      </c>
      <c r="BJ889" s="103">
        <v>6.8965517241379306</v>
      </c>
      <c r="BK889" s="103">
        <v>3.4482758620689653</v>
      </c>
      <c r="BL889" s="103">
        <v>8.6206896551724146</v>
      </c>
      <c r="BM889" s="103">
        <v>2.5862068965517242</v>
      </c>
      <c r="BN889" s="103">
        <v>0.86206896551724133</v>
      </c>
      <c r="BO889" s="103">
        <v>0</v>
      </c>
      <c r="BQ889" s="110"/>
      <c r="BR889" s="46" t="s">
        <v>4</v>
      </c>
      <c r="BS889" s="103">
        <v>2.9411764705882351</v>
      </c>
      <c r="BT889" s="103">
        <v>16.176470588235293</v>
      </c>
      <c r="BU889" s="103">
        <v>26.47058823529412</v>
      </c>
      <c r="BV889" s="103">
        <v>36.764705882352942</v>
      </c>
      <c r="BW889" s="103">
        <v>5.8823529411764701</v>
      </c>
      <c r="BX889" s="103">
        <v>2.9411764705882351</v>
      </c>
      <c r="BY889" s="103">
        <v>7.3529411764705888</v>
      </c>
      <c r="BZ889" s="103">
        <v>0</v>
      </c>
      <c r="CA889" s="103">
        <v>1.4705882352941175</v>
      </c>
      <c r="CB889" s="103">
        <v>0</v>
      </c>
      <c r="CC889" s="42"/>
      <c r="CD889" s="110"/>
      <c r="CE889" s="46" t="s">
        <v>4</v>
      </c>
      <c r="CF889" s="103">
        <v>3.9370078740157481</v>
      </c>
      <c r="CG889" s="103">
        <v>8.6614173228346463</v>
      </c>
      <c r="CH889" s="103">
        <v>37.00787401574803</v>
      </c>
      <c r="CI889" s="103">
        <v>30.708661417322837</v>
      </c>
      <c r="CJ889" s="103">
        <v>9.4488188976377945</v>
      </c>
      <c r="CK889" s="103">
        <v>2.3622047244094486</v>
      </c>
      <c r="CL889" s="103">
        <v>5.5118110236220472</v>
      </c>
      <c r="CM889" s="103">
        <v>2.3622047244094486</v>
      </c>
      <c r="CN889" s="103">
        <v>0</v>
      </c>
      <c r="CO889" s="103">
        <v>0</v>
      </c>
      <c r="CQ889" s="110"/>
      <c r="CR889" s="46" t="s">
        <v>4</v>
      </c>
      <c r="CS889" s="103">
        <v>9.0909090909090917</v>
      </c>
      <c r="CT889" s="103">
        <v>18.181818181818183</v>
      </c>
      <c r="CU889" s="103">
        <v>22.727272727272727</v>
      </c>
      <c r="CV889" s="103">
        <v>27.27272727272727</v>
      </c>
      <c r="CW889" s="103">
        <v>13.636363636363635</v>
      </c>
      <c r="CX889" s="103">
        <v>0</v>
      </c>
      <c r="CY889" s="103">
        <v>4.5454545454545459</v>
      </c>
      <c r="CZ889" s="103">
        <v>4.5454545454545459</v>
      </c>
      <c r="DA889" s="103">
        <v>0</v>
      </c>
      <c r="DB889" s="103">
        <v>0</v>
      </c>
      <c r="DC889" s="42"/>
      <c r="DD889" s="110"/>
      <c r="DE889" s="46" t="s">
        <v>4</v>
      </c>
      <c r="DF889" s="103">
        <v>2.8901734104046244</v>
      </c>
      <c r="DG889" s="103">
        <v>10.404624277456648</v>
      </c>
      <c r="DH889" s="103">
        <v>34.682080924855491</v>
      </c>
      <c r="DI889" s="103">
        <v>33.52601156069364</v>
      </c>
      <c r="DJ889" s="103">
        <v>7.5144508670520231</v>
      </c>
      <c r="DK889" s="103">
        <v>2.8901734104046244</v>
      </c>
      <c r="DL889" s="103">
        <v>6.3583815028901727</v>
      </c>
      <c r="DM889" s="103">
        <v>1.1560693641618496</v>
      </c>
      <c r="DN889" s="103">
        <v>0.57803468208092479</v>
      </c>
      <c r="DO889" s="103">
        <v>0</v>
      </c>
    </row>
    <row r="890" spans="2:119" ht="16.5" customHeight="1" x14ac:dyDescent="0.45">
      <c r="B890" s="99"/>
      <c r="C890" s="42"/>
      <c r="D890" s="110"/>
      <c r="E890" s="47" t="s">
        <v>5</v>
      </c>
      <c r="F890" s="103">
        <v>1.6949152542372881</v>
      </c>
      <c r="G890" s="103">
        <v>5.0847457627118651</v>
      </c>
      <c r="H890" s="103">
        <v>23.163841807909606</v>
      </c>
      <c r="I890" s="103">
        <v>36.158192090395481</v>
      </c>
      <c r="J890" s="103">
        <v>15.819209039548024</v>
      </c>
      <c r="K890" s="103">
        <v>9.8870056497175138</v>
      </c>
      <c r="L890" s="103">
        <v>6.4971751412429377</v>
      </c>
      <c r="M890" s="103">
        <v>1.4124293785310735</v>
      </c>
      <c r="N890" s="103">
        <v>0.2824858757062147</v>
      </c>
      <c r="O890" s="103">
        <v>0</v>
      </c>
      <c r="P890" s="42"/>
      <c r="Q890" s="110"/>
      <c r="R890" s="46" t="s">
        <v>5</v>
      </c>
      <c r="S890" s="103">
        <v>1.8181818181818181</v>
      </c>
      <c r="T890" s="103">
        <v>5.1515151515151514</v>
      </c>
      <c r="U890" s="103">
        <v>22.727272727272727</v>
      </c>
      <c r="V890" s="103">
        <v>36.363636363636367</v>
      </c>
      <c r="W890" s="103">
        <v>14.84848484848485</v>
      </c>
      <c r="X890" s="103">
        <v>10.303030303030303</v>
      </c>
      <c r="Y890" s="103">
        <v>6.9696969696969706</v>
      </c>
      <c r="Z890" s="103">
        <v>1.5151515151515151</v>
      </c>
      <c r="AA890" s="103">
        <v>0.30303030303030304</v>
      </c>
      <c r="AB890" s="103">
        <v>0</v>
      </c>
      <c r="AC890" s="42"/>
      <c r="AD890" s="110"/>
      <c r="AE890" s="46" t="s">
        <v>5</v>
      </c>
      <c r="AF890" s="103">
        <v>0</v>
      </c>
      <c r="AG890" s="103">
        <v>4.1666666666666661</v>
      </c>
      <c r="AH890" s="103">
        <v>29.166666666666668</v>
      </c>
      <c r="AI890" s="103">
        <v>33.333333333333329</v>
      </c>
      <c r="AJ890" s="103">
        <v>29.166666666666668</v>
      </c>
      <c r="AK890" s="103">
        <v>4.1666666666666661</v>
      </c>
      <c r="AL890" s="103">
        <v>0</v>
      </c>
      <c r="AM890" s="103">
        <v>0</v>
      </c>
      <c r="AN890" s="103">
        <v>0</v>
      </c>
      <c r="AO890" s="103">
        <v>0</v>
      </c>
      <c r="AP890" s="6"/>
      <c r="AQ890" s="110"/>
      <c r="AR890" s="46" t="s">
        <v>5</v>
      </c>
      <c r="AS890" s="103">
        <v>2.0618556701030926</v>
      </c>
      <c r="AT890" s="103">
        <v>10.309278350515463</v>
      </c>
      <c r="AU890" s="103">
        <v>31.958762886597935</v>
      </c>
      <c r="AV890" s="103">
        <v>40.206185567010309</v>
      </c>
      <c r="AW890" s="103">
        <v>12.371134020618557</v>
      </c>
      <c r="AX890" s="103">
        <v>2.0618556701030926</v>
      </c>
      <c r="AY890" s="103">
        <v>1.0309278350515463</v>
      </c>
      <c r="AZ890" s="103">
        <v>0</v>
      </c>
      <c r="BA890" s="103">
        <v>0</v>
      </c>
      <c r="BB890" s="103">
        <v>0</v>
      </c>
      <c r="BC890" s="42"/>
      <c r="BD890" s="110"/>
      <c r="BE890" s="46" t="s">
        <v>5</v>
      </c>
      <c r="BF890" s="103">
        <v>1.556420233463035</v>
      </c>
      <c r="BG890" s="103">
        <v>3.1128404669260701</v>
      </c>
      <c r="BH890" s="103">
        <v>19.844357976653697</v>
      </c>
      <c r="BI890" s="103">
        <v>34.630350194552527</v>
      </c>
      <c r="BJ890" s="103">
        <v>17.120622568093385</v>
      </c>
      <c r="BK890" s="103">
        <v>12.840466926070038</v>
      </c>
      <c r="BL890" s="103">
        <v>8.5603112840466924</v>
      </c>
      <c r="BM890" s="103">
        <v>1.9455252918287937</v>
      </c>
      <c r="BN890" s="103">
        <v>0.38910505836575876</v>
      </c>
      <c r="BO890" s="103">
        <v>0</v>
      </c>
      <c r="BQ890" s="110"/>
      <c r="BR890" s="46" t="s">
        <v>5</v>
      </c>
      <c r="BS890" s="103">
        <v>2.5641025641025639</v>
      </c>
      <c r="BT890" s="103">
        <v>5.1282051282051277</v>
      </c>
      <c r="BU890" s="103">
        <v>16.666666666666664</v>
      </c>
      <c r="BV890" s="103">
        <v>42.307692307692307</v>
      </c>
      <c r="BW890" s="103">
        <v>17.948717948717949</v>
      </c>
      <c r="BX890" s="103">
        <v>10.256410256410255</v>
      </c>
      <c r="BY890" s="103">
        <v>3.8461538461538463</v>
      </c>
      <c r="BZ890" s="103">
        <v>1.2820512820512819</v>
      </c>
      <c r="CA890" s="103">
        <v>0</v>
      </c>
      <c r="CB890" s="103">
        <v>0</v>
      </c>
      <c r="CC890" s="42"/>
      <c r="CD890" s="110"/>
      <c r="CE890" s="46" t="s">
        <v>5</v>
      </c>
      <c r="CF890" s="103">
        <v>1.4492753623188406</v>
      </c>
      <c r="CG890" s="103">
        <v>5.0724637681159424</v>
      </c>
      <c r="CH890" s="103">
        <v>25</v>
      </c>
      <c r="CI890" s="103">
        <v>34.420289855072461</v>
      </c>
      <c r="CJ890" s="103">
        <v>15.217391304347828</v>
      </c>
      <c r="CK890" s="103">
        <v>9.7826086956521738</v>
      </c>
      <c r="CL890" s="103">
        <v>7.2463768115942031</v>
      </c>
      <c r="CM890" s="103">
        <v>1.4492753623188406</v>
      </c>
      <c r="CN890" s="103">
        <v>0.36231884057971014</v>
      </c>
      <c r="CO890" s="103">
        <v>0</v>
      </c>
      <c r="CQ890" s="110"/>
      <c r="CR890" s="46" t="s">
        <v>5</v>
      </c>
      <c r="CS890" s="103">
        <v>0</v>
      </c>
      <c r="CT890" s="103">
        <v>25</v>
      </c>
      <c r="CU890" s="103">
        <v>12.5</v>
      </c>
      <c r="CV890" s="103">
        <v>33.333333333333329</v>
      </c>
      <c r="CW890" s="103">
        <v>20.833333333333336</v>
      </c>
      <c r="CX890" s="103">
        <v>8.3333333333333321</v>
      </c>
      <c r="CY890" s="103">
        <v>0</v>
      </c>
      <c r="CZ890" s="103">
        <v>0</v>
      </c>
      <c r="DA890" s="103">
        <v>0</v>
      </c>
      <c r="DB890" s="103">
        <v>0</v>
      </c>
      <c r="DC890" s="42"/>
      <c r="DD890" s="110"/>
      <c r="DE890" s="46" t="s">
        <v>5</v>
      </c>
      <c r="DF890" s="103">
        <v>1.8181818181818181</v>
      </c>
      <c r="DG890" s="103">
        <v>3.6363636363636362</v>
      </c>
      <c r="DH890" s="103">
        <v>23.939393939393938</v>
      </c>
      <c r="DI890" s="103">
        <v>36.363636363636367</v>
      </c>
      <c r="DJ890" s="103">
        <v>15.454545454545453</v>
      </c>
      <c r="DK890" s="103">
        <v>10</v>
      </c>
      <c r="DL890" s="103">
        <v>6.9696969696969706</v>
      </c>
      <c r="DM890" s="103">
        <v>1.5151515151515151</v>
      </c>
      <c r="DN890" s="103">
        <v>0.30303030303030304</v>
      </c>
      <c r="DO890" s="103">
        <v>0</v>
      </c>
    </row>
    <row r="891" spans="2:119" ht="16.5" customHeight="1" x14ac:dyDescent="0.45">
      <c r="B891" s="99"/>
      <c r="C891" s="42"/>
      <c r="D891" s="110"/>
      <c r="E891" s="47" t="s">
        <v>6</v>
      </c>
      <c r="F891" s="103">
        <v>1.3175230566534915</v>
      </c>
      <c r="G891" s="103">
        <v>3.820816864295125</v>
      </c>
      <c r="H891" s="103">
        <v>17.523056653491437</v>
      </c>
      <c r="I891" s="103">
        <v>28.194993412384719</v>
      </c>
      <c r="J891" s="103">
        <v>17.654808959156785</v>
      </c>
      <c r="K891" s="103">
        <v>12.911725955204217</v>
      </c>
      <c r="L891" s="103">
        <v>11.857707509881422</v>
      </c>
      <c r="M891" s="103">
        <v>4.4795783926218711</v>
      </c>
      <c r="N891" s="103">
        <v>1.5810276679841897</v>
      </c>
      <c r="O891" s="103">
        <v>0.65876152832674573</v>
      </c>
      <c r="P891" s="42"/>
      <c r="Q891" s="110"/>
      <c r="R891" s="46" t="s">
        <v>6</v>
      </c>
      <c r="S891" s="103">
        <v>1.1331444759206799</v>
      </c>
      <c r="T891" s="103">
        <v>3.6827195467422094</v>
      </c>
      <c r="U891" s="103">
        <v>17.138810198300284</v>
      </c>
      <c r="V891" s="103">
        <v>29.320113314447593</v>
      </c>
      <c r="W891" s="103">
        <v>17.563739376770538</v>
      </c>
      <c r="X891" s="103">
        <v>12.322946175637393</v>
      </c>
      <c r="Y891" s="103">
        <v>12.464589235127479</v>
      </c>
      <c r="Z891" s="103">
        <v>4.1076487252124654</v>
      </c>
      <c r="AA891" s="103">
        <v>1.5580736543909348</v>
      </c>
      <c r="AB891" s="103">
        <v>0.708215297450425</v>
      </c>
      <c r="AC891" s="42"/>
      <c r="AD891" s="110"/>
      <c r="AE891" s="46" t="s">
        <v>6</v>
      </c>
      <c r="AF891" s="103">
        <v>3.7735849056603774</v>
      </c>
      <c r="AG891" s="103">
        <v>5.6603773584905666</v>
      </c>
      <c r="AH891" s="103">
        <v>22.641509433962266</v>
      </c>
      <c r="AI891" s="103">
        <v>13.20754716981132</v>
      </c>
      <c r="AJ891" s="103">
        <v>18.867924528301888</v>
      </c>
      <c r="AK891" s="103">
        <v>20.754716981132077</v>
      </c>
      <c r="AL891" s="103">
        <v>3.7735849056603774</v>
      </c>
      <c r="AM891" s="103">
        <v>9.433962264150944</v>
      </c>
      <c r="AN891" s="103">
        <v>1.8867924528301887</v>
      </c>
      <c r="AO891" s="103">
        <v>0</v>
      </c>
      <c r="AP891" s="6"/>
      <c r="AQ891" s="110"/>
      <c r="AR891" s="46" t="s">
        <v>6</v>
      </c>
      <c r="AS891" s="103">
        <v>1.834862385321101</v>
      </c>
      <c r="AT891" s="103">
        <v>7.3394495412844041</v>
      </c>
      <c r="AU891" s="103">
        <v>21.100917431192663</v>
      </c>
      <c r="AV891" s="103">
        <v>33.486238532110093</v>
      </c>
      <c r="AW891" s="103">
        <v>15.596330275229359</v>
      </c>
      <c r="AX891" s="103">
        <v>13.302752293577983</v>
      </c>
      <c r="AY891" s="103">
        <v>4.1284403669724776</v>
      </c>
      <c r="AZ891" s="103">
        <v>3.2110091743119269</v>
      </c>
      <c r="BA891" s="103">
        <v>0</v>
      </c>
      <c r="BB891" s="103">
        <v>0</v>
      </c>
      <c r="BC891" s="42"/>
      <c r="BD891" s="110"/>
      <c r="BE891" s="46" t="s">
        <v>6</v>
      </c>
      <c r="BF891" s="103">
        <v>1.1090573012939002</v>
      </c>
      <c r="BG891" s="103">
        <v>2.4029574861367835</v>
      </c>
      <c r="BH891" s="103">
        <v>16.081330868761555</v>
      </c>
      <c r="BI891" s="103">
        <v>26.062846580406656</v>
      </c>
      <c r="BJ891" s="103">
        <v>18.484288354898336</v>
      </c>
      <c r="BK891" s="103">
        <v>12.754158964879853</v>
      </c>
      <c r="BL891" s="103">
        <v>14.972273567467653</v>
      </c>
      <c r="BM891" s="103">
        <v>4.9907578558225509</v>
      </c>
      <c r="BN891" s="103">
        <v>2.2181146025878005</v>
      </c>
      <c r="BO891" s="103">
        <v>0.92421441774491686</v>
      </c>
      <c r="BQ891" s="110"/>
      <c r="BR891" s="46" t="s">
        <v>6</v>
      </c>
      <c r="BS891" s="103">
        <v>0.95238095238095244</v>
      </c>
      <c r="BT891" s="103">
        <v>5.7142857142857144</v>
      </c>
      <c r="BU891" s="103">
        <v>20.952380952380953</v>
      </c>
      <c r="BV891" s="103">
        <v>26.666666666666668</v>
      </c>
      <c r="BW891" s="103">
        <v>15.238095238095239</v>
      </c>
      <c r="BX891" s="103">
        <v>10.476190476190476</v>
      </c>
      <c r="BY891" s="103">
        <v>13.333333333333334</v>
      </c>
      <c r="BZ891" s="103">
        <v>4.7619047619047619</v>
      </c>
      <c r="CA891" s="103">
        <v>1.9047619047619049</v>
      </c>
      <c r="CB891" s="103">
        <v>0</v>
      </c>
      <c r="CC891" s="42"/>
      <c r="CD891" s="110"/>
      <c r="CE891" s="46" t="s">
        <v>6</v>
      </c>
      <c r="CF891" s="103">
        <v>1.3761467889908259</v>
      </c>
      <c r="CG891" s="103">
        <v>3.5168195718654434</v>
      </c>
      <c r="CH891" s="103">
        <v>16.972477064220186</v>
      </c>
      <c r="CI891" s="103">
        <v>28.440366972477065</v>
      </c>
      <c r="CJ891" s="103">
        <v>18.042813455657491</v>
      </c>
      <c r="CK891" s="103">
        <v>13.302752293577983</v>
      </c>
      <c r="CL891" s="103">
        <v>11.62079510703364</v>
      </c>
      <c r="CM891" s="103">
        <v>4.4342507645259941</v>
      </c>
      <c r="CN891" s="103">
        <v>1.5290519877675841</v>
      </c>
      <c r="CO891" s="103">
        <v>0.76452599388379205</v>
      </c>
      <c r="CQ891" s="110"/>
      <c r="CR891" s="46" t="s">
        <v>6</v>
      </c>
      <c r="CS891" s="103">
        <v>0</v>
      </c>
      <c r="CT891" s="103">
        <v>4.1666666666666661</v>
      </c>
      <c r="CU891" s="103">
        <v>12.5</v>
      </c>
      <c r="CV891" s="103">
        <v>41.666666666666671</v>
      </c>
      <c r="CW891" s="103">
        <v>12.5</v>
      </c>
      <c r="CX891" s="103">
        <v>14.583333333333334</v>
      </c>
      <c r="CY891" s="103">
        <v>8.3333333333333321</v>
      </c>
      <c r="CZ891" s="103">
        <v>6.25</v>
      </c>
      <c r="DA891" s="103">
        <v>0</v>
      </c>
      <c r="DB891" s="103">
        <v>0</v>
      </c>
      <c r="DC891" s="42"/>
      <c r="DD891" s="110"/>
      <c r="DE891" s="46" t="s">
        <v>6</v>
      </c>
      <c r="DF891" s="103">
        <v>1.4064697609001406</v>
      </c>
      <c r="DG891" s="103">
        <v>3.79746835443038</v>
      </c>
      <c r="DH891" s="103">
        <v>17.862165963431785</v>
      </c>
      <c r="DI891" s="103">
        <v>27.285513361462726</v>
      </c>
      <c r="DJ891" s="103">
        <v>18.0028129395218</v>
      </c>
      <c r="DK891" s="103">
        <v>12.79887482419128</v>
      </c>
      <c r="DL891" s="103">
        <v>12.09563994374121</v>
      </c>
      <c r="DM891" s="103">
        <v>4.3600562587904363</v>
      </c>
      <c r="DN891" s="103">
        <v>1.6877637130801686</v>
      </c>
      <c r="DO891" s="103">
        <v>0.70323488045007032</v>
      </c>
    </row>
    <row r="892" spans="2:119" ht="16.5" customHeight="1" x14ac:dyDescent="0.45">
      <c r="B892" s="99"/>
      <c r="C892" s="42"/>
      <c r="D892" s="110"/>
      <c r="E892" s="47" t="s">
        <v>7</v>
      </c>
      <c r="F892" s="103">
        <v>1.1724137931034484</v>
      </c>
      <c r="G892" s="103">
        <v>2.0689655172413794</v>
      </c>
      <c r="H892" s="103">
        <v>10.275862068965518</v>
      </c>
      <c r="I892" s="103">
        <v>25.379310344827587</v>
      </c>
      <c r="J892" s="103">
        <v>21.448275862068968</v>
      </c>
      <c r="K892" s="103">
        <v>16.482758620689655</v>
      </c>
      <c r="L892" s="103">
        <v>11.724137931034482</v>
      </c>
      <c r="M892" s="103">
        <v>6.5517241379310347</v>
      </c>
      <c r="N892" s="103">
        <v>3.8620689655172415</v>
      </c>
      <c r="O892" s="103">
        <v>1.0344827586206897</v>
      </c>
      <c r="P892" s="42"/>
      <c r="Q892" s="110"/>
      <c r="R892" s="46" t="s">
        <v>7</v>
      </c>
      <c r="S892" s="103">
        <v>1.241782322863404</v>
      </c>
      <c r="T892" s="103">
        <v>1.6800584368151936</v>
      </c>
      <c r="U892" s="103">
        <v>10.445580715850985</v>
      </c>
      <c r="V892" s="103">
        <v>24.68955441928415</v>
      </c>
      <c r="W892" s="103">
        <v>21.548575602629658</v>
      </c>
      <c r="X892" s="103">
        <v>16.435354273192111</v>
      </c>
      <c r="Y892" s="103">
        <v>12.052593133674215</v>
      </c>
      <c r="Z892" s="103">
        <v>6.8663257852447037</v>
      </c>
      <c r="AA892" s="103">
        <v>4.0175310445580719</v>
      </c>
      <c r="AB892" s="103">
        <v>1.0226442658875092</v>
      </c>
      <c r="AC892" s="42"/>
      <c r="AD892" s="110"/>
      <c r="AE892" s="46" t="s">
        <v>7</v>
      </c>
      <c r="AF892" s="103">
        <v>0</v>
      </c>
      <c r="AG892" s="103">
        <v>8.6419753086419746</v>
      </c>
      <c r="AH892" s="103">
        <v>7.4074074074074066</v>
      </c>
      <c r="AI892" s="103">
        <v>37.037037037037038</v>
      </c>
      <c r="AJ892" s="103">
        <v>19.753086419753085</v>
      </c>
      <c r="AK892" s="103">
        <v>17.283950617283949</v>
      </c>
      <c r="AL892" s="103">
        <v>6.1728395061728394</v>
      </c>
      <c r="AM892" s="103">
        <v>1.2345679012345678</v>
      </c>
      <c r="AN892" s="103">
        <v>1.2345679012345678</v>
      </c>
      <c r="AO892" s="103">
        <v>1.2345679012345678</v>
      </c>
      <c r="AP892" s="6"/>
      <c r="AQ892" s="110"/>
      <c r="AR892" s="46" t="s">
        <v>7</v>
      </c>
      <c r="AS892" s="103">
        <v>2.7472527472527473</v>
      </c>
      <c r="AT892" s="103">
        <v>4.1208791208791204</v>
      </c>
      <c r="AU892" s="103">
        <v>17.582417582417584</v>
      </c>
      <c r="AV892" s="103">
        <v>29.945054945054945</v>
      </c>
      <c r="AW892" s="103">
        <v>19.505494505494507</v>
      </c>
      <c r="AX892" s="103">
        <v>11.538461538461538</v>
      </c>
      <c r="AY892" s="103">
        <v>9.3406593406593412</v>
      </c>
      <c r="AZ892" s="103">
        <v>3.5714285714285712</v>
      </c>
      <c r="BA892" s="103">
        <v>1.3736263736263736</v>
      </c>
      <c r="BB892" s="103">
        <v>0.27472527472527475</v>
      </c>
      <c r="BC892" s="42"/>
      <c r="BD892" s="110"/>
      <c r="BE892" s="46" t="s">
        <v>7</v>
      </c>
      <c r="BF892" s="103">
        <v>0.64456721915285453</v>
      </c>
      <c r="BG892" s="103">
        <v>1.3812154696132597</v>
      </c>
      <c r="BH892" s="103">
        <v>7.8268876611418046</v>
      </c>
      <c r="BI892" s="103">
        <v>23.848987108655617</v>
      </c>
      <c r="BJ892" s="103">
        <v>22.099447513812155</v>
      </c>
      <c r="BK892" s="103">
        <v>18.139963167587478</v>
      </c>
      <c r="BL892" s="103">
        <v>12.523020257826889</v>
      </c>
      <c r="BM892" s="103">
        <v>7.5506445672191527</v>
      </c>
      <c r="BN892" s="103">
        <v>4.6961325966850831</v>
      </c>
      <c r="BO892" s="103">
        <v>1.2891344383057091</v>
      </c>
      <c r="BQ892" s="110"/>
      <c r="BR892" s="46" t="s">
        <v>7</v>
      </c>
      <c r="BS892" s="103">
        <v>1.5503875968992249</v>
      </c>
      <c r="BT892" s="103">
        <v>2.3255813953488373</v>
      </c>
      <c r="BU892" s="103">
        <v>11.627906976744185</v>
      </c>
      <c r="BV892" s="103">
        <v>27.906976744186046</v>
      </c>
      <c r="BW892" s="103">
        <v>20.155038759689923</v>
      </c>
      <c r="BX892" s="103">
        <v>20.930232558139537</v>
      </c>
      <c r="BY892" s="103">
        <v>9.3023255813953494</v>
      </c>
      <c r="BZ892" s="103">
        <v>4.6511627906976747</v>
      </c>
      <c r="CA892" s="103">
        <v>1.5503875968992249</v>
      </c>
      <c r="CB892" s="103">
        <v>0</v>
      </c>
      <c r="CC892" s="42"/>
      <c r="CD892" s="110"/>
      <c r="CE892" s="46" t="s">
        <v>7</v>
      </c>
      <c r="CF892" s="103">
        <v>1.1355034065102196</v>
      </c>
      <c r="CG892" s="103">
        <v>2.0439061317183951</v>
      </c>
      <c r="CH892" s="103">
        <v>10.143830431491295</v>
      </c>
      <c r="CI892" s="103">
        <v>25.132475397426191</v>
      </c>
      <c r="CJ892" s="103">
        <v>21.57456472369417</v>
      </c>
      <c r="CK892" s="103">
        <v>16.048448145344434</v>
      </c>
      <c r="CL892" s="103">
        <v>11.960635881907645</v>
      </c>
      <c r="CM892" s="103">
        <v>6.7373202119606361</v>
      </c>
      <c r="CN892" s="103">
        <v>4.0878122634367902</v>
      </c>
      <c r="CO892" s="103">
        <v>1.1355034065102196</v>
      </c>
      <c r="CQ892" s="110"/>
      <c r="CR892" s="46" t="s">
        <v>7</v>
      </c>
      <c r="CS892" s="103">
        <v>2.2471910112359552</v>
      </c>
      <c r="CT892" s="103">
        <v>3.3707865168539324</v>
      </c>
      <c r="CU892" s="103">
        <v>10.112359550561797</v>
      </c>
      <c r="CV892" s="103">
        <v>25.842696629213485</v>
      </c>
      <c r="CW892" s="103">
        <v>22.471910112359549</v>
      </c>
      <c r="CX892" s="103">
        <v>10.112359550561797</v>
      </c>
      <c r="CY892" s="103">
        <v>19.101123595505616</v>
      </c>
      <c r="CZ892" s="103">
        <v>3.3707865168539324</v>
      </c>
      <c r="DA892" s="103">
        <v>3.3707865168539324</v>
      </c>
      <c r="DB892" s="103">
        <v>0</v>
      </c>
      <c r="DC892" s="42"/>
      <c r="DD892" s="110"/>
      <c r="DE892" s="46" t="s">
        <v>7</v>
      </c>
      <c r="DF892" s="103">
        <v>1.1021307861866276</v>
      </c>
      <c r="DG892" s="103">
        <v>1.9838354151359296</v>
      </c>
      <c r="DH892" s="103">
        <v>10.286554004408522</v>
      </c>
      <c r="DI892" s="103">
        <v>25.349008082292436</v>
      </c>
      <c r="DJ892" s="103">
        <v>21.381337252020575</v>
      </c>
      <c r="DK892" s="103">
        <v>16.899338721528288</v>
      </c>
      <c r="DL892" s="103">
        <v>11.2417340191036</v>
      </c>
      <c r="DM892" s="103">
        <v>6.759735488611315</v>
      </c>
      <c r="DN892" s="103">
        <v>3.8941954445260838</v>
      </c>
      <c r="DO892" s="103">
        <v>1.1021307861866276</v>
      </c>
    </row>
    <row r="893" spans="2:119" ht="16.5" customHeight="1" x14ac:dyDescent="0.45">
      <c r="B893" s="99"/>
      <c r="C893" s="42"/>
      <c r="D893" s="110"/>
      <c r="E893" s="47" t="s">
        <v>8</v>
      </c>
      <c r="F893" s="103">
        <v>0.26260504201680673</v>
      </c>
      <c r="G893" s="103">
        <v>1.4180672268907564</v>
      </c>
      <c r="H893" s="103">
        <v>5.46218487394958</v>
      </c>
      <c r="I893" s="103">
        <v>17.857142857142858</v>
      </c>
      <c r="J893" s="103">
        <v>19.642857142857142</v>
      </c>
      <c r="K893" s="103">
        <v>19.432773109243698</v>
      </c>
      <c r="L893" s="103">
        <v>18.539915966386555</v>
      </c>
      <c r="M893" s="103">
        <v>10.661764705882353</v>
      </c>
      <c r="N893" s="103">
        <v>5.2521008403361344</v>
      </c>
      <c r="O893" s="103">
        <v>1.4705882352941175</v>
      </c>
      <c r="P893" s="42"/>
      <c r="Q893" s="110"/>
      <c r="R893" s="46" t="s">
        <v>8</v>
      </c>
      <c r="S893" s="103">
        <v>0.2243409983174425</v>
      </c>
      <c r="T893" s="103">
        <v>1.4582164890633762</v>
      </c>
      <c r="U893" s="103">
        <v>5.3841839596186203</v>
      </c>
      <c r="V893" s="103">
        <v>17.386427369601794</v>
      </c>
      <c r="W893" s="103">
        <v>19.966348850252384</v>
      </c>
      <c r="X893" s="103">
        <v>19.293325855300054</v>
      </c>
      <c r="Y893" s="103">
        <v>18.788558609085808</v>
      </c>
      <c r="Z893" s="103">
        <v>10.880538418395961</v>
      </c>
      <c r="AA893" s="103">
        <v>5.2159282108805378</v>
      </c>
      <c r="AB893" s="103">
        <v>1.4021312394840157</v>
      </c>
      <c r="AC893" s="42"/>
      <c r="AD893" s="110"/>
      <c r="AE893" s="46" t="s">
        <v>8</v>
      </c>
      <c r="AF893" s="103">
        <v>0.82644628099173556</v>
      </c>
      <c r="AG893" s="103">
        <v>0.82644628099173556</v>
      </c>
      <c r="AH893" s="103">
        <v>6.6115702479338845</v>
      </c>
      <c r="AI893" s="103">
        <v>24.793388429752067</v>
      </c>
      <c r="AJ893" s="103">
        <v>14.87603305785124</v>
      </c>
      <c r="AK893" s="103">
        <v>21.487603305785125</v>
      </c>
      <c r="AL893" s="103">
        <v>14.87603305785124</v>
      </c>
      <c r="AM893" s="103">
        <v>7.4380165289256199</v>
      </c>
      <c r="AN893" s="103">
        <v>5.785123966942149</v>
      </c>
      <c r="AO893" s="103">
        <v>2.4793388429752068</v>
      </c>
      <c r="AP893" s="6"/>
      <c r="AQ893" s="110"/>
      <c r="AR893" s="46" t="s">
        <v>8</v>
      </c>
      <c r="AS893" s="103">
        <v>0.91743119266055051</v>
      </c>
      <c r="AT893" s="103">
        <v>3.9755351681957185</v>
      </c>
      <c r="AU893" s="103">
        <v>11.62079510703364</v>
      </c>
      <c r="AV893" s="103">
        <v>28.440366972477065</v>
      </c>
      <c r="AW893" s="103">
        <v>16.513761467889911</v>
      </c>
      <c r="AX893" s="103">
        <v>14.37308868501529</v>
      </c>
      <c r="AY893" s="103">
        <v>15.596330275229359</v>
      </c>
      <c r="AZ893" s="103">
        <v>4.8929663608562688</v>
      </c>
      <c r="BA893" s="103">
        <v>2.4464831804281344</v>
      </c>
      <c r="BB893" s="103">
        <v>1.2232415902140672</v>
      </c>
      <c r="BC893" s="42"/>
      <c r="BD893" s="110"/>
      <c r="BE893" s="46" t="s">
        <v>8</v>
      </c>
      <c r="BF893" s="103">
        <v>0.12682308180088775</v>
      </c>
      <c r="BG893" s="103">
        <v>0.88776157260621424</v>
      </c>
      <c r="BH893" s="103">
        <v>4.1851616994292957</v>
      </c>
      <c r="BI893" s="103">
        <v>15.66265060240964</v>
      </c>
      <c r="BJ893" s="103">
        <v>20.291693088142043</v>
      </c>
      <c r="BK893" s="103">
        <v>20.481927710843372</v>
      </c>
      <c r="BL893" s="103">
        <v>19.150285351934052</v>
      </c>
      <c r="BM893" s="103">
        <v>11.857958148383005</v>
      </c>
      <c r="BN893" s="103">
        <v>5.8338617628408374</v>
      </c>
      <c r="BO893" s="103">
        <v>1.5218769816106532</v>
      </c>
      <c r="BQ893" s="110"/>
      <c r="BR893" s="46" t="s">
        <v>8</v>
      </c>
      <c r="BS893" s="103">
        <v>0</v>
      </c>
      <c r="BT893" s="103">
        <v>5.6818181818181817</v>
      </c>
      <c r="BU893" s="103">
        <v>11.363636363636363</v>
      </c>
      <c r="BV893" s="103">
        <v>21.59090909090909</v>
      </c>
      <c r="BW893" s="103">
        <v>19.318181818181817</v>
      </c>
      <c r="BX893" s="103">
        <v>12.5</v>
      </c>
      <c r="BY893" s="103">
        <v>14.772727272727273</v>
      </c>
      <c r="BZ893" s="103">
        <v>11.363636363636363</v>
      </c>
      <c r="CA893" s="103">
        <v>3.4090909090909087</v>
      </c>
      <c r="CB893" s="103">
        <v>0</v>
      </c>
      <c r="CC893" s="42"/>
      <c r="CD893" s="110"/>
      <c r="CE893" s="46" t="s">
        <v>8</v>
      </c>
      <c r="CF893" s="103">
        <v>0.27533039647577096</v>
      </c>
      <c r="CG893" s="103">
        <v>1.2114537444933922</v>
      </c>
      <c r="CH893" s="103">
        <v>5.176211453744493</v>
      </c>
      <c r="CI893" s="103">
        <v>17.676211453744493</v>
      </c>
      <c r="CJ893" s="103">
        <v>19.658590308370044</v>
      </c>
      <c r="CK893" s="103">
        <v>19.768722466960355</v>
      </c>
      <c r="CL893" s="103">
        <v>18.722466960352424</v>
      </c>
      <c r="CM893" s="103">
        <v>10.627753303964758</v>
      </c>
      <c r="CN893" s="103">
        <v>5.3414096916299556</v>
      </c>
      <c r="CO893" s="103">
        <v>1.5418502202643172</v>
      </c>
      <c r="CQ893" s="110"/>
      <c r="CR893" s="46" t="s">
        <v>8</v>
      </c>
      <c r="CS893" s="103">
        <v>0</v>
      </c>
      <c r="CT893" s="103">
        <v>0</v>
      </c>
      <c r="CU893" s="103">
        <v>7.4074074074074066</v>
      </c>
      <c r="CV893" s="103">
        <v>18.518518518518519</v>
      </c>
      <c r="CW893" s="103">
        <v>16.049382716049383</v>
      </c>
      <c r="CX893" s="103">
        <v>20.987654320987652</v>
      </c>
      <c r="CY893" s="103">
        <v>18.518518518518519</v>
      </c>
      <c r="CZ893" s="103">
        <v>14.814814814814813</v>
      </c>
      <c r="DA893" s="103">
        <v>2.4691358024691357</v>
      </c>
      <c r="DB893" s="103">
        <v>1.2345679012345678</v>
      </c>
      <c r="DC893" s="42"/>
      <c r="DD893" s="110"/>
      <c r="DE893" s="46" t="s">
        <v>8</v>
      </c>
      <c r="DF893" s="103">
        <v>0.27427317608337903</v>
      </c>
      <c r="DG893" s="103">
        <v>1.4810751508502469</v>
      </c>
      <c r="DH893" s="103">
        <v>5.3757542512342296</v>
      </c>
      <c r="DI893" s="103">
        <v>17.827756445419638</v>
      </c>
      <c r="DJ893" s="103">
        <v>19.802523313219965</v>
      </c>
      <c r="DK893" s="103">
        <v>19.363686231486561</v>
      </c>
      <c r="DL893" s="103">
        <v>18.540866703236421</v>
      </c>
      <c r="DM893" s="103">
        <v>10.477235326385079</v>
      </c>
      <c r="DN893" s="103">
        <v>5.3757542512342296</v>
      </c>
      <c r="DO893" s="103">
        <v>1.4810751508502469</v>
      </c>
    </row>
    <row r="894" spans="2:119" ht="16.5" customHeight="1" x14ac:dyDescent="0.45">
      <c r="B894" s="99"/>
      <c r="C894" s="42"/>
      <c r="D894" s="110"/>
      <c r="E894" s="47" t="s">
        <v>9</v>
      </c>
      <c r="F894" s="103">
        <v>0.31479538300104931</v>
      </c>
      <c r="G894" s="103">
        <v>0.47219307450157399</v>
      </c>
      <c r="H894" s="103">
        <v>2.8331584470094437</v>
      </c>
      <c r="I894" s="103">
        <v>11.857292759706191</v>
      </c>
      <c r="J894" s="103">
        <v>14.165792235047221</v>
      </c>
      <c r="K894" s="103">
        <v>21.038824763903463</v>
      </c>
      <c r="L894" s="103">
        <v>20.199370409233996</v>
      </c>
      <c r="M894" s="103">
        <v>14.323189926547744</v>
      </c>
      <c r="N894" s="103">
        <v>10.598111227701994</v>
      </c>
      <c r="O894" s="103">
        <v>4.1972717733473237</v>
      </c>
      <c r="P894" s="42"/>
      <c r="Q894" s="110"/>
      <c r="R894" s="46" t="s">
        <v>9</v>
      </c>
      <c r="S894" s="103">
        <v>0.22050716648291069</v>
      </c>
      <c r="T894" s="103">
        <v>0.44101433296582138</v>
      </c>
      <c r="U894" s="103">
        <v>2.6460859977949283</v>
      </c>
      <c r="V894" s="103">
        <v>11.852260198456451</v>
      </c>
      <c r="W894" s="103">
        <v>13.836824696802646</v>
      </c>
      <c r="X894" s="103">
        <v>20.948180815876515</v>
      </c>
      <c r="Y894" s="103">
        <v>20.672546857772879</v>
      </c>
      <c r="Z894" s="103">
        <v>14.608599779492835</v>
      </c>
      <c r="AA894" s="103">
        <v>10.584343991179713</v>
      </c>
      <c r="AB894" s="103">
        <v>4.1896361631753027</v>
      </c>
      <c r="AC894" s="42"/>
      <c r="AD894" s="110"/>
      <c r="AE894" s="46" t="s">
        <v>9</v>
      </c>
      <c r="AF894" s="103">
        <v>2.1739130434782608</v>
      </c>
      <c r="AG894" s="103">
        <v>1.0869565217391304</v>
      </c>
      <c r="AH894" s="103">
        <v>6.5217391304347823</v>
      </c>
      <c r="AI894" s="103">
        <v>11.956521739130435</v>
      </c>
      <c r="AJ894" s="103">
        <v>20.652173913043477</v>
      </c>
      <c r="AK894" s="103">
        <v>22.826086956521738</v>
      </c>
      <c r="AL894" s="103">
        <v>10.869565217391305</v>
      </c>
      <c r="AM894" s="103">
        <v>8.695652173913043</v>
      </c>
      <c r="AN894" s="103">
        <v>10.869565217391305</v>
      </c>
      <c r="AO894" s="103">
        <v>4.3478260869565215</v>
      </c>
      <c r="AP894" s="6"/>
      <c r="AQ894" s="110"/>
      <c r="AR894" s="46" t="s">
        <v>9</v>
      </c>
      <c r="AS894" s="103">
        <v>0.70921985815602839</v>
      </c>
      <c r="AT894" s="103">
        <v>1.4184397163120568</v>
      </c>
      <c r="AU894" s="103">
        <v>6.0283687943262407</v>
      </c>
      <c r="AV894" s="103">
        <v>21.98581560283688</v>
      </c>
      <c r="AW894" s="103">
        <v>17.375886524822697</v>
      </c>
      <c r="AX894" s="103">
        <v>20.567375886524822</v>
      </c>
      <c r="AY894" s="103">
        <v>15.24822695035461</v>
      </c>
      <c r="AZ894" s="103">
        <v>9.5744680851063837</v>
      </c>
      <c r="BA894" s="103">
        <v>5.3191489361702127</v>
      </c>
      <c r="BB894" s="103">
        <v>1.773049645390071</v>
      </c>
      <c r="BC894" s="42"/>
      <c r="BD894" s="110"/>
      <c r="BE894" s="46" t="s">
        <v>9</v>
      </c>
      <c r="BF894" s="103">
        <v>0.24630541871921183</v>
      </c>
      <c r="BG894" s="103">
        <v>0.30788177339901479</v>
      </c>
      <c r="BH894" s="103">
        <v>2.2783251231527095</v>
      </c>
      <c r="BI894" s="103">
        <v>10.098522167487685</v>
      </c>
      <c r="BJ894" s="103">
        <v>13.608374384236452</v>
      </c>
      <c r="BK894" s="103">
        <v>21.120689655172413</v>
      </c>
      <c r="BL894" s="103">
        <v>21.059113300492609</v>
      </c>
      <c r="BM894" s="103">
        <v>15.147783251231528</v>
      </c>
      <c r="BN894" s="103">
        <v>11.514778325123153</v>
      </c>
      <c r="BO894" s="103">
        <v>4.6182266009852215</v>
      </c>
      <c r="BQ894" s="110"/>
      <c r="BR894" s="46" t="s">
        <v>9</v>
      </c>
      <c r="BS894" s="103">
        <v>1.7241379310344827</v>
      </c>
      <c r="BT894" s="103">
        <v>0</v>
      </c>
      <c r="BU894" s="103">
        <v>6.8965517241379306</v>
      </c>
      <c r="BV894" s="103">
        <v>10.344827586206897</v>
      </c>
      <c r="BW894" s="103">
        <v>10.344827586206897</v>
      </c>
      <c r="BX894" s="103">
        <v>22.413793103448278</v>
      </c>
      <c r="BY894" s="103">
        <v>18.96551724137931</v>
      </c>
      <c r="BZ894" s="103">
        <v>15.517241379310345</v>
      </c>
      <c r="CA894" s="103">
        <v>12.068965517241379</v>
      </c>
      <c r="CB894" s="103">
        <v>1.7241379310344827</v>
      </c>
      <c r="CC894" s="42"/>
      <c r="CD894" s="110"/>
      <c r="CE894" s="46" t="s">
        <v>9</v>
      </c>
      <c r="CF894" s="103">
        <v>0.27056277056277056</v>
      </c>
      <c r="CG894" s="103">
        <v>0.48701298701298701</v>
      </c>
      <c r="CH894" s="103">
        <v>2.7056277056277054</v>
      </c>
      <c r="CI894" s="103">
        <v>11.904761904761903</v>
      </c>
      <c r="CJ894" s="103">
        <v>14.285714285714285</v>
      </c>
      <c r="CK894" s="103">
        <v>20.995670995670995</v>
      </c>
      <c r="CL894" s="103">
        <v>20.238095238095237</v>
      </c>
      <c r="CM894" s="103">
        <v>14.285714285714285</v>
      </c>
      <c r="CN894" s="103">
        <v>10.551948051948051</v>
      </c>
      <c r="CO894" s="103">
        <v>4.274891774891775</v>
      </c>
      <c r="CQ894" s="110"/>
      <c r="CR894" s="46" t="s">
        <v>9</v>
      </c>
      <c r="CS894" s="103">
        <v>1</v>
      </c>
      <c r="CT894" s="103">
        <v>0</v>
      </c>
      <c r="CU894" s="103">
        <v>5</v>
      </c>
      <c r="CV894" s="103">
        <v>9</v>
      </c>
      <c r="CW894" s="103">
        <v>21</v>
      </c>
      <c r="CX894" s="103">
        <v>22</v>
      </c>
      <c r="CY894" s="103">
        <v>19</v>
      </c>
      <c r="CZ894" s="103">
        <v>14.000000000000002</v>
      </c>
      <c r="DA894" s="103">
        <v>6</v>
      </c>
      <c r="DB894" s="103">
        <v>3</v>
      </c>
      <c r="DC894" s="42"/>
      <c r="DD894" s="110"/>
      <c r="DE894" s="46" t="s">
        <v>9</v>
      </c>
      <c r="DF894" s="103">
        <v>0.27685492801771872</v>
      </c>
      <c r="DG894" s="103">
        <v>0.49833887043189368</v>
      </c>
      <c r="DH894" s="103">
        <v>2.7131782945736433</v>
      </c>
      <c r="DI894" s="103">
        <v>12.015503875968992</v>
      </c>
      <c r="DJ894" s="103">
        <v>13.787375415282391</v>
      </c>
      <c r="DK894" s="103">
        <v>20.985603543743078</v>
      </c>
      <c r="DL894" s="103">
        <v>20.26578073089701</v>
      </c>
      <c r="DM894" s="103">
        <v>14.34108527131783</v>
      </c>
      <c r="DN894" s="103">
        <v>10.852713178294573</v>
      </c>
      <c r="DO894" s="103">
        <v>4.2635658914728678</v>
      </c>
    </row>
    <row r="895" spans="2:119" ht="16.5" customHeight="1" x14ac:dyDescent="0.45">
      <c r="B895" s="99"/>
      <c r="C895" s="42"/>
      <c r="D895" s="110"/>
      <c r="E895" s="47" t="s">
        <v>10</v>
      </c>
      <c r="F895" s="103">
        <v>0</v>
      </c>
      <c r="G895" s="103">
        <v>0.21520803443328551</v>
      </c>
      <c r="H895" s="103">
        <v>1.2912482065997131</v>
      </c>
      <c r="I895" s="103">
        <v>6.6714490674318503</v>
      </c>
      <c r="J895" s="103">
        <v>10.832137733142037</v>
      </c>
      <c r="K895" s="103">
        <v>15.638450502152079</v>
      </c>
      <c r="L895" s="103">
        <v>20.659971305595409</v>
      </c>
      <c r="M895" s="103">
        <v>19.799139167862268</v>
      </c>
      <c r="N895" s="103">
        <v>14.562410329985653</v>
      </c>
      <c r="O895" s="103">
        <v>10.329985652797705</v>
      </c>
      <c r="P895" s="42"/>
      <c r="Q895" s="110"/>
      <c r="R895" s="46" t="s">
        <v>10</v>
      </c>
      <c r="S895" s="103">
        <v>0</v>
      </c>
      <c r="T895" s="103">
        <v>0.15232292460015232</v>
      </c>
      <c r="U895" s="103">
        <v>1.2947448591012947</v>
      </c>
      <c r="V895" s="103">
        <v>6.1690784463061688</v>
      </c>
      <c r="W895" s="103">
        <v>10.967250571210966</v>
      </c>
      <c r="X895" s="103">
        <v>15.384615384615385</v>
      </c>
      <c r="Y895" s="103">
        <v>21.096725057121095</v>
      </c>
      <c r="Z895" s="103">
        <v>19.573495811119574</v>
      </c>
      <c r="AA895" s="103">
        <v>15.156130997715156</v>
      </c>
      <c r="AB895" s="103">
        <v>10.205635948210205</v>
      </c>
      <c r="AC895" s="42"/>
      <c r="AD895" s="110"/>
      <c r="AE895" s="46" t="s">
        <v>10</v>
      </c>
      <c r="AF895" s="103">
        <v>0</v>
      </c>
      <c r="AG895" s="103">
        <v>1.2345679012345678</v>
      </c>
      <c r="AH895" s="103">
        <v>1.2345679012345678</v>
      </c>
      <c r="AI895" s="103">
        <v>14.814814814814813</v>
      </c>
      <c r="AJ895" s="103">
        <v>8.6419753086419746</v>
      </c>
      <c r="AK895" s="103">
        <v>19.753086419753085</v>
      </c>
      <c r="AL895" s="103">
        <v>13.580246913580247</v>
      </c>
      <c r="AM895" s="103">
        <v>23.456790123456788</v>
      </c>
      <c r="AN895" s="103">
        <v>4.9382716049382713</v>
      </c>
      <c r="AO895" s="103">
        <v>12.345679012345679</v>
      </c>
      <c r="AP895" s="6"/>
      <c r="AQ895" s="110"/>
      <c r="AR895" s="46" t="s">
        <v>10</v>
      </c>
      <c r="AS895" s="103">
        <v>0</v>
      </c>
      <c r="AT895" s="103">
        <v>0</v>
      </c>
      <c r="AU895" s="103">
        <v>5.1094890510948909</v>
      </c>
      <c r="AV895" s="103">
        <v>11.678832116788321</v>
      </c>
      <c r="AW895" s="103">
        <v>14.5985401459854</v>
      </c>
      <c r="AX895" s="103">
        <v>18.978102189781019</v>
      </c>
      <c r="AY895" s="103">
        <v>21.897810218978105</v>
      </c>
      <c r="AZ895" s="103">
        <v>12.408759124087592</v>
      </c>
      <c r="BA895" s="103">
        <v>10.218978102189782</v>
      </c>
      <c r="BB895" s="103">
        <v>5.1094890510948909</v>
      </c>
      <c r="BC895" s="42"/>
      <c r="BD895" s="110"/>
      <c r="BE895" s="46" t="s">
        <v>10</v>
      </c>
      <c r="BF895" s="103">
        <v>0</v>
      </c>
      <c r="BG895" s="103">
        <v>0.23866348448687352</v>
      </c>
      <c r="BH895" s="103">
        <v>0.87509944311853616</v>
      </c>
      <c r="BI895" s="103">
        <v>6.125696101829754</v>
      </c>
      <c r="BJ895" s="103">
        <v>10.421638822593476</v>
      </c>
      <c r="BK895" s="103">
        <v>15.274463007159905</v>
      </c>
      <c r="BL895" s="103">
        <v>20.525059665871119</v>
      </c>
      <c r="BM895" s="103">
        <v>20.604614160700081</v>
      </c>
      <c r="BN895" s="103">
        <v>15.035799522673033</v>
      </c>
      <c r="BO895" s="103">
        <v>10.898965791567223</v>
      </c>
      <c r="BQ895" s="110"/>
      <c r="BR895" s="46" t="s">
        <v>10</v>
      </c>
      <c r="BS895" s="103">
        <v>0</v>
      </c>
      <c r="BT895" s="103">
        <v>0</v>
      </c>
      <c r="BU895" s="103">
        <v>0</v>
      </c>
      <c r="BV895" s="103">
        <v>11.76470588235294</v>
      </c>
      <c r="BW895" s="103">
        <v>8.8235294117647065</v>
      </c>
      <c r="BX895" s="103">
        <v>20.588235294117645</v>
      </c>
      <c r="BY895" s="103">
        <v>20.588235294117645</v>
      </c>
      <c r="BZ895" s="103">
        <v>14.705882352941178</v>
      </c>
      <c r="CA895" s="103">
        <v>8.8235294117647065</v>
      </c>
      <c r="CB895" s="103">
        <v>14.705882352941178</v>
      </c>
      <c r="CC895" s="42"/>
      <c r="CD895" s="110"/>
      <c r="CE895" s="46" t="s">
        <v>10</v>
      </c>
      <c r="CF895" s="103">
        <v>0</v>
      </c>
      <c r="CG895" s="103">
        <v>0.22058823529411764</v>
      </c>
      <c r="CH895" s="103">
        <v>1.3235294117647058</v>
      </c>
      <c r="CI895" s="103">
        <v>6.5441176470588243</v>
      </c>
      <c r="CJ895" s="103">
        <v>10.882352941176471</v>
      </c>
      <c r="CK895" s="103">
        <v>15.514705882352942</v>
      </c>
      <c r="CL895" s="103">
        <v>20.661764705882351</v>
      </c>
      <c r="CM895" s="103">
        <v>19.926470588235297</v>
      </c>
      <c r="CN895" s="103">
        <v>14.705882352941178</v>
      </c>
      <c r="CO895" s="103">
        <v>10.220588235294118</v>
      </c>
      <c r="CQ895" s="110"/>
      <c r="CR895" s="46" t="s">
        <v>10</v>
      </c>
      <c r="CS895" s="103">
        <v>0</v>
      </c>
      <c r="CT895" s="103">
        <v>0</v>
      </c>
      <c r="CU895" s="103">
        <v>2.6315789473684208</v>
      </c>
      <c r="CV895" s="103">
        <v>13.157894736842104</v>
      </c>
      <c r="CW895" s="103">
        <v>7.8947368421052628</v>
      </c>
      <c r="CX895" s="103">
        <v>15.789473684210526</v>
      </c>
      <c r="CY895" s="103">
        <v>25</v>
      </c>
      <c r="CZ895" s="103">
        <v>17.105263157894736</v>
      </c>
      <c r="DA895" s="103">
        <v>13.157894736842104</v>
      </c>
      <c r="DB895" s="103">
        <v>5.2631578947368416</v>
      </c>
      <c r="DC895" s="42"/>
      <c r="DD895" s="110"/>
      <c r="DE895" s="46" t="s">
        <v>10</v>
      </c>
      <c r="DF895" s="103">
        <v>0</v>
      </c>
      <c r="DG895" s="103">
        <v>0.22761760242792109</v>
      </c>
      <c r="DH895" s="103">
        <v>1.2139605462822458</v>
      </c>
      <c r="DI895" s="103">
        <v>6.2974203338391499</v>
      </c>
      <c r="DJ895" s="103">
        <v>11.001517450682853</v>
      </c>
      <c r="DK895" s="103">
        <v>15.629742033383915</v>
      </c>
      <c r="DL895" s="103">
        <v>20.409711684370258</v>
      </c>
      <c r="DM895" s="103">
        <v>19.954476479514415</v>
      </c>
      <c r="DN895" s="103">
        <v>14.643399089529591</v>
      </c>
      <c r="DO895" s="103">
        <v>10.62215477996965</v>
      </c>
    </row>
    <row r="896" spans="2:119" ht="16.5" customHeight="1" x14ac:dyDescent="0.45">
      <c r="B896" s="99"/>
      <c r="C896" s="42"/>
      <c r="D896" s="111"/>
      <c r="E896" s="47" t="s">
        <v>11</v>
      </c>
      <c r="F896" s="103">
        <v>0.35842293906810035</v>
      </c>
      <c r="G896" s="103">
        <v>0</v>
      </c>
      <c r="H896" s="103">
        <v>1.0752688172043012</v>
      </c>
      <c r="I896" s="103">
        <v>3.9426523297491038</v>
      </c>
      <c r="J896" s="103">
        <v>6.4516129032258061</v>
      </c>
      <c r="K896" s="103">
        <v>12.903225806451612</v>
      </c>
      <c r="L896" s="103">
        <v>17.20430107526882</v>
      </c>
      <c r="M896" s="103">
        <v>20.788530465949819</v>
      </c>
      <c r="N896" s="103">
        <v>16.487455197132618</v>
      </c>
      <c r="O896" s="103">
        <v>20.788530465949819</v>
      </c>
      <c r="P896" s="42"/>
      <c r="Q896" s="111"/>
      <c r="R896" s="46" t="s">
        <v>11</v>
      </c>
      <c r="S896" s="103">
        <v>0.38610038610038611</v>
      </c>
      <c r="T896" s="103">
        <v>0</v>
      </c>
      <c r="U896" s="103">
        <v>1.1583011583011582</v>
      </c>
      <c r="V896" s="103">
        <v>3.4749034749034751</v>
      </c>
      <c r="W896" s="103">
        <v>6.563706563706563</v>
      </c>
      <c r="X896" s="103">
        <v>12.741312741312742</v>
      </c>
      <c r="Y896" s="103">
        <v>16.988416988416986</v>
      </c>
      <c r="Z896" s="103">
        <v>20.463320463320464</v>
      </c>
      <c r="AA896" s="103">
        <v>17.374517374517374</v>
      </c>
      <c r="AB896" s="103">
        <v>20.849420849420849</v>
      </c>
      <c r="AC896" s="42"/>
      <c r="AD896" s="111"/>
      <c r="AE896" s="46" t="s">
        <v>11</v>
      </c>
      <c r="AF896" s="103">
        <v>0</v>
      </c>
      <c r="AG896" s="103">
        <v>0</v>
      </c>
      <c r="AH896" s="103">
        <v>0</v>
      </c>
      <c r="AI896" s="103">
        <v>10</v>
      </c>
      <c r="AJ896" s="103">
        <v>5</v>
      </c>
      <c r="AK896" s="103">
        <v>15</v>
      </c>
      <c r="AL896" s="103">
        <v>20</v>
      </c>
      <c r="AM896" s="103">
        <v>25</v>
      </c>
      <c r="AN896" s="103">
        <v>5</v>
      </c>
      <c r="AO896" s="103">
        <v>20</v>
      </c>
      <c r="AP896" s="6"/>
      <c r="AQ896" s="111"/>
      <c r="AR896" s="46" t="s">
        <v>11</v>
      </c>
      <c r="AS896" s="103">
        <v>0</v>
      </c>
      <c r="AT896" s="103">
        <v>0</v>
      </c>
      <c r="AU896" s="103">
        <v>0</v>
      </c>
      <c r="AV896" s="103">
        <v>9.0909090909090917</v>
      </c>
      <c r="AW896" s="103">
        <v>18.181818181818183</v>
      </c>
      <c r="AX896" s="103">
        <v>13.636363636363635</v>
      </c>
      <c r="AY896" s="103">
        <v>27.27272727272727</v>
      </c>
      <c r="AZ896" s="103">
        <v>13.636363636363635</v>
      </c>
      <c r="BA896" s="103">
        <v>9.0909090909090917</v>
      </c>
      <c r="BB896" s="103">
        <v>9.0909090909090917</v>
      </c>
      <c r="BC896" s="42"/>
      <c r="BD896" s="111"/>
      <c r="BE896" s="46" t="s">
        <v>11</v>
      </c>
      <c r="BF896" s="103">
        <v>0.38910505836575876</v>
      </c>
      <c r="BG896" s="103">
        <v>0</v>
      </c>
      <c r="BH896" s="103">
        <v>1.1673151750972763</v>
      </c>
      <c r="BI896" s="103">
        <v>3.5019455252918288</v>
      </c>
      <c r="BJ896" s="103">
        <v>5.4474708171206228</v>
      </c>
      <c r="BK896" s="103">
        <v>12.840466926070038</v>
      </c>
      <c r="BL896" s="103">
        <v>16.342412451361866</v>
      </c>
      <c r="BM896" s="103">
        <v>21.40077821011673</v>
      </c>
      <c r="BN896" s="103">
        <v>17.120622568093385</v>
      </c>
      <c r="BO896" s="103">
        <v>21.789883268482491</v>
      </c>
      <c r="BQ896" s="111"/>
      <c r="BR896" s="46" t="s">
        <v>11</v>
      </c>
      <c r="BS896" s="103">
        <v>0</v>
      </c>
      <c r="BT896" s="103">
        <v>0</v>
      </c>
      <c r="BU896" s="103">
        <v>0</v>
      </c>
      <c r="BV896" s="103">
        <v>33.333333333333329</v>
      </c>
      <c r="BW896" s="103">
        <v>0</v>
      </c>
      <c r="BX896" s="103">
        <v>0</v>
      </c>
      <c r="BY896" s="103">
        <v>0</v>
      </c>
      <c r="BZ896" s="103">
        <v>0</v>
      </c>
      <c r="CA896" s="103">
        <v>33.333333333333329</v>
      </c>
      <c r="CB896" s="103">
        <v>33.333333333333329</v>
      </c>
      <c r="CC896" s="42"/>
      <c r="CD896" s="111"/>
      <c r="CE896" s="46" t="s">
        <v>11</v>
      </c>
      <c r="CF896" s="103">
        <v>0.36231884057971014</v>
      </c>
      <c r="CG896" s="103">
        <v>0</v>
      </c>
      <c r="CH896" s="103">
        <v>1.0869565217391304</v>
      </c>
      <c r="CI896" s="103">
        <v>3.6231884057971016</v>
      </c>
      <c r="CJ896" s="103">
        <v>6.5217391304347823</v>
      </c>
      <c r="CK896" s="103">
        <v>13.043478260869565</v>
      </c>
      <c r="CL896" s="103">
        <v>17.391304347826086</v>
      </c>
      <c r="CM896" s="103">
        <v>21.014492753623188</v>
      </c>
      <c r="CN896" s="103">
        <v>16.304347826086957</v>
      </c>
      <c r="CO896" s="103">
        <v>20.652173913043477</v>
      </c>
      <c r="CQ896" s="111"/>
      <c r="CR896" s="46" t="s">
        <v>11</v>
      </c>
      <c r="CS896" s="103">
        <v>9.0909090909090917</v>
      </c>
      <c r="CT896" s="103">
        <v>0</v>
      </c>
      <c r="CU896" s="103">
        <v>0</v>
      </c>
      <c r="CV896" s="103">
        <v>9.0909090909090917</v>
      </c>
      <c r="CW896" s="103">
        <v>9.0909090909090917</v>
      </c>
      <c r="CX896" s="103">
        <v>9.0909090909090917</v>
      </c>
      <c r="CY896" s="103">
        <v>27.27272727272727</v>
      </c>
      <c r="CZ896" s="103">
        <v>9.0909090909090917</v>
      </c>
      <c r="DA896" s="103">
        <v>27.27272727272727</v>
      </c>
      <c r="DB896" s="103">
        <v>0</v>
      </c>
      <c r="DC896" s="42"/>
      <c r="DD896" s="111"/>
      <c r="DE896" s="46" t="s">
        <v>11</v>
      </c>
      <c r="DF896" s="103">
        <v>0</v>
      </c>
      <c r="DG896" s="103">
        <v>0</v>
      </c>
      <c r="DH896" s="103">
        <v>1.1194029850746268</v>
      </c>
      <c r="DI896" s="103">
        <v>3.7313432835820892</v>
      </c>
      <c r="DJ896" s="103">
        <v>6.3432835820895521</v>
      </c>
      <c r="DK896" s="103">
        <v>13.059701492537313</v>
      </c>
      <c r="DL896" s="103">
        <v>16.791044776119403</v>
      </c>
      <c r="DM896" s="103">
        <v>21.268656716417912</v>
      </c>
      <c r="DN896" s="103">
        <v>16.044776119402986</v>
      </c>
      <c r="DO896" s="103">
        <v>21.641791044776117</v>
      </c>
    </row>
    <row r="897" spans="2:119" x14ac:dyDescent="0.45">
      <c r="B897" s="99"/>
      <c r="C897" s="42"/>
      <c r="D897" s="42"/>
      <c r="E897" s="42"/>
      <c r="F897" s="42"/>
      <c r="G897" s="42"/>
      <c r="H897" s="42"/>
      <c r="I897" s="42"/>
      <c r="J897" s="42"/>
      <c r="K897" s="42"/>
      <c r="L897" s="42"/>
      <c r="M897" s="42"/>
      <c r="N897" s="42"/>
      <c r="O897" s="42"/>
      <c r="P897" s="42"/>
      <c r="Q897" s="42"/>
      <c r="R897" s="42"/>
      <c r="S897" s="42"/>
      <c r="T897" s="42"/>
      <c r="U897" s="42"/>
      <c r="V897" s="42"/>
      <c r="W897" s="42"/>
      <c r="X897" s="42"/>
      <c r="Y897" s="42"/>
      <c r="Z897" s="42"/>
      <c r="AA897" s="42"/>
      <c r="AB897" s="42"/>
      <c r="AC897" s="42"/>
      <c r="AD897" s="42"/>
      <c r="AE897" s="42"/>
      <c r="AF897" s="42"/>
      <c r="AG897" s="42"/>
      <c r="AH897" s="42"/>
      <c r="AI897" s="42"/>
      <c r="AJ897" s="42"/>
      <c r="AK897" s="42"/>
      <c r="AL897" s="42"/>
      <c r="AM897" s="42"/>
      <c r="AN897" s="42"/>
      <c r="AO897" s="42"/>
      <c r="AQ897" s="42"/>
      <c r="AR897" s="42"/>
      <c r="AS897" s="42"/>
      <c r="AT897" s="42"/>
      <c r="AU897" s="42"/>
      <c r="AV897" s="42"/>
      <c r="AW897" s="42"/>
      <c r="AX897" s="42"/>
      <c r="AY897" s="42"/>
      <c r="AZ897" s="42"/>
      <c r="BA897" s="42"/>
      <c r="BB897" s="42"/>
      <c r="BC897" s="42"/>
      <c r="BD897" s="42"/>
      <c r="BE897" s="42"/>
      <c r="BF897" s="42"/>
      <c r="BG897" s="42"/>
      <c r="BH897" s="42"/>
      <c r="BI897" s="42"/>
      <c r="BJ897" s="42"/>
      <c r="BK897" s="42"/>
      <c r="BL897" s="42"/>
      <c r="BM897" s="42"/>
      <c r="BN897" s="42"/>
      <c r="BO897" s="42"/>
      <c r="BQ897" s="42"/>
      <c r="BR897" s="42"/>
      <c r="BS897" s="42"/>
      <c r="BT897" s="42"/>
      <c r="BU897" s="42"/>
      <c r="BV897" s="42"/>
      <c r="BW897" s="42"/>
      <c r="BX897" s="42"/>
      <c r="BY897" s="42"/>
      <c r="BZ897" s="42"/>
      <c r="CA897" s="42"/>
      <c r="CB897" s="42"/>
      <c r="CC897" s="42"/>
      <c r="CD897" s="42"/>
      <c r="CE897" s="42"/>
      <c r="CF897" s="42"/>
      <c r="CG897" s="42"/>
      <c r="CH897" s="42"/>
      <c r="CI897" s="42"/>
      <c r="CJ897" s="42"/>
      <c r="CK897" s="42"/>
      <c r="CL897" s="42"/>
      <c r="CM897" s="42"/>
      <c r="CN897" s="42"/>
      <c r="CO897" s="42"/>
      <c r="CQ897" s="42"/>
      <c r="CR897" s="42"/>
      <c r="CS897" s="42"/>
      <c r="CT897" s="42"/>
      <c r="CU897" s="42"/>
      <c r="CV897" s="42"/>
      <c r="CW897" s="42"/>
      <c r="CX897" s="42"/>
      <c r="CY897" s="42"/>
      <c r="CZ897" s="42"/>
      <c r="DA897" s="42"/>
      <c r="DB897" s="42"/>
      <c r="DC897" s="42"/>
      <c r="DD897" s="42"/>
      <c r="DE897" s="42"/>
      <c r="DF897" s="42"/>
      <c r="DG897" s="42"/>
      <c r="DH897" s="42"/>
      <c r="DI897" s="42"/>
      <c r="DJ897" s="42"/>
      <c r="DK897" s="42"/>
      <c r="DL897" s="42"/>
      <c r="DM897" s="42"/>
      <c r="DN897" s="42"/>
      <c r="DO897" s="42"/>
    </row>
    <row r="898" spans="2:119" x14ac:dyDescent="0.45">
      <c r="B898" s="99"/>
      <c r="C898" s="42"/>
      <c r="D898" s="42"/>
      <c r="E898" s="42"/>
      <c r="F898" s="42"/>
      <c r="G898" s="42"/>
      <c r="H898" s="42"/>
      <c r="I898" s="42"/>
      <c r="J898" s="42"/>
      <c r="K898" s="42"/>
      <c r="L898" s="42"/>
      <c r="M898" s="42"/>
      <c r="N898" s="42"/>
      <c r="O898" s="42"/>
      <c r="P898" s="42"/>
      <c r="Q898" s="42"/>
      <c r="R898" s="42"/>
      <c r="S898" s="42"/>
      <c r="T898" s="42"/>
      <c r="U898" s="42"/>
      <c r="V898" s="42"/>
      <c r="W898" s="42"/>
      <c r="X898" s="42"/>
      <c r="Y898" s="42"/>
      <c r="Z898" s="42"/>
      <c r="AA898" s="42"/>
      <c r="AB898" s="42"/>
      <c r="AC898" s="42"/>
      <c r="AD898" s="42"/>
      <c r="AE898" s="42"/>
      <c r="AF898" s="42"/>
      <c r="AG898" s="42"/>
      <c r="AH898" s="42"/>
      <c r="AI898" s="42"/>
      <c r="AJ898" s="42"/>
      <c r="AK898" s="42"/>
      <c r="AL898" s="42"/>
      <c r="AM898" s="42"/>
      <c r="AN898" s="42"/>
      <c r="AO898" s="42"/>
      <c r="AQ898" s="42"/>
      <c r="AR898" s="42"/>
      <c r="AS898" s="42"/>
      <c r="AT898" s="42"/>
      <c r="AU898" s="42"/>
      <c r="AV898" s="42"/>
      <c r="AW898" s="42"/>
      <c r="AX898" s="42"/>
      <c r="AY898" s="42"/>
      <c r="AZ898" s="42"/>
      <c r="BA898" s="42"/>
      <c r="BB898" s="42"/>
      <c r="BC898" s="42"/>
      <c r="BD898" s="42"/>
      <c r="BE898" s="42"/>
      <c r="BF898" s="42"/>
      <c r="BG898" s="42"/>
      <c r="BH898" s="42"/>
      <c r="BI898" s="42"/>
      <c r="BJ898" s="42"/>
      <c r="BK898" s="42"/>
      <c r="BL898" s="42"/>
      <c r="BM898" s="42"/>
      <c r="BN898" s="42"/>
      <c r="BO898" s="42"/>
      <c r="BQ898" s="42"/>
      <c r="BR898" s="42"/>
      <c r="BS898" s="42"/>
      <c r="BT898" s="42"/>
      <c r="BU898" s="42"/>
      <c r="BV898" s="42"/>
      <c r="BW898" s="42"/>
      <c r="BX898" s="42"/>
      <c r="BY898" s="42"/>
      <c r="BZ898" s="42"/>
      <c r="CA898" s="42"/>
      <c r="CB898" s="42"/>
      <c r="CC898" s="42"/>
      <c r="CD898" s="42"/>
      <c r="CE898" s="42"/>
      <c r="CF898" s="42"/>
      <c r="CG898" s="42"/>
      <c r="CH898" s="42"/>
      <c r="CI898" s="42"/>
      <c r="CJ898" s="42"/>
      <c r="CK898" s="42"/>
      <c r="CL898" s="42"/>
      <c r="CM898" s="42"/>
      <c r="CN898" s="42"/>
      <c r="CO898" s="42"/>
      <c r="CQ898" s="42"/>
      <c r="CR898" s="42"/>
      <c r="CS898" s="42"/>
      <c r="CT898" s="42"/>
      <c r="CU898" s="42"/>
      <c r="CV898" s="42"/>
      <c r="CW898" s="42"/>
      <c r="CX898" s="42"/>
      <c r="CY898" s="42"/>
      <c r="CZ898" s="42"/>
      <c r="DA898" s="42"/>
      <c r="DB898" s="42"/>
      <c r="DC898" s="42"/>
      <c r="DD898" s="42"/>
      <c r="DE898" s="42"/>
      <c r="DF898" s="42"/>
      <c r="DG898" s="42"/>
      <c r="DH898" s="42"/>
      <c r="DI898" s="42"/>
      <c r="DJ898" s="42"/>
      <c r="DK898" s="42"/>
      <c r="DL898" s="42"/>
      <c r="DM898" s="42"/>
      <c r="DN898" s="42"/>
      <c r="DO898" s="42"/>
    </row>
    <row r="899" spans="2:119" ht="18.75" customHeight="1" x14ac:dyDescent="0.55000000000000004">
      <c r="B899" s="99"/>
      <c r="C899" s="42"/>
      <c r="D899" s="112" t="s">
        <v>24</v>
      </c>
      <c r="E899" s="112"/>
      <c r="F899" s="45"/>
      <c r="G899" s="45"/>
      <c r="H899" s="45"/>
      <c r="I899" s="45"/>
      <c r="J899" s="45"/>
      <c r="K899" s="45"/>
      <c r="L899" s="45"/>
      <c r="M899" s="45"/>
      <c r="N899" s="45"/>
      <c r="O899" s="45"/>
      <c r="P899" s="42"/>
      <c r="Q899" s="112" t="s">
        <v>24</v>
      </c>
      <c r="R899" s="112"/>
      <c r="S899" s="45"/>
      <c r="T899" s="45"/>
      <c r="U899" s="45"/>
      <c r="V899" s="45"/>
      <c r="W899" s="45"/>
      <c r="X899" s="45"/>
      <c r="Y899" s="45"/>
      <c r="Z899" s="45"/>
      <c r="AA899" s="45"/>
      <c r="AB899" s="45"/>
      <c r="AC899" s="42"/>
      <c r="AD899" s="112" t="s">
        <v>24</v>
      </c>
      <c r="AE899" s="112"/>
      <c r="AF899" s="45"/>
      <c r="AG899" s="45"/>
      <c r="AH899" s="45"/>
      <c r="AI899" s="45"/>
      <c r="AJ899" s="45"/>
      <c r="AK899" s="45"/>
      <c r="AL899" s="45"/>
      <c r="AM899" s="45"/>
      <c r="AN899" s="45"/>
      <c r="AO899" s="45"/>
      <c r="AP899" s="6"/>
      <c r="AQ899" s="112" t="s">
        <v>24</v>
      </c>
      <c r="AR899" s="112"/>
      <c r="AS899" s="45"/>
      <c r="AT899" s="45"/>
      <c r="AU899" s="45"/>
      <c r="AV899" s="45"/>
      <c r="AW899" s="45"/>
      <c r="AX899" s="45"/>
      <c r="AY899" s="45"/>
      <c r="AZ899" s="45"/>
      <c r="BA899" s="45"/>
      <c r="BB899" s="45"/>
      <c r="BC899" s="42"/>
      <c r="BD899" s="112" t="s">
        <v>24</v>
      </c>
      <c r="BE899" s="112"/>
      <c r="BF899" s="45"/>
      <c r="BG899" s="45"/>
      <c r="BH899" s="45"/>
      <c r="BI899" s="45"/>
      <c r="BJ899" s="45"/>
      <c r="BK899" s="45"/>
      <c r="BL899" s="45"/>
      <c r="BM899" s="45"/>
      <c r="BN899" s="45"/>
      <c r="BO899" s="45"/>
      <c r="BQ899" s="112" t="s">
        <v>24</v>
      </c>
      <c r="BR899" s="112"/>
      <c r="BS899" s="45"/>
      <c r="BT899" s="45"/>
      <c r="BU899" s="45"/>
      <c r="BV899" s="45"/>
      <c r="BW899" s="45"/>
      <c r="BX899" s="45"/>
      <c r="BY899" s="45"/>
      <c r="BZ899" s="45"/>
      <c r="CA899" s="45"/>
      <c r="CB899" s="45"/>
      <c r="CC899" s="42"/>
      <c r="CD899" s="112" t="s">
        <v>24</v>
      </c>
      <c r="CE899" s="112"/>
      <c r="CF899" s="45"/>
      <c r="CG899" s="45"/>
      <c r="CH899" s="45"/>
      <c r="CI899" s="45"/>
      <c r="CJ899" s="45"/>
      <c r="CK899" s="45"/>
      <c r="CL899" s="45"/>
      <c r="CM899" s="45"/>
      <c r="CN899" s="45"/>
      <c r="CO899" s="45"/>
      <c r="CQ899" s="112" t="s">
        <v>24</v>
      </c>
      <c r="CR899" s="112"/>
      <c r="CS899" s="45"/>
      <c r="CT899" s="45"/>
      <c r="CU899" s="45"/>
      <c r="CV899" s="45"/>
      <c r="CW899" s="45"/>
      <c r="CX899" s="45"/>
      <c r="CY899" s="45"/>
      <c r="CZ899" s="45"/>
      <c r="DA899" s="45"/>
      <c r="DB899" s="45"/>
      <c r="DC899" s="42"/>
      <c r="DD899" s="112" t="s">
        <v>24</v>
      </c>
      <c r="DE899" s="112"/>
      <c r="DF899" s="45"/>
      <c r="DG899" s="45"/>
      <c r="DH899" s="45"/>
      <c r="DI899" s="45"/>
      <c r="DJ899" s="45"/>
      <c r="DK899" s="45"/>
      <c r="DL899" s="45"/>
      <c r="DM899" s="45"/>
      <c r="DN899" s="45"/>
      <c r="DO899" s="45"/>
    </row>
    <row r="900" spans="2:119" ht="28.9" customHeight="1" x14ac:dyDescent="0.45">
      <c r="B900" s="99"/>
      <c r="C900" s="42"/>
      <c r="D900" s="112"/>
      <c r="E900" s="112"/>
      <c r="F900" s="108" t="s">
        <v>12</v>
      </c>
      <c r="G900" s="108"/>
      <c r="H900" s="108"/>
      <c r="I900" s="108"/>
      <c r="J900" s="108"/>
      <c r="K900" s="108"/>
      <c r="L900" s="108"/>
      <c r="M900" s="108"/>
      <c r="N900" s="108"/>
      <c r="O900" s="108"/>
      <c r="P900" s="42"/>
      <c r="Q900" s="112"/>
      <c r="R900" s="112"/>
      <c r="S900" s="108" t="s">
        <v>12</v>
      </c>
      <c r="T900" s="108"/>
      <c r="U900" s="108"/>
      <c r="V900" s="108"/>
      <c r="W900" s="108"/>
      <c r="X900" s="108"/>
      <c r="Y900" s="108"/>
      <c r="Z900" s="108"/>
      <c r="AA900" s="108"/>
      <c r="AB900" s="108"/>
      <c r="AC900" s="42"/>
      <c r="AD900" s="112"/>
      <c r="AE900" s="112"/>
      <c r="AF900" s="108" t="s">
        <v>12</v>
      </c>
      <c r="AG900" s="108"/>
      <c r="AH900" s="108"/>
      <c r="AI900" s="108"/>
      <c r="AJ900" s="108"/>
      <c r="AK900" s="108"/>
      <c r="AL900" s="108"/>
      <c r="AM900" s="108"/>
      <c r="AN900" s="108"/>
      <c r="AO900" s="108"/>
      <c r="AP900" s="6"/>
      <c r="AQ900" s="112"/>
      <c r="AR900" s="112"/>
      <c r="AS900" s="108" t="s">
        <v>12</v>
      </c>
      <c r="AT900" s="108"/>
      <c r="AU900" s="108"/>
      <c r="AV900" s="108"/>
      <c r="AW900" s="108"/>
      <c r="AX900" s="108"/>
      <c r="AY900" s="108"/>
      <c r="AZ900" s="108"/>
      <c r="BA900" s="108"/>
      <c r="BB900" s="108"/>
      <c r="BC900" s="42"/>
      <c r="BD900" s="112"/>
      <c r="BE900" s="112"/>
      <c r="BF900" s="108" t="s">
        <v>12</v>
      </c>
      <c r="BG900" s="108"/>
      <c r="BH900" s="108"/>
      <c r="BI900" s="108"/>
      <c r="BJ900" s="108"/>
      <c r="BK900" s="108"/>
      <c r="BL900" s="108"/>
      <c r="BM900" s="108"/>
      <c r="BN900" s="108"/>
      <c r="BO900" s="108"/>
      <c r="BQ900" s="112"/>
      <c r="BR900" s="112"/>
      <c r="BS900" s="108" t="s">
        <v>12</v>
      </c>
      <c r="BT900" s="108"/>
      <c r="BU900" s="108"/>
      <c r="BV900" s="108"/>
      <c r="BW900" s="108"/>
      <c r="BX900" s="108"/>
      <c r="BY900" s="108"/>
      <c r="BZ900" s="108"/>
      <c r="CA900" s="108"/>
      <c r="CB900" s="108"/>
      <c r="CC900" s="42"/>
      <c r="CD900" s="112"/>
      <c r="CE900" s="112"/>
      <c r="CF900" s="108" t="s">
        <v>12</v>
      </c>
      <c r="CG900" s="108"/>
      <c r="CH900" s="108"/>
      <c r="CI900" s="108"/>
      <c r="CJ900" s="108"/>
      <c r="CK900" s="108"/>
      <c r="CL900" s="108"/>
      <c r="CM900" s="108"/>
      <c r="CN900" s="108"/>
      <c r="CO900" s="108"/>
      <c r="CQ900" s="112"/>
      <c r="CR900" s="112"/>
      <c r="CS900" s="108" t="s">
        <v>12</v>
      </c>
      <c r="CT900" s="108"/>
      <c r="CU900" s="108"/>
      <c r="CV900" s="108"/>
      <c r="CW900" s="108"/>
      <c r="CX900" s="108"/>
      <c r="CY900" s="108"/>
      <c r="CZ900" s="108"/>
      <c r="DA900" s="108"/>
      <c r="DB900" s="108"/>
      <c r="DC900" s="42"/>
      <c r="DD900" s="112"/>
      <c r="DE900" s="112"/>
      <c r="DF900" s="108" t="s">
        <v>12</v>
      </c>
      <c r="DG900" s="108"/>
      <c r="DH900" s="108"/>
      <c r="DI900" s="108"/>
      <c r="DJ900" s="108"/>
      <c r="DK900" s="108"/>
      <c r="DL900" s="108"/>
      <c r="DM900" s="108"/>
      <c r="DN900" s="108"/>
      <c r="DO900" s="108"/>
    </row>
    <row r="901" spans="2:119" ht="15" customHeight="1" x14ac:dyDescent="0.45">
      <c r="B901" s="99"/>
      <c r="C901" s="42"/>
      <c r="D901" s="113"/>
      <c r="E901" s="113"/>
      <c r="F901" s="9" t="s">
        <v>0</v>
      </c>
      <c r="G901" s="9">
        <v>1</v>
      </c>
      <c r="H901" s="9">
        <v>2</v>
      </c>
      <c r="I901" s="9">
        <v>3</v>
      </c>
      <c r="J901" s="9">
        <v>4</v>
      </c>
      <c r="K901" s="9">
        <v>5</v>
      </c>
      <c r="L901" s="9">
        <v>6</v>
      </c>
      <c r="M901" s="9">
        <v>7</v>
      </c>
      <c r="N901" s="9">
        <v>8</v>
      </c>
      <c r="O901" s="9">
        <v>9</v>
      </c>
      <c r="P901" s="42"/>
      <c r="Q901" s="113"/>
      <c r="R901" s="113"/>
      <c r="S901" s="9" t="s">
        <v>0</v>
      </c>
      <c r="T901" s="9">
        <v>1</v>
      </c>
      <c r="U901" s="9">
        <v>2</v>
      </c>
      <c r="V901" s="9">
        <v>3</v>
      </c>
      <c r="W901" s="9">
        <v>4</v>
      </c>
      <c r="X901" s="9">
        <v>5</v>
      </c>
      <c r="Y901" s="9">
        <v>6</v>
      </c>
      <c r="Z901" s="9">
        <v>7</v>
      </c>
      <c r="AA901" s="9">
        <v>8</v>
      </c>
      <c r="AB901" s="9">
        <v>9</v>
      </c>
      <c r="AC901" s="42"/>
      <c r="AD901" s="113"/>
      <c r="AE901" s="113"/>
      <c r="AF901" s="9" t="s">
        <v>0</v>
      </c>
      <c r="AG901" s="9">
        <v>1</v>
      </c>
      <c r="AH901" s="9">
        <v>2</v>
      </c>
      <c r="AI901" s="9">
        <v>3</v>
      </c>
      <c r="AJ901" s="9">
        <v>4</v>
      </c>
      <c r="AK901" s="9">
        <v>5</v>
      </c>
      <c r="AL901" s="9">
        <v>6</v>
      </c>
      <c r="AM901" s="9">
        <v>7</v>
      </c>
      <c r="AN901" s="9">
        <v>8</v>
      </c>
      <c r="AO901" s="9">
        <v>9</v>
      </c>
      <c r="AP901" s="6"/>
      <c r="AQ901" s="113"/>
      <c r="AR901" s="113"/>
      <c r="AS901" s="9" t="s">
        <v>0</v>
      </c>
      <c r="AT901" s="9">
        <v>1</v>
      </c>
      <c r="AU901" s="9">
        <v>2</v>
      </c>
      <c r="AV901" s="9">
        <v>3</v>
      </c>
      <c r="AW901" s="9">
        <v>4</v>
      </c>
      <c r="AX901" s="9">
        <v>5</v>
      </c>
      <c r="AY901" s="9">
        <v>6</v>
      </c>
      <c r="AZ901" s="9">
        <v>7</v>
      </c>
      <c r="BA901" s="9">
        <v>8</v>
      </c>
      <c r="BB901" s="9">
        <v>9</v>
      </c>
      <c r="BC901" s="42"/>
      <c r="BD901" s="113"/>
      <c r="BE901" s="113"/>
      <c r="BF901" s="9" t="s">
        <v>0</v>
      </c>
      <c r="BG901" s="9">
        <v>1</v>
      </c>
      <c r="BH901" s="9">
        <v>2</v>
      </c>
      <c r="BI901" s="9">
        <v>3</v>
      </c>
      <c r="BJ901" s="9">
        <v>4</v>
      </c>
      <c r="BK901" s="9">
        <v>5</v>
      </c>
      <c r="BL901" s="9">
        <v>6</v>
      </c>
      <c r="BM901" s="9">
        <v>7</v>
      </c>
      <c r="BN901" s="9">
        <v>8</v>
      </c>
      <c r="BO901" s="9">
        <v>9</v>
      </c>
      <c r="BQ901" s="113"/>
      <c r="BR901" s="113"/>
      <c r="BS901" s="9" t="s">
        <v>0</v>
      </c>
      <c r="BT901" s="9">
        <v>1</v>
      </c>
      <c r="BU901" s="9">
        <v>2</v>
      </c>
      <c r="BV901" s="9">
        <v>3</v>
      </c>
      <c r="BW901" s="9">
        <v>4</v>
      </c>
      <c r="BX901" s="9">
        <v>5</v>
      </c>
      <c r="BY901" s="9">
        <v>6</v>
      </c>
      <c r="BZ901" s="9">
        <v>7</v>
      </c>
      <c r="CA901" s="9">
        <v>8</v>
      </c>
      <c r="CB901" s="9">
        <v>9</v>
      </c>
      <c r="CC901" s="42"/>
      <c r="CD901" s="113"/>
      <c r="CE901" s="113"/>
      <c r="CF901" s="9" t="s">
        <v>0</v>
      </c>
      <c r="CG901" s="9">
        <v>1</v>
      </c>
      <c r="CH901" s="9">
        <v>2</v>
      </c>
      <c r="CI901" s="9">
        <v>3</v>
      </c>
      <c r="CJ901" s="9">
        <v>4</v>
      </c>
      <c r="CK901" s="9">
        <v>5</v>
      </c>
      <c r="CL901" s="9">
        <v>6</v>
      </c>
      <c r="CM901" s="9">
        <v>7</v>
      </c>
      <c r="CN901" s="9">
        <v>8</v>
      </c>
      <c r="CO901" s="9">
        <v>9</v>
      </c>
      <c r="CQ901" s="113"/>
      <c r="CR901" s="113"/>
      <c r="CS901" s="9" t="s">
        <v>0</v>
      </c>
      <c r="CT901" s="9">
        <v>1</v>
      </c>
      <c r="CU901" s="9">
        <v>2</v>
      </c>
      <c r="CV901" s="9">
        <v>3</v>
      </c>
      <c r="CW901" s="9">
        <v>4</v>
      </c>
      <c r="CX901" s="9">
        <v>5</v>
      </c>
      <c r="CY901" s="9">
        <v>6</v>
      </c>
      <c r="CZ901" s="9">
        <v>7</v>
      </c>
      <c r="DA901" s="9">
        <v>8</v>
      </c>
      <c r="DB901" s="9">
        <v>9</v>
      </c>
      <c r="DC901" s="42"/>
      <c r="DD901" s="113"/>
      <c r="DE901" s="113"/>
      <c r="DF901" s="9" t="s">
        <v>0</v>
      </c>
      <c r="DG901" s="9">
        <v>1</v>
      </c>
      <c r="DH901" s="9">
        <v>2</v>
      </c>
      <c r="DI901" s="9">
        <v>3</v>
      </c>
      <c r="DJ901" s="9">
        <v>4</v>
      </c>
      <c r="DK901" s="9">
        <v>5</v>
      </c>
      <c r="DL901" s="9">
        <v>6</v>
      </c>
      <c r="DM901" s="9">
        <v>7</v>
      </c>
      <c r="DN901" s="9">
        <v>8</v>
      </c>
      <c r="DO901" s="9">
        <v>9</v>
      </c>
    </row>
    <row r="902" spans="2:119" ht="16.25" customHeight="1" x14ac:dyDescent="0.45">
      <c r="B902" s="134" t="s">
        <v>49</v>
      </c>
      <c r="C902" s="42"/>
      <c r="D902" s="109" t="s">
        <v>13</v>
      </c>
      <c r="E902" s="46" t="s">
        <v>1</v>
      </c>
      <c r="F902" s="103">
        <v>0</v>
      </c>
      <c r="G902" s="103">
        <v>1</v>
      </c>
      <c r="H902" s="103">
        <v>1</v>
      </c>
      <c r="I902" s="103">
        <v>1</v>
      </c>
      <c r="J902" s="103">
        <v>2</v>
      </c>
      <c r="K902" s="103">
        <v>0</v>
      </c>
      <c r="L902" s="103">
        <v>0</v>
      </c>
      <c r="M902" s="103">
        <v>0</v>
      </c>
      <c r="N902" s="103">
        <v>0</v>
      </c>
      <c r="O902" s="17">
        <v>0</v>
      </c>
      <c r="P902" s="42"/>
      <c r="Q902" s="109" t="s">
        <v>13</v>
      </c>
      <c r="R902" s="46" t="s">
        <v>1</v>
      </c>
      <c r="S902" s="103">
        <v>0</v>
      </c>
      <c r="T902" s="103">
        <v>1</v>
      </c>
      <c r="U902" s="103">
        <v>0</v>
      </c>
      <c r="V902" s="103">
        <v>0</v>
      </c>
      <c r="W902" s="103">
        <v>1</v>
      </c>
      <c r="X902" s="103">
        <v>0</v>
      </c>
      <c r="Y902" s="103">
        <v>0</v>
      </c>
      <c r="Z902" s="103">
        <v>0</v>
      </c>
      <c r="AA902" s="103">
        <v>0</v>
      </c>
      <c r="AB902" s="17">
        <v>0</v>
      </c>
      <c r="AC902" s="42"/>
      <c r="AD902" s="109" t="s">
        <v>13</v>
      </c>
      <c r="AE902" s="46" t="s">
        <v>1</v>
      </c>
      <c r="AF902" s="103">
        <v>0</v>
      </c>
      <c r="AG902" s="103">
        <v>0</v>
      </c>
      <c r="AH902" s="103">
        <v>1</v>
      </c>
      <c r="AI902" s="103">
        <v>1</v>
      </c>
      <c r="AJ902" s="103">
        <v>1</v>
      </c>
      <c r="AK902" s="103">
        <v>0</v>
      </c>
      <c r="AL902" s="103">
        <v>0</v>
      </c>
      <c r="AM902" s="103">
        <v>0</v>
      </c>
      <c r="AN902" s="103">
        <v>0</v>
      </c>
      <c r="AO902" s="17">
        <v>0</v>
      </c>
      <c r="AP902" s="6"/>
      <c r="AQ902" s="109" t="s">
        <v>13</v>
      </c>
      <c r="AR902" s="46" t="s">
        <v>1</v>
      </c>
      <c r="AS902" s="103">
        <v>0</v>
      </c>
      <c r="AT902" s="103">
        <v>1</v>
      </c>
      <c r="AU902" s="103">
        <v>0</v>
      </c>
      <c r="AV902" s="103">
        <v>0</v>
      </c>
      <c r="AW902" s="103">
        <v>2</v>
      </c>
      <c r="AX902" s="103">
        <v>0</v>
      </c>
      <c r="AY902" s="103">
        <v>0</v>
      </c>
      <c r="AZ902" s="103">
        <v>0</v>
      </c>
      <c r="BA902" s="103">
        <v>0</v>
      </c>
      <c r="BB902" s="17">
        <v>0</v>
      </c>
      <c r="BC902" s="42"/>
      <c r="BD902" s="109" t="s">
        <v>13</v>
      </c>
      <c r="BE902" s="46" t="s">
        <v>1</v>
      </c>
      <c r="BF902" s="103">
        <v>0</v>
      </c>
      <c r="BG902" s="103">
        <v>0</v>
      </c>
      <c r="BH902" s="103">
        <v>1</v>
      </c>
      <c r="BI902" s="103">
        <v>1</v>
      </c>
      <c r="BJ902" s="103">
        <v>0</v>
      </c>
      <c r="BK902" s="103">
        <v>0</v>
      </c>
      <c r="BL902" s="103">
        <v>0</v>
      </c>
      <c r="BM902" s="103">
        <v>0</v>
      </c>
      <c r="BN902" s="103">
        <v>0</v>
      </c>
      <c r="BO902" s="17">
        <v>0</v>
      </c>
      <c r="BQ902" s="109" t="s">
        <v>13</v>
      </c>
      <c r="BR902" s="46" t="s">
        <v>1</v>
      </c>
      <c r="BS902" s="103">
        <v>0</v>
      </c>
      <c r="BT902" s="103">
        <v>0</v>
      </c>
      <c r="BU902" s="103">
        <v>0</v>
      </c>
      <c r="BV902" s="103">
        <v>0</v>
      </c>
      <c r="BW902" s="103">
        <v>0</v>
      </c>
      <c r="BX902" s="103">
        <v>0</v>
      </c>
      <c r="BY902" s="103">
        <v>0</v>
      </c>
      <c r="BZ902" s="103">
        <v>0</v>
      </c>
      <c r="CA902" s="103">
        <v>0</v>
      </c>
      <c r="CB902" s="17">
        <v>0</v>
      </c>
      <c r="CC902" s="42"/>
      <c r="CD902" s="109" t="s">
        <v>13</v>
      </c>
      <c r="CE902" s="46" t="s">
        <v>1</v>
      </c>
      <c r="CF902" s="103">
        <v>0</v>
      </c>
      <c r="CG902" s="103">
        <v>1</v>
      </c>
      <c r="CH902" s="103">
        <v>1</v>
      </c>
      <c r="CI902" s="103">
        <v>1</v>
      </c>
      <c r="CJ902" s="103">
        <v>2</v>
      </c>
      <c r="CK902" s="103">
        <v>0</v>
      </c>
      <c r="CL902" s="103">
        <v>0</v>
      </c>
      <c r="CM902" s="103">
        <v>0</v>
      </c>
      <c r="CN902" s="103">
        <v>0</v>
      </c>
      <c r="CO902" s="17">
        <v>0</v>
      </c>
      <c r="CQ902" s="109" t="s">
        <v>13</v>
      </c>
      <c r="CR902" s="46" t="s">
        <v>1</v>
      </c>
      <c r="CS902" s="103">
        <v>0</v>
      </c>
      <c r="CT902" s="103">
        <v>1</v>
      </c>
      <c r="CU902" s="103">
        <v>1</v>
      </c>
      <c r="CV902" s="103">
        <v>1</v>
      </c>
      <c r="CW902" s="103">
        <v>1</v>
      </c>
      <c r="CX902" s="103">
        <v>0</v>
      </c>
      <c r="CY902" s="103">
        <v>0</v>
      </c>
      <c r="CZ902" s="103">
        <v>0</v>
      </c>
      <c r="DA902" s="103">
        <v>0</v>
      </c>
      <c r="DB902" s="17">
        <v>0</v>
      </c>
      <c r="DC902" s="42"/>
      <c r="DD902" s="109" t="s">
        <v>13</v>
      </c>
      <c r="DE902" s="46" t="s">
        <v>1</v>
      </c>
      <c r="DF902" s="103">
        <v>0</v>
      </c>
      <c r="DG902" s="103">
        <v>0</v>
      </c>
      <c r="DH902" s="103">
        <v>0</v>
      </c>
      <c r="DI902" s="103">
        <v>0</v>
      </c>
      <c r="DJ902" s="103">
        <v>1</v>
      </c>
      <c r="DK902" s="103">
        <v>0</v>
      </c>
      <c r="DL902" s="103">
        <v>0</v>
      </c>
      <c r="DM902" s="103">
        <v>0</v>
      </c>
      <c r="DN902" s="103">
        <v>0</v>
      </c>
      <c r="DO902" s="17">
        <v>0</v>
      </c>
    </row>
    <row r="903" spans="2:119" ht="16.25" customHeight="1" x14ac:dyDescent="0.45">
      <c r="B903" s="134"/>
      <c r="C903" s="42"/>
      <c r="D903" s="110"/>
      <c r="E903" s="46">
        <v>1</v>
      </c>
      <c r="F903" s="103">
        <v>1</v>
      </c>
      <c r="G903" s="103">
        <v>2</v>
      </c>
      <c r="H903" s="103">
        <v>3</v>
      </c>
      <c r="I903" s="103">
        <v>2</v>
      </c>
      <c r="J903" s="103">
        <v>3</v>
      </c>
      <c r="K903" s="103">
        <v>0</v>
      </c>
      <c r="L903" s="103">
        <v>0</v>
      </c>
      <c r="M903" s="103">
        <v>1</v>
      </c>
      <c r="N903" s="103">
        <v>0</v>
      </c>
      <c r="O903" s="103">
        <v>0</v>
      </c>
      <c r="P903" s="42"/>
      <c r="Q903" s="110"/>
      <c r="R903" s="46">
        <v>1</v>
      </c>
      <c r="S903" s="103">
        <v>1</v>
      </c>
      <c r="T903" s="103">
        <v>1</v>
      </c>
      <c r="U903" s="103">
        <v>2</v>
      </c>
      <c r="V903" s="103">
        <v>2</v>
      </c>
      <c r="W903" s="103">
        <v>0</v>
      </c>
      <c r="X903" s="103">
        <v>0</v>
      </c>
      <c r="Y903" s="103">
        <v>0</v>
      </c>
      <c r="Z903" s="103">
        <v>1</v>
      </c>
      <c r="AA903" s="103">
        <v>0</v>
      </c>
      <c r="AB903" s="103">
        <v>0</v>
      </c>
      <c r="AC903" s="42"/>
      <c r="AD903" s="110"/>
      <c r="AE903" s="46">
        <v>1</v>
      </c>
      <c r="AF903" s="103">
        <v>0</v>
      </c>
      <c r="AG903" s="103">
        <v>1</v>
      </c>
      <c r="AH903" s="103">
        <v>1</v>
      </c>
      <c r="AI903" s="103">
        <v>0</v>
      </c>
      <c r="AJ903" s="103">
        <v>3</v>
      </c>
      <c r="AK903" s="103">
        <v>0</v>
      </c>
      <c r="AL903" s="103">
        <v>0</v>
      </c>
      <c r="AM903" s="103">
        <v>0</v>
      </c>
      <c r="AN903" s="103">
        <v>0</v>
      </c>
      <c r="AO903" s="103">
        <v>0</v>
      </c>
      <c r="AP903" s="6"/>
      <c r="AQ903" s="110"/>
      <c r="AR903" s="46">
        <v>1</v>
      </c>
      <c r="AS903" s="103">
        <v>0</v>
      </c>
      <c r="AT903" s="103">
        <v>1</v>
      </c>
      <c r="AU903" s="103">
        <v>2</v>
      </c>
      <c r="AV903" s="103">
        <v>1</v>
      </c>
      <c r="AW903" s="103">
        <v>0</v>
      </c>
      <c r="AX903" s="103">
        <v>0</v>
      </c>
      <c r="AY903" s="103">
        <v>0</v>
      </c>
      <c r="AZ903" s="103">
        <v>0</v>
      </c>
      <c r="BA903" s="103">
        <v>0</v>
      </c>
      <c r="BB903" s="103">
        <v>0</v>
      </c>
      <c r="BC903" s="42"/>
      <c r="BD903" s="110"/>
      <c r="BE903" s="46">
        <v>1</v>
      </c>
      <c r="BF903" s="103">
        <v>1</v>
      </c>
      <c r="BG903" s="103">
        <v>1</v>
      </c>
      <c r="BH903" s="103">
        <v>1</v>
      </c>
      <c r="BI903" s="103">
        <v>1</v>
      </c>
      <c r="BJ903" s="103">
        <v>3</v>
      </c>
      <c r="BK903" s="103">
        <v>0</v>
      </c>
      <c r="BL903" s="103">
        <v>0</v>
      </c>
      <c r="BM903" s="103">
        <v>1</v>
      </c>
      <c r="BN903" s="103">
        <v>0</v>
      </c>
      <c r="BO903" s="103">
        <v>0</v>
      </c>
      <c r="BQ903" s="110"/>
      <c r="BR903" s="46">
        <v>1</v>
      </c>
      <c r="BS903" s="103">
        <v>1</v>
      </c>
      <c r="BT903" s="103">
        <v>1</v>
      </c>
      <c r="BU903" s="103">
        <v>2</v>
      </c>
      <c r="BV903" s="103">
        <v>1</v>
      </c>
      <c r="BW903" s="103">
        <v>0</v>
      </c>
      <c r="BX903" s="103">
        <v>0</v>
      </c>
      <c r="BY903" s="103">
        <v>0</v>
      </c>
      <c r="BZ903" s="103">
        <v>0</v>
      </c>
      <c r="CA903" s="103">
        <v>0</v>
      </c>
      <c r="CB903" s="103">
        <v>0</v>
      </c>
      <c r="CC903" s="42"/>
      <c r="CD903" s="110"/>
      <c r="CE903" s="46">
        <v>1</v>
      </c>
      <c r="CF903" s="103">
        <v>0</v>
      </c>
      <c r="CG903" s="103">
        <v>1</v>
      </c>
      <c r="CH903" s="103">
        <v>1</v>
      </c>
      <c r="CI903" s="103">
        <v>1</v>
      </c>
      <c r="CJ903" s="103">
        <v>3</v>
      </c>
      <c r="CK903" s="103">
        <v>0</v>
      </c>
      <c r="CL903" s="103">
        <v>0</v>
      </c>
      <c r="CM903" s="103">
        <v>1</v>
      </c>
      <c r="CN903" s="103">
        <v>0</v>
      </c>
      <c r="CO903" s="103">
        <v>0</v>
      </c>
      <c r="CQ903" s="110"/>
      <c r="CR903" s="46">
        <v>1</v>
      </c>
      <c r="CS903" s="103">
        <v>0</v>
      </c>
      <c r="CT903" s="103">
        <v>1</v>
      </c>
      <c r="CU903" s="103">
        <v>2</v>
      </c>
      <c r="CV903" s="103">
        <v>2</v>
      </c>
      <c r="CW903" s="103">
        <v>3</v>
      </c>
      <c r="CX903" s="103">
        <v>0</v>
      </c>
      <c r="CY903" s="103">
        <v>0</v>
      </c>
      <c r="CZ903" s="103">
        <v>1</v>
      </c>
      <c r="DA903" s="103">
        <v>0</v>
      </c>
      <c r="DB903" s="103">
        <v>0</v>
      </c>
      <c r="DC903" s="42"/>
      <c r="DD903" s="110"/>
      <c r="DE903" s="46">
        <v>1</v>
      </c>
      <c r="DF903" s="103">
        <v>1</v>
      </c>
      <c r="DG903" s="103">
        <v>1</v>
      </c>
      <c r="DH903" s="103">
        <v>1</v>
      </c>
      <c r="DI903" s="103">
        <v>0</v>
      </c>
      <c r="DJ903" s="103">
        <v>0</v>
      </c>
      <c r="DK903" s="103">
        <v>0</v>
      </c>
      <c r="DL903" s="103">
        <v>0</v>
      </c>
      <c r="DM903" s="103">
        <v>0</v>
      </c>
      <c r="DN903" s="103">
        <v>0</v>
      </c>
      <c r="DO903" s="103">
        <v>0</v>
      </c>
    </row>
    <row r="904" spans="2:119" ht="16.25" customHeight="1" x14ac:dyDescent="0.45">
      <c r="B904" s="134"/>
      <c r="C904" s="42"/>
      <c r="D904" s="110"/>
      <c r="E904" s="46" t="s">
        <v>2</v>
      </c>
      <c r="F904" s="103">
        <v>32</v>
      </c>
      <c r="G904" s="103">
        <v>116</v>
      </c>
      <c r="H904" s="103">
        <v>198</v>
      </c>
      <c r="I904" s="103">
        <v>143</v>
      </c>
      <c r="J904" s="103">
        <v>41</v>
      </c>
      <c r="K904" s="103">
        <v>17</v>
      </c>
      <c r="L904" s="103">
        <v>8</v>
      </c>
      <c r="M904" s="103">
        <v>2</v>
      </c>
      <c r="N904" s="103">
        <v>1</v>
      </c>
      <c r="O904" s="103">
        <v>0</v>
      </c>
      <c r="P904" s="42"/>
      <c r="Q904" s="110"/>
      <c r="R904" s="46" t="s">
        <v>2</v>
      </c>
      <c r="S904" s="103">
        <v>10</v>
      </c>
      <c r="T904" s="103">
        <v>37</v>
      </c>
      <c r="U904" s="103">
        <v>74</v>
      </c>
      <c r="V904" s="103">
        <v>67</v>
      </c>
      <c r="W904" s="103">
        <v>15</v>
      </c>
      <c r="X904" s="103">
        <v>9</v>
      </c>
      <c r="Y904" s="103">
        <v>3</v>
      </c>
      <c r="Z904" s="103">
        <v>2</v>
      </c>
      <c r="AA904" s="103">
        <v>1</v>
      </c>
      <c r="AB904" s="103">
        <v>0</v>
      </c>
      <c r="AC904" s="42"/>
      <c r="AD904" s="110"/>
      <c r="AE904" s="46" t="s">
        <v>2</v>
      </c>
      <c r="AF904" s="103">
        <v>22</v>
      </c>
      <c r="AG904" s="103">
        <v>79</v>
      </c>
      <c r="AH904" s="103">
        <v>124</v>
      </c>
      <c r="AI904" s="103">
        <v>76</v>
      </c>
      <c r="AJ904" s="103">
        <v>26</v>
      </c>
      <c r="AK904" s="103">
        <v>8</v>
      </c>
      <c r="AL904" s="103">
        <v>5</v>
      </c>
      <c r="AM904" s="103">
        <v>0</v>
      </c>
      <c r="AN904" s="103">
        <v>0</v>
      </c>
      <c r="AO904" s="103">
        <v>0</v>
      </c>
      <c r="AP904" s="6"/>
      <c r="AQ904" s="110"/>
      <c r="AR904" s="46" t="s">
        <v>2</v>
      </c>
      <c r="AS904" s="103">
        <v>19</v>
      </c>
      <c r="AT904" s="103">
        <v>70</v>
      </c>
      <c r="AU904" s="103">
        <v>86</v>
      </c>
      <c r="AV904" s="103">
        <v>59</v>
      </c>
      <c r="AW904" s="103">
        <v>13</v>
      </c>
      <c r="AX904" s="103">
        <v>4</v>
      </c>
      <c r="AY904" s="103">
        <v>2</v>
      </c>
      <c r="AZ904" s="103">
        <v>0</v>
      </c>
      <c r="BA904" s="103">
        <v>0</v>
      </c>
      <c r="BB904" s="103">
        <v>0</v>
      </c>
      <c r="BC904" s="42"/>
      <c r="BD904" s="110"/>
      <c r="BE904" s="46" t="s">
        <v>2</v>
      </c>
      <c r="BF904" s="103">
        <v>13</v>
      </c>
      <c r="BG904" s="103">
        <v>46</v>
      </c>
      <c r="BH904" s="103">
        <v>112</v>
      </c>
      <c r="BI904" s="103">
        <v>84</v>
      </c>
      <c r="BJ904" s="103">
        <v>28</v>
      </c>
      <c r="BK904" s="103">
        <v>13</v>
      </c>
      <c r="BL904" s="103">
        <v>6</v>
      </c>
      <c r="BM904" s="103">
        <v>2</v>
      </c>
      <c r="BN904" s="103">
        <v>1</v>
      </c>
      <c r="BO904" s="103">
        <v>0</v>
      </c>
      <c r="BQ904" s="110"/>
      <c r="BR904" s="46" t="s">
        <v>2</v>
      </c>
      <c r="BS904" s="103">
        <v>23</v>
      </c>
      <c r="BT904" s="103">
        <v>80</v>
      </c>
      <c r="BU904" s="103">
        <v>154</v>
      </c>
      <c r="BV904" s="103">
        <v>86</v>
      </c>
      <c r="BW904" s="103">
        <v>29</v>
      </c>
      <c r="BX904" s="103">
        <v>8</v>
      </c>
      <c r="BY904" s="103">
        <v>4</v>
      </c>
      <c r="BZ904" s="103">
        <v>0</v>
      </c>
      <c r="CA904" s="103">
        <v>0</v>
      </c>
      <c r="CB904" s="103">
        <v>0</v>
      </c>
      <c r="CC904" s="42"/>
      <c r="CD904" s="110"/>
      <c r="CE904" s="46" t="s">
        <v>2</v>
      </c>
      <c r="CF904" s="103">
        <v>9</v>
      </c>
      <c r="CG904" s="103">
        <v>36</v>
      </c>
      <c r="CH904" s="103">
        <v>44</v>
      </c>
      <c r="CI904" s="103">
        <v>57</v>
      </c>
      <c r="CJ904" s="103">
        <v>12</v>
      </c>
      <c r="CK904" s="103">
        <v>9</v>
      </c>
      <c r="CL904" s="103">
        <v>4</v>
      </c>
      <c r="CM904" s="103">
        <v>2</v>
      </c>
      <c r="CN904" s="103">
        <v>1</v>
      </c>
      <c r="CO904" s="103">
        <v>0</v>
      </c>
      <c r="CQ904" s="110"/>
      <c r="CR904" s="46" t="s">
        <v>2</v>
      </c>
      <c r="CS904" s="103">
        <v>5</v>
      </c>
      <c r="CT904" s="103">
        <v>27</v>
      </c>
      <c r="CU904" s="103">
        <v>48</v>
      </c>
      <c r="CV904" s="103">
        <v>45</v>
      </c>
      <c r="CW904" s="103">
        <v>18</v>
      </c>
      <c r="CX904" s="103">
        <v>8</v>
      </c>
      <c r="CY904" s="103">
        <v>5</v>
      </c>
      <c r="CZ904" s="103">
        <v>2</v>
      </c>
      <c r="DA904" s="103">
        <v>1</v>
      </c>
      <c r="DB904" s="103">
        <v>0</v>
      </c>
      <c r="DC904" s="42"/>
      <c r="DD904" s="110"/>
      <c r="DE904" s="46" t="s">
        <v>2</v>
      </c>
      <c r="DF904" s="103">
        <v>27</v>
      </c>
      <c r="DG904" s="103">
        <v>89</v>
      </c>
      <c r="DH904" s="103">
        <v>150</v>
      </c>
      <c r="DI904" s="103">
        <v>98</v>
      </c>
      <c r="DJ904" s="103">
        <v>23</v>
      </c>
      <c r="DK904" s="103">
        <v>9</v>
      </c>
      <c r="DL904" s="103">
        <v>3</v>
      </c>
      <c r="DM904" s="103">
        <v>0</v>
      </c>
      <c r="DN904" s="103">
        <v>0</v>
      </c>
      <c r="DO904" s="103">
        <v>0</v>
      </c>
    </row>
    <row r="905" spans="2:119" ht="16.25" customHeight="1" x14ac:dyDescent="0.45">
      <c r="B905" s="134"/>
      <c r="C905" s="42"/>
      <c r="D905" s="110"/>
      <c r="E905" s="46" t="s">
        <v>3</v>
      </c>
      <c r="F905" s="103">
        <v>26</v>
      </c>
      <c r="G905" s="103">
        <v>92</v>
      </c>
      <c r="H905" s="103">
        <v>160</v>
      </c>
      <c r="I905" s="103">
        <v>124</v>
      </c>
      <c r="J905" s="103">
        <v>45</v>
      </c>
      <c r="K905" s="103">
        <v>30</v>
      </c>
      <c r="L905" s="103">
        <v>9</v>
      </c>
      <c r="M905" s="103">
        <v>0</v>
      </c>
      <c r="N905" s="103">
        <v>0</v>
      </c>
      <c r="O905" s="103">
        <v>0</v>
      </c>
      <c r="P905" s="42"/>
      <c r="Q905" s="110"/>
      <c r="R905" s="46" t="s">
        <v>3</v>
      </c>
      <c r="S905" s="103">
        <v>5</v>
      </c>
      <c r="T905" s="103">
        <v>21</v>
      </c>
      <c r="U905" s="103">
        <v>61</v>
      </c>
      <c r="V905" s="103">
        <v>53</v>
      </c>
      <c r="W905" s="103">
        <v>29</v>
      </c>
      <c r="X905" s="103">
        <v>17</v>
      </c>
      <c r="Y905" s="103">
        <v>4</v>
      </c>
      <c r="Z905" s="103">
        <v>0</v>
      </c>
      <c r="AA905" s="103">
        <v>0</v>
      </c>
      <c r="AB905" s="103">
        <v>0</v>
      </c>
      <c r="AC905" s="42"/>
      <c r="AD905" s="110"/>
      <c r="AE905" s="46" t="s">
        <v>3</v>
      </c>
      <c r="AF905" s="103">
        <v>21</v>
      </c>
      <c r="AG905" s="103">
        <v>71</v>
      </c>
      <c r="AH905" s="103">
        <v>99</v>
      </c>
      <c r="AI905" s="103">
        <v>71</v>
      </c>
      <c r="AJ905" s="103">
        <v>16</v>
      </c>
      <c r="AK905" s="103">
        <v>13</v>
      </c>
      <c r="AL905" s="103">
        <v>5</v>
      </c>
      <c r="AM905" s="103">
        <v>0</v>
      </c>
      <c r="AN905" s="103">
        <v>0</v>
      </c>
      <c r="AO905" s="103">
        <v>0</v>
      </c>
      <c r="AP905" s="6"/>
      <c r="AQ905" s="110"/>
      <c r="AR905" s="46" t="s">
        <v>3</v>
      </c>
      <c r="AS905" s="103">
        <v>16</v>
      </c>
      <c r="AT905" s="103">
        <v>39</v>
      </c>
      <c r="AU905" s="103">
        <v>74</v>
      </c>
      <c r="AV905" s="103">
        <v>56</v>
      </c>
      <c r="AW905" s="103">
        <v>14</v>
      </c>
      <c r="AX905" s="103">
        <v>15</v>
      </c>
      <c r="AY905" s="103">
        <v>2</v>
      </c>
      <c r="AZ905" s="103">
        <v>0</v>
      </c>
      <c r="BA905" s="103">
        <v>0</v>
      </c>
      <c r="BB905" s="103">
        <v>0</v>
      </c>
      <c r="BC905" s="42"/>
      <c r="BD905" s="110"/>
      <c r="BE905" s="46" t="s">
        <v>3</v>
      </c>
      <c r="BF905" s="103">
        <v>10</v>
      </c>
      <c r="BG905" s="103">
        <v>53</v>
      </c>
      <c r="BH905" s="103">
        <v>86</v>
      </c>
      <c r="BI905" s="103">
        <v>68</v>
      </c>
      <c r="BJ905" s="103">
        <v>31</v>
      </c>
      <c r="BK905" s="103">
        <v>15</v>
      </c>
      <c r="BL905" s="103">
        <v>7</v>
      </c>
      <c r="BM905" s="103">
        <v>0</v>
      </c>
      <c r="BN905" s="103">
        <v>0</v>
      </c>
      <c r="BO905" s="103">
        <v>0</v>
      </c>
      <c r="BQ905" s="110"/>
      <c r="BR905" s="46" t="s">
        <v>3</v>
      </c>
      <c r="BS905" s="103">
        <v>14</v>
      </c>
      <c r="BT905" s="103">
        <v>54</v>
      </c>
      <c r="BU905" s="103">
        <v>87</v>
      </c>
      <c r="BV905" s="103">
        <v>73</v>
      </c>
      <c r="BW905" s="103">
        <v>21</v>
      </c>
      <c r="BX905" s="103">
        <v>15</v>
      </c>
      <c r="BY905" s="103">
        <v>1</v>
      </c>
      <c r="BZ905" s="103">
        <v>0</v>
      </c>
      <c r="CA905" s="103">
        <v>0</v>
      </c>
      <c r="CB905" s="103">
        <v>0</v>
      </c>
      <c r="CC905" s="42"/>
      <c r="CD905" s="110"/>
      <c r="CE905" s="46" t="s">
        <v>3</v>
      </c>
      <c r="CF905" s="103">
        <v>12</v>
      </c>
      <c r="CG905" s="103">
        <v>38</v>
      </c>
      <c r="CH905" s="103">
        <v>73</v>
      </c>
      <c r="CI905" s="103">
        <v>51</v>
      </c>
      <c r="CJ905" s="103">
        <v>24</v>
      </c>
      <c r="CK905" s="103">
        <v>15</v>
      </c>
      <c r="CL905" s="103">
        <v>8</v>
      </c>
      <c r="CM905" s="103">
        <v>0</v>
      </c>
      <c r="CN905" s="103">
        <v>0</v>
      </c>
      <c r="CO905" s="103">
        <v>0</v>
      </c>
      <c r="CQ905" s="110"/>
      <c r="CR905" s="46" t="s">
        <v>3</v>
      </c>
      <c r="CS905" s="103">
        <v>2</v>
      </c>
      <c r="CT905" s="103">
        <v>18</v>
      </c>
      <c r="CU905" s="103">
        <v>33</v>
      </c>
      <c r="CV905" s="103">
        <v>21</v>
      </c>
      <c r="CW905" s="103">
        <v>19</v>
      </c>
      <c r="CX905" s="103">
        <v>11</v>
      </c>
      <c r="CY905" s="103">
        <v>2</v>
      </c>
      <c r="CZ905" s="103">
        <v>0</v>
      </c>
      <c r="DA905" s="103">
        <v>0</v>
      </c>
      <c r="DB905" s="103">
        <v>0</v>
      </c>
      <c r="DC905" s="42"/>
      <c r="DD905" s="110"/>
      <c r="DE905" s="46" t="s">
        <v>3</v>
      </c>
      <c r="DF905" s="103">
        <v>24</v>
      </c>
      <c r="DG905" s="103">
        <v>74</v>
      </c>
      <c r="DH905" s="103">
        <v>127</v>
      </c>
      <c r="DI905" s="103">
        <v>103</v>
      </c>
      <c r="DJ905" s="103">
        <v>26</v>
      </c>
      <c r="DK905" s="103">
        <v>19</v>
      </c>
      <c r="DL905" s="103">
        <v>7</v>
      </c>
      <c r="DM905" s="103">
        <v>0</v>
      </c>
      <c r="DN905" s="103">
        <v>0</v>
      </c>
      <c r="DO905" s="103">
        <v>0</v>
      </c>
    </row>
    <row r="906" spans="2:119" ht="16.25" customHeight="1" x14ac:dyDescent="0.45">
      <c r="B906" s="134"/>
      <c r="C906" s="42"/>
      <c r="D906" s="110"/>
      <c r="E906" s="46" t="s">
        <v>4</v>
      </c>
      <c r="F906" s="103">
        <v>38</v>
      </c>
      <c r="G906" s="103">
        <v>127</v>
      </c>
      <c r="H906" s="103">
        <v>197</v>
      </c>
      <c r="I906" s="103">
        <v>225</v>
      </c>
      <c r="J906" s="103">
        <v>104</v>
      </c>
      <c r="K906" s="103">
        <v>59</v>
      </c>
      <c r="L906" s="103">
        <v>19</v>
      </c>
      <c r="M906" s="103">
        <v>2</v>
      </c>
      <c r="N906" s="103">
        <v>3</v>
      </c>
      <c r="O906" s="103">
        <v>0</v>
      </c>
      <c r="P906" s="42"/>
      <c r="Q906" s="110"/>
      <c r="R906" s="46" t="s">
        <v>4</v>
      </c>
      <c r="S906" s="103">
        <v>8</v>
      </c>
      <c r="T906" s="103">
        <v>32</v>
      </c>
      <c r="U906" s="103">
        <v>70</v>
      </c>
      <c r="V906" s="103">
        <v>105</v>
      </c>
      <c r="W906" s="103">
        <v>53</v>
      </c>
      <c r="X906" s="103">
        <v>35</v>
      </c>
      <c r="Y906" s="103">
        <v>13</v>
      </c>
      <c r="Z906" s="103">
        <v>1</v>
      </c>
      <c r="AA906" s="103">
        <v>2</v>
      </c>
      <c r="AB906" s="103">
        <v>0</v>
      </c>
      <c r="AC906" s="42"/>
      <c r="AD906" s="110"/>
      <c r="AE906" s="46" t="s">
        <v>4</v>
      </c>
      <c r="AF906" s="103">
        <v>30</v>
      </c>
      <c r="AG906" s="103">
        <v>95</v>
      </c>
      <c r="AH906" s="103">
        <v>127</v>
      </c>
      <c r="AI906" s="103">
        <v>120</v>
      </c>
      <c r="AJ906" s="103">
        <v>51</v>
      </c>
      <c r="AK906" s="103">
        <v>24</v>
      </c>
      <c r="AL906" s="103">
        <v>6</v>
      </c>
      <c r="AM906" s="103">
        <v>1</v>
      </c>
      <c r="AN906" s="103">
        <v>1</v>
      </c>
      <c r="AO906" s="103">
        <v>0</v>
      </c>
      <c r="AP906" s="6"/>
      <c r="AQ906" s="110"/>
      <c r="AR906" s="46" t="s">
        <v>4</v>
      </c>
      <c r="AS906" s="103">
        <v>22</v>
      </c>
      <c r="AT906" s="103">
        <v>62</v>
      </c>
      <c r="AU906" s="103">
        <v>83</v>
      </c>
      <c r="AV906" s="103">
        <v>90</v>
      </c>
      <c r="AW906" s="103">
        <v>39</v>
      </c>
      <c r="AX906" s="103">
        <v>16</v>
      </c>
      <c r="AY906" s="103">
        <v>6</v>
      </c>
      <c r="AZ906" s="103">
        <v>0</v>
      </c>
      <c r="BA906" s="103">
        <v>1</v>
      </c>
      <c r="BB906" s="103">
        <v>0</v>
      </c>
      <c r="BC906" s="42"/>
      <c r="BD906" s="110"/>
      <c r="BE906" s="46" t="s">
        <v>4</v>
      </c>
      <c r="BF906" s="103">
        <v>16</v>
      </c>
      <c r="BG906" s="103">
        <v>65</v>
      </c>
      <c r="BH906" s="103">
        <v>114</v>
      </c>
      <c r="BI906" s="103">
        <v>135</v>
      </c>
      <c r="BJ906" s="103">
        <v>65</v>
      </c>
      <c r="BK906" s="103">
        <v>43</v>
      </c>
      <c r="BL906" s="103">
        <v>13</v>
      </c>
      <c r="BM906" s="103">
        <v>2</v>
      </c>
      <c r="BN906" s="103">
        <v>2</v>
      </c>
      <c r="BO906" s="103">
        <v>0</v>
      </c>
      <c r="BQ906" s="110"/>
      <c r="BR906" s="46" t="s">
        <v>4</v>
      </c>
      <c r="BS906" s="103">
        <v>16</v>
      </c>
      <c r="BT906" s="103">
        <v>64</v>
      </c>
      <c r="BU906" s="103">
        <v>89</v>
      </c>
      <c r="BV906" s="103">
        <v>86</v>
      </c>
      <c r="BW906" s="103">
        <v>41</v>
      </c>
      <c r="BX906" s="103">
        <v>22</v>
      </c>
      <c r="BY906" s="103">
        <v>6</v>
      </c>
      <c r="BZ906" s="103">
        <v>0</v>
      </c>
      <c r="CA906" s="103">
        <v>1</v>
      </c>
      <c r="CB906" s="103">
        <v>0</v>
      </c>
      <c r="CC906" s="42"/>
      <c r="CD906" s="110"/>
      <c r="CE906" s="46" t="s">
        <v>4</v>
      </c>
      <c r="CF906" s="103">
        <v>22</v>
      </c>
      <c r="CG906" s="103">
        <v>63</v>
      </c>
      <c r="CH906" s="103">
        <v>108</v>
      </c>
      <c r="CI906" s="103">
        <v>139</v>
      </c>
      <c r="CJ906" s="103">
        <v>63</v>
      </c>
      <c r="CK906" s="103">
        <v>37</v>
      </c>
      <c r="CL906" s="103">
        <v>13</v>
      </c>
      <c r="CM906" s="103">
        <v>2</v>
      </c>
      <c r="CN906" s="103">
        <v>2</v>
      </c>
      <c r="CO906" s="103">
        <v>0</v>
      </c>
      <c r="CQ906" s="110"/>
      <c r="CR906" s="46" t="s">
        <v>4</v>
      </c>
      <c r="CS906" s="103">
        <v>1</v>
      </c>
      <c r="CT906" s="103">
        <v>16</v>
      </c>
      <c r="CU906" s="103">
        <v>37</v>
      </c>
      <c r="CV906" s="103">
        <v>38</v>
      </c>
      <c r="CW906" s="103">
        <v>24</v>
      </c>
      <c r="CX906" s="103">
        <v>18</v>
      </c>
      <c r="CY906" s="103">
        <v>8</v>
      </c>
      <c r="CZ906" s="103">
        <v>2</v>
      </c>
      <c r="DA906" s="103">
        <v>2</v>
      </c>
      <c r="DB906" s="103">
        <v>0</v>
      </c>
      <c r="DC906" s="42"/>
      <c r="DD906" s="110"/>
      <c r="DE906" s="46" t="s">
        <v>4</v>
      </c>
      <c r="DF906" s="103">
        <v>37</v>
      </c>
      <c r="DG906" s="103">
        <v>111</v>
      </c>
      <c r="DH906" s="103">
        <v>160</v>
      </c>
      <c r="DI906" s="103">
        <v>187</v>
      </c>
      <c r="DJ906" s="103">
        <v>80</v>
      </c>
      <c r="DK906" s="103">
        <v>41</v>
      </c>
      <c r="DL906" s="103">
        <v>11</v>
      </c>
      <c r="DM906" s="103">
        <v>0</v>
      </c>
      <c r="DN906" s="103">
        <v>1</v>
      </c>
      <c r="DO906" s="103">
        <v>0</v>
      </c>
    </row>
    <row r="907" spans="2:119" ht="16.25" customHeight="1" x14ac:dyDescent="0.45">
      <c r="B907" s="134"/>
      <c r="C907" s="42"/>
      <c r="D907" s="110"/>
      <c r="E907" s="46" t="s">
        <v>5</v>
      </c>
      <c r="F907" s="103">
        <v>54</v>
      </c>
      <c r="G907" s="103">
        <v>154</v>
      </c>
      <c r="H907" s="103">
        <v>324</v>
      </c>
      <c r="I907" s="103">
        <v>445</v>
      </c>
      <c r="J907" s="103">
        <v>259</v>
      </c>
      <c r="K907" s="103">
        <v>181</v>
      </c>
      <c r="L907" s="103">
        <v>67</v>
      </c>
      <c r="M907" s="103">
        <v>10</v>
      </c>
      <c r="N907" s="103">
        <v>5</v>
      </c>
      <c r="O907" s="103">
        <v>0</v>
      </c>
      <c r="P907" s="42"/>
      <c r="Q907" s="110"/>
      <c r="R907" s="46" t="s">
        <v>5</v>
      </c>
      <c r="S907" s="103">
        <v>14</v>
      </c>
      <c r="T907" s="103">
        <v>43</v>
      </c>
      <c r="U907" s="103">
        <v>127</v>
      </c>
      <c r="V907" s="103">
        <v>201</v>
      </c>
      <c r="W907" s="103">
        <v>129</v>
      </c>
      <c r="X907" s="103">
        <v>101</v>
      </c>
      <c r="Y907" s="103">
        <v>42</v>
      </c>
      <c r="Z907" s="103">
        <v>8</v>
      </c>
      <c r="AA907" s="103">
        <v>3</v>
      </c>
      <c r="AB907" s="103">
        <v>0</v>
      </c>
      <c r="AC907" s="42"/>
      <c r="AD907" s="110"/>
      <c r="AE907" s="46" t="s">
        <v>5</v>
      </c>
      <c r="AF907" s="103">
        <v>40</v>
      </c>
      <c r="AG907" s="103">
        <v>111</v>
      </c>
      <c r="AH907" s="103">
        <v>197</v>
      </c>
      <c r="AI907" s="103">
        <v>244</v>
      </c>
      <c r="AJ907" s="103">
        <v>130</v>
      </c>
      <c r="AK907" s="103">
        <v>80</v>
      </c>
      <c r="AL907" s="103">
        <v>25</v>
      </c>
      <c r="AM907" s="103">
        <v>2</v>
      </c>
      <c r="AN907" s="103">
        <v>2</v>
      </c>
      <c r="AO907" s="103">
        <v>0</v>
      </c>
      <c r="AP907" s="6"/>
      <c r="AQ907" s="110"/>
      <c r="AR907" s="46" t="s">
        <v>5</v>
      </c>
      <c r="AS907" s="103">
        <v>26</v>
      </c>
      <c r="AT907" s="103">
        <v>70</v>
      </c>
      <c r="AU907" s="103">
        <v>139</v>
      </c>
      <c r="AV907" s="103">
        <v>137</v>
      </c>
      <c r="AW907" s="103">
        <v>76</v>
      </c>
      <c r="AX907" s="103">
        <v>57</v>
      </c>
      <c r="AY907" s="103">
        <v>15</v>
      </c>
      <c r="AZ907" s="103">
        <v>2</v>
      </c>
      <c r="BA907" s="103">
        <v>0</v>
      </c>
      <c r="BB907" s="103">
        <v>0</v>
      </c>
      <c r="BC907" s="42"/>
      <c r="BD907" s="110"/>
      <c r="BE907" s="46" t="s">
        <v>5</v>
      </c>
      <c r="BF907" s="103">
        <v>28</v>
      </c>
      <c r="BG907" s="103">
        <v>84</v>
      </c>
      <c r="BH907" s="103">
        <v>185</v>
      </c>
      <c r="BI907" s="103">
        <v>308</v>
      </c>
      <c r="BJ907" s="103">
        <v>183</v>
      </c>
      <c r="BK907" s="103">
        <v>124</v>
      </c>
      <c r="BL907" s="103">
        <v>52</v>
      </c>
      <c r="BM907" s="103">
        <v>8</v>
      </c>
      <c r="BN907" s="103">
        <v>5</v>
      </c>
      <c r="BO907" s="103">
        <v>0</v>
      </c>
      <c r="BQ907" s="110"/>
      <c r="BR907" s="46" t="s">
        <v>5</v>
      </c>
      <c r="BS907" s="103">
        <v>24</v>
      </c>
      <c r="BT907" s="103">
        <v>58</v>
      </c>
      <c r="BU907" s="103">
        <v>120</v>
      </c>
      <c r="BV907" s="103">
        <v>144</v>
      </c>
      <c r="BW907" s="103">
        <v>65</v>
      </c>
      <c r="BX907" s="103">
        <v>48</v>
      </c>
      <c r="BY907" s="103">
        <v>13</v>
      </c>
      <c r="BZ907" s="103">
        <v>2</v>
      </c>
      <c r="CA907" s="103">
        <v>1</v>
      </c>
      <c r="CB907" s="103">
        <v>0</v>
      </c>
      <c r="CC907" s="42"/>
      <c r="CD907" s="110"/>
      <c r="CE907" s="46" t="s">
        <v>5</v>
      </c>
      <c r="CF907" s="103">
        <v>30</v>
      </c>
      <c r="CG907" s="103">
        <v>96</v>
      </c>
      <c r="CH907" s="103">
        <v>204</v>
      </c>
      <c r="CI907" s="103">
        <v>301</v>
      </c>
      <c r="CJ907" s="103">
        <v>194</v>
      </c>
      <c r="CK907" s="103">
        <v>133</v>
      </c>
      <c r="CL907" s="103">
        <v>54</v>
      </c>
      <c r="CM907" s="103">
        <v>8</v>
      </c>
      <c r="CN907" s="103">
        <v>4</v>
      </c>
      <c r="CO907" s="103">
        <v>0</v>
      </c>
      <c r="CQ907" s="110"/>
      <c r="CR907" s="46" t="s">
        <v>5</v>
      </c>
      <c r="CS907" s="103">
        <v>7</v>
      </c>
      <c r="CT907" s="103">
        <v>20</v>
      </c>
      <c r="CU907" s="103">
        <v>38</v>
      </c>
      <c r="CV907" s="103">
        <v>82</v>
      </c>
      <c r="CW907" s="103">
        <v>58</v>
      </c>
      <c r="CX907" s="103">
        <v>39</v>
      </c>
      <c r="CY907" s="103">
        <v>22</v>
      </c>
      <c r="CZ907" s="103">
        <v>2</v>
      </c>
      <c r="DA907" s="103">
        <v>1</v>
      </c>
      <c r="DB907" s="103">
        <v>0</v>
      </c>
      <c r="DC907" s="42"/>
      <c r="DD907" s="110"/>
      <c r="DE907" s="46" t="s">
        <v>5</v>
      </c>
      <c r="DF907" s="103">
        <v>47</v>
      </c>
      <c r="DG907" s="103">
        <v>134</v>
      </c>
      <c r="DH907" s="103">
        <v>286</v>
      </c>
      <c r="DI907" s="103">
        <v>363</v>
      </c>
      <c r="DJ907" s="103">
        <v>201</v>
      </c>
      <c r="DK907" s="103">
        <v>142</v>
      </c>
      <c r="DL907" s="103">
        <v>45</v>
      </c>
      <c r="DM907" s="103">
        <v>8</v>
      </c>
      <c r="DN907" s="103">
        <v>4</v>
      </c>
      <c r="DO907" s="103">
        <v>0</v>
      </c>
    </row>
    <row r="908" spans="2:119" ht="16.25" customHeight="1" x14ac:dyDescent="0.45">
      <c r="B908" s="134"/>
      <c r="C908" s="42"/>
      <c r="D908" s="110"/>
      <c r="E908" s="46" t="s">
        <v>6</v>
      </c>
      <c r="F908" s="103">
        <v>80</v>
      </c>
      <c r="G908" s="103">
        <v>234</v>
      </c>
      <c r="H908" s="103">
        <v>575</v>
      </c>
      <c r="I908" s="103">
        <v>902</v>
      </c>
      <c r="J908" s="103">
        <v>647</v>
      </c>
      <c r="K908" s="103">
        <v>524</v>
      </c>
      <c r="L908" s="103">
        <v>270</v>
      </c>
      <c r="M908" s="103">
        <v>72</v>
      </c>
      <c r="N908" s="103">
        <v>14</v>
      </c>
      <c r="O908" s="103">
        <v>4</v>
      </c>
      <c r="P908" s="42"/>
      <c r="Q908" s="110"/>
      <c r="R908" s="46" t="s">
        <v>6</v>
      </c>
      <c r="S908" s="103">
        <v>18</v>
      </c>
      <c r="T908" s="103">
        <v>49</v>
      </c>
      <c r="U908" s="103">
        <v>185</v>
      </c>
      <c r="V908" s="103">
        <v>371</v>
      </c>
      <c r="W908" s="103">
        <v>321</v>
      </c>
      <c r="X908" s="103">
        <v>319</v>
      </c>
      <c r="Y908" s="103">
        <v>194</v>
      </c>
      <c r="Z908" s="103">
        <v>54</v>
      </c>
      <c r="AA908" s="103">
        <v>10</v>
      </c>
      <c r="AB908" s="103">
        <v>3</v>
      </c>
      <c r="AC908" s="42"/>
      <c r="AD908" s="110"/>
      <c r="AE908" s="46" t="s">
        <v>6</v>
      </c>
      <c r="AF908" s="103">
        <v>62</v>
      </c>
      <c r="AG908" s="103">
        <v>185</v>
      </c>
      <c r="AH908" s="103">
        <v>390</v>
      </c>
      <c r="AI908" s="103">
        <v>531</v>
      </c>
      <c r="AJ908" s="103">
        <v>326</v>
      </c>
      <c r="AK908" s="103">
        <v>205</v>
      </c>
      <c r="AL908" s="103">
        <v>76</v>
      </c>
      <c r="AM908" s="103">
        <v>18</v>
      </c>
      <c r="AN908" s="103">
        <v>4</v>
      </c>
      <c r="AO908" s="103">
        <v>1</v>
      </c>
      <c r="AP908" s="6"/>
      <c r="AQ908" s="110"/>
      <c r="AR908" s="46" t="s">
        <v>6</v>
      </c>
      <c r="AS908" s="103">
        <v>42</v>
      </c>
      <c r="AT908" s="103">
        <v>92</v>
      </c>
      <c r="AU908" s="103">
        <v>225</v>
      </c>
      <c r="AV908" s="103">
        <v>301</v>
      </c>
      <c r="AW908" s="103">
        <v>190</v>
      </c>
      <c r="AX908" s="103">
        <v>140</v>
      </c>
      <c r="AY908" s="103">
        <v>63</v>
      </c>
      <c r="AZ908" s="103">
        <v>14</v>
      </c>
      <c r="BA908" s="103">
        <v>3</v>
      </c>
      <c r="BB908" s="103">
        <v>1</v>
      </c>
      <c r="BC908" s="42"/>
      <c r="BD908" s="110"/>
      <c r="BE908" s="46" t="s">
        <v>6</v>
      </c>
      <c r="BF908" s="103">
        <v>38</v>
      </c>
      <c r="BG908" s="103">
        <v>142</v>
      </c>
      <c r="BH908" s="103">
        <v>350</v>
      </c>
      <c r="BI908" s="103">
        <v>601</v>
      </c>
      <c r="BJ908" s="103">
        <v>457</v>
      </c>
      <c r="BK908" s="103">
        <v>384</v>
      </c>
      <c r="BL908" s="103">
        <v>207</v>
      </c>
      <c r="BM908" s="103">
        <v>58</v>
      </c>
      <c r="BN908" s="103">
        <v>11</v>
      </c>
      <c r="BO908" s="103">
        <v>3</v>
      </c>
      <c r="BQ908" s="110"/>
      <c r="BR908" s="46" t="s">
        <v>6</v>
      </c>
      <c r="BS908" s="103">
        <v>28</v>
      </c>
      <c r="BT908" s="103">
        <v>73</v>
      </c>
      <c r="BU908" s="103">
        <v>133</v>
      </c>
      <c r="BV908" s="103">
        <v>183</v>
      </c>
      <c r="BW908" s="103">
        <v>94</v>
      </c>
      <c r="BX908" s="103">
        <v>82</v>
      </c>
      <c r="BY908" s="103">
        <v>32</v>
      </c>
      <c r="BZ908" s="103">
        <v>2</v>
      </c>
      <c r="CA908" s="103">
        <v>2</v>
      </c>
      <c r="CB908" s="103">
        <v>1</v>
      </c>
      <c r="CC908" s="42"/>
      <c r="CD908" s="110"/>
      <c r="CE908" s="46" t="s">
        <v>6</v>
      </c>
      <c r="CF908" s="103">
        <v>52</v>
      </c>
      <c r="CG908" s="103">
        <v>161</v>
      </c>
      <c r="CH908" s="103">
        <v>442</v>
      </c>
      <c r="CI908" s="103">
        <v>719</v>
      </c>
      <c r="CJ908" s="103">
        <v>553</v>
      </c>
      <c r="CK908" s="103">
        <v>442</v>
      </c>
      <c r="CL908" s="103">
        <v>238</v>
      </c>
      <c r="CM908" s="103">
        <v>70</v>
      </c>
      <c r="CN908" s="103">
        <v>12</v>
      </c>
      <c r="CO908" s="103">
        <v>3</v>
      </c>
      <c r="CQ908" s="110"/>
      <c r="CR908" s="46" t="s">
        <v>6</v>
      </c>
      <c r="CS908" s="103">
        <v>15</v>
      </c>
      <c r="CT908" s="103">
        <v>28</v>
      </c>
      <c r="CU908" s="103">
        <v>74</v>
      </c>
      <c r="CV908" s="103">
        <v>135</v>
      </c>
      <c r="CW908" s="103">
        <v>114</v>
      </c>
      <c r="CX908" s="103">
        <v>84</v>
      </c>
      <c r="CY908" s="103">
        <v>70</v>
      </c>
      <c r="CZ908" s="103">
        <v>20</v>
      </c>
      <c r="DA908" s="103">
        <v>4</v>
      </c>
      <c r="DB908" s="103">
        <v>2</v>
      </c>
      <c r="DC908" s="42"/>
      <c r="DD908" s="110"/>
      <c r="DE908" s="46" t="s">
        <v>6</v>
      </c>
      <c r="DF908" s="103">
        <v>65</v>
      </c>
      <c r="DG908" s="103">
        <v>206</v>
      </c>
      <c r="DH908" s="103">
        <v>501</v>
      </c>
      <c r="DI908" s="103">
        <v>767</v>
      </c>
      <c r="DJ908" s="103">
        <v>533</v>
      </c>
      <c r="DK908" s="103">
        <v>440</v>
      </c>
      <c r="DL908" s="103">
        <v>200</v>
      </c>
      <c r="DM908" s="103">
        <v>52</v>
      </c>
      <c r="DN908" s="103">
        <v>10</v>
      </c>
      <c r="DO908" s="103">
        <v>2</v>
      </c>
    </row>
    <row r="909" spans="2:119" ht="16.25" customHeight="1" x14ac:dyDescent="0.45">
      <c r="B909" s="134"/>
      <c r="C909" s="42"/>
      <c r="D909" s="110"/>
      <c r="E909" s="46" t="s">
        <v>7</v>
      </c>
      <c r="F909" s="103">
        <v>101</v>
      </c>
      <c r="G909" s="103">
        <v>314</v>
      </c>
      <c r="H909" s="103">
        <v>781</v>
      </c>
      <c r="I909" s="103">
        <v>1405</v>
      </c>
      <c r="J909" s="103">
        <v>1190</v>
      </c>
      <c r="K909" s="103">
        <v>1125</v>
      </c>
      <c r="L909" s="103">
        <v>742</v>
      </c>
      <c r="M909" s="103">
        <v>282</v>
      </c>
      <c r="N909" s="103">
        <v>94</v>
      </c>
      <c r="O909" s="103">
        <v>24</v>
      </c>
      <c r="P909" s="42"/>
      <c r="Q909" s="110"/>
      <c r="R909" s="46" t="s">
        <v>7</v>
      </c>
      <c r="S909" s="103">
        <v>27</v>
      </c>
      <c r="T909" s="103">
        <v>57</v>
      </c>
      <c r="U909" s="103">
        <v>177</v>
      </c>
      <c r="V909" s="103">
        <v>489</v>
      </c>
      <c r="W909" s="103">
        <v>558</v>
      </c>
      <c r="X909" s="103">
        <v>610</v>
      </c>
      <c r="Y909" s="103">
        <v>474</v>
      </c>
      <c r="Z909" s="103">
        <v>195</v>
      </c>
      <c r="AA909" s="103">
        <v>68</v>
      </c>
      <c r="AB909" s="103">
        <v>19</v>
      </c>
      <c r="AC909" s="42"/>
      <c r="AD909" s="110"/>
      <c r="AE909" s="46" t="s">
        <v>7</v>
      </c>
      <c r="AF909" s="103">
        <v>74</v>
      </c>
      <c r="AG909" s="103">
        <v>257</v>
      </c>
      <c r="AH909" s="103">
        <v>604</v>
      </c>
      <c r="AI909" s="103">
        <v>916</v>
      </c>
      <c r="AJ909" s="103">
        <v>632</v>
      </c>
      <c r="AK909" s="103">
        <v>515</v>
      </c>
      <c r="AL909" s="103">
        <v>268</v>
      </c>
      <c r="AM909" s="103">
        <v>87</v>
      </c>
      <c r="AN909" s="103">
        <v>26</v>
      </c>
      <c r="AO909" s="103">
        <v>5</v>
      </c>
      <c r="AP909" s="6"/>
      <c r="AQ909" s="110"/>
      <c r="AR909" s="46" t="s">
        <v>7</v>
      </c>
      <c r="AS909" s="103">
        <v>51</v>
      </c>
      <c r="AT909" s="103">
        <v>128</v>
      </c>
      <c r="AU909" s="103">
        <v>283</v>
      </c>
      <c r="AV909" s="103">
        <v>411</v>
      </c>
      <c r="AW909" s="103">
        <v>340</v>
      </c>
      <c r="AX909" s="103">
        <v>272</v>
      </c>
      <c r="AY909" s="103">
        <v>150</v>
      </c>
      <c r="AZ909" s="103">
        <v>58</v>
      </c>
      <c r="BA909" s="103">
        <v>16</v>
      </c>
      <c r="BB909" s="103">
        <v>4</v>
      </c>
      <c r="BC909" s="42"/>
      <c r="BD909" s="110"/>
      <c r="BE909" s="46" t="s">
        <v>7</v>
      </c>
      <c r="BF909" s="103">
        <v>50</v>
      </c>
      <c r="BG909" s="103">
        <v>186</v>
      </c>
      <c r="BH909" s="103">
        <v>498</v>
      </c>
      <c r="BI909" s="103">
        <v>994</v>
      </c>
      <c r="BJ909" s="103">
        <v>850</v>
      </c>
      <c r="BK909" s="103">
        <v>853</v>
      </c>
      <c r="BL909" s="103">
        <v>592</v>
      </c>
      <c r="BM909" s="103">
        <v>224</v>
      </c>
      <c r="BN909" s="103">
        <v>78</v>
      </c>
      <c r="BO909" s="103">
        <v>20</v>
      </c>
      <c r="BQ909" s="110"/>
      <c r="BR909" s="46" t="s">
        <v>7</v>
      </c>
      <c r="BS909" s="103">
        <v>25</v>
      </c>
      <c r="BT909" s="103">
        <v>64</v>
      </c>
      <c r="BU909" s="103">
        <v>155</v>
      </c>
      <c r="BV909" s="103">
        <v>200</v>
      </c>
      <c r="BW909" s="103">
        <v>128</v>
      </c>
      <c r="BX909" s="103">
        <v>106</v>
      </c>
      <c r="BY909" s="103">
        <v>69</v>
      </c>
      <c r="BZ909" s="103">
        <v>26</v>
      </c>
      <c r="CA909" s="103">
        <v>7</v>
      </c>
      <c r="CB909" s="103">
        <v>3</v>
      </c>
      <c r="CC909" s="42"/>
      <c r="CD909" s="110"/>
      <c r="CE909" s="46" t="s">
        <v>7</v>
      </c>
      <c r="CF909" s="103">
        <v>76</v>
      </c>
      <c r="CG909" s="103">
        <v>250</v>
      </c>
      <c r="CH909" s="103">
        <v>626</v>
      </c>
      <c r="CI909" s="103">
        <v>1205</v>
      </c>
      <c r="CJ909" s="103">
        <v>1062</v>
      </c>
      <c r="CK909" s="103">
        <v>1019</v>
      </c>
      <c r="CL909" s="103">
        <v>673</v>
      </c>
      <c r="CM909" s="103">
        <v>256</v>
      </c>
      <c r="CN909" s="103">
        <v>87</v>
      </c>
      <c r="CO909" s="103">
        <v>21</v>
      </c>
      <c r="CQ909" s="110"/>
      <c r="CR909" s="46" t="s">
        <v>7</v>
      </c>
      <c r="CS909" s="103">
        <v>6</v>
      </c>
      <c r="CT909" s="103">
        <v>36</v>
      </c>
      <c r="CU909" s="103">
        <v>104</v>
      </c>
      <c r="CV909" s="103">
        <v>207</v>
      </c>
      <c r="CW909" s="103">
        <v>187</v>
      </c>
      <c r="CX909" s="103">
        <v>195</v>
      </c>
      <c r="CY909" s="103">
        <v>134</v>
      </c>
      <c r="CZ909" s="103">
        <v>53</v>
      </c>
      <c r="DA909" s="103">
        <v>23</v>
      </c>
      <c r="DB909" s="103">
        <v>8</v>
      </c>
      <c r="DC909" s="42"/>
      <c r="DD909" s="110"/>
      <c r="DE909" s="46" t="s">
        <v>7</v>
      </c>
      <c r="DF909" s="103">
        <v>95</v>
      </c>
      <c r="DG909" s="103">
        <v>278</v>
      </c>
      <c r="DH909" s="103">
        <v>677</v>
      </c>
      <c r="DI909" s="103">
        <v>1198</v>
      </c>
      <c r="DJ909" s="103">
        <v>1003</v>
      </c>
      <c r="DK909" s="103">
        <v>930</v>
      </c>
      <c r="DL909" s="103">
        <v>608</v>
      </c>
      <c r="DM909" s="103">
        <v>229</v>
      </c>
      <c r="DN909" s="103">
        <v>71</v>
      </c>
      <c r="DO909" s="103">
        <v>16</v>
      </c>
    </row>
    <row r="910" spans="2:119" ht="16.25" customHeight="1" x14ac:dyDescent="0.45">
      <c r="B910" s="134"/>
      <c r="C910" s="42"/>
      <c r="D910" s="110"/>
      <c r="E910" s="46" t="s">
        <v>8</v>
      </c>
      <c r="F910" s="103">
        <v>76</v>
      </c>
      <c r="G910" s="103">
        <v>273</v>
      </c>
      <c r="H910" s="103">
        <v>628</v>
      </c>
      <c r="I910" s="103">
        <v>1320</v>
      </c>
      <c r="J910" s="103">
        <v>1483</v>
      </c>
      <c r="K910" s="103">
        <v>1690</v>
      </c>
      <c r="L910" s="103">
        <v>1365</v>
      </c>
      <c r="M910" s="103">
        <v>657</v>
      </c>
      <c r="N910" s="103">
        <v>280</v>
      </c>
      <c r="O910" s="103">
        <v>80</v>
      </c>
      <c r="P910" s="42"/>
      <c r="Q910" s="110"/>
      <c r="R910" s="46" t="s">
        <v>8</v>
      </c>
      <c r="S910" s="103">
        <v>18</v>
      </c>
      <c r="T910" s="103">
        <v>58</v>
      </c>
      <c r="U910" s="103">
        <v>149</v>
      </c>
      <c r="V910" s="103">
        <v>432</v>
      </c>
      <c r="W910" s="103">
        <v>567</v>
      </c>
      <c r="X910" s="103">
        <v>877</v>
      </c>
      <c r="Y910" s="103">
        <v>808</v>
      </c>
      <c r="Z910" s="103">
        <v>477</v>
      </c>
      <c r="AA910" s="103">
        <v>223</v>
      </c>
      <c r="AB910" s="103">
        <v>66</v>
      </c>
      <c r="AC910" s="42"/>
      <c r="AD910" s="110"/>
      <c r="AE910" s="46" t="s">
        <v>8</v>
      </c>
      <c r="AF910" s="103">
        <v>58</v>
      </c>
      <c r="AG910" s="103">
        <v>215</v>
      </c>
      <c r="AH910" s="103">
        <v>479</v>
      </c>
      <c r="AI910" s="103">
        <v>888</v>
      </c>
      <c r="AJ910" s="103">
        <v>916</v>
      </c>
      <c r="AK910" s="103">
        <v>813</v>
      </c>
      <c r="AL910" s="103">
        <v>557</v>
      </c>
      <c r="AM910" s="103">
        <v>180</v>
      </c>
      <c r="AN910" s="103">
        <v>57</v>
      </c>
      <c r="AO910" s="103">
        <v>14</v>
      </c>
      <c r="AP910" s="6"/>
      <c r="AQ910" s="110"/>
      <c r="AR910" s="46" t="s">
        <v>8</v>
      </c>
      <c r="AS910" s="103">
        <v>40</v>
      </c>
      <c r="AT910" s="103">
        <v>120</v>
      </c>
      <c r="AU910" s="103">
        <v>218</v>
      </c>
      <c r="AV910" s="103">
        <v>381</v>
      </c>
      <c r="AW910" s="103">
        <v>380</v>
      </c>
      <c r="AX910" s="103">
        <v>384</v>
      </c>
      <c r="AY910" s="103">
        <v>276</v>
      </c>
      <c r="AZ910" s="103">
        <v>118</v>
      </c>
      <c r="BA910" s="103">
        <v>51</v>
      </c>
      <c r="BB910" s="103">
        <v>10</v>
      </c>
      <c r="BC910" s="42"/>
      <c r="BD910" s="110"/>
      <c r="BE910" s="46" t="s">
        <v>8</v>
      </c>
      <c r="BF910" s="103">
        <v>36</v>
      </c>
      <c r="BG910" s="103">
        <v>153</v>
      </c>
      <c r="BH910" s="103">
        <v>410</v>
      </c>
      <c r="BI910" s="103">
        <v>939</v>
      </c>
      <c r="BJ910" s="103">
        <v>1103</v>
      </c>
      <c r="BK910" s="103">
        <v>1306</v>
      </c>
      <c r="BL910" s="103">
        <v>1089</v>
      </c>
      <c r="BM910" s="103">
        <v>539</v>
      </c>
      <c r="BN910" s="103">
        <v>229</v>
      </c>
      <c r="BO910" s="103">
        <v>70</v>
      </c>
      <c r="BQ910" s="110"/>
      <c r="BR910" s="46" t="s">
        <v>8</v>
      </c>
      <c r="BS910" s="103">
        <v>20</v>
      </c>
      <c r="BT910" s="103">
        <v>50</v>
      </c>
      <c r="BU910" s="103">
        <v>94</v>
      </c>
      <c r="BV910" s="103">
        <v>152</v>
      </c>
      <c r="BW910" s="103">
        <v>128</v>
      </c>
      <c r="BX910" s="103">
        <v>116</v>
      </c>
      <c r="BY910" s="103">
        <v>94</v>
      </c>
      <c r="BZ910" s="103">
        <v>30</v>
      </c>
      <c r="CA910" s="103">
        <v>19</v>
      </c>
      <c r="CB910" s="103">
        <v>4</v>
      </c>
      <c r="CC910" s="42"/>
      <c r="CD910" s="110"/>
      <c r="CE910" s="46" t="s">
        <v>8</v>
      </c>
      <c r="CF910" s="103">
        <v>56</v>
      </c>
      <c r="CG910" s="103">
        <v>223</v>
      </c>
      <c r="CH910" s="103">
        <v>534</v>
      </c>
      <c r="CI910" s="103">
        <v>1168</v>
      </c>
      <c r="CJ910" s="103">
        <v>1355</v>
      </c>
      <c r="CK910" s="103">
        <v>1574</v>
      </c>
      <c r="CL910" s="103">
        <v>1271</v>
      </c>
      <c r="CM910" s="103">
        <v>627</v>
      </c>
      <c r="CN910" s="103">
        <v>261</v>
      </c>
      <c r="CO910" s="103">
        <v>76</v>
      </c>
      <c r="CQ910" s="110"/>
      <c r="CR910" s="46" t="s">
        <v>8</v>
      </c>
      <c r="CS910" s="103">
        <v>8</v>
      </c>
      <c r="CT910" s="103">
        <v>19</v>
      </c>
      <c r="CU910" s="103">
        <v>65</v>
      </c>
      <c r="CV910" s="103">
        <v>156</v>
      </c>
      <c r="CW910" s="103">
        <v>171</v>
      </c>
      <c r="CX910" s="103">
        <v>234</v>
      </c>
      <c r="CY910" s="103">
        <v>211</v>
      </c>
      <c r="CZ910" s="103">
        <v>101</v>
      </c>
      <c r="DA910" s="103">
        <v>28</v>
      </c>
      <c r="DB910" s="103">
        <v>14</v>
      </c>
      <c r="DC910" s="42"/>
      <c r="DD910" s="110"/>
      <c r="DE910" s="46" t="s">
        <v>8</v>
      </c>
      <c r="DF910" s="103">
        <v>68</v>
      </c>
      <c r="DG910" s="103">
        <v>254</v>
      </c>
      <c r="DH910" s="103">
        <v>563</v>
      </c>
      <c r="DI910" s="103">
        <v>1164</v>
      </c>
      <c r="DJ910" s="103">
        <v>1312</v>
      </c>
      <c r="DK910" s="103">
        <v>1456</v>
      </c>
      <c r="DL910" s="103">
        <v>1154</v>
      </c>
      <c r="DM910" s="103">
        <v>556</v>
      </c>
      <c r="DN910" s="103">
        <v>252</v>
      </c>
      <c r="DO910" s="103">
        <v>66</v>
      </c>
    </row>
    <row r="911" spans="2:119" ht="16.25" customHeight="1" x14ac:dyDescent="0.45">
      <c r="B911" s="134"/>
      <c r="C911" s="42"/>
      <c r="D911" s="110"/>
      <c r="E911" s="46" t="s">
        <v>9</v>
      </c>
      <c r="F911" s="103">
        <v>48</v>
      </c>
      <c r="G911" s="103">
        <v>115</v>
      </c>
      <c r="H911" s="103">
        <v>262</v>
      </c>
      <c r="I911" s="103">
        <v>734</v>
      </c>
      <c r="J911" s="103">
        <v>1003</v>
      </c>
      <c r="K911" s="103">
        <v>1507</v>
      </c>
      <c r="L911" s="103">
        <v>1571</v>
      </c>
      <c r="M911" s="103">
        <v>959</v>
      </c>
      <c r="N911" s="103">
        <v>532</v>
      </c>
      <c r="O911" s="103">
        <v>221</v>
      </c>
      <c r="P911" s="42"/>
      <c r="Q911" s="110"/>
      <c r="R911" s="46" t="s">
        <v>9</v>
      </c>
      <c r="S911" s="103">
        <v>12</v>
      </c>
      <c r="T911" s="103">
        <v>19</v>
      </c>
      <c r="U911" s="103">
        <v>46</v>
      </c>
      <c r="V911" s="103">
        <v>145</v>
      </c>
      <c r="W911" s="103">
        <v>322</v>
      </c>
      <c r="X911" s="103">
        <v>603</v>
      </c>
      <c r="Y911" s="103">
        <v>854</v>
      </c>
      <c r="Z911" s="103">
        <v>621</v>
      </c>
      <c r="AA911" s="103">
        <v>396</v>
      </c>
      <c r="AB911" s="103">
        <v>181</v>
      </c>
      <c r="AC911" s="42"/>
      <c r="AD911" s="110"/>
      <c r="AE911" s="46" t="s">
        <v>9</v>
      </c>
      <c r="AF911" s="103">
        <v>36</v>
      </c>
      <c r="AG911" s="103">
        <v>96</v>
      </c>
      <c r="AH911" s="103">
        <v>216</v>
      </c>
      <c r="AI911" s="103">
        <v>589</v>
      </c>
      <c r="AJ911" s="103">
        <v>681</v>
      </c>
      <c r="AK911" s="103">
        <v>904</v>
      </c>
      <c r="AL911" s="103">
        <v>717</v>
      </c>
      <c r="AM911" s="103">
        <v>338</v>
      </c>
      <c r="AN911" s="103">
        <v>136</v>
      </c>
      <c r="AO911" s="103">
        <v>40</v>
      </c>
      <c r="AP911" s="6"/>
      <c r="AQ911" s="110"/>
      <c r="AR911" s="46" t="s">
        <v>9</v>
      </c>
      <c r="AS911" s="103">
        <v>20</v>
      </c>
      <c r="AT911" s="103">
        <v>40</v>
      </c>
      <c r="AU911" s="103">
        <v>80</v>
      </c>
      <c r="AV911" s="103">
        <v>198</v>
      </c>
      <c r="AW911" s="103">
        <v>233</v>
      </c>
      <c r="AX911" s="103">
        <v>286</v>
      </c>
      <c r="AY911" s="103">
        <v>248</v>
      </c>
      <c r="AZ911" s="103">
        <v>141</v>
      </c>
      <c r="BA911" s="103">
        <v>69</v>
      </c>
      <c r="BB911" s="103">
        <v>29</v>
      </c>
      <c r="BC911" s="42"/>
      <c r="BD911" s="110"/>
      <c r="BE911" s="46" t="s">
        <v>9</v>
      </c>
      <c r="BF911" s="103">
        <v>28</v>
      </c>
      <c r="BG911" s="103">
        <v>75</v>
      </c>
      <c r="BH911" s="103">
        <v>182</v>
      </c>
      <c r="BI911" s="103">
        <v>536</v>
      </c>
      <c r="BJ911" s="103">
        <v>770</v>
      </c>
      <c r="BK911" s="103">
        <v>1221</v>
      </c>
      <c r="BL911" s="103">
        <v>1323</v>
      </c>
      <c r="BM911" s="103">
        <v>818</v>
      </c>
      <c r="BN911" s="103">
        <v>463</v>
      </c>
      <c r="BO911" s="103">
        <v>192</v>
      </c>
      <c r="BQ911" s="110"/>
      <c r="BR911" s="46" t="s">
        <v>9</v>
      </c>
      <c r="BS911" s="103">
        <v>7</v>
      </c>
      <c r="BT911" s="103">
        <v>20</v>
      </c>
      <c r="BU911" s="103">
        <v>23</v>
      </c>
      <c r="BV911" s="103">
        <v>66</v>
      </c>
      <c r="BW911" s="103">
        <v>77</v>
      </c>
      <c r="BX911" s="103">
        <v>96</v>
      </c>
      <c r="BY911" s="103">
        <v>78</v>
      </c>
      <c r="BZ911" s="103">
        <v>35</v>
      </c>
      <c r="CA911" s="103">
        <v>21</v>
      </c>
      <c r="CB911" s="103">
        <v>9</v>
      </c>
      <c r="CC911" s="42"/>
      <c r="CD911" s="110"/>
      <c r="CE911" s="46" t="s">
        <v>9</v>
      </c>
      <c r="CF911" s="103">
        <v>41</v>
      </c>
      <c r="CG911" s="103">
        <v>95</v>
      </c>
      <c r="CH911" s="103">
        <v>239</v>
      </c>
      <c r="CI911" s="103">
        <v>668</v>
      </c>
      <c r="CJ911" s="103">
        <v>926</v>
      </c>
      <c r="CK911" s="103">
        <v>1411</v>
      </c>
      <c r="CL911" s="103">
        <v>1493</v>
      </c>
      <c r="CM911" s="103">
        <v>924</v>
      </c>
      <c r="CN911" s="103">
        <v>511</v>
      </c>
      <c r="CO911" s="103">
        <v>212</v>
      </c>
      <c r="CQ911" s="110"/>
      <c r="CR911" s="46" t="s">
        <v>9</v>
      </c>
      <c r="CS911" s="103">
        <v>5</v>
      </c>
      <c r="CT911" s="103">
        <v>10</v>
      </c>
      <c r="CU911" s="103">
        <v>25</v>
      </c>
      <c r="CV911" s="103">
        <v>87</v>
      </c>
      <c r="CW911" s="103">
        <v>96</v>
      </c>
      <c r="CX911" s="103">
        <v>148</v>
      </c>
      <c r="CY911" s="103">
        <v>184</v>
      </c>
      <c r="CZ911" s="103">
        <v>113</v>
      </c>
      <c r="DA911" s="103">
        <v>64</v>
      </c>
      <c r="DB911" s="103">
        <v>25</v>
      </c>
      <c r="DC911" s="42"/>
      <c r="DD911" s="110"/>
      <c r="DE911" s="46" t="s">
        <v>9</v>
      </c>
      <c r="DF911" s="103">
        <v>43</v>
      </c>
      <c r="DG911" s="103">
        <v>105</v>
      </c>
      <c r="DH911" s="103">
        <v>237</v>
      </c>
      <c r="DI911" s="103">
        <v>647</v>
      </c>
      <c r="DJ911" s="103">
        <v>907</v>
      </c>
      <c r="DK911" s="103">
        <v>1359</v>
      </c>
      <c r="DL911" s="103">
        <v>1387</v>
      </c>
      <c r="DM911" s="103">
        <v>846</v>
      </c>
      <c r="DN911" s="103">
        <v>468</v>
      </c>
      <c r="DO911" s="103">
        <v>196</v>
      </c>
    </row>
    <row r="912" spans="2:119" ht="16.25" customHeight="1" x14ac:dyDescent="0.45">
      <c r="B912" s="134"/>
      <c r="C912" s="42"/>
      <c r="D912" s="110"/>
      <c r="E912" s="46" t="s">
        <v>10</v>
      </c>
      <c r="F912" s="103">
        <v>14</v>
      </c>
      <c r="G912" s="103">
        <v>39</v>
      </c>
      <c r="H912" s="103">
        <v>85</v>
      </c>
      <c r="I912" s="103">
        <v>260</v>
      </c>
      <c r="J912" s="103">
        <v>399</v>
      </c>
      <c r="K912" s="103">
        <v>717</v>
      </c>
      <c r="L912" s="103">
        <v>1010</v>
      </c>
      <c r="M912" s="103">
        <v>855</v>
      </c>
      <c r="N912" s="103">
        <v>653</v>
      </c>
      <c r="O912" s="103">
        <v>445</v>
      </c>
      <c r="P912" s="42"/>
      <c r="Q912" s="110"/>
      <c r="R912" s="46" t="s">
        <v>10</v>
      </c>
      <c r="S912" s="103">
        <v>5</v>
      </c>
      <c r="T912" s="103">
        <v>4</v>
      </c>
      <c r="U912" s="103">
        <v>9</v>
      </c>
      <c r="V912" s="103">
        <v>43</v>
      </c>
      <c r="W912" s="103">
        <v>90</v>
      </c>
      <c r="X912" s="103">
        <v>232</v>
      </c>
      <c r="Y912" s="103">
        <v>449</v>
      </c>
      <c r="Z912" s="103">
        <v>505</v>
      </c>
      <c r="AA912" s="103">
        <v>445</v>
      </c>
      <c r="AB912" s="103">
        <v>345</v>
      </c>
      <c r="AC912" s="42"/>
      <c r="AD912" s="110"/>
      <c r="AE912" s="46" t="s">
        <v>10</v>
      </c>
      <c r="AF912" s="103">
        <v>9</v>
      </c>
      <c r="AG912" s="103">
        <v>35</v>
      </c>
      <c r="AH912" s="103">
        <v>76</v>
      </c>
      <c r="AI912" s="103">
        <v>217</v>
      </c>
      <c r="AJ912" s="103">
        <v>309</v>
      </c>
      <c r="AK912" s="103">
        <v>485</v>
      </c>
      <c r="AL912" s="103">
        <v>561</v>
      </c>
      <c r="AM912" s="103">
        <v>350</v>
      </c>
      <c r="AN912" s="103">
        <v>208</v>
      </c>
      <c r="AO912" s="103">
        <v>100</v>
      </c>
      <c r="AP912" s="6"/>
      <c r="AQ912" s="110"/>
      <c r="AR912" s="46" t="s">
        <v>10</v>
      </c>
      <c r="AS912" s="103">
        <v>8</v>
      </c>
      <c r="AT912" s="103">
        <v>15</v>
      </c>
      <c r="AU912" s="103">
        <v>31</v>
      </c>
      <c r="AV912" s="103">
        <v>67</v>
      </c>
      <c r="AW912" s="103">
        <v>84</v>
      </c>
      <c r="AX912" s="103">
        <v>121</v>
      </c>
      <c r="AY912" s="103">
        <v>125</v>
      </c>
      <c r="AZ912" s="103">
        <v>119</v>
      </c>
      <c r="BA912" s="103">
        <v>73</v>
      </c>
      <c r="BB912" s="103">
        <v>45</v>
      </c>
      <c r="BC912" s="42"/>
      <c r="BD912" s="110"/>
      <c r="BE912" s="46" t="s">
        <v>10</v>
      </c>
      <c r="BF912" s="103">
        <v>6</v>
      </c>
      <c r="BG912" s="103">
        <v>24</v>
      </c>
      <c r="BH912" s="103">
        <v>54</v>
      </c>
      <c r="BI912" s="103">
        <v>193</v>
      </c>
      <c r="BJ912" s="103">
        <v>315</v>
      </c>
      <c r="BK912" s="103">
        <v>596</v>
      </c>
      <c r="BL912" s="103">
        <v>885</v>
      </c>
      <c r="BM912" s="103">
        <v>736</v>
      </c>
      <c r="BN912" s="103">
        <v>580</v>
      </c>
      <c r="BO912" s="103">
        <v>400</v>
      </c>
      <c r="BQ912" s="110"/>
      <c r="BR912" s="46" t="s">
        <v>10</v>
      </c>
      <c r="BS912" s="103">
        <v>2</v>
      </c>
      <c r="BT912" s="103">
        <v>3</v>
      </c>
      <c r="BU912" s="103">
        <v>6</v>
      </c>
      <c r="BV912" s="103">
        <v>18</v>
      </c>
      <c r="BW912" s="103">
        <v>30</v>
      </c>
      <c r="BX912" s="103">
        <v>34</v>
      </c>
      <c r="BY912" s="103">
        <v>32</v>
      </c>
      <c r="BZ912" s="103">
        <v>27</v>
      </c>
      <c r="CA912" s="103">
        <v>22</v>
      </c>
      <c r="CB912" s="103">
        <v>8</v>
      </c>
      <c r="CC912" s="42"/>
      <c r="CD912" s="110"/>
      <c r="CE912" s="46" t="s">
        <v>10</v>
      </c>
      <c r="CF912" s="103">
        <v>12</v>
      </c>
      <c r="CG912" s="103">
        <v>36</v>
      </c>
      <c r="CH912" s="103">
        <v>79</v>
      </c>
      <c r="CI912" s="103">
        <v>242</v>
      </c>
      <c r="CJ912" s="103">
        <v>369</v>
      </c>
      <c r="CK912" s="103">
        <v>683</v>
      </c>
      <c r="CL912" s="103">
        <v>978</v>
      </c>
      <c r="CM912" s="103">
        <v>828</v>
      </c>
      <c r="CN912" s="103">
        <v>631</v>
      </c>
      <c r="CO912" s="103">
        <v>437</v>
      </c>
      <c r="CQ912" s="110"/>
      <c r="CR912" s="46" t="s">
        <v>10</v>
      </c>
      <c r="CS912" s="103">
        <v>1</v>
      </c>
      <c r="CT912" s="103">
        <v>5</v>
      </c>
      <c r="CU912" s="103">
        <v>8</v>
      </c>
      <c r="CV912" s="103">
        <v>26</v>
      </c>
      <c r="CW912" s="103">
        <v>37</v>
      </c>
      <c r="CX912" s="103">
        <v>59</v>
      </c>
      <c r="CY912" s="103">
        <v>102</v>
      </c>
      <c r="CZ912" s="103">
        <v>89</v>
      </c>
      <c r="DA912" s="103">
        <v>62</v>
      </c>
      <c r="DB912" s="103">
        <v>51</v>
      </c>
      <c r="DC912" s="42"/>
      <c r="DD912" s="110"/>
      <c r="DE912" s="46" t="s">
        <v>10</v>
      </c>
      <c r="DF912" s="103">
        <v>13</v>
      </c>
      <c r="DG912" s="103">
        <v>34</v>
      </c>
      <c r="DH912" s="103">
        <v>77</v>
      </c>
      <c r="DI912" s="103">
        <v>234</v>
      </c>
      <c r="DJ912" s="103">
        <v>362</v>
      </c>
      <c r="DK912" s="103">
        <v>658</v>
      </c>
      <c r="DL912" s="103">
        <v>908</v>
      </c>
      <c r="DM912" s="103">
        <v>766</v>
      </c>
      <c r="DN912" s="103">
        <v>591</v>
      </c>
      <c r="DO912" s="103">
        <v>394</v>
      </c>
    </row>
    <row r="913" spans="2:119" ht="16.25" customHeight="1" x14ac:dyDescent="0.45">
      <c r="B913" s="134"/>
      <c r="C913" s="42"/>
      <c r="D913" s="111"/>
      <c r="E913" s="46" t="s">
        <v>11</v>
      </c>
      <c r="F913" s="103">
        <v>1</v>
      </c>
      <c r="G913" s="103">
        <v>5</v>
      </c>
      <c r="H913" s="103">
        <v>7</v>
      </c>
      <c r="I913" s="103">
        <v>9</v>
      </c>
      <c r="J913" s="103">
        <v>27</v>
      </c>
      <c r="K913" s="103">
        <v>64</v>
      </c>
      <c r="L913" s="103">
        <v>129</v>
      </c>
      <c r="M913" s="103">
        <v>123</v>
      </c>
      <c r="N913" s="103">
        <v>173</v>
      </c>
      <c r="O913" s="103">
        <v>145</v>
      </c>
      <c r="P913" s="42"/>
      <c r="Q913" s="111"/>
      <c r="R913" s="46" t="s">
        <v>11</v>
      </c>
      <c r="S913" s="103">
        <v>1</v>
      </c>
      <c r="T913" s="103">
        <v>0</v>
      </c>
      <c r="U913" s="103">
        <v>2</v>
      </c>
      <c r="V913" s="103">
        <v>3</v>
      </c>
      <c r="W913" s="103">
        <v>2</v>
      </c>
      <c r="X913" s="103">
        <v>15</v>
      </c>
      <c r="Y913" s="103">
        <v>50</v>
      </c>
      <c r="Z913" s="103">
        <v>62</v>
      </c>
      <c r="AA913" s="103">
        <v>111</v>
      </c>
      <c r="AB913" s="103">
        <v>105</v>
      </c>
      <c r="AC913" s="42"/>
      <c r="AD913" s="111"/>
      <c r="AE913" s="46" t="s">
        <v>11</v>
      </c>
      <c r="AF913" s="103">
        <v>0</v>
      </c>
      <c r="AG913" s="103">
        <v>5</v>
      </c>
      <c r="AH913" s="103">
        <v>5</v>
      </c>
      <c r="AI913" s="103">
        <v>6</v>
      </c>
      <c r="AJ913" s="103">
        <v>25</v>
      </c>
      <c r="AK913" s="103">
        <v>49</v>
      </c>
      <c r="AL913" s="103">
        <v>79</v>
      </c>
      <c r="AM913" s="103">
        <v>61</v>
      </c>
      <c r="AN913" s="103">
        <v>62</v>
      </c>
      <c r="AO913" s="103">
        <v>40</v>
      </c>
      <c r="AP913" s="6"/>
      <c r="AQ913" s="111"/>
      <c r="AR913" s="46" t="s">
        <v>11</v>
      </c>
      <c r="AS913" s="103">
        <v>0</v>
      </c>
      <c r="AT913" s="103">
        <v>1</v>
      </c>
      <c r="AU913" s="103">
        <v>1</v>
      </c>
      <c r="AV913" s="103">
        <v>4</v>
      </c>
      <c r="AW913" s="103">
        <v>3</v>
      </c>
      <c r="AX913" s="103">
        <v>12</v>
      </c>
      <c r="AY913" s="103">
        <v>10</v>
      </c>
      <c r="AZ913" s="103">
        <v>14</v>
      </c>
      <c r="BA913" s="103">
        <v>19</v>
      </c>
      <c r="BB913" s="103">
        <v>12</v>
      </c>
      <c r="BC913" s="42"/>
      <c r="BD913" s="111"/>
      <c r="BE913" s="46" t="s">
        <v>11</v>
      </c>
      <c r="BF913" s="103">
        <v>1</v>
      </c>
      <c r="BG913" s="103">
        <v>4</v>
      </c>
      <c r="BH913" s="103">
        <v>6</v>
      </c>
      <c r="BI913" s="103">
        <v>5</v>
      </c>
      <c r="BJ913" s="103">
        <v>24</v>
      </c>
      <c r="BK913" s="103">
        <v>52</v>
      </c>
      <c r="BL913" s="103">
        <v>119</v>
      </c>
      <c r="BM913" s="103">
        <v>109</v>
      </c>
      <c r="BN913" s="103">
        <v>154</v>
      </c>
      <c r="BO913" s="103">
        <v>133</v>
      </c>
      <c r="BQ913" s="111"/>
      <c r="BR913" s="46" t="s">
        <v>11</v>
      </c>
      <c r="BS913" s="103">
        <v>0</v>
      </c>
      <c r="BT913" s="103">
        <v>1</v>
      </c>
      <c r="BU913" s="103">
        <v>2</v>
      </c>
      <c r="BV913" s="103">
        <v>2</v>
      </c>
      <c r="BW913" s="103">
        <v>4</v>
      </c>
      <c r="BX913" s="103">
        <v>4</v>
      </c>
      <c r="BY913" s="103">
        <v>6</v>
      </c>
      <c r="BZ913" s="103">
        <v>3</v>
      </c>
      <c r="CA913" s="103">
        <v>3</v>
      </c>
      <c r="CB913" s="103">
        <v>7</v>
      </c>
      <c r="CC913" s="42"/>
      <c r="CD913" s="111"/>
      <c r="CE913" s="46" t="s">
        <v>11</v>
      </c>
      <c r="CF913" s="103">
        <v>1</v>
      </c>
      <c r="CG913" s="103">
        <v>4</v>
      </c>
      <c r="CH913" s="103">
        <v>5</v>
      </c>
      <c r="CI913" s="103">
        <v>7</v>
      </c>
      <c r="CJ913" s="103">
        <v>23</v>
      </c>
      <c r="CK913" s="103">
        <v>60</v>
      </c>
      <c r="CL913" s="103">
        <v>123</v>
      </c>
      <c r="CM913" s="103">
        <v>120</v>
      </c>
      <c r="CN913" s="103">
        <v>170</v>
      </c>
      <c r="CO913" s="103">
        <v>138</v>
      </c>
      <c r="CQ913" s="111"/>
      <c r="CR913" s="46" t="s">
        <v>11</v>
      </c>
      <c r="CS913" s="103">
        <v>0</v>
      </c>
      <c r="CT913" s="103">
        <v>0</v>
      </c>
      <c r="CU913" s="103">
        <v>0</v>
      </c>
      <c r="CV913" s="103">
        <v>2</v>
      </c>
      <c r="CW913" s="103">
        <v>5</v>
      </c>
      <c r="CX913" s="103">
        <v>5</v>
      </c>
      <c r="CY913" s="103">
        <v>10</v>
      </c>
      <c r="CZ913" s="103">
        <v>13</v>
      </c>
      <c r="DA913" s="103">
        <v>17</v>
      </c>
      <c r="DB913" s="103">
        <v>14</v>
      </c>
      <c r="DC913" s="42"/>
      <c r="DD913" s="111"/>
      <c r="DE913" s="46" t="s">
        <v>11</v>
      </c>
      <c r="DF913" s="103">
        <v>1</v>
      </c>
      <c r="DG913" s="103">
        <v>5</v>
      </c>
      <c r="DH913" s="103">
        <v>7</v>
      </c>
      <c r="DI913" s="103">
        <v>7</v>
      </c>
      <c r="DJ913" s="103">
        <v>22</v>
      </c>
      <c r="DK913" s="103">
        <v>59</v>
      </c>
      <c r="DL913" s="103">
        <v>119</v>
      </c>
      <c r="DM913" s="103">
        <v>110</v>
      </c>
      <c r="DN913" s="103">
        <v>156</v>
      </c>
      <c r="DO913" s="103">
        <v>131</v>
      </c>
    </row>
    <row r="914" spans="2:119" ht="22.5" x14ac:dyDescent="0.45">
      <c r="B914" s="99"/>
      <c r="C914" s="42"/>
      <c r="D914" s="42"/>
      <c r="E914" s="42"/>
      <c r="F914" s="42"/>
      <c r="G914" s="42"/>
      <c r="H914" s="42"/>
      <c r="I914" s="42"/>
      <c r="J914" s="42"/>
      <c r="K914" s="42"/>
      <c r="L914" s="42"/>
      <c r="M914" s="42"/>
      <c r="N914" s="42"/>
      <c r="O914" s="42"/>
      <c r="P914" s="42"/>
      <c r="Q914" s="42"/>
      <c r="R914" s="42"/>
      <c r="S914" s="42"/>
      <c r="T914" s="42"/>
      <c r="U914" s="42"/>
      <c r="V914" s="42"/>
      <c r="W914" s="42"/>
      <c r="X914" s="42"/>
      <c r="Y914" s="42"/>
      <c r="Z914" s="42"/>
      <c r="AA914" s="42"/>
      <c r="AB914" s="42"/>
      <c r="AC914" s="42"/>
      <c r="AD914" s="42"/>
      <c r="AE914" s="42"/>
      <c r="AF914" s="42"/>
      <c r="AG914" s="42"/>
      <c r="AH914" s="42"/>
      <c r="AI914" s="42"/>
      <c r="AJ914" s="42"/>
      <c r="AK914" s="42"/>
      <c r="AL914" s="42"/>
      <c r="AM914" s="42"/>
      <c r="AN914" s="42"/>
      <c r="AO914" s="42"/>
      <c r="AP914" s="6"/>
      <c r="AQ914" s="42"/>
      <c r="AR914" s="42"/>
      <c r="AS914" s="42"/>
      <c r="AT914" s="42"/>
      <c r="AU914" s="42"/>
      <c r="AV914" s="42"/>
      <c r="AW914" s="42"/>
      <c r="AX914" s="42"/>
      <c r="AY914" s="42"/>
      <c r="AZ914" s="42"/>
      <c r="BA914" s="42"/>
      <c r="BB914" s="42"/>
      <c r="BC914" s="42"/>
      <c r="BD914" s="42"/>
      <c r="BE914" s="42"/>
      <c r="BF914" s="42"/>
      <c r="BG914" s="42"/>
      <c r="BH914" s="42"/>
      <c r="BI914" s="42"/>
      <c r="BJ914" s="42"/>
      <c r="BK914" s="42"/>
      <c r="BL914" s="42"/>
      <c r="BM914" s="42"/>
      <c r="BN914" s="42"/>
      <c r="BO914" s="42"/>
      <c r="BQ914" s="42"/>
      <c r="BR914" s="42"/>
      <c r="BS914" s="42"/>
      <c r="BT914" s="42"/>
      <c r="BU914" s="42"/>
      <c r="BV914" s="42"/>
      <c r="BW914" s="42"/>
      <c r="BX914" s="42"/>
      <c r="BY914" s="42"/>
      <c r="BZ914" s="42"/>
      <c r="CA914" s="42"/>
      <c r="CB914" s="42"/>
      <c r="CC914" s="42"/>
      <c r="CD914" s="42"/>
      <c r="CE914" s="42"/>
      <c r="CF914" s="42"/>
      <c r="CG914" s="42"/>
      <c r="CH914" s="42"/>
      <c r="CI914" s="42"/>
      <c r="CJ914" s="42"/>
      <c r="CK914" s="42"/>
      <c r="CL914" s="42"/>
      <c r="CM914" s="42"/>
      <c r="CN914" s="42"/>
      <c r="CO914" s="42"/>
      <c r="CQ914" s="42"/>
      <c r="CR914" s="42"/>
      <c r="CS914" s="42"/>
      <c r="CT914" s="42"/>
      <c r="CU914" s="42"/>
      <c r="CV914" s="42"/>
      <c r="CW914" s="42"/>
      <c r="CX914" s="42"/>
      <c r="CY914" s="42"/>
      <c r="CZ914" s="42"/>
      <c r="DA914" s="42"/>
      <c r="DB914" s="42"/>
      <c r="DC914" s="42"/>
      <c r="DD914" s="42"/>
      <c r="DE914" s="42"/>
      <c r="DF914" s="42"/>
      <c r="DG914" s="42"/>
      <c r="DH914" s="42"/>
      <c r="DI914" s="42"/>
      <c r="DJ914" s="42"/>
      <c r="DK914" s="42"/>
      <c r="DL914" s="42"/>
      <c r="DM914" s="42"/>
      <c r="DN914" s="42"/>
      <c r="DO914" s="42"/>
    </row>
    <row r="915" spans="2:119" ht="18.75" customHeight="1" x14ac:dyDescent="0.55000000000000004">
      <c r="B915" s="99"/>
      <c r="C915" s="42"/>
      <c r="D915" s="112" t="s">
        <v>16</v>
      </c>
      <c r="E915" s="112"/>
      <c r="F915" s="45"/>
      <c r="G915" s="45"/>
      <c r="H915" s="45"/>
      <c r="I915" s="45"/>
      <c r="J915" s="45"/>
      <c r="K915" s="45"/>
      <c r="L915" s="45"/>
      <c r="M915" s="45"/>
      <c r="N915" s="45"/>
      <c r="O915" s="45"/>
      <c r="P915" s="42"/>
      <c r="Q915" s="112" t="s">
        <v>16</v>
      </c>
      <c r="R915" s="112"/>
      <c r="S915" s="45"/>
      <c r="T915" s="45"/>
      <c r="U915" s="45"/>
      <c r="V915" s="45"/>
      <c r="W915" s="45"/>
      <c r="X915" s="45"/>
      <c r="Y915" s="45"/>
      <c r="Z915" s="45"/>
      <c r="AA915" s="45"/>
      <c r="AB915" s="45"/>
      <c r="AC915" s="42"/>
      <c r="AD915" s="112" t="s">
        <v>16</v>
      </c>
      <c r="AE915" s="112"/>
      <c r="AF915" s="45"/>
      <c r="AG915" s="45"/>
      <c r="AH915" s="45"/>
      <c r="AI915" s="45"/>
      <c r="AJ915" s="45"/>
      <c r="AK915" s="45"/>
      <c r="AL915" s="45"/>
      <c r="AM915" s="45"/>
      <c r="AN915" s="45"/>
      <c r="AO915" s="45"/>
      <c r="AP915" s="6"/>
      <c r="AQ915" s="112" t="s">
        <v>16</v>
      </c>
      <c r="AR915" s="112"/>
      <c r="AS915" s="45"/>
      <c r="AT915" s="45"/>
      <c r="AU915" s="45"/>
      <c r="AV915" s="45"/>
      <c r="AW915" s="45"/>
      <c r="AX915" s="45"/>
      <c r="AY915" s="45"/>
      <c r="AZ915" s="45"/>
      <c r="BA915" s="45"/>
      <c r="BB915" s="45"/>
      <c r="BC915" s="42"/>
      <c r="BD915" s="112" t="s">
        <v>16</v>
      </c>
      <c r="BE915" s="112"/>
      <c r="BF915" s="45"/>
      <c r="BG915" s="45"/>
      <c r="BH915" s="45"/>
      <c r="BI915" s="45"/>
      <c r="BJ915" s="45"/>
      <c r="BK915" s="45"/>
      <c r="BL915" s="45"/>
      <c r="BM915" s="45"/>
      <c r="BN915" s="45"/>
      <c r="BO915" s="45"/>
      <c r="BQ915" s="112" t="s">
        <v>16</v>
      </c>
      <c r="BR915" s="112"/>
      <c r="BS915" s="45"/>
      <c r="BT915" s="45"/>
      <c r="BU915" s="45"/>
      <c r="BV915" s="45"/>
      <c r="BW915" s="45"/>
      <c r="BX915" s="45"/>
      <c r="BY915" s="45"/>
      <c r="BZ915" s="45"/>
      <c r="CA915" s="45"/>
      <c r="CB915" s="45"/>
      <c r="CC915" s="42"/>
      <c r="CD915" s="112" t="s">
        <v>16</v>
      </c>
      <c r="CE915" s="112"/>
      <c r="CF915" s="45"/>
      <c r="CG915" s="45"/>
      <c r="CH915" s="45"/>
      <c r="CI915" s="45"/>
      <c r="CJ915" s="45"/>
      <c r="CK915" s="45"/>
      <c r="CL915" s="45"/>
      <c r="CM915" s="45"/>
      <c r="CN915" s="45"/>
      <c r="CO915" s="45"/>
      <c r="CQ915" s="112" t="s">
        <v>16</v>
      </c>
      <c r="CR915" s="112"/>
      <c r="CS915" s="45"/>
      <c r="CT915" s="45"/>
      <c r="CU915" s="45"/>
      <c r="CV915" s="45"/>
      <c r="CW915" s="45"/>
      <c r="CX915" s="45"/>
      <c r="CY915" s="45"/>
      <c r="CZ915" s="45"/>
      <c r="DA915" s="45"/>
      <c r="DB915" s="45"/>
      <c r="DC915" s="42"/>
      <c r="DD915" s="112" t="s">
        <v>16</v>
      </c>
      <c r="DE915" s="112"/>
      <c r="DF915" s="45"/>
      <c r="DG915" s="45"/>
      <c r="DH915" s="45"/>
      <c r="DI915" s="45"/>
      <c r="DJ915" s="45"/>
      <c r="DK915" s="45"/>
      <c r="DL915" s="45"/>
      <c r="DM915" s="45"/>
      <c r="DN915" s="45"/>
      <c r="DO915" s="45"/>
    </row>
    <row r="916" spans="2:119" ht="28.9" customHeight="1" x14ac:dyDescent="0.45">
      <c r="B916" s="99"/>
      <c r="C916" s="42"/>
      <c r="D916" s="112"/>
      <c r="E916" s="112"/>
      <c r="F916" s="108" t="s">
        <v>12</v>
      </c>
      <c r="G916" s="108"/>
      <c r="H916" s="108"/>
      <c r="I916" s="108"/>
      <c r="J916" s="108"/>
      <c r="K916" s="108"/>
      <c r="L916" s="108"/>
      <c r="M916" s="108"/>
      <c r="N916" s="108"/>
      <c r="O916" s="108"/>
      <c r="P916" s="42"/>
      <c r="Q916" s="112"/>
      <c r="R916" s="112"/>
      <c r="S916" s="108" t="s">
        <v>12</v>
      </c>
      <c r="T916" s="108"/>
      <c r="U916" s="108"/>
      <c r="V916" s="108"/>
      <c r="W916" s="108"/>
      <c r="X916" s="108"/>
      <c r="Y916" s="108"/>
      <c r="Z916" s="108"/>
      <c r="AA916" s="108"/>
      <c r="AB916" s="108"/>
      <c r="AC916" s="42"/>
      <c r="AD916" s="112"/>
      <c r="AE916" s="112"/>
      <c r="AF916" s="131" t="s">
        <v>12</v>
      </c>
      <c r="AG916" s="132"/>
      <c r="AH916" s="132"/>
      <c r="AI916" s="132"/>
      <c r="AJ916" s="132"/>
      <c r="AK916" s="132"/>
      <c r="AL916" s="132"/>
      <c r="AM916" s="132"/>
      <c r="AN916" s="132"/>
      <c r="AO916" s="133"/>
      <c r="AP916" s="6"/>
      <c r="AQ916" s="112"/>
      <c r="AR916" s="112"/>
      <c r="AS916" s="108" t="s">
        <v>12</v>
      </c>
      <c r="AT916" s="108"/>
      <c r="AU916" s="108"/>
      <c r="AV916" s="108"/>
      <c r="AW916" s="108"/>
      <c r="AX916" s="108"/>
      <c r="AY916" s="108"/>
      <c r="AZ916" s="108"/>
      <c r="BA916" s="108"/>
      <c r="BB916" s="108"/>
      <c r="BC916" s="42"/>
      <c r="BD916" s="112"/>
      <c r="BE916" s="112"/>
      <c r="BF916" s="108" t="s">
        <v>12</v>
      </c>
      <c r="BG916" s="108"/>
      <c r="BH916" s="108"/>
      <c r="BI916" s="108"/>
      <c r="BJ916" s="108"/>
      <c r="BK916" s="108"/>
      <c r="BL916" s="108"/>
      <c r="BM916" s="108"/>
      <c r="BN916" s="108"/>
      <c r="BO916" s="108"/>
      <c r="BQ916" s="112"/>
      <c r="BR916" s="112"/>
      <c r="BS916" s="108" t="s">
        <v>12</v>
      </c>
      <c r="BT916" s="108"/>
      <c r="BU916" s="108"/>
      <c r="BV916" s="108"/>
      <c r="BW916" s="108"/>
      <c r="BX916" s="108"/>
      <c r="BY916" s="108"/>
      <c r="BZ916" s="108"/>
      <c r="CA916" s="108"/>
      <c r="CB916" s="108"/>
      <c r="CC916" s="42"/>
      <c r="CD916" s="112"/>
      <c r="CE916" s="112"/>
      <c r="CF916" s="108" t="s">
        <v>12</v>
      </c>
      <c r="CG916" s="108"/>
      <c r="CH916" s="108"/>
      <c r="CI916" s="108"/>
      <c r="CJ916" s="108"/>
      <c r="CK916" s="108"/>
      <c r="CL916" s="108"/>
      <c r="CM916" s="108"/>
      <c r="CN916" s="108"/>
      <c r="CO916" s="108"/>
      <c r="CQ916" s="112"/>
      <c r="CR916" s="112"/>
      <c r="CS916" s="108" t="s">
        <v>12</v>
      </c>
      <c r="CT916" s="108"/>
      <c r="CU916" s="108"/>
      <c r="CV916" s="108"/>
      <c r="CW916" s="108"/>
      <c r="CX916" s="108"/>
      <c r="CY916" s="108"/>
      <c r="CZ916" s="108"/>
      <c r="DA916" s="108"/>
      <c r="DB916" s="108"/>
      <c r="DC916" s="42"/>
      <c r="DD916" s="112"/>
      <c r="DE916" s="112"/>
      <c r="DF916" s="108" t="s">
        <v>12</v>
      </c>
      <c r="DG916" s="108"/>
      <c r="DH916" s="108"/>
      <c r="DI916" s="108"/>
      <c r="DJ916" s="108"/>
      <c r="DK916" s="108"/>
      <c r="DL916" s="108"/>
      <c r="DM916" s="108"/>
      <c r="DN916" s="108"/>
      <c r="DO916" s="108"/>
    </row>
    <row r="917" spans="2:119" ht="15" customHeight="1" x14ac:dyDescent="0.45">
      <c r="B917" s="99"/>
      <c r="C917" s="42"/>
      <c r="D917" s="113"/>
      <c r="E917" s="113"/>
      <c r="F917" s="9" t="s">
        <v>0</v>
      </c>
      <c r="G917" s="9">
        <v>1</v>
      </c>
      <c r="H917" s="9">
        <v>2</v>
      </c>
      <c r="I917" s="9">
        <v>3</v>
      </c>
      <c r="J917" s="9">
        <v>4</v>
      </c>
      <c r="K917" s="9">
        <v>5</v>
      </c>
      <c r="L917" s="9">
        <v>6</v>
      </c>
      <c r="M917" s="9">
        <v>7</v>
      </c>
      <c r="N917" s="9">
        <v>8</v>
      </c>
      <c r="O917" s="9">
        <v>9</v>
      </c>
      <c r="P917" s="42"/>
      <c r="Q917" s="113"/>
      <c r="R917" s="113"/>
      <c r="S917" s="9" t="s">
        <v>0</v>
      </c>
      <c r="T917" s="9">
        <v>1</v>
      </c>
      <c r="U917" s="9">
        <v>2</v>
      </c>
      <c r="V917" s="9">
        <v>3</v>
      </c>
      <c r="W917" s="9">
        <v>4</v>
      </c>
      <c r="X917" s="9">
        <v>5</v>
      </c>
      <c r="Y917" s="9">
        <v>6</v>
      </c>
      <c r="Z917" s="9">
        <v>7</v>
      </c>
      <c r="AA917" s="9">
        <v>8</v>
      </c>
      <c r="AB917" s="9">
        <v>9</v>
      </c>
      <c r="AC917" s="42"/>
      <c r="AD917" s="113"/>
      <c r="AE917" s="113"/>
      <c r="AF917" s="9" t="s">
        <v>0</v>
      </c>
      <c r="AG917" s="9">
        <v>1</v>
      </c>
      <c r="AH917" s="9">
        <v>2</v>
      </c>
      <c r="AI917" s="9">
        <v>3</v>
      </c>
      <c r="AJ917" s="9">
        <v>4</v>
      </c>
      <c r="AK917" s="9">
        <v>5</v>
      </c>
      <c r="AL917" s="9">
        <v>6</v>
      </c>
      <c r="AM917" s="9">
        <v>7</v>
      </c>
      <c r="AN917" s="9">
        <v>8</v>
      </c>
      <c r="AO917" s="9">
        <v>9</v>
      </c>
      <c r="AP917" s="6"/>
      <c r="AQ917" s="113"/>
      <c r="AR917" s="113"/>
      <c r="AS917" s="9" t="s">
        <v>0</v>
      </c>
      <c r="AT917" s="9">
        <v>1</v>
      </c>
      <c r="AU917" s="9">
        <v>2</v>
      </c>
      <c r="AV917" s="9">
        <v>3</v>
      </c>
      <c r="AW917" s="9">
        <v>4</v>
      </c>
      <c r="AX917" s="9">
        <v>5</v>
      </c>
      <c r="AY917" s="9">
        <v>6</v>
      </c>
      <c r="AZ917" s="9">
        <v>7</v>
      </c>
      <c r="BA917" s="9">
        <v>8</v>
      </c>
      <c r="BB917" s="9">
        <v>9</v>
      </c>
      <c r="BC917" s="42"/>
      <c r="BD917" s="113"/>
      <c r="BE917" s="113"/>
      <c r="BF917" s="9" t="s">
        <v>0</v>
      </c>
      <c r="BG917" s="9">
        <v>1</v>
      </c>
      <c r="BH917" s="9">
        <v>2</v>
      </c>
      <c r="BI917" s="9">
        <v>3</v>
      </c>
      <c r="BJ917" s="9">
        <v>4</v>
      </c>
      <c r="BK917" s="9">
        <v>5</v>
      </c>
      <c r="BL917" s="9">
        <v>6</v>
      </c>
      <c r="BM917" s="9">
        <v>7</v>
      </c>
      <c r="BN917" s="9">
        <v>8</v>
      </c>
      <c r="BO917" s="9">
        <v>9</v>
      </c>
      <c r="BQ917" s="113"/>
      <c r="BR917" s="113"/>
      <c r="BS917" s="9" t="s">
        <v>0</v>
      </c>
      <c r="BT917" s="9">
        <v>1</v>
      </c>
      <c r="BU917" s="9">
        <v>2</v>
      </c>
      <c r="BV917" s="9">
        <v>3</v>
      </c>
      <c r="BW917" s="9">
        <v>4</v>
      </c>
      <c r="BX917" s="9">
        <v>5</v>
      </c>
      <c r="BY917" s="9">
        <v>6</v>
      </c>
      <c r="BZ917" s="9">
        <v>7</v>
      </c>
      <c r="CA917" s="9">
        <v>8</v>
      </c>
      <c r="CB917" s="9">
        <v>9</v>
      </c>
      <c r="CC917" s="42"/>
      <c r="CD917" s="113"/>
      <c r="CE917" s="113"/>
      <c r="CF917" s="9" t="s">
        <v>0</v>
      </c>
      <c r="CG917" s="9">
        <v>1</v>
      </c>
      <c r="CH917" s="9">
        <v>2</v>
      </c>
      <c r="CI917" s="9">
        <v>3</v>
      </c>
      <c r="CJ917" s="9">
        <v>4</v>
      </c>
      <c r="CK917" s="9">
        <v>5</v>
      </c>
      <c r="CL917" s="9">
        <v>6</v>
      </c>
      <c r="CM917" s="9">
        <v>7</v>
      </c>
      <c r="CN917" s="9">
        <v>8</v>
      </c>
      <c r="CO917" s="9">
        <v>9</v>
      </c>
      <c r="CQ917" s="113"/>
      <c r="CR917" s="113"/>
      <c r="CS917" s="9" t="s">
        <v>0</v>
      </c>
      <c r="CT917" s="9">
        <v>1</v>
      </c>
      <c r="CU917" s="9">
        <v>2</v>
      </c>
      <c r="CV917" s="9">
        <v>3</v>
      </c>
      <c r="CW917" s="9">
        <v>4</v>
      </c>
      <c r="CX917" s="9">
        <v>5</v>
      </c>
      <c r="CY917" s="9">
        <v>6</v>
      </c>
      <c r="CZ917" s="9">
        <v>7</v>
      </c>
      <c r="DA917" s="9">
        <v>8</v>
      </c>
      <c r="DB917" s="9">
        <v>9</v>
      </c>
      <c r="DC917" s="42"/>
      <c r="DD917" s="113"/>
      <c r="DE917" s="113"/>
      <c r="DF917" s="9" t="s">
        <v>0</v>
      </c>
      <c r="DG917" s="9">
        <v>1</v>
      </c>
      <c r="DH917" s="9">
        <v>2</v>
      </c>
      <c r="DI917" s="9">
        <v>3</v>
      </c>
      <c r="DJ917" s="9">
        <v>4</v>
      </c>
      <c r="DK917" s="9">
        <v>5</v>
      </c>
      <c r="DL917" s="9">
        <v>6</v>
      </c>
      <c r="DM917" s="9">
        <v>7</v>
      </c>
      <c r="DN917" s="9">
        <v>8</v>
      </c>
      <c r="DO917" s="9">
        <v>9</v>
      </c>
    </row>
    <row r="918" spans="2:119" ht="16.25" customHeight="1" x14ac:dyDescent="0.45">
      <c r="B918" s="99"/>
      <c r="C918" s="42"/>
      <c r="D918" s="109" t="s">
        <v>13</v>
      </c>
      <c r="E918" s="47" t="s">
        <v>1</v>
      </c>
      <c r="F918" s="103">
        <v>0</v>
      </c>
      <c r="G918" s="103">
        <v>20</v>
      </c>
      <c r="H918" s="103">
        <v>20</v>
      </c>
      <c r="I918" s="103">
        <v>20</v>
      </c>
      <c r="J918" s="103">
        <v>40</v>
      </c>
      <c r="K918" s="103">
        <v>0</v>
      </c>
      <c r="L918" s="103">
        <v>0</v>
      </c>
      <c r="M918" s="103">
        <v>0</v>
      </c>
      <c r="N918" s="103">
        <v>0</v>
      </c>
      <c r="O918" s="17">
        <v>0</v>
      </c>
      <c r="P918" s="42"/>
      <c r="Q918" s="109" t="s">
        <v>13</v>
      </c>
      <c r="R918" s="46" t="s">
        <v>1</v>
      </c>
      <c r="S918" s="103">
        <v>0</v>
      </c>
      <c r="T918" s="103">
        <v>50</v>
      </c>
      <c r="U918" s="103">
        <v>0</v>
      </c>
      <c r="V918" s="103">
        <v>0</v>
      </c>
      <c r="W918" s="103">
        <v>50</v>
      </c>
      <c r="X918" s="103">
        <v>0</v>
      </c>
      <c r="Y918" s="103">
        <v>0</v>
      </c>
      <c r="Z918" s="103">
        <v>0</v>
      </c>
      <c r="AA918" s="103">
        <v>0</v>
      </c>
      <c r="AB918" s="17">
        <v>0</v>
      </c>
      <c r="AC918" s="42"/>
      <c r="AD918" s="109" t="s">
        <v>13</v>
      </c>
      <c r="AE918" s="46" t="s">
        <v>1</v>
      </c>
      <c r="AF918" s="103">
        <v>0</v>
      </c>
      <c r="AG918" s="103">
        <v>0</v>
      </c>
      <c r="AH918" s="103">
        <v>33.333333333333329</v>
      </c>
      <c r="AI918" s="103">
        <v>33.333333333333329</v>
      </c>
      <c r="AJ918" s="103">
        <v>33.333333333333329</v>
      </c>
      <c r="AK918" s="103">
        <v>0</v>
      </c>
      <c r="AL918" s="103">
        <v>0</v>
      </c>
      <c r="AM918" s="103">
        <v>0</v>
      </c>
      <c r="AN918" s="103">
        <v>0</v>
      </c>
      <c r="AO918" s="17">
        <v>0</v>
      </c>
      <c r="AP918" s="6"/>
      <c r="AQ918" s="109" t="s">
        <v>13</v>
      </c>
      <c r="AR918" s="46" t="s">
        <v>1</v>
      </c>
      <c r="AS918" s="103">
        <v>0</v>
      </c>
      <c r="AT918" s="103">
        <v>33.333333333333329</v>
      </c>
      <c r="AU918" s="103">
        <v>0</v>
      </c>
      <c r="AV918" s="103">
        <v>0</v>
      </c>
      <c r="AW918" s="103">
        <v>66.666666666666657</v>
      </c>
      <c r="AX918" s="103">
        <v>0</v>
      </c>
      <c r="AY918" s="103">
        <v>0</v>
      </c>
      <c r="AZ918" s="103">
        <v>0</v>
      </c>
      <c r="BA918" s="103">
        <v>0</v>
      </c>
      <c r="BB918" s="17">
        <v>0</v>
      </c>
      <c r="BC918" s="42"/>
      <c r="BD918" s="109" t="s">
        <v>13</v>
      </c>
      <c r="BE918" s="46" t="s">
        <v>1</v>
      </c>
      <c r="BF918" s="103">
        <v>0</v>
      </c>
      <c r="BG918" s="103">
        <v>0</v>
      </c>
      <c r="BH918" s="103">
        <v>50</v>
      </c>
      <c r="BI918" s="103">
        <v>50</v>
      </c>
      <c r="BJ918" s="103">
        <v>0</v>
      </c>
      <c r="BK918" s="103">
        <v>0</v>
      </c>
      <c r="BL918" s="103">
        <v>0</v>
      </c>
      <c r="BM918" s="103">
        <v>0</v>
      </c>
      <c r="BN918" s="103">
        <v>0</v>
      </c>
      <c r="BO918" s="17">
        <v>0</v>
      </c>
      <c r="BQ918" s="109" t="s">
        <v>13</v>
      </c>
      <c r="BR918" s="46" t="s">
        <v>1</v>
      </c>
      <c r="BS918" s="103" t="s">
        <v>128</v>
      </c>
      <c r="BT918" s="103" t="s">
        <v>128</v>
      </c>
      <c r="BU918" s="103" t="s">
        <v>128</v>
      </c>
      <c r="BV918" s="103" t="s">
        <v>128</v>
      </c>
      <c r="BW918" s="103" t="s">
        <v>128</v>
      </c>
      <c r="BX918" s="103" t="s">
        <v>128</v>
      </c>
      <c r="BY918" s="103" t="s">
        <v>128</v>
      </c>
      <c r="BZ918" s="103" t="s">
        <v>128</v>
      </c>
      <c r="CA918" s="103" t="s">
        <v>128</v>
      </c>
      <c r="CB918" s="17" t="s">
        <v>128</v>
      </c>
      <c r="CC918" s="42"/>
      <c r="CD918" s="109" t="s">
        <v>13</v>
      </c>
      <c r="CE918" s="46" t="s">
        <v>1</v>
      </c>
      <c r="CF918" s="103">
        <v>0</v>
      </c>
      <c r="CG918" s="103">
        <v>20</v>
      </c>
      <c r="CH918" s="103">
        <v>20</v>
      </c>
      <c r="CI918" s="103">
        <v>20</v>
      </c>
      <c r="CJ918" s="103">
        <v>40</v>
      </c>
      <c r="CK918" s="103">
        <v>0</v>
      </c>
      <c r="CL918" s="103">
        <v>0</v>
      </c>
      <c r="CM918" s="103">
        <v>0</v>
      </c>
      <c r="CN918" s="103">
        <v>0</v>
      </c>
      <c r="CO918" s="17">
        <v>0</v>
      </c>
      <c r="CQ918" s="109" t="s">
        <v>13</v>
      </c>
      <c r="CR918" s="46" t="s">
        <v>1</v>
      </c>
      <c r="CS918" s="103">
        <v>0</v>
      </c>
      <c r="CT918" s="103">
        <v>25</v>
      </c>
      <c r="CU918" s="103">
        <v>25</v>
      </c>
      <c r="CV918" s="103">
        <v>25</v>
      </c>
      <c r="CW918" s="103">
        <v>25</v>
      </c>
      <c r="CX918" s="103">
        <v>0</v>
      </c>
      <c r="CY918" s="103">
        <v>0</v>
      </c>
      <c r="CZ918" s="103">
        <v>0</v>
      </c>
      <c r="DA918" s="103">
        <v>0</v>
      </c>
      <c r="DB918" s="17">
        <v>0</v>
      </c>
      <c r="DC918" s="42"/>
      <c r="DD918" s="109" t="s">
        <v>13</v>
      </c>
      <c r="DE918" s="46" t="s">
        <v>1</v>
      </c>
      <c r="DF918" s="103">
        <v>0</v>
      </c>
      <c r="DG918" s="103">
        <v>0</v>
      </c>
      <c r="DH918" s="103">
        <v>0</v>
      </c>
      <c r="DI918" s="103">
        <v>0</v>
      </c>
      <c r="DJ918" s="103">
        <v>100</v>
      </c>
      <c r="DK918" s="103">
        <v>0</v>
      </c>
      <c r="DL918" s="103">
        <v>0</v>
      </c>
      <c r="DM918" s="103">
        <v>0</v>
      </c>
      <c r="DN918" s="103">
        <v>0</v>
      </c>
      <c r="DO918" s="17">
        <v>0</v>
      </c>
    </row>
    <row r="919" spans="2:119" ht="16.25" customHeight="1" x14ac:dyDescent="0.45">
      <c r="B919" s="99"/>
      <c r="C919" s="42"/>
      <c r="D919" s="110"/>
      <c r="E919" s="47">
        <v>1</v>
      </c>
      <c r="F919" s="103">
        <v>8.3333333333333321</v>
      </c>
      <c r="G919" s="103">
        <v>16.666666666666664</v>
      </c>
      <c r="H919" s="103">
        <v>25</v>
      </c>
      <c r="I919" s="103">
        <v>16.666666666666664</v>
      </c>
      <c r="J919" s="103">
        <v>25</v>
      </c>
      <c r="K919" s="103">
        <v>0</v>
      </c>
      <c r="L919" s="103">
        <v>0</v>
      </c>
      <c r="M919" s="103">
        <v>8.3333333333333321</v>
      </c>
      <c r="N919" s="103">
        <v>0</v>
      </c>
      <c r="O919" s="103">
        <v>0</v>
      </c>
      <c r="P919" s="42"/>
      <c r="Q919" s="110"/>
      <c r="R919" s="46">
        <v>1</v>
      </c>
      <c r="S919" s="103">
        <v>14.285714285714285</v>
      </c>
      <c r="T919" s="103">
        <v>14.285714285714285</v>
      </c>
      <c r="U919" s="103">
        <v>28.571428571428569</v>
      </c>
      <c r="V919" s="103">
        <v>28.571428571428569</v>
      </c>
      <c r="W919" s="103">
        <v>0</v>
      </c>
      <c r="X919" s="103">
        <v>0</v>
      </c>
      <c r="Y919" s="103">
        <v>0</v>
      </c>
      <c r="Z919" s="103">
        <v>14.285714285714285</v>
      </c>
      <c r="AA919" s="103">
        <v>0</v>
      </c>
      <c r="AB919" s="103">
        <v>0</v>
      </c>
      <c r="AC919" s="42"/>
      <c r="AD919" s="110"/>
      <c r="AE919" s="46">
        <v>1</v>
      </c>
      <c r="AF919" s="103">
        <v>0</v>
      </c>
      <c r="AG919" s="103">
        <v>20</v>
      </c>
      <c r="AH919" s="103">
        <v>20</v>
      </c>
      <c r="AI919" s="103">
        <v>0</v>
      </c>
      <c r="AJ919" s="103">
        <v>60</v>
      </c>
      <c r="AK919" s="103">
        <v>0</v>
      </c>
      <c r="AL919" s="103">
        <v>0</v>
      </c>
      <c r="AM919" s="103">
        <v>0</v>
      </c>
      <c r="AN919" s="103">
        <v>0</v>
      </c>
      <c r="AO919" s="103">
        <v>0</v>
      </c>
      <c r="AP919" s="6"/>
      <c r="AQ919" s="110"/>
      <c r="AR919" s="46">
        <v>1</v>
      </c>
      <c r="AS919" s="103">
        <v>0</v>
      </c>
      <c r="AT919" s="103">
        <v>25</v>
      </c>
      <c r="AU919" s="103">
        <v>50</v>
      </c>
      <c r="AV919" s="103">
        <v>25</v>
      </c>
      <c r="AW919" s="103">
        <v>0</v>
      </c>
      <c r="AX919" s="103">
        <v>0</v>
      </c>
      <c r="AY919" s="103">
        <v>0</v>
      </c>
      <c r="AZ919" s="103">
        <v>0</v>
      </c>
      <c r="BA919" s="103">
        <v>0</v>
      </c>
      <c r="BB919" s="103">
        <v>0</v>
      </c>
      <c r="BC919" s="42"/>
      <c r="BD919" s="110"/>
      <c r="BE919" s="46">
        <v>1</v>
      </c>
      <c r="BF919" s="103">
        <v>12.5</v>
      </c>
      <c r="BG919" s="103">
        <v>12.5</v>
      </c>
      <c r="BH919" s="103">
        <v>12.5</v>
      </c>
      <c r="BI919" s="103">
        <v>12.5</v>
      </c>
      <c r="BJ919" s="103">
        <v>37.5</v>
      </c>
      <c r="BK919" s="103">
        <v>0</v>
      </c>
      <c r="BL919" s="103">
        <v>0</v>
      </c>
      <c r="BM919" s="103">
        <v>12.5</v>
      </c>
      <c r="BN919" s="103">
        <v>0</v>
      </c>
      <c r="BO919" s="103">
        <v>0</v>
      </c>
      <c r="BQ919" s="110"/>
      <c r="BR919" s="46">
        <v>1</v>
      </c>
      <c r="BS919" s="103">
        <v>20</v>
      </c>
      <c r="BT919" s="103">
        <v>20</v>
      </c>
      <c r="BU919" s="103">
        <v>40</v>
      </c>
      <c r="BV919" s="103">
        <v>20</v>
      </c>
      <c r="BW919" s="103">
        <v>0</v>
      </c>
      <c r="BX919" s="103">
        <v>0</v>
      </c>
      <c r="BY919" s="103">
        <v>0</v>
      </c>
      <c r="BZ919" s="103">
        <v>0</v>
      </c>
      <c r="CA919" s="103">
        <v>0</v>
      </c>
      <c r="CB919" s="103">
        <v>0</v>
      </c>
      <c r="CC919" s="42"/>
      <c r="CD919" s="110"/>
      <c r="CE919" s="46">
        <v>1</v>
      </c>
      <c r="CF919" s="103">
        <v>0</v>
      </c>
      <c r="CG919" s="103">
        <v>14.285714285714285</v>
      </c>
      <c r="CH919" s="103">
        <v>14.285714285714285</v>
      </c>
      <c r="CI919" s="103">
        <v>14.285714285714285</v>
      </c>
      <c r="CJ919" s="103">
        <v>42.857142857142854</v>
      </c>
      <c r="CK919" s="103">
        <v>0</v>
      </c>
      <c r="CL919" s="103">
        <v>0</v>
      </c>
      <c r="CM919" s="103">
        <v>14.285714285714285</v>
      </c>
      <c r="CN919" s="103">
        <v>0</v>
      </c>
      <c r="CO919" s="103">
        <v>0</v>
      </c>
      <c r="CQ919" s="110"/>
      <c r="CR919" s="46">
        <v>1</v>
      </c>
      <c r="CS919" s="103">
        <v>0</v>
      </c>
      <c r="CT919" s="103">
        <v>11.111111111111111</v>
      </c>
      <c r="CU919" s="103">
        <v>22.222222222222221</v>
      </c>
      <c r="CV919" s="103">
        <v>22.222222222222221</v>
      </c>
      <c r="CW919" s="103">
        <v>33.333333333333329</v>
      </c>
      <c r="CX919" s="103">
        <v>0</v>
      </c>
      <c r="CY919" s="103">
        <v>0</v>
      </c>
      <c r="CZ919" s="103">
        <v>11.111111111111111</v>
      </c>
      <c r="DA919" s="103">
        <v>0</v>
      </c>
      <c r="DB919" s="103">
        <v>0</v>
      </c>
      <c r="DC919" s="42"/>
      <c r="DD919" s="110"/>
      <c r="DE919" s="46">
        <v>1</v>
      </c>
      <c r="DF919" s="103">
        <v>33.333333333333329</v>
      </c>
      <c r="DG919" s="103">
        <v>33.333333333333329</v>
      </c>
      <c r="DH919" s="103">
        <v>33.333333333333329</v>
      </c>
      <c r="DI919" s="103">
        <v>0</v>
      </c>
      <c r="DJ919" s="103">
        <v>0</v>
      </c>
      <c r="DK919" s="103">
        <v>0</v>
      </c>
      <c r="DL919" s="103">
        <v>0</v>
      </c>
      <c r="DM919" s="103">
        <v>0</v>
      </c>
      <c r="DN919" s="103">
        <v>0</v>
      </c>
      <c r="DO919" s="103">
        <v>0</v>
      </c>
    </row>
    <row r="920" spans="2:119" ht="16.25" customHeight="1" x14ac:dyDescent="0.45">
      <c r="B920" s="99"/>
      <c r="C920" s="42"/>
      <c r="D920" s="110"/>
      <c r="E920" s="47" t="s">
        <v>2</v>
      </c>
      <c r="F920" s="103">
        <v>5.7347670250896057</v>
      </c>
      <c r="G920" s="103">
        <v>20.788530465949819</v>
      </c>
      <c r="H920" s="103">
        <v>35.483870967741936</v>
      </c>
      <c r="I920" s="103">
        <v>25.627240143369175</v>
      </c>
      <c r="J920" s="103">
        <v>7.3476702508960576</v>
      </c>
      <c r="K920" s="103">
        <v>3.0465949820788532</v>
      </c>
      <c r="L920" s="103">
        <v>1.4336917562724014</v>
      </c>
      <c r="M920" s="103">
        <v>0.35842293906810035</v>
      </c>
      <c r="N920" s="103">
        <v>0.17921146953405018</v>
      </c>
      <c r="O920" s="103">
        <v>0</v>
      </c>
      <c r="P920" s="42"/>
      <c r="Q920" s="110"/>
      <c r="R920" s="46" t="s">
        <v>2</v>
      </c>
      <c r="S920" s="103">
        <v>4.5871559633027523</v>
      </c>
      <c r="T920" s="103">
        <v>16.972477064220186</v>
      </c>
      <c r="U920" s="103">
        <v>33.944954128440372</v>
      </c>
      <c r="V920" s="103">
        <v>30.73394495412844</v>
      </c>
      <c r="W920" s="103">
        <v>6.8807339449541285</v>
      </c>
      <c r="X920" s="103">
        <v>4.1284403669724776</v>
      </c>
      <c r="Y920" s="103">
        <v>1.3761467889908259</v>
      </c>
      <c r="Z920" s="103">
        <v>0.91743119266055051</v>
      </c>
      <c r="AA920" s="103">
        <v>0.45871559633027525</v>
      </c>
      <c r="AB920" s="103">
        <v>0</v>
      </c>
      <c r="AC920" s="42"/>
      <c r="AD920" s="110"/>
      <c r="AE920" s="46" t="s">
        <v>2</v>
      </c>
      <c r="AF920" s="103">
        <v>6.4705882352941186</v>
      </c>
      <c r="AG920" s="103">
        <v>23.235294117647058</v>
      </c>
      <c r="AH920" s="103">
        <v>36.470588235294116</v>
      </c>
      <c r="AI920" s="103">
        <v>22.352941176470591</v>
      </c>
      <c r="AJ920" s="103">
        <v>7.6470588235294121</v>
      </c>
      <c r="AK920" s="103">
        <v>2.3529411764705883</v>
      </c>
      <c r="AL920" s="103">
        <v>1.4705882352941175</v>
      </c>
      <c r="AM920" s="103">
        <v>0</v>
      </c>
      <c r="AN920" s="103">
        <v>0</v>
      </c>
      <c r="AO920" s="103">
        <v>0</v>
      </c>
      <c r="AP920" s="6"/>
      <c r="AQ920" s="110"/>
      <c r="AR920" s="46" t="s">
        <v>2</v>
      </c>
      <c r="AS920" s="103">
        <v>7.5098814229249005</v>
      </c>
      <c r="AT920" s="103">
        <v>27.66798418972332</v>
      </c>
      <c r="AU920" s="103">
        <v>33.992094861660078</v>
      </c>
      <c r="AV920" s="103">
        <v>23.320158102766801</v>
      </c>
      <c r="AW920" s="103">
        <v>5.1383399209486171</v>
      </c>
      <c r="AX920" s="103">
        <v>1.5810276679841897</v>
      </c>
      <c r="AY920" s="103">
        <v>0.79051383399209485</v>
      </c>
      <c r="AZ920" s="103">
        <v>0</v>
      </c>
      <c r="BA920" s="103">
        <v>0</v>
      </c>
      <c r="BB920" s="103">
        <v>0</v>
      </c>
      <c r="BC920" s="42"/>
      <c r="BD920" s="110"/>
      <c r="BE920" s="46" t="s">
        <v>2</v>
      </c>
      <c r="BF920" s="103">
        <v>4.2622950819672125</v>
      </c>
      <c r="BG920" s="103">
        <v>15.081967213114755</v>
      </c>
      <c r="BH920" s="103">
        <v>36.721311475409834</v>
      </c>
      <c r="BI920" s="103">
        <v>27.540983606557379</v>
      </c>
      <c r="BJ920" s="103">
        <v>9.1803278688524586</v>
      </c>
      <c r="BK920" s="103">
        <v>4.2622950819672125</v>
      </c>
      <c r="BL920" s="103">
        <v>1.9672131147540985</v>
      </c>
      <c r="BM920" s="103">
        <v>0.65573770491803274</v>
      </c>
      <c r="BN920" s="103">
        <v>0.32786885245901637</v>
      </c>
      <c r="BO920" s="103">
        <v>0</v>
      </c>
      <c r="BQ920" s="110"/>
      <c r="BR920" s="46" t="s">
        <v>2</v>
      </c>
      <c r="BS920" s="103">
        <v>5.9895833333333339</v>
      </c>
      <c r="BT920" s="103">
        <v>20.833333333333336</v>
      </c>
      <c r="BU920" s="103">
        <v>40.104166666666671</v>
      </c>
      <c r="BV920" s="103">
        <v>22.395833333333336</v>
      </c>
      <c r="BW920" s="103">
        <v>7.552083333333333</v>
      </c>
      <c r="BX920" s="103">
        <v>2.083333333333333</v>
      </c>
      <c r="BY920" s="103">
        <v>1.0416666666666665</v>
      </c>
      <c r="BZ920" s="103">
        <v>0</v>
      </c>
      <c r="CA920" s="103">
        <v>0</v>
      </c>
      <c r="CB920" s="103">
        <v>0</v>
      </c>
      <c r="CC920" s="42"/>
      <c r="CD920" s="110"/>
      <c r="CE920" s="46" t="s">
        <v>2</v>
      </c>
      <c r="CF920" s="103">
        <v>5.1724137931034484</v>
      </c>
      <c r="CG920" s="103">
        <v>20.689655172413794</v>
      </c>
      <c r="CH920" s="103">
        <v>25.287356321839084</v>
      </c>
      <c r="CI920" s="103">
        <v>32.758620689655174</v>
      </c>
      <c r="CJ920" s="103">
        <v>6.8965517241379306</v>
      </c>
      <c r="CK920" s="103">
        <v>5.1724137931034484</v>
      </c>
      <c r="CL920" s="103">
        <v>2.2988505747126435</v>
      </c>
      <c r="CM920" s="103">
        <v>1.1494252873563218</v>
      </c>
      <c r="CN920" s="103">
        <v>0.57471264367816088</v>
      </c>
      <c r="CO920" s="103">
        <v>0</v>
      </c>
      <c r="CQ920" s="110"/>
      <c r="CR920" s="46" t="s">
        <v>2</v>
      </c>
      <c r="CS920" s="103">
        <v>3.1446540880503147</v>
      </c>
      <c r="CT920" s="103">
        <v>16.981132075471699</v>
      </c>
      <c r="CU920" s="103">
        <v>30.188679245283019</v>
      </c>
      <c r="CV920" s="103">
        <v>28.30188679245283</v>
      </c>
      <c r="CW920" s="103">
        <v>11.320754716981133</v>
      </c>
      <c r="CX920" s="103">
        <v>5.0314465408805038</v>
      </c>
      <c r="CY920" s="103">
        <v>3.1446540880503147</v>
      </c>
      <c r="CZ920" s="103">
        <v>1.257861635220126</v>
      </c>
      <c r="DA920" s="103">
        <v>0.62893081761006298</v>
      </c>
      <c r="DB920" s="103">
        <v>0</v>
      </c>
      <c r="DC920" s="42"/>
      <c r="DD920" s="110"/>
      <c r="DE920" s="46" t="s">
        <v>2</v>
      </c>
      <c r="DF920" s="103">
        <v>6.7669172932330826</v>
      </c>
      <c r="DG920" s="103">
        <v>22.305764411027567</v>
      </c>
      <c r="DH920" s="103">
        <v>37.593984962406012</v>
      </c>
      <c r="DI920" s="103">
        <v>24.561403508771928</v>
      </c>
      <c r="DJ920" s="103">
        <v>5.7644110275689222</v>
      </c>
      <c r="DK920" s="103">
        <v>2.2556390977443606</v>
      </c>
      <c r="DL920" s="103">
        <v>0.75187969924812026</v>
      </c>
      <c r="DM920" s="103">
        <v>0</v>
      </c>
      <c r="DN920" s="103">
        <v>0</v>
      </c>
      <c r="DO920" s="103">
        <v>0</v>
      </c>
    </row>
    <row r="921" spans="2:119" ht="16.25" customHeight="1" x14ac:dyDescent="0.45">
      <c r="B921" s="99"/>
      <c r="C921" s="42"/>
      <c r="D921" s="110"/>
      <c r="E921" s="47" t="s">
        <v>3</v>
      </c>
      <c r="F921" s="103">
        <v>5.3497942386831276</v>
      </c>
      <c r="G921" s="103">
        <v>18.930041152263374</v>
      </c>
      <c r="H921" s="103">
        <v>32.921810699588477</v>
      </c>
      <c r="I921" s="103">
        <v>25.514403292181072</v>
      </c>
      <c r="J921" s="103">
        <v>9.2592592592592595</v>
      </c>
      <c r="K921" s="103">
        <v>6.1728395061728394</v>
      </c>
      <c r="L921" s="103">
        <v>1.8518518518518516</v>
      </c>
      <c r="M921" s="103">
        <v>0</v>
      </c>
      <c r="N921" s="103">
        <v>0</v>
      </c>
      <c r="O921" s="103">
        <v>0</v>
      </c>
      <c r="P921" s="42"/>
      <c r="Q921" s="110"/>
      <c r="R921" s="46" t="s">
        <v>3</v>
      </c>
      <c r="S921" s="103">
        <v>2.6315789473684208</v>
      </c>
      <c r="T921" s="103">
        <v>11.052631578947368</v>
      </c>
      <c r="U921" s="103">
        <v>32.10526315789474</v>
      </c>
      <c r="V921" s="103">
        <v>27.89473684210526</v>
      </c>
      <c r="W921" s="103">
        <v>15.263157894736842</v>
      </c>
      <c r="X921" s="103">
        <v>8.9473684210526319</v>
      </c>
      <c r="Y921" s="103">
        <v>2.1052631578947367</v>
      </c>
      <c r="Z921" s="103">
        <v>0</v>
      </c>
      <c r="AA921" s="103">
        <v>0</v>
      </c>
      <c r="AB921" s="103">
        <v>0</v>
      </c>
      <c r="AC921" s="42"/>
      <c r="AD921" s="110"/>
      <c r="AE921" s="46" t="s">
        <v>3</v>
      </c>
      <c r="AF921" s="103">
        <v>7.0945945945945947</v>
      </c>
      <c r="AG921" s="103">
        <v>23.986486486486484</v>
      </c>
      <c r="AH921" s="103">
        <v>33.445945945945951</v>
      </c>
      <c r="AI921" s="103">
        <v>23.986486486486484</v>
      </c>
      <c r="AJ921" s="103">
        <v>5.4054054054054053</v>
      </c>
      <c r="AK921" s="103">
        <v>4.3918918918918921</v>
      </c>
      <c r="AL921" s="103">
        <v>1.6891891891891893</v>
      </c>
      <c r="AM921" s="103">
        <v>0</v>
      </c>
      <c r="AN921" s="103">
        <v>0</v>
      </c>
      <c r="AO921" s="103">
        <v>0</v>
      </c>
      <c r="AP921" s="6"/>
      <c r="AQ921" s="110"/>
      <c r="AR921" s="46" t="s">
        <v>3</v>
      </c>
      <c r="AS921" s="103">
        <v>7.4074074074074066</v>
      </c>
      <c r="AT921" s="103">
        <v>18.055555555555554</v>
      </c>
      <c r="AU921" s="103">
        <v>34.25925925925926</v>
      </c>
      <c r="AV921" s="103">
        <v>25.925925925925924</v>
      </c>
      <c r="AW921" s="103">
        <v>6.481481481481481</v>
      </c>
      <c r="AX921" s="103">
        <v>6.9444444444444446</v>
      </c>
      <c r="AY921" s="103">
        <v>0.92592592592592582</v>
      </c>
      <c r="AZ921" s="103">
        <v>0</v>
      </c>
      <c r="BA921" s="103">
        <v>0</v>
      </c>
      <c r="BB921" s="103">
        <v>0</v>
      </c>
      <c r="BC921" s="42"/>
      <c r="BD921" s="110"/>
      <c r="BE921" s="46" t="s">
        <v>3</v>
      </c>
      <c r="BF921" s="103">
        <v>3.7037037037037033</v>
      </c>
      <c r="BG921" s="103">
        <v>19.62962962962963</v>
      </c>
      <c r="BH921" s="103">
        <v>31.851851851851855</v>
      </c>
      <c r="BI921" s="103">
        <v>25.185185185185183</v>
      </c>
      <c r="BJ921" s="103">
        <v>11.481481481481481</v>
      </c>
      <c r="BK921" s="103">
        <v>5.5555555555555554</v>
      </c>
      <c r="BL921" s="103">
        <v>2.5925925925925926</v>
      </c>
      <c r="BM921" s="103">
        <v>0</v>
      </c>
      <c r="BN921" s="103">
        <v>0</v>
      </c>
      <c r="BO921" s="103">
        <v>0</v>
      </c>
      <c r="BQ921" s="110"/>
      <c r="BR921" s="46" t="s">
        <v>3</v>
      </c>
      <c r="BS921" s="103">
        <v>5.2830188679245289</v>
      </c>
      <c r="BT921" s="103">
        <v>20.377358490566039</v>
      </c>
      <c r="BU921" s="103">
        <v>32.830188679245282</v>
      </c>
      <c r="BV921" s="103">
        <v>27.547169811320753</v>
      </c>
      <c r="BW921" s="103">
        <v>7.9245283018867925</v>
      </c>
      <c r="BX921" s="103">
        <v>5.6603773584905666</v>
      </c>
      <c r="BY921" s="103">
        <v>0.37735849056603776</v>
      </c>
      <c r="BZ921" s="103">
        <v>0</v>
      </c>
      <c r="CA921" s="103">
        <v>0</v>
      </c>
      <c r="CB921" s="103">
        <v>0</v>
      </c>
      <c r="CC921" s="42"/>
      <c r="CD921" s="110"/>
      <c r="CE921" s="46" t="s">
        <v>3</v>
      </c>
      <c r="CF921" s="103">
        <v>5.4298642533936654</v>
      </c>
      <c r="CG921" s="103">
        <v>17.194570135746606</v>
      </c>
      <c r="CH921" s="103">
        <v>33.031674208144793</v>
      </c>
      <c r="CI921" s="103">
        <v>23.076923076923077</v>
      </c>
      <c r="CJ921" s="103">
        <v>10.859728506787331</v>
      </c>
      <c r="CK921" s="103">
        <v>6.7873303167420813</v>
      </c>
      <c r="CL921" s="103">
        <v>3.6199095022624439</v>
      </c>
      <c r="CM921" s="103">
        <v>0</v>
      </c>
      <c r="CN921" s="103">
        <v>0</v>
      </c>
      <c r="CO921" s="103">
        <v>0</v>
      </c>
      <c r="CQ921" s="110"/>
      <c r="CR921" s="46" t="s">
        <v>3</v>
      </c>
      <c r="CS921" s="103">
        <v>1.8867924528301887</v>
      </c>
      <c r="CT921" s="103">
        <v>16.981132075471699</v>
      </c>
      <c r="CU921" s="103">
        <v>31.132075471698112</v>
      </c>
      <c r="CV921" s="103">
        <v>19.811320754716981</v>
      </c>
      <c r="CW921" s="103">
        <v>17.924528301886792</v>
      </c>
      <c r="CX921" s="103">
        <v>10.377358490566039</v>
      </c>
      <c r="CY921" s="103">
        <v>1.8867924528301887</v>
      </c>
      <c r="CZ921" s="103">
        <v>0</v>
      </c>
      <c r="DA921" s="103">
        <v>0</v>
      </c>
      <c r="DB921" s="103">
        <v>0</v>
      </c>
      <c r="DC921" s="42"/>
      <c r="DD921" s="110"/>
      <c r="DE921" s="46" t="s">
        <v>3</v>
      </c>
      <c r="DF921" s="103">
        <v>6.3157894736842106</v>
      </c>
      <c r="DG921" s="103">
        <v>19.473684210526315</v>
      </c>
      <c r="DH921" s="103">
        <v>33.421052631578945</v>
      </c>
      <c r="DI921" s="103">
        <v>27.105263157894736</v>
      </c>
      <c r="DJ921" s="103">
        <v>6.8421052631578956</v>
      </c>
      <c r="DK921" s="103">
        <v>5</v>
      </c>
      <c r="DL921" s="103">
        <v>1.8421052631578945</v>
      </c>
      <c r="DM921" s="103">
        <v>0</v>
      </c>
      <c r="DN921" s="103">
        <v>0</v>
      </c>
      <c r="DO921" s="103">
        <v>0</v>
      </c>
    </row>
    <row r="922" spans="2:119" ht="16.25" customHeight="1" x14ac:dyDescent="0.45">
      <c r="B922" s="99"/>
      <c r="C922" s="42"/>
      <c r="D922" s="110"/>
      <c r="E922" s="47" t="s">
        <v>4</v>
      </c>
      <c r="F922" s="103">
        <v>4.909560723514212</v>
      </c>
      <c r="G922" s="103">
        <v>16.408268733850129</v>
      </c>
      <c r="H922" s="103">
        <v>25.452196382428944</v>
      </c>
      <c r="I922" s="103">
        <v>29.069767441860467</v>
      </c>
      <c r="J922" s="103">
        <v>13.436692506459949</v>
      </c>
      <c r="K922" s="103">
        <v>7.6227390180878558</v>
      </c>
      <c r="L922" s="103">
        <v>2.454780361757106</v>
      </c>
      <c r="M922" s="103">
        <v>0.2583979328165375</v>
      </c>
      <c r="N922" s="103">
        <v>0.38759689922480622</v>
      </c>
      <c r="O922" s="103">
        <v>0</v>
      </c>
      <c r="P922" s="42"/>
      <c r="Q922" s="110"/>
      <c r="R922" s="46" t="s">
        <v>4</v>
      </c>
      <c r="S922" s="103">
        <v>2.507836990595611</v>
      </c>
      <c r="T922" s="103">
        <v>10.031347962382444</v>
      </c>
      <c r="U922" s="103">
        <v>21.9435736677116</v>
      </c>
      <c r="V922" s="103">
        <v>32.915360501567399</v>
      </c>
      <c r="W922" s="103">
        <v>16.614420062695924</v>
      </c>
      <c r="X922" s="103">
        <v>10.9717868338558</v>
      </c>
      <c r="Y922" s="103">
        <v>4.0752351097178678</v>
      </c>
      <c r="Z922" s="103">
        <v>0.31347962382445138</v>
      </c>
      <c r="AA922" s="103">
        <v>0.62695924764890276</v>
      </c>
      <c r="AB922" s="103">
        <v>0</v>
      </c>
      <c r="AC922" s="42"/>
      <c r="AD922" s="110"/>
      <c r="AE922" s="46" t="s">
        <v>4</v>
      </c>
      <c r="AF922" s="103">
        <v>6.593406593406594</v>
      </c>
      <c r="AG922" s="103">
        <v>20.87912087912088</v>
      </c>
      <c r="AH922" s="103">
        <v>27.912087912087912</v>
      </c>
      <c r="AI922" s="103">
        <v>26.373626373626376</v>
      </c>
      <c r="AJ922" s="103">
        <v>11.20879120879121</v>
      </c>
      <c r="AK922" s="103">
        <v>5.2747252747252746</v>
      </c>
      <c r="AL922" s="103">
        <v>1.3186813186813187</v>
      </c>
      <c r="AM922" s="103">
        <v>0.21978021978021978</v>
      </c>
      <c r="AN922" s="103">
        <v>0.21978021978021978</v>
      </c>
      <c r="AO922" s="103">
        <v>0</v>
      </c>
      <c r="AP922" s="6"/>
      <c r="AQ922" s="110"/>
      <c r="AR922" s="46" t="s">
        <v>4</v>
      </c>
      <c r="AS922" s="103">
        <v>6.8965517241379306</v>
      </c>
      <c r="AT922" s="103">
        <v>19.435736677115987</v>
      </c>
      <c r="AU922" s="103">
        <v>26.01880877742947</v>
      </c>
      <c r="AV922" s="103">
        <v>28.213166144200624</v>
      </c>
      <c r="AW922" s="103">
        <v>12.225705329153605</v>
      </c>
      <c r="AX922" s="103">
        <v>5.0156739811912221</v>
      </c>
      <c r="AY922" s="103">
        <v>1.8808777429467085</v>
      </c>
      <c r="AZ922" s="103">
        <v>0</v>
      </c>
      <c r="BA922" s="103">
        <v>0.31347962382445138</v>
      </c>
      <c r="BB922" s="103">
        <v>0</v>
      </c>
      <c r="BC922" s="42"/>
      <c r="BD922" s="110"/>
      <c r="BE922" s="46" t="s">
        <v>4</v>
      </c>
      <c r="BF922" s="103">
        <v>3.5164835164835164</v>
      </c>
      <c r="BG922" s="103">
        <v>14.285714285714285</v>
      </c>
      <c r="BH922" s="103">
        <v>25.054945054945055</v>
      </c>
      <c r="BI922" s="103">
        <v>29.670329670329672</v>
      </c>
      <c r="BJ922" s="103">
        <v>14.285714285714285</v>
      </c>
      <c r="BK922" s="103">
        <v>9.4505494505494507</v>
      </c>
      <c r="BL922" s="103">
        <v>2.8571428571428572</v>
      </c>
      <c r="BM922" s="103">
        <v>0.43956043956043955</v>
      </c>
      <c r="BN922" s="103">
        <v>0.43956043956043955</v>
      </c>
      <c r="BO922" s="103">
        <v>0</v>
      </c>
      <c r="BQ922" s="110"/>
      <c r="BR922" s="46" t="s">
        <v>4</v>
      </c>
      <c r="BS922" s="103">
        <v>4.9230769230769234</v>
      </c>
      <c r="BT922" s="103">
        <v>19.692307692307693</v>
      </c>
      <c r="BU922" s="103">
        <v>27.384615384615387</v>
      </c>
      <c r="BV922" s="103">
        <v>26.461538461538463</v>
      </c>
      <c r="BW922" s="103">
        <v>12.615384615384615</v>
      </c>
      <c r="BX922" s="103">
        <v>6.7692307692307692</v>
      </c>
      <c r="BY922" s="103">
        <v>1.8461538461538463</v>
      </c>
      <c r="BZ922" s="103">
        <v>0</v>
      </c>
      <c r="CA922" s="103">
        <v>0.30769230769230771</v>
      </c>
      <c r="CB922" s="103">
        <v>0</v>
      </c>
      <c r="CC922" s="42"/>
      <c r="CD922" s="110"/>
      <c r="CE922" s="46" t="s">
        <v>4</v>
      </c>
      <c r="CF922" s="103">
        <v>4.8997772828507795</v>
      </c>
      <c r="CG922" s="103">
        <v>14.03118040089087</v>
      </c>
      <c r="CH922" s="103">
        <v>24.053452115812917</v>
      </c>
      <c r="CI922" s="103">
        <v>30.957683741648108</v>
      </c>
      <c r="CJ922" s="103">
        <v>14.03118040089087</v>
      </c>
      <c r="CK922" s="103">
        <v>8.2405345211581285</v>
      </c>
      <c r="CL922" s="103">
        <v>2.8953229398663698</v>
      </c>
      <c r="CM922" s="103">
        <v>0.44543429844097993</v>
      </c>
      <c r="CN922" s="103">
        <v>0.44543429844097993</v>
      </c>
      <c r="CO922" s="103">
        <v>0</v>
      </c>
      <c r="CQ922" s="110"/>
      <c r="CR922" s="46" t="s">
        <v>4</v>
      </c>
      <c r="CS922" s="103">
        <v>0.68493150684931503</v>
      </c>
      <c r="CT922" s="103">
        <v>10.95890410958904</v>
      </c>
      <c r="CU922" s="103">
        <v>25.342465753424658</v>
      </c>
      <c r="CV922" s="103">
        <v>26.027397260273972</v>
      </c>
      <c r="CW922" s="103">
        <v>16.43835616438356</v>
      </c>
      <c r="CX922" s="103">
        <v>12.328767123287671</v>
      </c>
      <c r="CY922" s="103">
        <v>5.4794520547945202</v>
      </c>
      <c r="CZ922" s="103">
        <v>1.3698630136986301</v>
      </c>
      <c r="DA922" s="103">
        <v>1.3698630136986301</v>
      </c>
      <c r="DB922" s="103">
        <v>0</v>
      </c>
      <c r="DC922" s="42"/>
      <c r="DD922" s="110"/>
      <c r="DE922" s="46" t="s">
        <v>4</v>
      </c>
      <c r="DF922" s="103">
        <v>5.8917197452229297</v>
      </c>
      <c r="DG922" s="103">
        <v>17.67515923566879</v>
      </c>
      <c r="DH922" s="103">
        <v>25.477707006369428</v>
      </c>
      <c r="DI922" s="103">
        <v>29.777070063694268</v>
      </c>
      <c r="DJ922" s="103">
        <v>12.738853503184714</v>
      </c>
      <c r="DK922" s="103">
        <v>6.5286624203821653</v>
      </c>
      <c r="DL922" s="103">
        <v>1.7515923566878981</v>
      </c>
      <c r="DM922" s="103">
        <v>0</v>
      </c>
      <c r="DN922" s="103">
        <v>0.15923566878980894</v>
      </c>
      <c r="DO922" s="103">
        <v>0</v>
      </c>
    </row>
    <row r="923" spans="2:119" ht="16.25" customHeight="1" x14ac:dyDescent="0.45">
      <c r="B923" s="99"/>
      <c r="C923" s="42"/>
      <c r="D923" s="110"/>
      <c r="E923" s="47" t="s">
        <v>5</v>
      </c>
      <c r="F923" s="103">
        <v>3.6024016010673781</v>
      </c>
      <c r="G923" s="103">
        <v>10.273515677118079</v>
      </c>
      <c r="H923" s="103">
        <v>21.614409606404269</v>
      </c>
      <c r="I923" s="103">
        <v>29.686457638425619</v>
      </c>
      <c r="J923" s="103">
        <v>17.278185456971315</v>
      </c>
      <c r="K923" s="103">
        <v>12.074716477651767</v>
      </c>
      <c r="L923" s="103">
        <v>4.4696464309539694</v>
      </c>
      <c r="M923" s="103">
        <v>0.66711140760507004</v>
      </c>
      <c r="N923" s="103">
        <v>0.33355570380253502</v>
      </c>
      <c r="O923" s="103">
        <v>0</v>
      </c>
      <c r="P923" s="42"/>
      <c r="Q923" s="110"/>
      <c r="R923" s="46" t="s">
        <v>5</v>
      </c>
      <c r="S923" s="103">
        <v>2.0958083832335328</v>
      </c>
      <c r="T923" s="103">
        <v>6.4371257485029938</v>
      </c>
      <c r="U923" s="103">
        <v>19.011976047904191</v>
      </c>
      <c r="V923" s="103">
        <v>30.08982035928144</v>
      </c>
      <c r="W923" s="103">
        <v>19.311377245508982</v>
      </c>
      <c r="X923" s="103">
        <v>15.119760479041917</v>
      </c>
      <c r="Y923" s="103">
        <v>6.2874251497005984</v>
      </c>
      <c r="Z923" s="103">
        <v>1.1976047904191618</v>
      </c>
      <c r="AA923" s="103">
        <v>0.44910179640718562</v>
      </c>
      <c r="AB923" s="103">
        <v>0</v>
      </c>
      <c r="AC923" s="42"/>
      <c r="AD923" s="110"/>
      <c r="AE923" s="46" t="s">
        <v>5</v>
      </c>
      <c r="AF923" s="103">
        <v>4.8134777376654636</v>
      </c>
      <c r="AG923" s="103">
        <v>13.357400722021662</v>
      </c>
      <c r="AH923" s="103">
        <v>23.706377858002405</v>
      </c>
      <c r="AI923" s="103">
        <v>29.362214199759322</v>
      </c>
      <c r="AJ923" s="103">
        <v>15.643802647412755</v>
      </c>
      <c r="AK923" s="103">
        <v>9.6269554753309272</v>
      </c>
      <c r="AL923" s="103">
        <v>3.0084235860409145</v>
      </c>
      <c r="AM923" s="103">
        <v>0.24067388688327318</v>
      </c>
      <c r="AN923" s="103">
        <v>0.24067388688327318</v>
      </c>
      <c r="AO923" s="103">
        <v>0</v>
      </c>
      <c r="AP923" s="6"/>
      <c r="AQ923" s="110"/>
      <c r="AR923" s="46" t="s">
        <v>5</v>
      </c>
      <c r="AS923" s="103">
        <v>4.980842911877394</v>
      </c>
      <c r="AT923" s="103">
        <v>13.409961685823754</v>
      </c>
      <c r="AU923" s="103">
        <v>26.628352490421459</v>
      </c>
      <c r="AV923" s="103">
        <v>26.245210727969347</v>
      </c>
      <c r="AW923" s="103">
        <v>14.559386973180077</v>
      </c>
      <c r="AX923" s="103">
        <v>10.919540229885058</v>
      </c>
      <c r="AY923" s="103">
        <v>2.8735632183908044</v>
      </c>
      <c r="AZ923" s="103">
        <v>0.38314176245210724</v>
      </c>
      <c r="BA923" s="103">
        <v>0</v>
      </c>
      <c r="BB923" s="103">
        <v>0</v>
      </c>
      <c r="BC923" s="42"/>
      <c r="BD923" s="110"/>
      <c r="BE923" s="46" t="s">
        <v>5</v>
      </c>
      <c r="BF923" s="103">
        <v>2.8659160696008188</v>
      </c>
      <c r="BG923" s="103">
        <v>8.5977482088024573</v>
      </c>
      <c r="BH923" s="103">
        <v>18.93551688843398</v>
      </c>
      <c r="BI923" s="103">
        <v>31.525076765609008</v>
      </c>
      <c r="BJ923" s="103">
        <v>18.730808597748208</v>
      </c>
      <c r="BK923" s="103">
        <v>12.691914022517912</v>
      </c>
      <c r="BL923" s="103">
        <v>5.3224155578300927</v>
      </c>
      <c r="BM923" s="103">
        <v>0.81883316274309115</v>
      </c>
      <c r="BN923" s="103">
        <v>0.51177072671443202</v>
      </c>
      <c r="BO923" s="103">
        <v>0</v>
      </c>
      <c r="BQ923" s="110"/>
      <c r="BR923" s="46" t="s">
        <v>5</v>
      </c>
      <c r="BS923" s="103">
        <v>5.0526315789473681</v>
      </c>
      <c r="BT923" s="103">
        <v>12.210526315789473</v>
      </c>
      <c r="BU923" s="103">
        <v>25.263157894736842</v>
      </c>
      <c r="BV923" s="103">
        <v>30.315789473684212</v>
      </c>
      <c r="BW923" s="103">
        <v>13.684210526315791</v>
      </c>
      <c r="BX923" s="103">
        <v>10.105263157894736</v>
      </c>
      <c r="BY923" s="103">
        <v>2.736842105263158</v>
      </c>
      <c r="BZ923" s="103">
        <v>0.42105263157894735</v>
      </c>
      <c r="CA923" s="103">
        <v>0.21052631578947367</v>
      </c>
      <c r="CB923" s="103">
        <v>0</v>
      </c>
      <c r="CC923" s="42"/>
      <c r="CD923" s="110"/>
      <c r="CE923" s="46" t="s">
        <v>5</v>
      </c>
      <c r="CF923" s="103">
        <v>2.9296875</v>
      </c>
      <c r="CG923" s="103">
        <v>9.375</v>
      </c>
      <c r="CH923" s="103">
        <v>19.921875</v>
      </c>
      <c r="CI923" s="103">
        <v>29.39453125</v>
      </c>
      <c r="CJ923" s="103">
        <v>18.9453125</v>
      </c>
      <c r="CK923" s="103">
        <v>12.98828125</v>
      </c>
      <c r="CL923" s="103">
        <v>5.2734375</v>
      </c>
      <c r="CM923" s="103">
        <v>0.78125</v>
      </c>
      <c r="CN923" s="103">
        <v>0.390625</v>
      </c>
      <c r="CO923" s="103">
        <v>0</v>
      </c>
      <c r="CQ923" s="110"/>
      <c r="CR923" s="46" t="s">
        <v>5</v>
      </c>
      <c r="CS923" s="103">
        <v>2.6022304832713754</v>
      </c>
      <c r="CT923" s="103">
        <v>7.4349442379182156</v>
      </c>
      <c r="CU923" s="103">
        <v>14.12639405204461</v>
      </c>
      <c r="CV923" s="103">
        <v>30.483271375464682</v>
      </c>
      <c r="CW923" s="103">
        <v>21.561338289962826</v>
      </c>
      <c r="CX923" s="103">
        <v>14.49814126394052</v>
      </c>
      <c r="CY923" s="103">
        <v>8.1784386617100377</v>
      </c>
      <c r="CZ923" s="103">
        <v>0.74349442379182151</v>
      </c>
      <c r="DA923" s="103">
        <v>0.37174721189591076</v>
      </c>
      <c r="DB923" s="103">
        <v>0</v>
      </c>
      <c r="DC923" s="42"/>
      <c r="DD923" s="110"/>
      <c r="DE923" s="46" t="s">
        <v>5</v>
      </c>
      <c r="DF923" s="103">
        <v>3.8211382113821135</v>
      </c>
      <c r="DG923" s="103">
        <v>10.894308943089431</v>
      </c>
      <c r="DH923" s="103">
        <v>23.252032520325201</v>
      </c>
      <c r="DI923" s="103">
        <v>29.512195121951219</v>
      </c>
      <c r="DJ923" s="103">
        <v>16.341463414634148</v>
      </c>
      <c r="DK923" s="103">
        <v>11.544715447154472</v>
      </c>
      <c r="DL923" s="103">
        <v>3.6585365853658534</v>
      </c>
      <c r="DM923" s="103">
        <v>0.65040650406504064</v>
      </c>
      <c r="DN923" s="103">
        <v>0.32520325203252032</v>
      </c>
      <c r="DO923" s="103">
        <v>0</v>
      </c>
    </row>
    <row r="924" spans="2:119" ht="16.25" customHeight="1" x14ac:dyDescent="0.45">
      <c r="B924" s="99"/>
      <c r="C924" s="42"/>
      <c r="D924" s="110"/>
      <c r="E924" s="47" t="s">
        <v>6</v>
      </c>
      <c r="F924" s="103">
        <v>2.4081878386514148</v>
      </c>
      <c r="G924" s="103">
        <v>7.043949428055388</v>
      </c>
      <c r="H924" s="103">
        <v>17.308850090307043</v>
      </c>
      <c r="I924" s="103">
        <v>27.152317880794701</v>
      </c>
      <c r="J924" s="103">
        <v>19.476219145093317</v>
      </c>
      <c r="K924" s="103">
        <v>15.773630343166767</v>
      </c>
      <c r="L924" s="103">
        <v>8.1276339554485251</v>
      </c>
      <c r="M924" s="103">
        <v>2.1673690547862732</v>
      </c>
      <c r="N924" s="103">
        <v>0.42143287176399757</v>
      </c>
      <c r="O924" s="103">
        <v>0.12040939193257075</v>
      </c>
      <c r="P924" s="42"/>
      <c r="Q924" s="110"/>
      <c r="R924" s="46" t="s">
        <v>6</v>
      </c>
      <c r="S924" s="103">
        <v>1.1811023622047243</v>
      </c>
      <c r="T924" s="103">
        <v>3.2152230971128613</v>
      </c>
      <c r="U924" s="103">
        <v>12.139107611548557</v>
      </c>
      <c r="V924" s="103">
        <v>24.343832020997375</v>
      </c>
      <c r="W924" s="103">
        <v>21.062992125984252</v>
      </c>
      <c r="X924" s="103">
        <v>20.931758530183728</v>
      </c>
      <c r="Y924" s="103">
        <v>12.72965879265092</v>
      </c>
      <c r="Z924" s="103">
        <v>3.5433070866141732</v>
      </c>
      <c r="AA924" s="103">
        <v>0.65616797900262469</v>
      </c>
      <c r="AB924" s="103">
        <v>0.19685039370078738</v>
      </c>
      <c r="AC924" s="42"/>
      <c r="AD924" s="110"/>
      <c r="AE924" s="46" t="s">
        <v>6</v>
      </c>
      <c r="AF924" s="103">
        <v>3.4482758620689653</v>
      </c>
      <c r="AG924" s="103">
        <v>10.289210233592881</v>
      </c>
      <c r="AH924" s="103">
        <v>21.690767519466071</v>
      </c>
      <c r="AI924" s="103">
        <v>29.53281423804227</v>
      </c>
      <c r="AJ924" s="103">
        <v>18.131256952169078</v>
      </c>
      <c r="AK924" s="103">
        <v>11.401557285873192</v>
      </c>
      <c r="AL924" s="103">
        <v>4.2269187986651833</v>
      </c>
      <c r="AM924" s="103">
        <v>1.0011123470522802</v>
      </c>
      <c r="AN924" s="103">
        <v>0.22246941045606228</v>
      </c>
      <c r="AO924" s="103">
        <v>5.5617352614015569E-2</v>
      </c>
      <c r="AP924" s="6"/>
      <c r="AQ924" s="110"/>
      <c r="AR924" s="46" t="s">
        <v>6</v>
      </c>
      <c r="AS924" s="103">
        <v>3.9215686274509802</v>
      </c>
      <c r="AT924" s="103">
        <v>8.5901027077497663</v>
      </c>
      <c r="AU924" s="103">
        <v>21.008403361344538</v>
      </c>
      <c r="AV924" s="103">
        <v>28.104575163398692</v>
      </c>
      <c r="AW924" s="103">
        <v>17.740429505135388</v>
      </c>
      <c r="AX924" s="103">
        <v>13.071895424836603</v>
      </c>
      <c r="AY924" s="103">
        <v>5.8823529411764701</v>
      </c>
      <c r="AZ924" s="103">
        <v>1.3071895424836601</v>
      </c>
      <c r="BA924" s="103">
        <v>0.28011204481792717</v>
      </c>
      <c r="BB924" s="103">
        <v>9.3370681605975725E-2</v>
      </c>
      <c r="BC924" s="42"/>
      <c r="BD924" s="110"/>
      <c r="BE924" s="46" t="s">
        <v>6</v>
      </c>
      <c r="BF924" s="103">
        <v>1.6881386050644158</v>
      </c>
      <c r="BG924" s="103">
        <v>6.3083074189249215</v>
      </c>
      <c r="BH924" s="103">
        <v>15.548645046645934</v>
      </c>
      <c r="BI924" s="103">
        <v>26.699244780097736</v>
      </c>
      <c r="BJ924" s="103">
        <v>20.302087960906263</v>
      </c>
      <c r="BK924" s="103">
        <v>17.059084851177257</v>
      </c>
      <c r="BL924" s="103">
        <v>9.1959129275877398</v>
      </c>
      <c r="BM924" s="103">
        <v>2.576632607729898</v>
      </c>
      <c r="BN924" s="103">
        <v>0.48867170146601513</v>
      </c>
      <c r="BO924" s="103">
        <v>0.13327410039982232</v>
      </c>
      <c r="BQ924" s="110"/>
      <c r="BR924" s="46" t="s">
        <v>6</v>
      </c>
      <c r="BS924" s="103">
        <v>4.4444444444444446</v>
      </c>
      <c r="BT924" s="103">
        <v>11.587301587301587</v>
      </c>
      <c r="BU924" s="103">
        <v>21.111111111111111</v>
      </c>
      <c r="BV924" s="103">
        <v>29.047619047619051</v>
      </c>
      <c r="BW924" s="103">
        <v>14.920634920634921</v>
      </c>
      <c r="BX924" s="103">
        <v>13.015873015873018</v>
      </c>
      <c r="BY924" s="103">
        <v>5.0793650793650791</v>
      </c>
      <c r="BZ924" s="103">
        <v>0.31746031746031744</v>
      </c>
      <c r="CA924" s="103">
        <v>0.31746031746031744</v>
      </c>
      <c r="CB924" s="103">
        <v>0.15873015873015872</v>
      </c>
      <c r="CC924" s="42"/>
      <c r="CD924" s="110"/>
      <c r="CE924" s="46" t="s">
        <v>6</v>
      </c>
      <c r="CF924" s="103">
        <v>1.9316493313521546</v>
      </c>
      <c r="CG924" s="103">
        <v>5.9806835066864785</v>
      </c>
      <c r="CH924" s="103">
        <v>16.419019316493312</v>
      </c>
      <c r="CI924" s="103">
        <v>26.708766716196138</v>
      </c>
      <c r="CJ924" s="103">
        <v>20.542347696879641</v>
      </c>
      <c r="CK924" s="103">
        <v>16.419019316493312</v>
      </c>
      <c r="CL924" s="103">
        <v>8.8410104011887078</v>
      </c>
      <c r="CM924" s="103">
        <v>2.6002971768202081</v>
      </c>
      <c r="CN924" s="103">
        <v>0.44576523031203563</v>
      </c>
      <c r="CO924" s="103">
        <v>0.11144130757800891</v>
      </c>
      <c r="CQ924" s="110"/>
      <c r="CR924" s="46" t="s">
        <v>6</v>
      </c>
      <c r="CS924" s="103">
        <v>2.7472527472527473</v>
      </c>
      <c r="CT924" s="103">
        <v>5.1282051282051277</v>
      </c>
      <c r="CU924" s="103">
        <v>13.553113553113553</v>
      </c>
      <c r="CV924" s="103">
        <v>24.725274725274726</v>
      </c>
      <c r="CW924" s="103">
        <v>20.87912087912088</v>
      </c>
      <c r="CX924" s="103">
        <v>15.384615384615385</v>
      </c>
      <c r="CY924" s="103">
        <v>12.820512820512819</v>
      </c>
      <c r="CZ924" s="103">
        <v>3.6630036630036633</v>
      </c>
      <c r="DA924" s="103">
        <v>0.73260073260073255</v>
      </c>
      <c r="DB924" s="103">
        <v>0.36630036630036628</v>
      </c>
      <c r="DC924" s="42"/>
      <c r="DD924" s="110"/>
      <c r="DE924" s="46" t="s">
        <v>6</v>
      </c>
      <c r="DF924" s="103">
        <v>2.3414985590778099</v>
      </c>
      <c r="DG924" s="103">
        <v>7.4207492795389047</v>
      </c>
      <c r="DH924" s="103">
        <v>18.047550432276658</v>
      </c>
      <c r="DI924" s="103">
        <v>27.629682997118156</v>
      </c>
      <c r="DJ924" s="103">
        <v>19.20028818443804</v>
      </c>
      <c r="DK924" s="103">
        <v>15.85014409221902</v>
      </c>
      <c r="DL924" s="103">
        <v>7.2046109510086458</v>
      </c>
      <c r="DM924" s="103">
        <v>1.8731988472622478</v>
      </c>
      <c r="DN924" s="103">
        <v>0.36023054755043227</v>
      </c>
      <c r="DO924" s="103">
        <v>7.2046109510086456E-2</v>
      </c>
    </row>
    <row r="925" spans="2:119" ht="16.25" customHeight="1" x14ac:dyDescent="0.45">
      <c r="B925" s="99"/>
      <c r="C925" s="42"/>
      <c r="D925" s="110"/>
      <c r="E925" s="47" t="s">
        <v>7</v>
      </c>
      <c r="F925" s="103">
        <v>1.6672169032684054</v>
      </c>
      <c r="G925" s="103">
        <v>5.1832287883790036</v>
      </c>
      <c r="H925" s="103">
        <v>12.892043578738857</v>
      </c>
      <c r="I925" s="103">
        <v>23.192472763288212</v>
      </c>
      <c r="J925" s="103">
        <v>19.643446682073293</v>
      </c>
      <c r="K925" s="103">
        <v>18.570485308682734</v>
      </c>
      <c r="L925" s="103">
        <v>12.248266754704524</v>
      </c>
      <c r="M925" s="103">
        <v>4.6550016507098047</v>
      </c>
      <c r="N925" s="103">
        <v>1.5516672169032684</v>
      </c>
      <c r="O925" s="103">
        <v>0.39617035325189831</v>
      </c>
      <c r="P925" s="42"/>
      <c r="Q925" s="110"/>
      <c r="R925" s="46" t="s">
        <v>7</v>
      </c>
      <c r="S925" s="103">
        <v>1.0097232610321616</v>
      </c>
      <c r="T925" s="103">
        <v>2.131637995512341</v>
      </c>
      <c r="U925" s="103">
        <v>6.6192969334330591</v>
      </c>
      <c r="V925" s="103">
        <v>18.287210172026928</v>
      </c>
      <c r="W925" s="103">
        <v>20.867614061331338</v>
      </c>
      <c r="X925" s="103">
        <v>22.812266267763651</v>
      </c>
      <c r="Y925" s="103">
        <v>17.726252804786835</v>
      </c>
      <c r="Z925" s="103">
        <v>7.292445774121167</v>
      </c>
      <c r="AA925" s="103">
        <v>2.5430067314884068</v>
      </c>
      <c r="AB925" s="103">
        <v>0.71054599850411371</v>
      </c>
      <c r="AC925" s="42"/>
      <c r="AD925" s="110"/>
      <c r="AE925" s="46" t="s">
        <v>7</v>
      </c>
      <c r="AF925" s="103">
        <v>2.186761229314421</v>
      </c>
      <c r="AG925" s="103">
        <v>7.5945626477541373</v>
      </c>
      <c r="AH925" s="103">
        <v>17.84869976359338</v>
      </c>
      <c r="AI925" s="103">
        <v>27.06855791962175</v>
      </c>
      <c r="AJ925" s="103">
        <v>18.67612293144208</v>
      </c>
      <c r="AK925" s="103">
        <v>15.218676122931443</v>
      </c>
      <c r="AL925" s="103">
        <v>7.919621749408984</v>
      </c>
      <c r="AM925" s="103">
        <v>2.5709219858156027</v>
      </c>
      <c r="AN925" s="103">
        <v>0.76832151300236406</v>
      </c>
      <c r="AO925" s="103">
        <v>0.14775413711583923</v>
      </c>
      <c r="AP925" s="6"/>
      <c r="AQ925" s="110"/>
      <c r="AR925" s="46" t="s">
        <v>7</v>
      </c>
      <c r="AS925" s="103">
        <v>2.9772329246935203</v>
      </c>
      <c r="AT925" s="103">
        <v>7.472270869819031</v>
      </c>
      <c r="AU925" s="103">
        <v>16.520723876240513</v>
      </c>
      <c r="AV925" s="103">
        <v>23.992994746059544</v>
      </c>
      <c r="AW925" s="103">
        <v>19.848219497956801</v>
      </c>
      <c r="AX925" s="103">
        <v>15.87857559836544</v>
      </c>
      <c r="AY925" s="103">
        <v>8.7565674255691768</v>
      </c>
      <c r="AZ925" s="103">
        <v>3.3858727378867486</v>
      </c>
      <c r="BA925" s="103">
        <v>0.93403385872737887</v>
      </c>
      <c r="BB925" s="103">
        <v>0.23350846468184472</v>
      </c>
      <c r="BC925" s="42"/>
      <c r="BD925" s="110"/>
      <c r="BE925" s="46" t="s">
        <v>7</v>
      </c>
      <c r="BF925" s="103">
        <v>1.1507479861910241</v>
      </c>
      <c r="BG925" s="103">
        <v>4.2807825086306099</v>
      </c>
      <c r="BH925" s="103">
        <v>11.4614499424626</v>
      </c>
      <c r="BI925" s="103">
        <v>22.87686996547756</v>
      </c>
      <c r="BJ925" s="103">
        <v>19.562715765247411</v>
      </c>
      <c r="BK925" s="103">
        <v>19.631760644418872</v>
      </c>
      <c r="BL925" s="103">
        <v>13.624856156501727</v>
      </c>
      <c r="BM925" s="103">
        <v>5.1553509781357887</v>
      </c>
      <c r="BN925" s="103">
        <v>1.7951668584579978</v>
      </c>
      <c r="BO925" s="103">
        <v>0.46029919447640966</v>
      </c>
      <c r="BQ925" s="110"/>
      <c r="BR925" s="46" t="s">
        <v>7</v>
      </c>
      <c r="BS925" s="103">
        <v>3.1928480204342273</v>
      </c>
      <c r="BT925" s="103">
        <v>8.1736909323116222</v>
      </c>
      <c r="BU925" s="103">
        <v>19.795657726692209</v>
      </c>
      <c r="BV925" s="103">
        <v>25.542784163473819</v>
      </c>
      <c r="BW925" s="103">
        <v>16.347381864623244</v>
      </c>
      <c r="BX925" s="103">
        <v>13.537675606641125</v>
      </c>
      <c r="BY925" s="103">
        <v>8.8122605363984672</v>
      </c>
      <c r="BZ925" s="103">
        <v>3.3205619412515963</v>
      </c>
      <c r="CA925" s="103">
        <v>0.89399744572158357</v>
      </c>
      <c r="CB925" s="103">
        <v>0.38314176245210724</v>
      </c>
      <c r="CC925" s="42"/>
      <c r="CD925" s="110"/>
      <c r="CE925" s="46" t="s">
        <v>7</v>
      </c>
      <c r="CF925" s="103">
        <v>1.4407582938388626</v>
      </c>
      <c r="CG925" s="103">
        <v>4.7393364928909953</v>
      </c>
      <c r="CH925" s="103">
        <v>11.867298578199053</v>
      </c>
      <c r="CI925" s="103">
        <v>22.843601895734597</v>
      </c>
      <c r="CJ925" s="103">
        <v>20.132701421800945</v>
      </c>
      <c r="CK925" s="103">
        <v>19.317535545023699</v>
      </c>
      <c r="CL925" s="103">
        <v>12.758293838862558</v>
      </c>
      <c r="CM925" s="103">
        <v>4.8530805687203786</v>
      </c>
      <c r="CN925" s="103">
        <v>1.6492890995260665</v>
      </c>
      <c r="CO925" s="103">
        <v>0.3981042654028436</v>
      </c>
      <c r="CQ925" s="110"/>
      <c r="CR925" s="46" t="s">
        <v>7</v>
      </c>
      <c r="CS925" s="103">
        <v>0.62959076600209862</v>
      </c>
      <c r="CT925" s="103">
        <v>3.777544596012592</v>
      </c>
      <c r="CU925" s="103">
        <v>10.912906610703043</v>
      </c>
      <c r="CV925" s="103">
        <v>21.720881427072403</v>
      </c>
      <c r="CW925" s="103">
        <v>19.62224554039874</v>
      </c>
      <c r="CX925" s="103">
        <v>20.461699895068204</v>
      </c>
      <c r="CY925" s="103">
        <v>14.060860440713535</v>
      </c>
      <c r="CZ925" s="103">
        <v>5.5613850996852046</v>
      </c>
      <c r="DA925" s="103">
        <v>2.4134312696747111</v>
      </c>
      <c r="DB925" s="103">
        <v>0.83945435466946483</v>
      </c>
      <c r="DC925" s="42"/>
      <c r="DD925" s="110"/>
      <c r="DE925" s="46" t="s">
        <v>7</v>
      </c>
      <c r="DF925" s="103">
        <v>1.8609206660137121</v>
      </c>
      <c r="DG925" s="103">
        <v>5.4456415279138106</v>
      </c>
      <c r="DH925" s="103">
        <v>13.2615083251714</v>
      </c>
      <c r="DI925" s="103">
        <v>23.467189030362391</v>
      </c>
      <c r="DJ925" s="103">
        <v>19.647404505386877</v>
      </c>
      <c r="DK925" s="103">
        <v>18.217433888344761</v>
      </c>
      <c r="DL925" s="103">
        <v>11.909892262487757</v>
      </c>
      <c r="DM925" s="103">
        <v>4.4857982370225269</v>
      </c>
      <c r="DN925" s="103">
        <v>1.3907933398628796</v>
      </c>
      <c r="DO925" s="103">
        <v>0.31341821743388831</v>
      </c>
    </row>
    <row r="926" spans="2:119" ht="16.25" customHeight="1" x14ac:dyDescent="0.45">
      <c r="B926" s="99"/>
      <c r="C926" s="42"/>
      <c r="D926" s="110"/>
      <c r="E926" s="47" t="s">
        <v>8</v>
      </c>
      <c r="F926" s="103">
        <v>0.96790626591951101</v>
      </c>
      <c r="G926" s="103">
        <v>3.4768211920529799</v>
      </c>
      <c r="H926" s="103">
        <v>7.9979623025980651</v>
      </c>
      <c r="I926" s="103">
        <v>16.811003565970452</v>
      </c>
      <c r="J926" s="103">
        <v>18.886907794192563</v>
      </c>
      <c r="K926" s="103">
        <v>21.523178807947019</v>
      </c>
      <c r="L926" s="103">
        <v>17.3841059602649</v>
      </c>
      <c r="M926" s="103">
        <v>8.3672949566989292</v>
      </c>
      <c r="N926" s="103">
        <v>3.5659704533876719</v>
      </c>
      <c r="O926" s="103">
        <v>1.0188487009679064</v>
      </c>
      <c r="P926" s="42"/>
      <c r="Q926" s="110"/>
      <c r="R926" s="46" t="s">
        <v>8</v>
      </c>
      <c r="S926" s="103">
        <v>0.48979591836734693</v>
      </c>
      <c r="T926" s="103">
        <v>1.5782312925170068</v>
      </c>
      <c r="U926" s="103">
        <v>4.0544217687074831</v>
      </c>
      <c r="V926" s="103">
        <v>11.755102040816325</v>
      </c>
      <c r="W926" s="103">
        <v>15.428571428571427</v>
      </c>
      <c r="X926" s="103">
        <v>23.863945578231295</v>
      </c>
      <c r="Y926" s="103">
        <v>21.986394557823129</v>
      </c>
      <c r="Z926" s="103">
        <v>12.979591836734695</v>
      </c>
      <c r="AA926" s="103">
        <v>6.0680272108843543</v>
      </c>
      <c r="AB926" s="103">
        <v>1.7959183673469388</v>
      </c>
      <c r="AC926" s="42"/>
      <c r="AD926" s="110"/>
      <c r="AE926" s="46" t="s">
        <v>8</v>
      </c>
      <c r="AF926" s="103">
        <v>1.3885563801771605</v>
      </c>
      <c r="AG926" s="103">
        <v>5.1472348575532676</v>
      </c>
      <c r="AH926" s="103">
        <v>11.467560450083793</v>
      </c>
      <c r="AI926" s="103">
        <v>21.25927699305722</v>
      </c>
      <c r="AJ926" s="103">
        <v>21.929614555901363</v>
      </c>
      <c r="AK926" s="103">
        <v>19.463729949724684</v>
      </c>
      <c r="AL926" s="103">
        <v>13.334929375149629</v>
      </c>
      <c r="AM926" s="103">
        <v>4.3093129039980846</v>
      </c>
      <c r="AN926" s="103">
        <v>1.364615752932727</v>
      </c>
      <c r="AO926" s="103">
        <v>0.33516878142207324</v>
      </c>
      <c r="AP926" s="6"/>
      <c r="AQ926" s="110"/>
      <c r="AR926" s="46" t="s">
        <v>8</v>
      </c>
      <c r="AS926" s="103">
        <v>2.0222446916076846</v>
      </c>
      <c r="AT926" s="103">
        <v>6.0667340748230529</v>
      </c>
      <c r="AU926" s="103">
        <v>11.021233569261881</v>
      </c>
      <c r="AV926" s="103">
        <v>19.261880687563195</v>
      </c>
      <c r="AW926" s="103">
        <v>19.211324570273003</v>
      </c>
      <c r="AX926" s="103">
        <v>19.413549039433772</v>
      </c>
      <c r="AY926" s="103">
        <v>13.953488372093023</v>
      </c>
      <c r="AZ926" s="103">
        <v>5.9656218402426697</v>
      </c>
      <c r="BA926" s="103">
        <v>2.578361981799798</v>
      </c>
      <c r="BB926" s="103">
        <v>0.50556117290192115</v>
      </c>
      <c r="BC926" s="42"/>
      <c r="BD926" s="110"/>
      <c r="BE926" s="46" t="s">
        <v>8</v>
      </c>
      <c r="BF926" s="103">
        <v>0.61287027579162412</v>
      </c>
      <c r="BG926" s="103">
        <v>2.6046986721144023</v>
      </c>
      <c r="BH926" s="103">
        <v>6.9799114742934973</v>
      </c>
      <c r="BI926" s="103">
        <v>15.985699693564861</v>
      </c>
      <c r="BJ926" s="103">
        <v>18.77766428328226</v>
      </c>
      <c r="BK926" s="103">
        <v>22.23357167177392</v>
      </c>
      <c r="BL926" s="103">
        <v>18.539325842696631</v>
      </c>
      <c r="BM926" s="103">
        <v>9.1760299625468171</v>
      </c>
      <c r="BN926" s="103">
        <v>3.8985359210078312</v>
      </c>
      <c r="BO926" s="103">
        <v>1.191692202928158</v>
      </c>
      <c r="BQ926" s="110"/>
      <c r="BR926" s="46" t="s">
        <v>8</v>
      </c>
      <c r="BS926" s="103">
        <v>2.8288543140028288</v>
      </c>
      <c r="BT926" s="103">
        <v>7.0721357850070721</v>
      </c>
      <c r="BU926" s="103">
        <v>13.295615275813297</v>
      </c>
      <c r="BV926" s="103">
        <v>21.499292786421499</v>
      </c>
      <c r="BW926" s="103">
        <v>18.104667609618105</v>
      </c>
      <c r="BX926" s="103">
        <v>16.407355021216407</v>
      </c>
      <c r="BY926" s="103">
        <v>13.295615275813297</v>
      </c>
      <c r="BZ926" s="103">
        <v>4.2432814710042432</v>
      </c>
      <c r="CA926" s="103">
        <v>2.6874115983026874</v>
      </c>
      <c r="CB926" s="103">
        <v>0.56577086280056577</v>
      </c>
      <c r="CC926" s="42"/>
      <c r="CD926" s="110"/>
      <c r="CE926" s="46" t="s">
        <v>8</v>
      </c>
      <c r="CF926" s="103">
        <v>0.78376487053883837</v>
      </c>
      <c r="CG926" s="103">
        <v>3.1210636808957313</v>
      </c>
      <c r="CH926" s="103">
        <v>7.4737578726382079</v>
      </c>
      <c r="CI926" s="103">
        <v>16.347095871238629</v>
      </c>
      <c r="CJ926" s="103">
        <v>18.964310706787963</v>
      </c>
      <c r="CK926" s="103">
        <v>22.029391182645206</v>
      </c>
      <c r="CL926" s="103">
        <v>17.788663400979708</v>
      </c>
      <c r="CM926" s="103">
        <v>8.7753673897830655</v>
      </c>
      <c r="CN926" s="103">
        <v>3.6529041287613717</v>
      </c>
      <c r="CO926" s="103">
        <v>1.0636808957312807</v>
      </c>
      <c r="CQ926" s="110"/>
      <c r="CR926" s="46" t="s">
        <v>8</v>
      </c>
      <c r="CS926" s="103">
        <v>0.79443892750744782</v>
      </c>
      <c r="CT926" s="103">
        <v>1.8867924528301887</v>
      </c>
      <c r="CU926" s="103">
        <v>6.4548162859980138</v>
      </c>
      <c r="CV926" s="103">
        <v>15.491559086395235</v>
      </c>
      <c r="CW926" s="103">
        <v>16.981132075471699</v>
      </c>
      <c r="CX926" s="103">
        <v>23.237338629592848</v>
      </c>
      <c r="CY926" s="103">
        <v>20.953326713008938</v>
      </c>
      <c r="CZ926" s="103">
        <v>10.02979145978153</v>
      </c>
      <c r="DA926" s="103">
        <v>2.7805362462760672</v>
      </c>
      <c r="DB926" s="103">
        <v>1.3902681231380336</v>
      </c>
      <c r="DC926" s="42"/>
      <c r="DD926" s="110"/>
      <c r="DE926" s="46" t="s">
        <v>8</v>
      </c>
      <c r="DF926" s="103">
        <v>0.99342585829072305</v>
      </c>
      <c r="DG926" s="103">
        <v>3.7107377647918187</v>
      </c>
      <c r="DH926" s="103">
        <v>8.2249817384952522</v>
      </c>
      <c r="DI926" s="103">
        <v>17.005113221329438</v>
      </c>
      <c r="DJ926" s="103">
        <v>19.167275383491599</v>
      </c>
      <c r="DK926" s="103">
        <v>21.271000730460191</v>
      </c>
      <c r="DL926" s="103">
        <v>16.859021183345508</v>
      </c>
      <c r="DM926" s="103">
        <v>8.1227173119065004</v>
      </c>
      <c r="DN926" s="103">
        <v>3.6815193571950329</v>
      </c>
      <c r="DO926" s="103">
        <v>0.9642074506939371</v>
      </c>
    </row>
    <row r="927" spans="2:119" ht="16.25" customHeight="1" x14ac:dyDescent="0.45">
      <c r="B927" s="99"/>
      <c r="C927" s="42"/>
      <c r="D927" s="110"/>
      <c r="E927" s="47" t="s">
        <v>9</v>
      </c>
      <c r="F927" s="103">
        <v>0.69044879171461448</v>
      </c>
      <c r="G927" s="103">
        <v>1.6542002301495975</v>
      </c>
      <c r="H927" s="103">
        <v>3.7686996547756042</v>
      </c>
      <c r="I927" s="103">
        <v>10.558112773302646</v>
      </c>
      <c r="J927" s="103">
        <v>14.427502876869966</v>
      </c>
      <c r="K927" s="103">
        <v>21.677215189873415</v>
      </c>
      <c r="L927" s="103">
        <v>22.597813578826237</v>
      </c>
      <c r="M927" s="103">
        <v>13.794591484464902</v>
      </c>
      <c r="N927" s="103">
        <v>7.6524741081703107</v>
      </c>
      <c r="O927" s="103">
        <v>3.1789413118527046</v>
      </c>
      <c r="P927" s="42"/>
      <c r="Q927" s="110"/>
      <c r="R927" s="46" t="s">
        <v>9</v>
      </c>
      <c r="S927" s="103">
        <v>0.37511722413254139</v>
      </c>
      <c r="T927" s="103">
        <v>0.59393560487652386</v>
      </c>
      <c r="U927" s="103">
        <v>1.4379493591747421</v>
      </c>
      <c r="V927" s="103">
        <v>4.5326664582682081</v>
      </c>
      <c r="W927" s="103">
        <v>10.065645514223196</v>
      </c>
      <c r="X927" s="103">
        <v>18.849640512660208</v>
      </c>
      <c r="Y927" s="103">
        <v>26.695842450765866</v>
      </c>
      <c r="Z927" s="103">
        <v>19.412316348859019</v>
      </c>
      <c r="AA927" s="103">
        <v>12.378868396373868</v>
      </c>
      <c r="AB927" s="103">
        <v>5.658018130665833</v>
      </c>
      <c r="AC927" s="42"/>
      <c r="AD927" s="110"/>
      <c r="AE927" s="46" t="s">
        <v>9</v>
      </c>
      <c r="AF927" s="103">
        <v>0.95923261390887282</v>
      </c>
      <c r="AG927" s="103">
        <v>2.5579536370903275</v>
      </c>
      <c r="AH927" s="103">
        <v>5.755395683453238</v>
      </c>
      <c r="AI927" s="103">
        <v>15.694111377564615</v>
      </c>
      <c r="AJ927" s="103">
        <v>18.145483613109512</v>
      </c>
      <c r="AK927" s="103">
        <v>24.087396749267253</v>
      </c>
      <c r="AL927" s="103">
        <v>19.104716227018383</v>
      </c>
      <c r="AM927" s="103">
        <v>9.0061284305888627</v>
      </c>
      <c r="AN927" s="103">
        <v>3.6237676525446307</v>
      </c>
      <c r="AO927" s="103">
        <v>1.0658140154543032</v>
      </c>
      <c r="AP927" s="6"/>
      <c r="AQ927" s="110"/>
      <c r="AR927" s="46" t="s">
        <v>9</v>
      </c>
      <c r="AS927" s="103">
        <v>1.4880952380952379</v>
      </c>
      <c r="AT927" s="103">
        <v>2.9761904761904758</v>
      </c>
      <c r="AU927" s="103">
        <v>5.9523809523809517</v>
      </c>
      <c r="AV927" s="103">
        <v>14.732142857142858</v>
      </c>
      <c r="AW927" s="103">
        <v>17.336309523809522</v>
      </c>
      <c r="AX927" s="103">
        <v>21.279761904761905</v>
      </c>
      <c r="AY927" s="103">
        <v>18.452380952380953</v>
      </c>
      <c r="AZ927" s="103">
        <v>10.491071428571429</v>
      </c>
      <c r="BA927" s="103">
        <v>5.1339285714285712</v>
      </c>
      <c r="BB927" s="103">
        <v>2.1577380952380953</v>
      </c>
      <c r="BC927" s="42"/>
      <c r="BD927" s="110"/>
      <c r="BE927" s="46" t="s">
        <v>9</v>
      </c>
      <c r="BF927" s="103">
        <v>0.49928673323823108</v>
      </c>
      <c r="BG927" s="103">
        <v>1.3373751783166905</v>
      </c>
      <c r="BH927" s="103">
        <v>3.2453637660485022</v>
      </c>
      <c r="BI927" s="103">
        <v>9.5577746077032817</v>
      </c>
      <c r="BJ927" s="103">
        <v>13.730385164051356</v>
      </c>
      <c r="BK927" s="103">
        <v>21.772467902995722</v>
      </c>
      <c r="BL927" s="103">
        <v>23.591298145506421</v>
      </c>
      <c r="BM927" s="103">
        <v>14.586305278174036</v>
      </c>
      <c r="BN927" s="103">
        <v>8.2560627674750346</v>
      </c>
      <c r="BO927" s="103">
        <v>3.4236804564907275</v>
      </c>
      <c r="BQ927" s="110"/>
      <c r="BR927" s="46" t="s">
        <v>9</v>
      </c>
      <c r="BS927" s="103">
        <v>1.6203703703703702</v>
      </c>
      <c r="BT927" s="103">
        <v>4.6296296296296298</v>
      </c>
      <c r="BU927" s="103">
        <v>5.3240740740740744</v>
      </c>
      <c r="BV927" s="103">
        <v>15.277777777777779</v>
      </c>
      <c r="BW927" s="103">
        <v>17.824074074074073</v>
      </c>
      <c r="BX927" s="103">
        <v>22.222222222222221</v>
      </c>
      <c r="BY927" s="103">
        <v>18.055555555555554</v>
      </c>
      <c r="BZ927" s="103">
        <v>8.1018518518518512</v>
      </c>
      <c r="CA927" s="103">
        <v>4.8611111111111116</v>
      </c>
      <c r="CB927" s="103">
        <v>2.083333333333333</v>
      </c>
      <c r="CC927" s="42"/>
      <c r="CD927" s="110"/>
      <c r="CE927" s="46" t="s">
        <v>9</v>
      </c>
      <c r="CF927" s="103">
        <v>0.62883435582822089</v>
      </c>
      <c r="CG927" s="103">
        <v>1.4570552147239262</v>
      </c>
      <c r="CH927" s="103">
        <v>3.6656441717791406</v>
      </c>
      <c r="CI927" s="103">
        <v>10.245398773006135</v>
      </c>
      <c r="CJ927" s="103">
        <v>14.202453987730063</v>
      </c>
      <c r="CK927" s="103">
        <v>21.641104294478527</v>
      </c>
      <c r="CL927" s="103">
        <v>22.89877300613497</v>
      </c>
      <c r="CM927" s="103">
        <v>14.171779141104293</v>
      </c>
      <c r="CN927" s="103">
        <v>7.8374233128834359</v>
      </c>
      <c r="CO927" s="103">
        <v>3.2515337423312882</v>
      </c>
      <c r="CQ927" s="110"/>
      <c r="CR927" s="46" t="s">
        <v>9</v>
      </c>
      <c r="CS927" s="103">
        <v>0.66050198150594452</v>
      </c>
      <c r="CT927" s="103">
        <v>1.321003963011889</v>
      </c>
      <c r="CU927" s="103">
        <v>3.3025099075297231</v>
      </c>
      <c r="CV927" s="103">
        <v>11.492734478203435</v>
      </c>
      <c r="CW927" s="103">
        <v>12.681638044914134</v>
      </c>
      <c r="CX927" s="103">
        <v>19.550858652575958</v>
      </c>
      <c r="CY927" s="103">
        <v>24.306472919418759</v>
      </c>
      <c r="CZ927" s="103">
        <v>14.927344782034346</v>
      </c>
      <c r="DA927" s="103">
        <v>8.4544253632760906</v>
      </c>
      <c r="DB927" s="103">
        <v>3.3025099075297231</v>
      </c>
      <c r="DC927" s="42"/>
      <c r="DD927" s="110"/>
      <c r="DE927" s="46" t="s">
        <v>9</v>
      </c>
      <c r="DF927" s="103">
        <v>0.69410815173527041</v>
      </c>
      <c r="DG927" s="103">
        <v>1.6949152542372881</v>
      </c>
      <c r="DH927" s="103">
        <v>3.8256658595641646</v>
      </c>
      <c r="DI927" s="103">
        <v>10.443906376109766</v>
      </c>
      <c r="DJ927" s="103">
        <v>14.640839386602098</v>
      </c>
      <c r="DK927" s="103">
        <v>21.937046004842614</v>
      </c>
      <c r="DL927" s="103">
        <v>22.389023405972559</v>
      </c>
      <c r="DM927" s="103">
        <v>13.656174334140436</v>
      </c>
      <c r="DN927" s="103">
        <v>7.5544794188861983</v>
      </c>
      <c r="DO927" s="103">
        <v>3.1638418079096042</v>
      </c>
    </row>
    <row r="928" spans="2:119" ht="16.25" customHeight="1" x14ac:dyDescent="0.45">
      <c r="B928" s="99"/>
      <c r="C928" s="42"/>
      <c r="D928" s="110"/>
      <c r="E928" s="47" t="s">
        <v>10</v>
      </c>
      <c r="F928" s="103">
        <v>0.31270940361849453</v>
      </c>
      <c r="G928" s="103">
        <v>0.87111905293723468</v>
      </c>
      <c r="H928" s="103">
        <v>1.8985928076837169</v>
      </c>
      <c r="I928" s="103">
        <v>5.807460352914898</v>
      </c>
      <c r="J928" s="103">
        <v>8.9122180031270943</v>
      </c>
      <c r="K928" s="103">
        <v>16.015188742461469</v>
      </c>
      <c r="L928" s="103">
        <v>22.559749832477106</v>
      </c>
      <c r="M928" s="103">
        <v>19.097610006700915</v>
      </c>
      <c r="N928" s="103">
        <v>14.585660040205495</v>
      </c>
      <c r="O928" s="103">
        <v>9.9396917578735753</v>
      </c>
      <c r="P928" s="42"/>
      <c r="Q928" s="110"/>
      <c r="R928" s="46" t="s">
        <v>10</v>
      </c>
      <c r="S928" s="103">
        <v>0.23507287259050302</v>
      </c>
      <c r="T928" s="103">
        <v>0.18805829807240243</v>
      </c>
      <c r="U928" s="103">
        <v>0.42313117066290551</v>
      </c>
      <c r="V928" s="103">
        <v>2.0216267042783262</v>
      </c>
      <c r="W928" s="103">
        <v>4.2313117066290546</v>
      </c>
      <c r="X928" s="103">
        <v>10.907381288199341</v>
      </c>
      <c r="Y928" s="103">
        <v>21.109543958627174</v>
      </c>
      <c r="Z928" s="103">
        <v>23.742360131640808</v>
      </c>
      <c r="AA928" s="103">
        <v>20.921485660554772</v>
      </c>
      <c r="AB928" s="103">
        <v>16.220028208744711</v>
      </c>
      <c r="AC928" s="42"/>
      <c r="AD928" s="110"/>
      <c r="AE928" s="46" t="s">
        <v>10</v>
      </c>
      <c r="AF928" s="103">
        <v>0.38297872340425532</v>
      </c>
      <c r="AG928" s="103">
        <v>1.4893617021276597</v>
      </c>
      <c r="AH928" s="103">
        <v>3.2340425531914891</v>
      </c>
      <c r="AI928" s="103">
        <v>9.2340425531914896</v>
      </c>
      <c r="AJ928" s="103">
        <v>13.148936170212766</v>
      </c>
      <c r="AK928" s="103">
        <v>20.638297872340424</v>
      </c>
      <c r="AL928" s="103">
        <v>23.872340425531917</v>
      </c>
      <c r="AM928" s="103">
        <v>14.893617021276595</v>
      </c>
      <c r="AN928" s="103">
        <v>8.8510638297872344</v>
      </c>
      <c r="AO928" s="103">
        <v>4.2553191489361701</v>
      </c>
      <c r="AP928" s="6"/>
      <c r="AQ928" s="110"/>
      <c r="AR928" s="46" t="s">
        <v>10</v>
      </c>
      <c r="AS928" s="103">
        <v>1.1627906976744187</v>
      </c>
      <c r="AT928" s="103">
        <v>2.1802325581395348</v>
      </c>
      <c r="AU928" s="103">
        <v>4.5058139534883717</v>
      </c>
      <c r="AV928" s="103">
        <v>9.7383720930232567</v>
      </c>
      <c r="AW928" s="103">
        <v>12.209302325581394</v>
      </c>
      <c r="AX928" s="103">
        <v>17.587209302325583</v>
      </c>
      <c r="AY928" s="103">
        <v>18.168604651162788</v>
      </c>
      <c r="AZ928" s="103">
        <v>17.296511627906977</v>
      </c>
      <c r="BA928" s="103">
        <v>10.61046511627907</v>
      </c>
      <c r="BB928" s="103">
        <v>6.5406976744186052</v>
      </c>
      <c r="BC928" s="42"/>
      <c r="BD928" s="110"/>
      <c r="BE928" s="46" t="s">
        <v>10</v>
      </c>
      <c r="BF928" s="103">
        <v>0.15835312747426761</v>
      </c>
      <c r="BG928" s="103">
        <v>0.63341250989707043</v>
      </c>
      <c r="BH928" s="103">
        <v>1.4251781472684086</v>
      </c>
      <c r="BI928" s="103">
        <v>5.093692267088942</v>
      </c>
      <c r="BJ928" s="103">
        <v>8.31353919239905</v>
      </c>
      <c r="BK928" s="103">
        <v>15.729743995777252</v>
      </c>
      <c r="BL928" s="103">
        <v>23.357086302454473</v>
      </c>
      <c r="BM928" s="103">
        <v>19.424650303510159</v>
      </c>
      <c r="BN928" s="103">
        <v>15.307468989179204</v>
      </c>
      <c r="BO928" s="103">
        <v>10.556875164951174</v>
      </c>
      <c r="BQ928" s="110"/>
      <c r="BR928" s="46" t="s">
        <v>10</v>
      </c>
      <c r="BS928" s="103">
        <v>1.098901098901099</v>
      </c>
      <c r="BT928" s="103">
        <v>1.6483516483516485</v>
      </c>
      <c r="BU928" s="103">
        <v>3.296703296703297</v>
      </c>
      <c r="BV928" s="103">
        <v>9.8901098901098905</v>
      </c>
      <c r="BW928" s="103">
        <v>16.483516483516482</v>
      </c>
      <c r="BX928" s="103">
        <v>18.681318681318682</v>
      </c>
      <c r="BY928" s="103">
        <v>17.582417582417584</v>
      </c>
      <c r="BZ928" s="103">
        <v>14.835164835164836</v>
      </c>
      <c r="CA928" s="103">
        <v>12.087912087912088</v>
      </c>
      <c r="CB928" s="103">
        <v>4.395604395604396</v>
      </c>
      <c r="CC928" s="42"/>
      <c r="CD928" s="110"/>
      <c r="CE928" s="46" t="s">
        <v>10</v>
      </c>
      <c r="CF928" s="103">
        <v>0.27939464493597205</v>
      </c>
      <c r="CG928" s="103">
        <v>0.83818393480791609</v>
      </c>
      <c r="CH928" s="103">
        <v>1.839348079161816</v>
      </c>
      <c r="CI928" s="103">
        <v>5.6344586728754367</v>
      </c>
      <c r="CJ928" s="103">
        <v>8.5913853317811419</v>
      </c>
      <c r="CK928" s="103">
        <v>15.90221187427241</v>
      </c>
      <c r="CL928" s="103">
        <v>22.770663562281722</v>
      </c>
      <c r="CM928" s="103">
        <v>19.278230500582072</v>
      </c>
      <c r="CN928" s="103">
        <v>14.691501746216531</v>
      </c>
      <c r="CO928" s="103">
        <v>10.174621653084982</v>
      </c>
      <c r="CQ928" s="110"/>
      <c r="CR928" s="46" t="s">
        <v>10</v>
      </c>
      <c r="CS928" s="103">
        <v>0.22727272727272727</v>
      </c>
      <c r="CT928" s="103">
        <v>1.1363636363636365</v>
      </c>
      <c r="CU928" s="103">
        <v>1.8181818181818181</v>
      </c>
      <c r="CV928" s="103">
        <v>5.9090909090909092</v>
      </c>
      <c r="CW928" s="103">
        <v>8.4090909090909083</v>
      </c>
      <c r="CX928" s="103">
        <v>13.40909090909091</v>
      </c>
      <c r="CY928" s="103">
        <v>23.18181818181818</v>
      </c>
      <c r="CZ928" s="103">
        <v>20.227272727272727</v>
      </c>
      <c r="DA928" s="103">
        <v>14.09090909090909</v>
      </c>
      <c r="DB928" s="103">
        <v>11.59090909090909</v>
      </c>
      <c r="DC928" s="42"/>
      <c r="DD928" s="110"/>
      <c r="DE928" s="46" t="s">
        <v>10</v>
      </c>
      <c r="DF928" s="103">
        <v>0.32202130294773346</v>
      </c>
      <c r="DG928" s="103">
        <v>0.84220956155561055</v>
      </c>
      <c r="DH928" s="103">
        <v>1.9073569482288828</v>
      </c>
      <c r="DI928" s="103">
        <v>5.7963834530592022</v>
      </c>
      <c r="DJ928" s="103">
        <v>8.9670547436215013</v>
      </c>
      <c r="DK928" s="103">
        <v>16.299232103046819</v>
      </c>
      <c r="DL928" s="103">
        <v>22.491949467426306</v>
      </c>
      <c r="DM928" s="103">
        <v>18.974486004458758</v>
      </c>
      <c r="DN928" s="103">
        <v>14.639583849393114</v>
      </c>
      <c r="DO928" s="103">
        <v>9.7597225662620755</v>
      </c>
    </row>
    <row r="929" spans="2:119" ht="16.25" customHeight="1" x14ac:dyDescent="0.45">
      <c r="B929" s="99"/>
      <c r="C929" s="42"/>
      <c r="D929" s="111"/>
      <c r="E929" s="47" t="s">
        <v>11</v>
      </c>
      <c r="F929" s="103">
        <v>0.14641288433382138</v>
      </c>
      <c r="G929" s="103">
        <v>0.7320644216691069</v>
      </c>
      <c r="H929" s="103">
        <v>1.0248901903367496</v>
      </c>
      <c r="I929" s="103">
        <v>1.3177159590043925</v>
      </c>
      <c r="J929" s="103">
        <v>3.9531478770131772</v>
      </c>
      <c r="K929" s="103">
        <v>9.3704245973645683</v>
      </c>
      <c r="L929" s="103">
        <v>18.887262079062957</v>
      </c>
      <c r="M929" s="103">
        <v>18.008784773060029</v>
      </c>
      <c r="N929" s="103">
        <v>25.329428989751097</v>
      </c>
      <c r="O929" s="103">
        <v>21.229868228404101</v>
      </c>
      <c r="P929" s="42"/>
      <c r="Q929" s="111"/>
      <c r="R929" s="46" t="s">
        <v>11</v>
      </c>
      <c r="S929" s="103">
        <v>0.28490028490028491</v>
      </c>
      <c r="T929" s="103">
        <v>0</v>
      </c>
      <c r="U929" s="103">
        <v>0.56980056980056981</v>
      </c>
      <c r="V929" s="103">
        <v>0.85470085470085477</v>
      </c>
      <c r="W929" s="103">
        <v>0.56980056980056981</v>
      </c>
      <c r="X929" s="103">
        <v>4.2735042735042734</v>
      </c>
      <c r="Y929" s="103">
        <v>14.245014245014245</v>
      </c>
      <c r="Z929" s="103">
        <v>17.663817663817664</v>
      </c>
      <c r="AA929" s="103">
        <v>31.623931623931622</v>
      </c>
      <c r="AB929" s="103">
        <v>29.914529914529915</v>
      </c>
      <c r="AC929" s="42"/>
      <c r="AD929" s="111"/>
      <c r="AE929" s="46" t="s">
        <v>11</v>
      </c>
      <c r="AF929" s="103">
        <v>0</v>
      </c>
      <c r="AG929" s="103">
        <v>1.5060240963855422</v>
      </c>
      <c r="AH929" s="103">
        <v>1.5060240963855422</v>
      </c>
      <c r="AI929" s="103">
        <v>1.8072289156626504</v>
      </c>
      <c r="AJ929" s="103">
        <v>7.5301204819277112</v>
      </c>
      <c r="AK929" s="103">
        <v>14.759036144578314</v>
      </c>
      <c r="AL929" s="103">
        <v>23.795180722891565</v>
      </c>
      <c r="AM929" s="103">
        <v>18.373493975903614</v>
      </c>
      <c r="AN929" s="103">
        <v>18.674698795180721</v>
      </c>
      <c r="AO929" s="103">
        <v>12.048192771084338</v>
      </c>
      <c r="AP929" s="6"/>
      <c r="AQ929" s="111"/>
      <c r="AR929" s="46" t="s">
        <v>11</v>
      </c>
      <c r="AS929" s="103">
        <v>0</v>
      </c>
      <c r="AT929" s="103">
        <v>1.3157894736842104</v>
      </c>
      <c r="AU929" s="103">
        <v>1.3157894736842104</v>
      </c>
      <c r="AV929" s="103">
        <v>5.2631578947368416</v>
      </c>
      <c r="AW929" s="103">
        <v>3.9473684210526314</v>
      </c>
      <c r="AX929" s="103">
        <v>15.789473684210526</v>
      </c>
      <c r="AY929" s="103">
        <v>13.157894736842104</v>
      </c>
      <c r="AZ929" s="103">
        <v>18.421052631578945</v>
      </c>
      <c r="BA929" s="103">
        <v>25</v>
      </c>
      <c r="BB929" s="103">
        <v>15.789473684210526</v>
      </c>
      <c r="BC929" s="42"/>
      <c r="BD929" s="111"/>
      <c r="BE929" s="46" t="s">
        <v>11</v>
      </c>
      <c r="BF929" s="103">
        <v>0.16474464579901155</v>
      </c>
      <c r="BG929" s="103">
        <v>0.65897858319604619</v>
      </c>
      <c r="BH929" s="103">
        <v>0.98846787479406917</v>
      </c>
      <c r="BI929" s="103">
        <v>0.82372322899505768</v>
      </c>
      <c r="BJ929" s="103">
        <v>3.9538714991762767</v>
      </c>
      <c r="BK929" s="103">
        <v>8.5667215815486006</v>
      </c>
      <c r="BL929" s="103">
        <v>19.604612850082372</v>
      </c>
      <c r="BM929" s="103">
        <v>17.957166392092258</v>
      </c>
      <c r="BN929" s="103">
        <v>25.370675453047774</v>
      </c>
      <c r="BO929" s="103">
        <v>21.911037891268535</v>
      </c>
      <c r="BQ929" s="111"/>
      <c r="BR929" s="46" t="s">
        <v>11</v>
      </c>
      <c r="BS929" s="103">
        <v>0</v>
      </c>
      <c r="BT929" s="103">
        <v>3.125</v>
      </c>
      <c r="BU929" s="103">
        <v>6.25</v>
      </c>
      <c r="BV929" s="103">
        <v>6.25</v>
      </c>
      <c r="BW929" s="103">
        <v>12.5</v>
      </c>
      <c r="BX929" s="103">
        <v>12.5</v>
      </c>
      <c r="BY929" s="103">
        <v>18.75</v>
      </c>
      <c r="BZ929" s="103">
        <v>9.375</v>
      </c>
      <c r="CA929" s="103">
        <v>9.375</v>
      </c>
      <c r="CB929" s="103">
        <v>21.875</v>
      </c>
      <c r="CC929" s="42"/>
      <c r="CD929" s="111"/>
      <c r="CE929" s="46" t="s">
        <v>11</v>
      </c>
      <c r="CF929" s="103">
        <v>0.15360983102918588</v>
      </c>
      <c r="CG929" s="103">
        <v>0.61443932411674351</v>
      </c>
      <c r="CH929" s="103">
        <v>0.76804915514592931</v>
      </c>
      <c r="CI929" s="103">
        <v>1.0752688172043012</v>
      </c>
      <c r="CJ929" s="103">
        <v>3.5330261136712746</v>
      </c>
      <c r="CK929" s="103">
        <v>9.216589861751153</v>
      </c>
      <c r="CL929" s="103">
        <v>18.894009216589861</v>
      </c>
      <c r="CM929" s="103">
        <v>18.433179723502306</v>
      </c>
      <c r="CN929" s="103">
        <v>26.113671274961597</v>
      </c>
      <c r="CO929" s="103">
        <v>21.198156682027651</v>
      </c>
      <c r="CQ929" s="111"/>
      <c r="CR929" s="46" t="s">
        <v>11</v>
      </c>
      <c r="CS929" s="103">
        <v>0</v>
      </c>
      <c r="CT929" s="103">
        <v>0</v>
      </c>
      <c r="CU929" s="103">
        <v>0</v>
      </c>
      <c r="CV929" s="103">
        <v>3.0303030303030303</v>
      </c>
      <c r="CW929" s="103">
        <v>7.5757575757575761</v>
      </c>
      <c r="CX929" s="103">
        <v>7.5757575757575761</v>
      </c>
      <c r="CY929" s="103">
        <v>15.151515151515152</v>
      </c>
      <c r="CZ929" s="103">
        <v>19.696969696969695</v>
      </c>
      <c r="DA929" s="103">
        <v>25.757575757575758</v>
      </c>
      <c r="DB929" s="103">
        <v>21.212121212121211</v>
      </c>
      <c r="DC929" s="42"/>
      <c r="DD929" s="111"/>
      <c r="DE929" s="46" t="s">
        <v>11</v>
      </c>
      <c r="DF929" s="103">
        <v>0.16207455429497569</v>
      </c>
      <c r="DG929" s="103">
        <v>0.81037277147487841</v>
      </c>
      <c r="DH929" s="103">
        <v>1.1345218800648298</v>
      </c>
      <c r="DI929" s="103">
        <v>1.1345218800648298</v>
      </c>
      <c r="DJ929" s="103">
        <v>3.5656401944894651</v>
      </c>
      <c r="DK929" s="103">
        <v>9.5623987034035665</v>
      </c>
      <c r="DL929" s="103">
        <v>19.286871961102108</v>
      </c>
      <c r="DM929" s="103">
        <v>17.828200972447323</v>
      </c>
      <c r="DN929" s="103">
        <v>25.283630470016206</v>
      </c>
      <c r="DO929" s="103">
        <v>21.231766612641813</v>
      </c>
    </row>
    <row r="930" spans="2:119" x14ac:dyDescent="0.45">
      <c r="B930" s="99"/>
      <c r="C930" s="42"/>
      <c r="D930" s="42"/>
      <c r="E930" s="42"/>
      <c r="F930" s="42"/>
      <c r="G930" s="42"/>
      <c r="H930" s="42"/>
      <c r="I930" s="42"/>
      <c r="J930" s="42"/>
      <c r="K930" s="42"/>
      <c r="L930" s="42"/>
      <c r="M930" s="42"/>
      <c r="N930" s="42"/>
      <c r="O930" s="42"/>
      <c r="P930" s="42"/>
      <c r="Q930" s="42"/>
      <c r="R930" s="42"/>
      <c r="S930" s="42"/>
      <c r="T930" s="42"/>
      <c r="U930" s="42"/>
      <c r="V930" s="42"/>
      <c r="W930" s="42"/>
      <c r="X930" s="42"/>
      <c r="Y930" s="42"/>
      <c r="Z930" s="42"/>
      <c r="AA930" s="42"/>
      <c r="AB930" s="42"/>
      <c r="AC930" s="42"/>
      <c r="AD930" s="42"/>
      <c r="AE930" s="42"/>
      <c r="AF930" s="42"/>
      <c r="AG930" s="42"/>
      <c r="AH930" s="42"/>
      <c r="AI930" s="42"/>
      <c r="AJ930" s="42"/>
      <c r="AK930" s="42"/>
      <c r="AL930" s="42"/>
      <c r="AM930" s="42"/>
      <c r="AN930" s="42"/>
      <c r="AO930" s="42"/>
      <c r="AQ930" s="42"/>
      <c r="AR930" s="42"/>
      <c r="AS930" s="42"/>
      <c r="AT930" s="42"/>
      <c r="AU930" s="42"/>
      <c r="AV930" s="42"/>
      <c r="AW930" s="42"/>
      <c r="AX930" s="42"/>
      <c r="AY930" s="42"/>
      <c r="AZ930" s="42"/>
      <c r="BA930" s="42"/>
      <c r="BB930" s="42"/>
      <c r="BC930" s="42"/>
      <c r="BD930" s="42"/>
      <c r="BE930" s="42"/>
      <c r="BF930" s="42"/>
      <c r="BG930" s="42"/>
      <c r="BH930" s="42"/>
      <c r="BI930" s="42"/>
      <c r="BJ930" s="42"/>
      <c r="BK930" s="42"/>
      <c r="BL930" s="42"/>
      <c r="BM930" s="42"/>
      <c r="BN930" s="42"/>
      <c r="BO930" s="42"/>
      <c r="BQ930" s="42"/>
      <c r="BR930" s="42"/>
      <c r="BS930" s="42"/>
      <c r="BT930" s="42"/>
      <c r="BU930" s="42"/>
      <c r="BV930" s="42"/>
      <c r="BW930" s="42"/>
      <c r="BX930" s="42"/>
      <c r="BY930" s="42"/>
      <c r="BZ930" s="42"/>
      <c r="CA930" s="42"/>
      <c r="CB930" s="42"/>
      <c r="CC930" s="42"/>
      <c r="CD930" s="42"/>
      <c r="CE930" s="42"/>
      <c r="CF930" s="42"/>
      <c r="CG930" s="42"/>
      <c r="CH930" s="42"/>
      <c r="CI930" s="42"/>
      <c r="CJ930" s="42"/>
      <c r="CK930" s="42"/>
      <c r="CL930" s="42"/>
      <c r="CM930" s="42"/>
      <c r="CN930" s="42"/>
      <c r="CO930" s="42"/>
      <c r="CQ930" s="42"/>
      <c r="CR930" s="42"/>
      <c r="CS930" s="42"/>
      <c r="CT930" s="42"/>
      <c r="CU930" s="42"/>
      <c r="CV930" s="42"/>
      <c r="CW930" s="42"/>
      <c r="CX930" s="42"/>
      <c r="CY930" s="42"/>
      <c r="CZ930" s="42"/>
      <c r="DA930" s="42"/>
      <c r="DB930" s="42"/>
      <c r="DC930" s="42"/>
      <c r="DD930" s="42"/>
      <c r="DE930" s="42"/>
      <c r="DF930" s="42"/>
      <c r="DG930" s="42"/>
      <c r="DH930" s="42"/>
      <c r="DI930" s="42"/>
      <c r="DJ930" s="42"/>
      <c r="DK930" s="42"/>
      <c r="DL930" s="42"/>
      <c r="DM930" s="42"/>
      <c r="DN930" s="42"/>
      <c r="DO930" s="42"/>
    </row>
    <row r="931" spans="2:119" x14ac:dyDescent="0.45">
      <c r="B931" s="99"/>
      <c r="C931" s="42"/>
      <c r="D931" s="42"/>
      <c r="E931" s="42"/>
      <c r="F931" s="42"/>
      <c r="G931" s="42"/>
      <c r="H931" s="42"/>
      <c r="I931" s="42"/>
      <c r="J931" s="42"/>
      <c r="K931" s="42"/>
      <c r="L931" s="42"/>
      <c r="M931" s="42"/>
      <c r="N931" s="42"/>
      <c r="O931" s="42"/>
      <c r="P931" s="42"/>
      <c r="Q931" s="42"/>
      <c r="R931" s="42"/>
      <c r="S931" s="42"/>
      <c r="T931" s="42"/>
      <c r="U931" s="42"/>
      <c r="V931" s="42"/>
      <c r="W931" s="42"/>
      <c r="X931" s="42"/>
      <c r="Y931" s="42"/>
      <c r="Z931" s="42"/>
      <c r="AA931" s="42"/>
      <c r="AB931" s="42"/>
      <c r="AC931" s="42"/>
      <c r="AD931" s="42"/>
      <c r="AE931" s="42"/>
      <c r="AF931" s="42"/>
      <c r="AG931" s="42"/>
      <c r="AH931" s="42"/>
      <c r="AI931" s="42"/>
      <c r="AJ931" s="42"/>
      <c r="AK931" s="42"/>
      <c r="AL931" s="42"/>
      <c r="AM931" s="42"/>
      <c r="AN931" s="42"/>
      <c r="AO931" s="42"/>
      <c r="AQ931" s="42"/>
      <c r="AR931" s="42"/>
      <c r="AS931" s="42"/>
      <c r="AT931" s="42"/>
      <c r="AU931" s="42"/>
      <c r="AV931" s="42"/>
      <c r="AW931" s="42"/>
      <c r="AX931" s="42"/>
      <c r="AY931" s="42"/>
      <c r="AZ931" s="42"/>
      <c r="BA931" s="42"/>
      <c r="BB931" s="42"/>
      <c r="BC931" s="42"/>
      <c r="BD931" s="42"/>
      <c r="BE931" s="42"/>
      <c r="BF931" s="42"/>
      <c r="BG931" s="42"/>
      <c r="BH931" s="42"/>
      <c r="BI931" s="42"/>
      <c r="BJ931" s="42"/>
      <c r="BK931" s="42"/>
      <c r="BL931" s="42"/>
      <c r="BM931" s="42"/>
      <c r="BN931" s="42"/>
      <c r="BO931" s="42"/>
      <c r="BQ931" s="42"/>
      <c r="BR931" s="42"/>
      <c r="BS931" s="42"/>
      <c r="BT931" s="42"/>
      <c r="BU931" s="42"/>
      <c r="BV931" s="42"/>
      <c r="BW931" s="42"/>
      <c r="BX931" s="42"/>
      <c r="BY931" s="42"/>
      <c r="BZ931" s="42"/>
      <c r="CA931" s="42"/>
      <c r="CB931" s="42"/>
      <c r="CC931" s="42"/>
      <c r="CD931" s="42"/>
      <c r="CE931" s="42"/>
      <c r="CF931" s="42"/>
      <c r="CG931" s="42"/>
      <c r="CH931" s="42"/>
      <c r="CI931" s="42"/>
      <c r="CJ931" s="42"/>
      <c r="CK931" s="42"/>
      <c r="CL931" s="42"/>
      <c r="CM931" s="42"/>
      <c r="CN931" s="42"/>
      <c r="CO931" s="42"/>
      <c r="CQ931" s="42"/>
      <c r="CR931" s="42"/>
      <c r="CS931" s="42"/>
      <c r="CT931" s="42"/>
      <c r="CU931" s="42"/>
      <c r="CV931" s="42"/>
      <c r="CW931" s="42"/>
      <c r="CX931" s="42"/>
      <c r="CY931" s="42"/>
      <c r="CZ931" s="42"/>
      <c r="DA931" s="42"/>
      <c r="DB931" s="42"/>
      <c r="DC931" s="42"/>
      <c r="DD931" s="42"/>
      <c r="DE931" s="42"/>
      <c r="DF931" s="42"/>
      <c r="DG931" s="42"/>
      <c r="DH931" s="42"/>
      <c r="DI931" s="42"/>
      <c r="DJ931" s="42"/>
      <c r="DK931" s="42"/>
      <c r="DL931" s="42"/>
      <c r="DM931" s="42"/>
      <c r="DN931" s="42"/>
      <c r="DO931" s="42"/>
    </row>
    <row r="932" spans="2:119" ht="18.75" customHeight="1" x14ac:dyDescent="0.55000000000000004">
      <c r="B932" s="99"/>
      <c r="C932" s="42"/>
      <c r="D932" s="112" t="s">
        <v>24</v>
      </c>
      <c r="E932" s="112"/>
      <c r="F932" s="45"/>
      <c r="G932" s="45"/>
      <c r="H932" s="45"/>
      <c r="I932" s="45"/>
      <c r="J932" s="45"/>
      <c r="K932" s="45"/>
      <c r="L932" s="45"/>
      <c r="M932" s="45"/>
      <c r="N932" s="45"/>
      <c r="O932" s="45"/>
      <c r="P932" s="42"/>
      <c r="Q932" s="112" t="s">
        <v>24</v>
      </c>
      <c r="R932" s="112"/>
      <c r="S932" s="45"/>
      <c r="T932" s="45"/>
      <c r="U932" s="45"/>
      <c r="V932" s="45"/>
      <c r="W932" s="45"/>
      <c r="X932" s="45"/>
      <c r="Y932" s="45"/>
      <c r="Z932" s="45"/>
      <c r="AA932" s="45"/>
      <c r="AB932" s="45"/>
      <c r="AC932" s="42"/>
      <c r="AD932" s="112" t="s">
        <v>24</v>
      </c>
      <c r="AE932" s="112"/>
      <c r="AF932" s="45"/>
      <c r="AG932" s="45"/>
      <c r="AH932" s="45"/>
      <c r="AI932" s="45"/>
      <c r="AJ932" s="45"/>
      <c r="AK932" s="45"/>
      <c r="AL932" s="45"/>
      <c r="AM932" s="45"/>
      <c r="AN932" s="45"/>
      <c r="AO932" s="45"/>
      <c r="AP932" s="6"/>
      <c r="AQ932" s="112" t="s">
        <v>24</v>
      </c>
      <c r="AR932" s="112"/>
      <c r="AS932" s="45"/>
      <c r="AT932" s="45"/>
      <c r="AU932" s="45"/>
      <c r="AV932" s="45"/>
      <c r="AW932" s="45"/>
      <c r="AX932" s="45"/>
      <c r="AY932" s="45"/>
      <c r="AZ932" s="45"/>
      <c r="BA932" s="45"/>
      <c r="BB932" s="45"/>
      <c r="BC932" s="42"/>
      <c r="BD932" s="112" t="s">
        <v>24</v>
      </c>
      <c r="BE932" s="112"/>
      <c r="BF932" s="45"/>
      <c r="BG932" s="45"/>
      <c r="BH932" s="45"/>
      <c r="BI932" s="45"/>
      <c r="BJ932" s="45"/>
      <c r="BK932" s="45"/>
      <c r="BL932" s="45"/>
      <c r="BM932" s="45"/>
      <c r="BN932" s="45"/>
      <c r="BO932" s="45"/>
      <c r="BQ932" s="112" t="s">
        <v>24</v>
      </c>
      <c r="BR932" s="112"/>
      <c r="BS932" s="45"/>
      <c r="BT932" s="45"/>
      <c r="BU932" s="45"/>
      <c r="BV932" s="45"/>
      <c r="BW932" s="45"/>
      <c r="BX932" s="45"/>
      <c r="BY932" s="45"/>
      <c r="BZ932" s="45"/>
      <c r="CA932" s="45"/>
      <c r="CB932" s="45"/>
      <c r="CC932" s="42"/>
      <c r="CD932" s="112" t="s">
        <v>24</v>
      </c>
      <c r="CE932" s="112"/>
      <c r="CF932" s="45"/>
      <c r="CG932" s="45"/>
      <c r="CH932" s="45"/>
      <c r="CI932" s="45"/>
      <c r="CJ932" s="45"/>
      <c r="CK932" s="45"/>
      <c r="CL932" s="45"/>
      <c r="CM932" s="45"/>
      <c r="CN932" s="45"/>
      <c r="CO932" s="45"/>
      <c r="CQ932" s="112" t="s">
        <v>24</v>
      </c>
      <c r="CR932" s="112"/>
      <c r="CS932" s="45"/>
      <c r="CT932" s="45"/>
      <c r="CU932" s="45"/>
      <c r="CV932" s="45"/>
      <c r="CW932" s="45"/>
      <c r="CX932" s="45"/>
      <c r="CY932" s="45"/>
      <c r="CZ932" s="45"/>
      <c r="DA932" s="45"/>
      <c r="DB932" s="45"/>
      <c r="DC932" s="42"/>
      <c r="DD932" s="112" t="s">
        <v>24</v>
      </c>
      <c r="DE932" s="112"/>
      <c r="DF932" s="45"/>
      <c r="DG932" s="45"/>
      <c r="DH932" s="45"/>
      <c r="DI932" s="45"/>
      <c r="DJ932" s="45"/>
      <c r="DK932" s="45"/>
      <c r="DL932" s="45"/>
      <c r="DM932" s="45"/>
      <c r="DN932" s="45"/>
      <c r="DO932" s="45"/>
    </row>
    <row r="933" spans="2:119" ht="28.9" customHeight="1" x14ac:dyDescent="0.45">
      <c r="B933" s="99"/>
      <c r="C933" s="42"/>
      <c r="D933" s="112"/>
      <c r="E933" s="112"/>
      <c r="F933" s="108" t="s">
        <v>12</v>
      </c>
      <c r="G933" s="108"/>
      <c r="H933" s="108"/>
      <c r="I933" s="108"/>
      <c r="J933" s="108"/>
      <c r="K933" s="108"/>
      <c r="L933" s="108"/>
      <c r="M933" s="108"/>
      <c r="N933" s="108"/>
      <c r="O933" s="108"/>
      <c r="P933" s="42"/>
      <c r="Q933" s="112"/>
      <c r="R933" s="112"/>
      <c r="S933" s="108" t="s">
        <v>12</v>
      </c>
      <c r="T933" s="108"/>
      <c r="U933" s="108"/>
      <c r="V933" s="108"/>
      <c r="W933" s="108"/>
      <c r="X933" s="108"/>
      <c r="Y933" s="108"/>
      <c r="Z933" s="108"/>
      <c r="AA933" s="108"/>
      <c r="AB933" s="108"/>
      <c r="AC933" s="42"/>
      <c r="AD933" s="112"/>
      <c r="AE933" s="112"/>
      <c r="AF933" s="108" t="s">
        <v>12</v>
      </c>
      <c r="AG933" s="108"/>
      <c r="AH933" s="108"/>
      <c r="AI933" s="108"/>
      <c r="AJ933" s="108"/>
      <c r="AK933" s="108"/>
      <c r="AL933" s="108"/>
      <c r="AM933" s="108"/>
      <c r="AN933" s="108"/>
      <c r="AO933" s="108"/>
      <c r="AP933" s="6"/>
      <c r="AQ933" s="112"/>
      <c r="AR933" s="112"/>
      <c r="AS933" s="108" t="s">
        <v>12</v>
      </c>
      <c r="AT933" s="108"/>
      <c r="AU933" s="108"/>
      <c r="AV933" s="108"/>
      <c r="AW933" s="108"/>
      <c r="AX933" s="108"/>
      <c r="AY933" s="108"/>
      <c r="AZ933" s="108"/>
      <c r="BA933" s="108"/>
      <c r="BB933" s="108"/>
      <c r="BC933" s="42"/>
      <c r="BD933" s="112"/>
      <c r="BE933" s="112"/>
      <c r="BF933" s="108" t="s">
        <v>12</v>
      </c>
      <c r="BG933" s="108"/>
      <c r="BH933" s="108"/>
      <c r="BI933" s="108"/>
      <c r="BJ933" s="108"/>
      <c r="BK933" s="108"/>
      <c r="BL933" s="108"/>
      <c r="BM933" s="108"/>
      <c r="BN933" s="108"/>
      <c r="BO933" s="108"/>
      <c r="BQ933" s="112"/>
      <c r="BR933" s="112"/>
      <c r="BS933" s="108" t="s">
        <v>12</v>
      </c>
      <c r="BT933" s="108"/>
      <c r="BU933" s="108"/>
      <c r="BV933" s="108"/>
      <c r="BW933" s="108"/>
      <c r="BX933" s="108"/>
      <c r="BY933" s="108"/>
      <c r="BZ933" s="108"/>
      <c r="CA933" s="108"/>
      <c r="CB933" s="108"/>
      <c r="CC933" s="42"/>
      <c r="CD933" s="112"/>
      <c r="CE933" s="112"/>
      <c r="CF933" s="108" t="s">
        <v>12</v>
      </c>
      <c r="CG933" s="108"/>
      <c r="CH933" s="108"/>
      <c r="CI933" s="108"/>
      <c r="CJ933" s="108"/>
      <c r="CK933" s="108"/>
      <c r="CL933" s="108"/>
      <c r="CM933" s="108"/>
      <c r="CN933" s="108"/>
      <c r="CO933" s="108"/>
      <c r="CQ933" s="112"/>
      <c r="CR933" s="112"/>
      <c r="CS933" s="108" t="s">
        <v>12</v>
      </c>
      <c r="CT933" s="108"/>
      <c r="CU933" s="108"/>
      <c r="CV933" s="108"/>
      <c r="CW933" s="108"/>
      <c r="CX933" s="108"/>
      <c r="CY933" s="108"/>
      <c r="CZ933" s="108"/>
      <c r="DA933" s="108"/>
      <c r="DB933" s="108"/>
      <c r="DC933" s="42"/>
      <c r="DD933" s="112"/>
      <c r="DE933" s="112"/>
      <c r="DF933" s="108" t="s">
        <v>12</v>
      </c>
      <c r="DG933" s="108"/>
      <c r="DH933" s="108"/>
      <c r="DI933" s="108"/>
      <c r="DJ933" s="108"/>
      <c r="DK933" s="108"/>
      <c r="DL933" s="108"/>
      <c r="DM933" s="108"/>
      <c r="DN933" s="108"/>
      <c r="DO933" s="108"/>
    </row>
    <row r="934" spans="2:119" ht="15" customHeight="1" x14ac:dyDescent="0.45">
      <c r="B934" s="99"/>
      <c r="C934" s="42"/>
      <c r="D934" s="113"/>
      <c r="E934" s="113"/>
      <c r="F934" s="9" t="s">
        <v>0</v>
      </c>
      <c r="G934" s="9">
        <v>1</v>
      </c>
      <c r="H934" s="9">
        <v>2</v>
      </c>
      <c r="I934" s="9">
        <v>3</v>
      </c>
      <c r="J934" s="9">
        <v>4</v>
      </c>
      <c r="K934" s="9">
        <v>5</v>
      </c>
      <c r="L934" s="9">
        <v>6</v>
      </c>
      <c r="M934" s="9">
        <v>7</v>
      </c>
      <c r="N934" s="9">
        <v>8</v>
      </c>
      <c r="O934" s="9">
        <v>9</v>
      </c>
      <c r="P934" s="42"/>
      <c r="Q934" s="113"/>
      <c r="R934" s="113"/>
      <c r="S934" s="9" t="s">
        <v>0</v>
      </c>
      <c r="T934" s="9">
        <v>1</v>
      </c>
      <c r="U934" s="9">
        <v>2</v>
      </c>
      <c r="V934" s="9">
        <v>3</v>
      </c>
      <c r="W934" s="9">
        <v>4</v>
      </c>
      <c r="X934" s="9">
        <v>5</v>
      </c>
      <c r="Y934" s="9">
        <v>6</v>
      </c>
      <c r="Z934" s="9">
        <v>7</v>
      </c>
      <c r="AA934" s="9">
        <v>8</v>
      </c>
      <c r="AB934" s="9">
        <v>9</v>
      </c>
      <c r="AC934" s="42"/>
      <c r="AD934" s="113"/>
      <c r="AE934" s="113"/>
      <c r="AF934" s="9" t="s">
        <v>0</v>
      </c>
      <c r="AG934" s="9">
        <v>1</v>
      </c>
      <c r="AH934" s="9">
        <v>2</v>
      </c>
      <c r="AI934" s="9">
        <v>3</v>
      </c>
      <c r="AJ934" s="9">
        <v>4</v>
      </c>
      <c r="AK934" s="9">
        <v>5</v>
      </c>
      <c r="AL934" s="9">
        <v>6</v>
      </c>
      <c r="AM934" s="9">
        <v>7</v>
      </c>
      <c r="AN934" s="9">
        <v>8</v>
      </c>
      <c r="AO934" s="9">
        <v>9</v>
      </c>
      <c r="AP934" s="6"/>
      <c r="AQ934" s="113"/>
      <c r="AR934" s="113"/>
      <c r="AS934" s="9" t="s">
        <v>0</v>
      </c>
      <c r="AT934" s="9">
        <v>1</v>
      </c>
      <c r="AU934" s="9">
        <v>2</v>
      </c>
      <c r="AV934" s="9">
        <v>3</v>
      </c>
      <c r="AW934" s="9">
        <v>4</v>
      </c>
      <c r="AX934" s="9">
        <v>5</v>
      </c>
      <c r="AY934" s="9">
        <v>6</v>
      </c>
      <c r="AZ934" s="9">
        <v>7</v>
      </c>
      <c r="BA934" s="9">
        <v>8</v>
      </c>
      <c r="BB934" s="9">
        <v>9</v>
      </c>
      <c r="BC934" s="42"/>
      <c r="BD934" s="113"/>
      <c r="BE934" s="113"/>
      <c r="BF934" s="9" t="s">
        <v>0</v>
      </c>
      <c r="BG934" s="9">
        <v>1</v>
      </c>
      <c r="BH934" s="9">
        <v>2</v>
      </c>
      <c r="BI934" s="9">
        <v>3</v>
      </c>
      <c r="BJ934" s="9">
        <v>4</v>
      </c>
      <c r="BK934" s="9">
        <v>5</v>
      </c>
      <c r="BL934" s="9">
        <v>6</v>
      </c>
      <c r="BM934" s="9">
        <v>7</v>
      </c>
      <c r="BN934" s="9">
        <v>8</v>
      </c>
      <c r="BO934" s="9">
        <v>9</v>
      </c>
      <c r="BQ934" s="113"/>
      <c r="BR934" s="113"/>
      <c r="BS934" s="9" t="s">
        <v>0</v>
      </c>
      <c r="BT934" s="9">
        <v>1</v>
      </c>
      <c r="BU934" s="9">
        <v>2</v>
      </c>
      <c r="BV934" s="9">
        <v>3</v>
      </c>
      <c r="BW934" s="9">
        <v>4</v>
      </c>
      <c r="BX934" s="9">
        <v>5</v>
      </c>
      <c r="BY934" s="9">
        <v>6</v>
      </c>
      <c r="BZ934" s="9">
        <v>7</v>
      </c>
      <c r="CA934" s="9">
        <v>8</v>
      </c>
      <c r="CB934" s="9">
        <v>9</v>
      </c>
      <c r="CC934" s="42"/>
      <c r="CD934" s="113"/>
      <c r="CE934" s="113"/>
      <c r="CF934" s="9" t="s">
        <v>0</v>
      </c>
      <c r="CG934" s="9">
        <v>1</v>
      </c>
      <c r="CH934" s="9">
        <v>2</v>
      </c>
      <c r="CI934" s="9">
        <v>3</v>
      </c>
      <c r="CJ934" s="9">
        <v>4</v>
      </c>
      <c r="CK934" s="9">
        <v>5</v>
      </c>
      <c r="CL934" s="9">
        <v>6</v>
      </c>
      <c r="CM934" s="9">
        <v>7</v>
      </c>
      <c r="CN934" s="9">
        <v>8</v>
      </c>
      <c r="CO934" s="9">
        <v>9</v>
      </c>
      <c r="CQ934" s="113"/>
      <c r="CR934" s="113"/>
      <c r="CS934" s="9" t="s">
        <v>0</v>
      </c>
      <c r="CT934" s="9">
        <v>1</v>
      </c>
      <c r="CU934" s="9">
        <v>2</v>
      </c>
      <c r="CV934" s="9">
        <v>3</v>
      </c>
      <c r="CW934" s="9">
        <v>4</v>
      </c>
      <c r="CX934" s="9">
        <v>5</v>
      </c>
      <c r="CY934" s="9">
        <v>6</v>
      </c>
      <c r="CZ934" s="9">
        <v>7</v>
      </c>
      <c r="DA934" s="9">
        <v>8</v>
      </c>
      <c r="DB934" s="9">
        <v>9</v>
      </c>
      <c r="DC934" s="42"/>
      <c r="DD934" s="113"/>
      <c r="DE934" s="113"/>
      <c r="DF934" s="9" t="s">
        <v>0</v>
      </c>
      <c r="DG934" s="9">
        <v>1</v>
      </c>
      <c r="DH934" s="9">
        <v>2</v>
      </c>
      <c r="DI934" s="9">
        <v>3</v>
      </c>
      <c r="DJ934" s="9">
        <v>4</v>
      </c>
      <c r="DK934" s="9">
        <v>5</v>
      </c>
      <c r="DL934" s="9">
        <v>6</v>
      </c>
      <c r="DM934" s="9">
        <v>7</v>
      </c>
      <c r="DN934" s="9">
        <v>8</v>
      </c>
      <c r="DO934" s="9">
        <v>9</v>
      </c>
    </row>
    <row r="935" spans="2:119" ht="16.5" customHeight="1" x14ac:dyDescent="0.45">
      <c r="B935" s="134" t="s">
        <v>43</v>
      </c>
      <c r="C935" s="42"/>
      <c r="D935" s="109" t="s">
        <v>13</v>
      </c>
      <c r="E935" s="46" t="s">
        <v>1</v>
      </c>
      <c r="F935" s="103">
        <v>1</v>
      </c>
      <c r="G935" s="103">
        <v>0</v>
      </c>
      <c r="H935" s="103">
        <v>2</v>
      </c>
      <c r="I935" s="103">
        <v>0</v>
      </c>
      <c r="J935" s="103">
        <v>0</v>
      </c>
      <c r="K935" s="103">
        <v>0</v>
      </c>
      <c r="L935" s="103">
        <v>0</v>
      </c>
      <c r="M935" s="103">
        <v>0</v>
      </c>
      <c r="N935" s="103">
        <v>0</v>
      </c>
      <c r="O935" s="17">
        <v>0</v>
      </c>
      <c r="P935" s="42"/>
      <c r="Q935" s="109" t="s">
        <v>13</v>
      </c>
      <c r="R935" s="46" t="s">
        <v>1</v>
      </c>
      <c r="S935" s="103">
        <v>1</v>
      </c>
      <c r="T935" s="103">
        <v>0</v>
      </c>
      <c r="U935" s="103">
        <v>0</v>
      </c>
      <c r="V935" s="103">
        <v>0</v>
      </c>
      <c r="W935" s="103">
        <v>0</v>
      </c>
      <c r="X935" s="103">
        <v>0</v>
      </c>
      <c r="Y935" s="103">
        <v>0</v>
      </c>
      <c r="Z935" s="103">
        <v>0</v>
      </c>
      <c r="AA935" s="103">
        <v>0</v>
      </c>
      <c r="AB935" s="17">
        <v>0</v>
      </c>
      <c r="AC935" s="42"/>
      <c r="AD935" s="109" t="s">
        <v>13</v>
      </c>
      <c r="AE935" s="46" t="s">
        <v>1</v>
      </c>
      <c r="AF935" s="103">
        <v>0</v>
      </c>
      <c r="AG935" s="103">
        <v>0</v>
      </c>
      <c r="AH935" s="103">
        <v>2</v>
      </c>
      <c r="AI935" s="103">
        <v>0</v>
      </c>
      <c r="AJ935" s="103">
        <v>0</v>
      </c>
      <c r="AK935" s="103">
        <v>0</v>
      </c>
      <c r="AL935" s="103">
        <v>0</v>
      </c>
      <c r="AM935" s="103">
        <v>0</v>
      </c>
      <c r="AN935" s="103">
        <v>0</v>
      </c>
      <c r="AO935" s="17">
        <v>0</v>
      </c>
      <c r="AP935" s="6"/>
      <c r="AQ935" s="109" t="s">
        <v>13</v>
      </c>
      <c r="AR935" s="46" t="s">
        <v>1</v>
      </c>
      <c r="AS935" s="103">
        <v>1</v>
      </c>
      <c r="AT935" s="103">
        <v>0</v>
      </c>
      <c r="AU935" s="103">
        <v>1</v>
      </c>
      <c r="AV935" s="103">
        <v>0</v>
      </c>
      <c r="AW935" s="103">
        <v>0</v>
      </c>
      <c r="AX935" s="103">
        <v>0</v>
      </c>
      <c r="AY935" s="103">
        <v>0</v>
      </c>
      <c r="AZ935" s="103">
        <v>0</v>
      </c>
      <c r="BA935" s="103">
        <v>0</v>
      </c>
      <c r="BB935" s="17">
        <v>0</v>
      </c>
      <c r="BC935" s="42"/>
      <c r="BD935" s="109" t="s">
        <v>13</v>
      </c>
      <c r="BE935" s="46" t="s">
        <v>1</v>
      </c>
      <c r="BF935" s="103">
        <v>0</v>
      </c>
      <c r="BG935" s="103">
        <v>0</v>
      </c>
      <c r="BH935" s="103">
        <v>1</v>
      </c>
      <c r="BI935" s="103">
        <v>0</v>
      </c>
      <c r="BJ935" s="103">
        <v>0</v>
      </c>
      <c r="BK935" s="103">
        <v>0</v>
      </c>
      <c r="BL935" s="103">
        <v>0</v>
      </c>
      <c r="BM935" s="103">
        <v>0</v>
      </c>
      <c r="BN935" s="103">
        <v>0</v>
      </c>
      <c r="BO935" s="17">
        <v>0</v>
      </c>
      <c r="BQ935" s="109" t="s">
        <v>13</v>
      </c>
      <c r="BR935" s="46" t="s">
        <v>1</v>
      </c>
      <c r="BS935" s="103">
        <v>0</v>
      </c>
      <c r="BT935" s="103">
        <v>0</v>
      </c>
      <c r="BU935" s="103">
        <v>2</v>
      </c>
      <c r="BV935" s="103">
        <v>0</v>
      </c>
      <c r="BW935" s="103">
        <v>0</v>
      </c>
      <c r="BX935" s="103">
        <v>0</v>
      </c>
      <c r="BY935" s="103">
        <v>0</v>
      </c>
      <c r="BZ935" s="103">
        <v>0</v>
      </c>
      <c r="CA935" s="103">
        <v>0</v>
      </c>
      <c r="CB935" s="17">
        <v>0</v>
      </c>
      <c r="CC935" s="42"/>
      <c r="CD935" s="109" t="s">
        <v>13</v>
      </c>
      <c r="CE935" s="46" t="s">
        <v>1</v>
      </c>
      <c r="CF935" s="103">
        <v>1</v>
      </c>
      <c r="CG935" s="103">
        <v>0</v>
      </c>
      <c r="CH935" s="103">
        <v>0</v>
      </c>
      <c r="CI935" s="103">
        <v>0</v>
      </c>
      <c r="CJ935" s="103">
        <v>0</v>
      </c>
      <c r="CK935" s="103">
        <v>0</v>
      </c>
      <c r="CL935" s="103">
        <v>0</v>
      </c>
      <c r="CM935" s="103">
        <v>0</v>
      </c>
      <c r="CN935" s="103">
        <v>0</v>
      </c>
      <c r="CO935" s="17">
        <v>0</v>
      </c>
      <c r="CQ935" s="109" t="s">
        <v>13</v>
      </c>
      <c r="CR935" s="46" t="s">
        <v>1</v>
      </c>
      <c r="CS935" s="103">
        <v>1</v>
      </c>
      <c r="CT935" s="103">
        <v>0</v>
      </c>
      <c r="CU935" s="103">
        <v>1</v>
      </c>
      <c r="CV935" s="103">
        <v>0</v>
      </c>
      <c r="CW935" s="103">
        <v>0</v>
      </c>
      <c r="CX935" s="103">
        <v>0</v>
      </c>
      <c r="CY935" s="103">
        <v>0</v>
      </c>
      <c r="CZ935" s="103">
        <v>0</v>
      </c>
      <c r="DA935" s="103">
        <v>0</v>
      </c>
      <c r="DB935" s="17">
        <v>0</v>
      </c>
      <c r="DC935" s="42"/>
      <c r="DD935" s="109" t="s">
        <v>13</v>
      </c>
      <c r="DE935" s="46" t="s">
        <v>1</v>
      </c>
      <c r="DF935" s="103">
        <v>0</v>
      </c>
      <c r="DG935" s="103">
        <v>0</v>
      </c>
      <c r="DH935" s="103">
        <v>1</v>
      </c>
      <c r="DI935" s="103">
        <v>0</v>
      </c>
      <c r="DJ935" s="103">
        <v>0</v>
      </c>
      <c r="DK935" s="103">
        <v>0</v>
      </c>
      <c r="DL935" s="103">
        <v>0</v>
      </c>
      <c r="DM935" s="103">
        <v>0</v>
      </c>
      <c r="DN935" s="103">
        <v>0</v>
      </c>
      <c r="DO935" s="17">
        <v>0</v>
      </c>
    </row>
    <row r="936" spans="2:119" ht="16.5" customHeight="1" x14ac:dyDescent="0.45">
      <c r="B936" s="134"/>
      <c r="C936" s="42"/>
      <c r="D936" s="110"/>
      <c r="E936" s="46">
        <v>1</v>
      </c>
      <c r="F936" s="103">
        <v>0</v>
      </c>
      <c r="G936" s="103">
        <v>1</v>
      </c>
      <c r="H936" s="103">
        <v>5</v>
      </c>
      <c r="I936" s="103">
        <v>1</v>
      </c>
      <c r="J936" s="103">
        <v>1</v>
      </c>
      <c r="K936" s="103">
        <v>0</v>
      </c>
      <c r="L936" s="103">
        <v>0</v>
      </c>
      <c r="M936" s="103">
        <v>0</v>
      </c>
      <c r="N936" s="103">
        <v>0</v>
      </c>
      <c r="O936" s="103">
        <v>0</v>
      </c>
      <c r="P936" s="42"/>
      <c r="Q936" s="110"/>
      <c r="R936" s="46">
        <v>1</v>
      </c>
      <c r="S936" s="103">
        <v>0</v>
      </c>
      <c r="T936" s="103">
        <v>0</v>
      </c>
      <c r="U936" s="103">
        <v>3</v>
      </c>
      <c r="V936" s="103">
        <v>1</v>
      </c>
      <c r="W936" s="103">
        <v>1</v>
      </c>
      <c r="X936" s="103">
        <v>0</v>
      </c>
      <c r="Y936" s="103">
        <v>0</v>
      </c>
      <c r="Z936" s="103">
        <v>0</v>
      </c>
      <c r="AA936" s="103">
        <v>0</v>
      </c>
      <c r="AB936" s="103">
        <v>0</v>
      </c>
      <c r="AC936" s="42"/>
      <c r="AD936" s="110"/>
      <c r="AE936" s="46">
        <v>1</v>
      </c>
      <c r="AF936" s="103">
        <v>0</v>
      </c>
      <c r="AG936" s="103">
        <v>1</v>
      </c>
      <c r="AH936" s="103">
        <v>2</v>
      </c>
      <c r="AI936" s="103">
        <v>0</v>
      </c>
      <c r="AJ936" s="103">
        <v>0</v>
      </c>
      <c r="AK936" s="103">
        <v>0</v>
      </c>
      <c r="AL936" s="103">
        <v>0</v>
      </c>
      <c r="AM936" s="103">
        <v>0</v>
      </c>
      <c r="AN936" s="103">
        <v>0</v>
      </c>
      <c r="AO936" s="103">
        <v>0</v>
      </c>
      <c r="AP936" s="6"/>
      <c r="AQ936" s="110"/>
      <c r="AR936" s="46">
        <v>1</v>
      </c>
      <c r="AS936" s="103">
        <v>0</v>
      </c>
      <c r="AT936" s="103">
        <v>1</v>
      </c>
      <c r="AU936" s="103">
        <v>2</v>
      </c>
      <c r="AV936" s="103">
        <v>0</v>
      </c>
      <c r="AW936" s="103">
        <v>0</v>
      </c>
      <c r="AX936" s="103">
        <v>0</v>
      </c>
      <c r="AY936" s="103">
        <v>0</v>
      </c>
      <c r="AZ936" s="103">
        <v>0</v>
      </c>
      <c r="BA936" s="103">
        <v>0</v>
      </c>
      <c r="BB936" s="103">
        <v>0</v>
      </c>
      <c r="BC936" s="42"/>
      <c r="BD936" s="110"/>
      <c r="BE936" s="46">
        <v>1</v>
      </c>
      <c r="BF936" s="103">
        <v>0</v>
      </c>
      <c r="BG936" s="103">
        <v>0</v>
      </c>
      <c r="BH936" s="103">
        <v>3</v>
      </c>
      <c r="BI936" s="103">
        <v>1</v>
      </c>
      <c r="BJ936" s="103">
        <v>1</v>
      </c>
      <c r="BK936" s="103">
        <v>0</v>
      </c>
      <c r="BL936" s="103">
        <v>0</v>
      </c>
      <c r="BM936" s="103">
        <v>0</v>
      </c>
      <c r="BN936" s="103">
        <v>0</v>
      </c>
      <c r="BO936" s="103">
        <v>0</v>
      </c>
      <c r="BQ936" s="110"/>
      <c r="BR936" s="46">
        <v>1</v>
      </c>
      <c r="BS936" s="103">
        <v>0</v>
      </c>
      <c r="BT936" s="103">
        <v>1</v>
      </c>
      <c r="BU936" s="103">
        <v>5</v>
      </c>
      <c r="BV936" s="103">
        <v>1</v>
      </c>
      <c r="BW936" s="103">
        <v>0</v>
      </c>
      <c r="BX936" s="103">
        <v>0</v>
      </c>
      <c r="BY936" s="103">
        <v>0</v>
      </c>
      <c r="BZ936" s="103">
        <v>0</v>
      </c>
      <c r="CA936" s="103">
        <v>0</v>
      </c>
      <c r="CB936" s="103">
        <v>0</v>
      </c>
      <c r="CC936" s="42"/>
      <c r="CD936" s="110"/>
      <c r="CE936" s="46">
        <v>1</v>
      </c>
      <c r="CF936" s="103">
        <v>0</v>
      </c>
      <c r="CG936" s="103">
        <v>0</v>
      </c>
      <c r="CH936" s="103">
        <v>0</v>
      </c>
      <c r="CI936" s="103">
        <v>0</v>
      </c>
      <c r="CJ936" s="103">
        <v>1</v>
      </c>
      <c r="CK936" s="103">
        <v>0</v>
      </c>
      <c r="CL936" s="103">
        <v>0</v>
      </c>
      <c r="CM936" s="103">
        <v>0</v>
      </c>
      <c r="CN936" s="103">
        <v>0</v>
      </c>
      <c r="CO936" s="103">
        <v>0</v>
      </c>
      <c r="CQ936" s="110"/>
      <c r="CR936" s="46">
        <v>1</v>
      </c>
      <c r="CS936" s="103">
        <v>0</v>
      </c>
      <c r="CT936" s="103">
        <v>0</v>
      </c>
      <c r="CU936" s="103">
        <v>2</v>
      </c>
      <c r="CV936" s="103">
        <v>1</v>
      </c>
      <c r="CW936" s="103">
        <v>1</v>
      </c>
      <c r="CX936" s="103">
        <v>0</v>
      </c>
      <c r="CY936" s="103">
        <v>0</v>
      </c>
      <c r="CZ936" s="103">
        <v>0</v>
      </c>
      <c r="DA936" s="103">
        <v>0</v>
      </c>
      <c r="DB936" s="103">
        <v>0</v>
      </c>
      <c r="DC936" s="42"/>
      <c r="DD936" s="110"/>
      <c r="DE936" s="46">
        <v>1</v>
      </c>
      <c r="DF936" s="103">
        <v>0</v>
      </c>
      <c r="DG936" s="103">
        <v>1</v>
      </c>
      <c r="DH936" s="103">
        <v>3</v>
      </c>
      <c r="DI936" s="103">
        <v>0</v>
      </c>
      <c r="DJ936" s="103">
        <v>0</v>
      </c>
      <c r="DK936" s="103">
        <v>0</v>
      </c>
      <c r="DL936" s="103">
        <v>0</v>
      </c>
      <c r="DM936" s="103">
        <v>0</v>
      </c>
      <c r="DN936" s="103">
        <v>0</v>
      </c>
      <c r="DO936" s="103">
        <v>0</v>
      </c>
    </row>
    <row r="937" spans="2:119" ht="16.5" customHeight="1" x14ac:dyDescent="0.45">
      <c r="B937" s="134"/>
      <c r="C937" s="42"/>
      <c r="D937" s="110"/>
      <c r="E937" s="46" t="s">
        <v>2</v>
      </c>
      <c r="F937" s="103">
        <v>28</v>
      </c>
      <c r="G937" s="103">
        <v>54</v>
      </c>
      <c r="H937" s="103">
        <v>84</v>
      </c>
      <c r="I937" s="103">
        <v>83</v>
      </c>
      <c r="J937" s="103">
        <v>23</v>
      </c>
      <c r="K937" s="103">
        <v>10</v>
      </c>
      <c r="L937" s="103">
        <v>2</v>
      </c>
      <c r="M937" s="103">
        <v>2</v>
      </c>
      <c r="N937" s="103">
        <v>0</v>
      </c>
      <c r="O937" s="103">
        <v>0</v>
      </c>
      <c r="P937" s="42"/>
      <c r="Q937" s="110"/>
      <c r="R937" s="46" t="s">
        <v>2</v>
      </c>
      <c r="S937" s="103">
        <v>9</v>
      </c>
      <c r="T937" s="103">
        <v>26</v>
      </c>
      <c r="U937" s="103">
        <v>39</v>
      </c>
      <c r="V937" s="103">
        <v>43</v>
      </c>
      <c r="W937" s="103">
        <v>11</v>
      </c>
      <c r="X937" s="103">
        <v>4</v>
      </c>
      <c r="Y937" s="103">
        <v>1</v>
      </c>
      <c r="Z937" s="103">
        <v>1</v>
      </c>
      <c r="AA937" s="103">
        <v>0</v>
      </c>
      <c r="AB937" s="103">
        <v>0</v>
      </c>
      <c r="AC937" s="42"/>
      <c r="AD937" s="110"/>
      <c r="AE937" s="46" t="s">
        <v>2</v>
      </c>
      <c r="AF937" s="103">
        <v>19</v>
      </c>
      <c r="AG937" s="103">
        <v>28</v>
      </c>
      <c r="AH937" s="103">
        <v>45</v>
      </c>
      <c r="AI937" s="103">
        <v>40</v>
      </c>
      <c r="AJ937" s="103">
        <v>12</v>
      </c>
      <c r="AK937" s="103">
        <v>6</v>
      </c>
      <c r="AL937" s="103">
        <v>1</v>
      </c>
      <c r="AM937" s="103">
        <v>1</v>
      </c>
      <c r="AN937" s="103">
        <v>0</v>
      </c>
      <c r="AO937" s="103">
        <v>0</v>
      </c>
      <c r="AP937" s="6"/>
      <c r="AQ937" s="110"/>
      <c r="AR937" s="46" t="s">
        <v>2</v>
      </c>
      <c r="AS937" s="103">
        <v>20</v>
      </c>
      <c r="AT937" s="103">
        <v>27</v>
      </c>
      <c r="AU937" s="103">
        <v>47</v>
      </c>
      <c r="AV937" s="103">
        <v>36</v>
      </c>
      <c r="AW937" s="103">
        <v>12</v>
      </c>
      <c r="AX937" s="103">
        <v>3</v>
      </c>
      <c r="AY937" s="103">
        <v>1</v>
      </c>
      <c r="AZ937" s="103">
        <v>2</v>
      </c>
      <c r="BA937" s="103">
        <v>0</v>
      </c>
      <c r="BB937" s="103">
        <v>0</v>
      </c>
      <c r="BC937" s="42"/>
      <c r="BD937" s="110"/>
      <c r="BE937" s="46" t="s">
        <v>2</v>
      </c>
      <c r="BF937" s="103">
        <v>8</v>
      </c>
      <c r="BG937" s="103">
        <v>27</v>
      </c>
      <c r="BH937" s="103">
        <v>37</v>
      </c>
      <c r="BI937" s="103">
        <v>47</v>
      </c>
      <c r="BJ937" s="103">
        <v>11</v>
      </c>
      <c r="BK937" s="103">
        <v>7</v>
      </c>
      <c r="BL937" s="103">
        <v>1</v>
      </c>
      <c r="BM937" s="103">
        <v>0</v>
      </c>
      <c r="BN937" s="103">
        <v>0</v>
      </c>
      <c r="BO937" s="103">
        <v>0</v>
      </c>
      <c r="BQ937" s="110"/>
      <c r="BR937" s="46" t="s">
        <v>2</v>
      </c>
      <c r="BS937" s="103">
        <v>19</v>
      </c>
      <c r="BT937" s="103">
        <v>37</v>
      </c>
      <c r="BU937" s="103">
        <v>58</v>
      </c>
      <c r="BV937" s="103">
        <v>55</v>
      </c>
      <c r="BW937" s="103">
        <v>14</v>
      </c>
      <c r="BX937" s="103">
        <v>6</v>
      </c>
      <c r="BY937" s="103">
        <v>0</v>
      </c>
      <c r="BZ937" s="103">
        <v>1</v>
      </c>
      <c r="CA937" s="103">
        <v>0</v>
      </c>
      <c r="CB937" s="103">
        <v>0</v>
      </c>
      <c r="CC937" s="42"/>
      <c r="CD937" s="110"/>
      <c r="CE937" s="46" t="s">
        <v>2</v>
      </c>
      <c r="CF937" s="103">
        <v>9</v>
      </c>
      <c r="CG937" s="103">
        <v>17</v>
      </c>
      <c r="CH937" s="103">
        <v>26</v>
      </c>
      <c r="CI937" s="103">
        <v>28</v>
      </c>
      <c r="CJ937" s="103">
        <v>9</v>
      </c>
      <c r="CK937" s="103">
        <v>4</v>
      </c>
      <c r="CL937" s="103">
        <v>2</v>
      </c>
      <c r="CM937" s="103">
        <v>1</v>
      </c>
      <c r="CN937" s="103">
        <v>0</v>
      </c>
      <c r="CO937" s="103">
        <v>0</v>
      </c>
      <c r="CQ937" s="110"/>
      <c r="CR937" s="46" t="s">
        <v>2</v>
      </c>
      <c r="CS937" s="103">
        <v>8</v>
      </c>
      <c r="CT937" s="103">
        <v>14</v>
      </c>
      <c r="CU937" s="103">
        <v>27</v>
      </c>
      <c r="CV937" s="103">
        <v>29</v>
      </c>
      <c r="CW937" s="103">
        <v>9</v>
      </c>
      <c r="CX937" s="103">
        <v>5</v>
      </c>
      <c r="CY937" s="103">
        <v>1</v>
      </c>
      <c r="CZ937" s="103">
        <v>1</v>
      </c>
      <c r="DA937" s="103">
        <v>0</v>
      </c>
      <c r="DB937" s="103">
        <v>0</v>
      </c>
      <c r="DC937" s="42"/>
      <c r="DD937" s="110"/>
      <c r="DE937" s="46" t="s">
        <v>2</v>
      </c>
      <c r="DF937" s="103">
        <v>20</v>
      </c>
      <c r="DG937" s="103">
        <v>40</v>
      </c>
      <c r="DH937" s="103">
        <v>57</v>
      </c>
      <c r="DI937" s="103">
        <v>54</v>
      </c>
      <c r="DJ937" s="103">
        <v>14</v>
      </c>
      <c r="DK937" s="103">
        <v>5</v>
      </c>
      <c r="DL937" s="103">
        <v>1</v>
      </c>
      <c r="DM937" s="103">
        <v>1</v>
      </c>
      <c r="DN937" s="103">
        <v>0</v>
      </c>
      <c r="DO937" s="103">
        <v>0</v>
      </c>
    </row>
    <row r="938" spans="2:119" ht="16.5" customHeight="1" x14ac:dyDescent="0.45">
      <c r="B938" s="134"/>
      <c r="C938" s="42"/>
      <c r="D938" s="110"/>
      <c r="E938" s="46" t="s">
        <v>3</v>
      </c>
      <c r="F938" s="103">
        <v>11</v>
      </c>
      <c r="G938" s="103">
        <v>31</v>
      </c>
      <c r="H938" s="103">
        <v>57</v>
      </c>
      <c r="I938" s="103">
        <v>52</v>
      </c>
      <c r="J938" s="103">
        <v>29</v>
      </c>
      <c r="K938" s="103">
        <v>14</v>
      </c>
      <c r="L938" s="103">
        <v>5</v>
      </c>
      <c r="M938" s="103">
        <v>1</v>
      </c>
      <c r="N938" s="103">
        <v>0</v>
      </c>
      <c r="O938" s="103">
        <v>0</v>
      </c>
      <c r="P938" s="42"/>
      <c r="Q938" s="110"/>
      <c r="R938" s="46" t="s">
        <v>3</v>
      </c>
      <c r="S938" s="103">
        <v>4</v>
      </c>
      <c r="T938" s="103">
        <v>15</v>
      </c>
      <c r="U938" s="103">
        <v>34</v>
      </c>
      <c r="V938" s="103">
        <v>24</v>
      </c>
      <c r="W938" s="103">
        <v>20</v>
      </c>
      <c r="X938" s="103">
        <v>8</v>
      </c>
      <c r="Y938" s="103">
        <v>4</v>
      </c>
      <c r="Z938" s="103">
        <v>1</v>
      </c>
      <c r="AA938" s="103">
        <v>0</v>
      </c>
      <c r="AB938" s="103">
        <v>0</v>
      </c>
      <c r="AC938" s="42"/>
      <c r="AD938" s="110"/>
      <c r="AE938" s="46" t="s">
        <v>3</v>
      </c>
      <c r="AF938" s="103">
        <v>7</v>
      </c>
      <c r="AG938" s="103">
        <v>16</v>
      </c>
      <c r="AH938" s="103">
        <v>23</v>
      </c>
      <c r="AI938" s="103">
        <v>28</v>
      </c>
      <c r="AJ938" s="103">
        <v>9</v>
      </c>
      <c r="AK938" s="103">
        <v>6</v>
      </c>
      <c r="AL938" s="103">
        <v>1</v>
      </c>
      <c r="AM938" s="103">
        <v>0</v>
      </c>
      <c r="AN938" s="103">
        <v>0</v>
      </c>
      <c r="AO938" s="103">
        <v>0</v>
      </c>
      <c r="AP938" s="6"/>
      <c r="AQ938" s="110"/>
      <c r="AR938" s="46" t="s">
        <v>3</v>
      </c>
      <c r="AS938" s="103">
        <v>3</v>
      </c>
      <c r="AT938" s="103">
        <v>17</v>
      </c>
      <c r="AU938" s="103">
        <v>27</v>
      </c>
      <c r="AV938" s="103">
        <v>27</v>
      </c>
      <c r="AW938" s="103">
        <v>9</v>
      </c>
      <c r="AX938" s="103">
        <v>5</v>
      </c>
      <c r="AY938" s="103">
        <v>1</v>
      </c>
      <c r="AZ938" s="103">
        <v>0</v>
      </c>
      <c r="BA938" s="103">
        <v>0</v>
      </c>
      <c r="BB938" s="103">
        <v>0</v>
      </c>
      <c r="BC938" s="42"/>
      <c r="BD938" s="110"/>
      <c r="BE938" s="46" t="s">
        <v>3</v>
      </c>
      <c r="BF938" s="103">
        <v>8</v>
      </c>
      <c r="BG938" s="103">
        <v>14</v>
      </c>
      <c r="BH938" s="103">
        <v>30</v>
      </c>
      <c r="BI938" s="103">
        <v>25</v>
      </c>
      <c r="BJ938" s="103">
        <v>20</v>
      </c>
      <c r="BK938" s="103">
        <v>9</v>
      </c>
      <c r="BL938" s="103">
        <v>4</v>
      </c>
      <c r="BM938" s="103">
        <v>1</v>
      </c>
      <c r="BN938" s="103">
        <v>0</v>
      </c>
      <c r="BO938" s="103">
        <v>0</v>
      </c>
      <c r="BQ938" s="110"/>
      <c r="BR938" s="46" t="s">
        <v>3</v>
      </c>
      <c r="BS938" s="103">
        <v>6</v>
      </c>
      <c r="BT938" s="103">
        <v>23</v>
      </c>
      <c r="BU938" s="103">
        <v>29</v>
      </c>
      <c r="BV938" s="103">
        <v>27</v>
      </c>
      <c r="BW938" s="103">
        <v>17</v>
      </c>
      <c r="BX938" s="103">
        <v>8</v>
      </c>
      <c r="BY938" s="103">
        <v>3</v>
      </c>
      <c r="BZ938" s="103">
        <v>0</v>
      </c>
      <c r="CA938" s="103">
        <v>0</v>
      </c>
      <c r="CB938" s="103">
        <v>0</v>
      </c>
      <c r="CC938" s="42"/>
      <c r="CD938" s="110"/>
      <c r="CE938" s="46" t="s">
        <v>3</v>
      </c>
      <c r="CF938" s="103">
        <v>5</v>
      </c>
      <c r="CG938" s="103">
        <v>8</v>
      </c>
      <c r="CH938" s="103">
        <v>28</v>
      </c>
      <c r="CI938" s="103">
        <v>25</v>
      </c>
      <c r="CJ938" s="103">
        <v>12</v>
      </c>
      <c r="CK938" s="103">
        <v>6</v>
      </c>
      <c r="CL938" s="103">
        <v>2</v>
      </c>
      <c r="CM938" s="103">
        <v>1</v>
      </c>
      <c r="CN938" s="103">
        <v>0</v>
      </c>
      <c r="CO938" s="103">
        <v>0</v>
      </c>
      <c r="CQ938" s="110"/>
      <c r="CR938" s="46" t="s">
        <v>3</v>
      </c>
      <c r="CS938" s="103">
        <v>1</v>
      </c>
      <c r="CT938" s="103">
        <v>2</v>
      </c>
      <c r="CU938" s="103">
        <v>10</v>
      </c>
      <c r="CV938" s="103">
        <v>11</v>
      </c>
      <c r="CW938" s="103">
        <v>3</v>
      </c>
      <c r="CX938" s="103">
        <v>3</v>
      </c>
      <c r="CY938" s="103">
        <v>1</v>
      </c>
      <c r="CZ938" s="103">
        <v>0</v>
      </c>
      <c r="DA938" s="103">
        <v>0</v>
      </c>
      <c r="DB938" s="103">
        <v>0</v>
      </c>
      <c r="DC938" s="42"/>
      <c r="DD938" s="110"/>
      <c r="DE938" s="46" t="s">
        <v>3</v>
      </c>
      <c r="DF938" s="103">
        <v>10</v>
      </c>
      <c r="DG938" s="103">
        <v>29</v>
      </c>
      <c r="DH938" s="103">
        <v>47</v>
      </c>
      <c r="DI938" s="103">
        <v>41</v>
      </c>
      <c r="DJ938" s="103">
        <v>26</v>
      </c>
      <c r="DK938" s="103">
        <v>11</v>
      </c>
      <c r="DL938" s="103">
        <v>4</v>
      </c>
      <c r="DM938" s="103">
        <v>1</v>
      </c>
      <c r="DN938" s="103">
        <v>0</v>
      </c>
      <c r="DO938" s="103">
        <v>0</v>
      </c>
    </row>
    <row r="939" spans="2:119" ht="16.5" customHeight="1" x14ac:dyDescent="0.45">
      <c r="B939" s="134"/>
      <c r="C939" s="42"/>
      <c r="D939" s="110"/>
      <c r="E939" s="46" t="s">
        <v>4</v>
      </c>
      <c r="F939" s="103">
        <v>18</v>
      </c>
      <c r="G939" s="103">
        <v>43</v>
      </c>
      <c r="H939" s="103">
        <v>87</v>
      </c>
      <c r="I939" s="103">
        <v>128</v>
      </c>
      <c r="J939" s="103">
        <v>46</v>
      </c>
      <c r="K939" s="103">
        <v>27</v>
      </c>
      <c r="L939" s="103">
        <v>12</v>
      </c>
      <c r="M939" s="103">
        <v>4</v>
      </c>
      <c r="N939" s="103">
        <v>2</v>
      </c>
      <c r="O939" s="103">
        <v>1</v>
      </c>
      <c r="P939" s="42"/>
      <c r="Q939" s="110"/>
      <c r="R939" s="46" t="s">
        <v>4</v>
      </c>
      <c r="S939" s="103">
        <v>5</v>
      </c>
      <c r="T939" s="103">
        <v>22</v>
      </c>
      <c r="U939" s="103">
        <v>49</v>
      </c>
      <c r="V939" s="103">
        <v>64</v>
      </c>
      <c r="W939" s="103">
        <v>26</v>
      </c>
      <c r="X939" s="103">
        <v>15</v>
      </c>
      <c r="Y939" s="103">
        <v>8</v>
      </c>
      <c r="Z939" s="103">
        <v>2</v>
      </c>
      <c r="AA939" s="103">
        <v>0</v>
      </c>
      <c r="AB939" s="103">
        <v>0</v>
      </c>
      <c r="AC939" s="42"/>
      <c r="AD939" s="110"/>
      <c r="AE939" s="46" t="s">
        <v>4</v>
      </c>
      <c r="AF939" s="103">
        <v>13</v>
      </c>
      <c r="AG939" s="103">
        <v>21</v>
      </c>
      <c r="AH939" s="103">
        <v>38</v>
      </c>
      <c r="AI939" s="103">
        <v>64</v>
      </c>
      <c r="AJ939" s="103">
        <v>20</v>
      </c>
      <c r="AK939" s="103">
        <v>12</v>
      </c>
      <c r="AL939" s="103">
        <v>4</v>
      </c>
      <c r="AM939" s="103">
        <v>2</v>
      </c>
      <c r="AN939" s="103">
        <v>2</v>
      </c>
      <c r="AO939" s="103">
        <v>1</v>
      </c>
      <c r="AP939" s="6"/>
      <c r="AQ939" s="110"/>
      <c r="AR939" s="46" t="s">
        <v>4</v>
      </c>
      <c r="AS939" s="103">
        <v>9</v>
      </c>
      <c r="AT939" s="103">
        <v>20</v>
      </c>
      <c r="AU939" s="103">
        <v>49</v>
      </c>
      <c r="AV939" s="103">
        <v>53</v>
      </c>
      <c r="AW939" s="103">
        <v>18</v>
      </c>
      <c r="AX939" s="103">
        <v>8</v>
      </c>
      <c r="AY939" s="103">
        <v>2</v>
      </c>
      <c r="AZ939" s="103">
        <v>1</v>
      </c>
      <c r="BA939" s="103">
        <v>0</v>
      </c>
      <c r="BB939" s="103">
        <v>0</v>
      </c>
      <c r="BC939" s="42"/>
      <c r="BD939" s="110"/>
      <c r="BE939" s="46" t="s">
        <v>4</v>
      </c>
      <c r="BF939" s="103">
        <v>9</v>
      </c>
      <c r="BG939" s="103">
        <v>23</v>
      </c>
      <c r="BH939" s="103">
        <v>38</v>
      </c>
      <c r="BI939" s="103">
        <v>75</v>
      </c>
      <c r="BJ939" s="103">
        <v>28</v>
      </c>
      <c r="BK939" s="103">
        <v>19</v>
      </c>
      <c r="BL939" s="103">
        <v>10</v>
      </c>
      <c r="BM939" s="103">
        <v>3</v>
      </c>
      <c r="BN939" s="103">
        <v>2</v>
      </c>
      <c r="BO939" s="103">
        <v>1</v>
      </c>
      <c r="BQ939" s="110"/>
      <c r="BR939" s="46" t="s">
        <v>4</v>
      </c>
      <c r="BS939" s="103">
        <v>10</v>
      </c>
      <c r="BT939" s="103">
        <v>22</v>
      </c>
      <c r="BU939" s="103">
        <v>45</v>
      </c>
      <c r="BV939" s="103">
        <v>52</v>
      </c>
      <c r="BW939" s="103">
        <v>15</v>
      </c>
      <c r="BX939" s="103">
        <v>13</v>
      </c>
      <c r="BY939" s="103">
        <v>4</v>
      </c>
      <c r="BZ939" s="103">
        <v>2</v>
      </c>
      <c r="CA939" s="103">
        <v>0</v>
      </c>
      <c r="CB939" s="103">
        <v>0</v>
      </c>
      <c r="CC939" s="42"/>
      <c r="CD939" s="110"/>
      <c r="CE939" s="46" t="s">
        <v>4</v>
      </c>
      <c r="CF939" s="103">
        <v>8</v>
      </c>
      <c r="CG939" s="103">
        <v>21</v>
      </c>
      <c r="CH939" s="103">
        <v>42</v>
      </c>
      <c r="CI939" s="103">
        <v>76</v>
      </c>
      <c r="CJ939" s="103">
        <v>31</v>
      </c>
      <c r="CK939" s="103">
        <v>14</v>
      </c>
      <c r="CL939" s="103">
        <v>8</v>
      </c>
      <c r="CM939" s="103">
        <v>2</v>
      </c>
      <c r="CN939" s="103">
        <v>2</v>
      </c>
      <c r="CO939" s="103">
        <v>1</v>
      </c>
      <c r="CQ939" s="110"/>
      <c r="CR939" s="46" t="s">
        <v>4</v>
      </c>
      <c r="CS939" s="103">
        <v>1</v>
      </c>
      <c r="CT939" s="103">
        <v>9</v>
      </c>
      <c r="CU939" s="103">
        <v>14</v>
      </c>
      <c r="CV939" s="103">
        <v>28</v>
      </c>
      <c r="CW939" s="103">
        <v>2</v>
      </c>
      <c r="CX939" s="103">
        <v>6</v>
      </c>
      <c r="CY939" s="103">
        <v>3</v>
      </c>
      <c r="CZ939" s="103">
        <v>0</v>
      </c>
      <c r="DA939" s="103">
        <v>2</v>
      </c>
      <c r="DB939" s="103">
        <v>0</v>
      </c>
      <c r="DC939" s="42"/>
      <c r="DD939" s="110"/>
      <c r="DE939" s="46" t="s">
        <v>4</v>
      </c>
      <c r="DF939" s="103">
        <v>17</v>
      </c>
      <c r="DG939" s="103">
        <v>34</v>
      </c>
      <c r="DH939" s="103">
        <v>73</v>
      </c>
      <c r="DI939" s="103">
        <v>100</v>
      </c>
      <c r="DJ939" s="103">
        <v>44</v>
      </c>
      <c r="DK939" s="103">
        <v>21</v>
      </c>
      <c r="DL939" s="103">
        <v>9</v>
      </c>
      <c r="DM939" s="103">
        <v>4</v>
      </c>
      <c r="DN939" s="103">
        <v>0</v>
      </c>
      <c r="DO939" s="103">
        <v>1</v>
      </c>
    </row>
    <row r="940" spans="2:119" ht="16.5" customHeight="1" x14ac:dyDescent="0.45">
      <c r="B940" s="134"/>
      <c r="C940" s="42"/>
      <c r="D940" s="110"/>
      <c r="E940" s="46" t="s">
        <v>5</v>
      </c>
      <c r="F940" s="103">
        <v>29</v>
      </c>
      <c r="G940" s="103">
        <v>53</v>
      </c>
      <c r="H940" s="103">
        <v>149</v>
      </c>
      <c r="I940" s="103">
        <v>241</v>
      </c>
      <c r="J940" s="103">
        <v>97</v>
      </c>
      <c r="K940" s="103">
        <v>53</v>
      </c>
      <c r="L940" s="103">
        <v>35</v>
      </c>
      <c r="M940" s="103">
        <v>3</v>
      </c>
      <c r="N940" s="103">
        <v>0</v>
      </c>
      <c r="O940" s="103">
        <v>1</v>
      </c>
      <c r="P940" s="42"/>
      <c r="Q940" s="110"/>
      <c r="R940" s="46" t="s">
        <v>5</v>
      </c>
      <c r="S940" s="103">
        <v>13</v>
      </c>
      <c r="T940" s="103">
        <v>19</v>
      </c>
      <c r="U940" s="103">
        <v>79</v>
      </c>
      <c r="V940" s="103">
        <v>136</v>
      </c>
      <c r="W940" s="103">
        <v>57</v>
      </c>
      <c r="X940" s="103">
        <v>38</v>
      </c>
      <c r="Y940" s="103">
        <v>19</v>
      </c>
      <c r="Z940" s="103">
        <v>1</v>
      </c>
      <c r="AA940" s="103">
        <v>0</v>
      </c>
      <c r="AB940" s="103">
        <v>0</v>
      </c>
      <c r="AC940" s="42"/>
      <c r="AD940" s="110"/>
      <c r="AE940" s="46" t="s">
        <v>5</v>
      </c>
      <c r="AF940" s="103">
        <v>16</v>
      </c>
      <c r="AG940" s="103">
        <v>34</v>
      </c>
      <c r="AH940" s="103">
        <v>70</v>
      </c>
      <c r="AI940" s="103">
        <v>105</v>
      </c>
      <c r="AJ940" s="103">
        <v>40</v>
      </c>
      <c r="AK940" s="103">
        <v>15</v>
      </c>
      <c r="AL940" s="103">
        <v>16</v>
      </c>
      <c r="AM940" s="103">
        <v>2</v>
      </c>
      <c r="AN940" s="103">
        <v>0</v>
      </c>
      <c r="AO940" s="103">
        <v>1</v>
      </c>
      <c r="AP940" s="6"/>
      <c r="AQ940" s="110"/>
      <c r="AR940" s="46" t="s">
        <v>5</v>
      </c>
      <c r="AS940" s="103">
        <v>17</v>
      </c>
      <c r="AT940" s="103">
        <v>35</v>
      </c>
      <c r="AU940" s="103">
        <v>74</v>
      </c>
      <c r="AV940" s="103">
        <v>89</v>
      </c>
      <c r="AW940" s="103">
        <v>28</v>
      </c>
      <c r="AX940" s="103">
        <v>19</v>
      </c>
      <c r="AY940" s="103">
        <v>10</v>
      </c>
      <c r="AZ940" s="103">
        <v>1</v>
      </c>
      <c r="BA940" s="103">
        <v>0</v>
      </c>
      <c r="BB940" s="103">
        <v>0</v>
      </c>
      <c r="BC940" s="42"/>
      <c r="BD940" s="110"/>
      <c r="BE940" s="46" t="s">
        <v>5</v>
      </c>
      <c r="BF940" s="103">
        <v>12</v>
      </c>
      <c r="BG940" s="103">
        <v>18</v>
      </c>
      <c r="BH940" s="103">
        <v>75</v>
      </c>
      <c r="BI940" s="103">
        <v>152</v>
      </c>
      <c r="BJ940" s="103">
        <v>69</v>
      </c>
      <c r="BK940" s="103">
        <v>34</v>
      </c>
      <c r="BL940" s="103">
        <v>25</v>
      </c>
      <c r="BM940" s="103">
        <v>2</v>
      </c>
      <c r="BN940" s="103">
        <v>0</v>
      </c>
      <c r="BO940" s="103">
        <v>1</v>
      </c>
      <c r="BQ940" s="110"/>
      <c r="BR940" s="46" t="s">
        <v>5</v>
      </c>
      <c r="BS940" s="103">
        <v>12</v>
      </c>
      <c r="BT940" s="103">
        <v>21</v>
      </c>
      <c r="BU940" s="103">
        <v>50</v>
      </c>
      <c r="BV940" s="103">
        <v>84</v>
      </c>
      <c r="BW940" s="103">
        <v>29</v>
      </c>
      <c r="BX940" s="103">
        <v>12</v>
      </c>
      <c r="BY940" s="103">
        <v>12</v>
      </c>
      <c r="BZ940" s="103">
        <v>0</v>
      </c>
      <c r="CA940" s="103">
        <v>0</v>
      </c>
      <c r="CB940" s="103">
        <v>1</v>
      </c>
      <c r="CC940" s="42"/>
      <c r="CD940" s="110"/>
      <c r="CE940" s="46" t="s">
        <v>5</v>
      </c>
      <c r="CF940" s="103">
        <v>17</v>
      </c>
      <c r="CG940" s="103">
        <v>32</v>
      </c>
      <c r="CH940" s="103">
        <v>99</v>
      </c>
      <c r="CI940" s="103">
        <v>157</v>
      </c>
      <c r="CJ940" s="103">
        <v>68</v>
      </c>
      <c r="CK940" s="103">
        <v>41</v>
      </c>
      <c r="CL940" s="103">
        <v>23</v>
      </c>
      <c r="CM940" s="103">
        <v>3</v>
      </c>
      <c r="CN940" s="103">
        <v>0</v>
      </c>
      <c r="CO940" s="103">
        <v>0</v>
      </c>
      <c r="CQ940" s="110"/>
      <c r="CR940" s="46" t="s">
        <v>5</v>
      </c>
      <c r="CS940" s="103">
        <v>3</v>
      </c>
      <c r="CT940" s="103">
        <v>5</v>
      </c>
      <c r="CU940" s="103">
        <v>21</v>
      </c>
      <c r="CV940" s="103">
        <v>30</v>
      </c>
      <c r="CW940" s="103">
        <v>8</v>
      </c>
      <c r="CX940" s="103">
        <v>11</v>
      </c>
      <c r="CY940" s="103">
        <v>5</v>
      </c>
      <c r="CZ940" s="103">
        <v>1</v>
      </c>
      <c r="DA940" s="103">
        <v>0</v>
      </c>
      <c r="DB940" s="103">
        <v>0</v>
      </c>
      <c r="DC940" s="42"/>
      <c r="DD940" s="110"/>
      <c r="DE940" s="46" t="s">
        <v>5</v>
      </c>
      <c r="DF940" s="103">
        <v>26</v>
      </c>
      <c r="DG940" s="103">
        <v>48</v>
      </c>
      <c r="DH940" s="103">
        <v>128</v>
      </c>
      <c r="DI940" s="103">
        <v>211</v>
      </c>
      <c r="DJ940" s="103">
        <v>89</v>
      </c>
      <c r="DK940" s="103">
        <v>42</v>
      </c>
      <c r="DL940" s="103">
        <v>30</v>
      </c>
      <c r="DM940" s="103">
        <v>2</v>
      </c>
      <c r="DN940" s="103">
        <v>0</v>
      </c>
      <c r="DO940" s="103">
        <v>1</v>
      </c>
    </row>
    <row r="941" spans="2:119" ht="16.5" customHeight="1" x14ac:dyDescent="0.45">
      <c r="B941" s="134"/>
      <c r="C941" s="42"/>
      <c r="D941" s="110"/>
      <c r="E941" s="46" t="s">
        <v>6</v>
      </c>
      <c r="F941" s="103">
        <v>35</v>
      </c>
      <c r="G941" s="103">
        <v>85</v>
      </c>
      <c r="H941" s="103">
        <v>277</v>
      </c>
      <c r="I941" s="103">
        <v>490</v>
      </c>
      <c r="J941" s="103">
        <v>284</v>
      </c>
      <c r="K941" s="103">
        <v>182</v>
      </c>
      <c r="L941" s="103">
        <v>103</v>
      </c>
      <c r="M941" s="103">
        <v>29</v>
      </c>
      <c r="N941" s="103">
        <v>7</v>
      </c>
      <c r="O941" s="103">
        <v>2</v>
      </c>
      <c r="P941" s="42"/>
      <c r="Q941" s="110"/>
      <c r="R941" s="46" t="s">
        <v>6</v>
      </c>
      <c r="S941" s="103">
        <v>12</v>
      </c>
      <c r="T941" s="103">
        <v>30</v>
      </c>
      <c r="U941" s="103">
        <v>129</v>
      </c>
      <c r="V941" s="103">
        <v>289</v>
      </c>
      <c r="W941" s="103">
        <v>152</v>
      </c>
      <c r="X941" s="103">
        <v>104</v>
      </c>
      <c r="Y941" s="103">
        <v>65</v>
      </c>
      <c r="Z941" s="103">
        <v>17</v>
      </c>
      <c r="AA941" s="103">
        <v>2</v>
      </c>
      <c r="AB941" s="103">
        <v>0</v>
      </c>
      <c r="AC941" s="42"/>
      <c r="AD941" s="110"/>
      <c r="AE941" s="46" t="s">
        <v>6</v>
      </c>
      <c r="AF941" s="103">
        <v>23</v>
      </c>
      <c r="AG941" s="103">
        <v>55</v>
      </c>
      <c r="AH941" s="103">
        <v>148</v>
      </c>
      <c r="AI941" s="103">
        <v>201</v>
      </c>
      <c r="AJ941" s="103">
        <v>132</v>
      </c>
      <c r="AK941" s="103">
        <v>78</v>
      </c>
      <c r="AL941" s="103">
        <v>38</v>
      </c>
      <c r="AM941" s="103">
        <v>12</v>
      </c>
      <c r="AN941" s="103">
        <v>5</v>
      </c>
      <c r="AO941" s="103">
        <v>2</v>
      </c>
      <c r="AP941" s="6"/>
      <c r="AQ941" s="110"/>
      <c r="AR941" s="46" t="s">
        <v>6</v>
      </c>
      <c r="AS941" s="103">
        <v>22</v>
      </c>
      <c r="AT941" s="103">
        <v>47</v>
      </c>
      <c r="AU941" s="103">
        <v>126</v>
      </c>
      <c r="AV941" s="103">
        <v>191</v>
      </c>
      <c r="AW941" s="103">
        <v>88</v>
      </c>
      <c r="AX941" s="103">
        <v>40</v>
      </c>
      <c r="AY941" s="103">
        <v>20</v>
      </c>
      <c r="AZ941" s="103">
        <v>6</v>
      </c>
      <c r="BA941" s="103">
        <v>1</v>
      </c>
      <c r="BB941" s="103">
        <v>0</v>
      </c>
      <c r="BC941" s="42"/>
      <c r="BD941" s="110"/>
      <c r="BE941" s="46" t="s">
        <v>6</v>
      </c>
      <c r="BF941" s="103">
        <v>13</v>
      </c>
      <c r="BG941" s="103">
        <v>38</v>
      </c>
      <c r="BH941" s="103">
        <v>151</v>
      </c>
      <c r="BI941" s="103">
        <v>299</v>
      </c>
      <c r="BJ941" s="103">
        <v>196</v>
      </c>
      <c r="BK941" s="103">
        <v>142</v>
      </c>
      <c r="BL941" s="103">
        <v>83</v>
      </c>
      <c r="BM941" s="103">
        <v>23</v>
      </c>
      <c r="BN941" s="103">
        <v>6</v>
      </c>
      <c r="BO941" s="103">
        <v>2</v>
      </c>
      <c r="BQ941" s="110"/>
      <c r="BR941" s="46" t="s">
        <v>6</v>
      </c>
      <c r="BS941" s="103">
        <v>13</v>
      </c>
      <c r="BT941" s="103">
        <v>28</v>
      </c>
      <c r="BU941" s="103">
        <v>98</v>
      </c>
      <c r="BV941" s="103">
        <v>111</v>
      </c>
      <c r="BW941" s="103">
        <v>63</v>
      </c>
      <c r="BX941" s="103">
        <v>36</v>
      </c>
      <c r="BY941" s="103">
        <v>17</v>
      </c>
      <c r="BZ941" s="103">
        <v>5</v>
      </c>
      <c r="CA941" s="103">
        <v>1</v>
      </c>
      <c r="CB941" s="103">
        <v>0</v>
      </c>
      <c r="CC941" s="42"/>
      <c r="CD941" s="110"/>
      <c r="CE941" s="46" t="s">
        <v>6</v>
      </c>
      <c r="CF941" s="103">
        <v>22</v>
      </c>
      <c r="CG941" s="103">
        <v>57</v>
      </c>
      <c r="CH941" s="103">
        <v>179</v>
      </c>
      <c r="CI941" s="103">
        <v>379</v>
      </c>
      <c r="CJ941" s="103">
        <v>221</v>
      </c>
      <c r="CK941" s="103">
        <v>146</v>
      </c>
      <c r="CL941" s="103">
        <v>86</v>
      </c>
      <c r="CM941" s="103">
        <v>24</v>
      </c>
      <c r="CN941" s="103">
        <v>6</v>
      </c>
      <c r="CO941" s="103">
        <v>2</v>
      </c>
      <c r="CQ941" s="110"/>
      <c r="CR941" s="46" t="s">
        <v>6</v>
      </c>
      <c r="CS941" s="103">
        <v>3</v>
      </c>
      <c r="CT941" s="103">
        <v>2</v>
      </c>
      <c r="CU941" s="103">
        <v>27</v>
      </c>
      <c r="CV941" s="103">
        <v>55</v>
      </c>
      <c r="CW941" s="103">
        <v>27</v>
      </c>
      <c r="CX941" s="103">
        <v>20</v>
      </c>
      <c r="CY941" s="103">
        <v>8</v>
      </c>
      <c r="CZ941" s="103">
        <v>3</v>
      </c>
      <c r="DA941" s="103">
        <v>1</v>
      </c>
      <c r="DB941" s="103">
        <v>0</v>
      </c>
      <c r="DC941" s="42"/>
      <c r="DD941" s="110"/>
      <c r="DE941" s="46" t="s">
        <v>6</v>
      </c>
      <c r="DF941" s="103">
        <v>32</v>
      </c>
      <c r="DG941" s="103">
        <v>83</v>
      </c>
      <c r="DH941" s="103">
        <v>250</v>
      </c>
      <c r="DI941" s="103">
        <v>435</v>
      </c>
      <c r="DJ941" s="103">
        <v>257</v>
      </c>
      <c r="DK941" s="103">
        <v>162</v>
      </c>
      <c r="DL941" s="103">
        <v>95</v>
      </c>
      <c r="DM941" s="103">
        <v>26</v>
      </c>
      <c r="DN941" s="103">
        <v>6</v>
      </c>
      <c r="DO941" s="103">
        <v>2</v>
      </c>
    </row>
    <row r="942" spans="2:119" ht="16.5" customHeight="1" x14ac:dyDescent="0.45">
      <c r="B942" s="134"/>
      <c r="C942" s="42"/>
      <c r="D942" s="110"/>
      <c r="E942" s="46" t="s">
        <v>7</v>
      </c>
      <c r="F942" s="103">
        <v>60</v>
      </c>
      <c r="G942" s="103">
        <v>124</v>
      </c>
      <c r="H942" s="103">
        <v>417</v>
      </c>
      <c r="I942" s="103">
        <v>943</v>
      </c>
      <c r="J942" s="103">
        <v>578</v>
      </c>
      <c r="K942" s="103">
        <v>507</v>
      </c>
      <c r="L942" s="103">
        <v>309</v>
      </c>
      <c r="M942" s="103">
        <v>125</v>
      </c>
      <c r="N942" s="103">
        <v>39</v>
      </c>
      <c r="O942" s="103">
        <v>13</v>
      </c>
      <c r="P942" s="42"/>
      <c r="Q942" s="110"/>
      <c r="R942" s="46" t="s">
        <v>7</v>
      </c>
      <c r="S942" s="103">
        <v>24</v>
      </c>
      <c r="T942" s="103">
        <v>59</v>
      </c>
      <c r="U942" s="103">
        <v>193</v>
      </c>
      <c r="V942" s="103">
        <v>512</v>
      </c>
      <c r="W942" s="103">
        <v>330</v>
      </c>
      <c r="X942" s="103">
        <v>302</v>
      </c>
      <c r="Y942" s="103">
        <v>186</v>
      </c>
      <c r="Z942" s="103">
        <v>77</v>
      </c>
      <c r="AA942" s="103">
        <v>24</v>
      </c>
      <c r="AB942" s="103">
        <v>7</v>
      </c>
      <c r="AC942" s="42"/>
      <c r="AD942" s="110"/>
      <c r="AE942" s="46" t="s">
        <v>7</v>
      </c>
      <c r="AF942" s="103">
        <v>36</v>
      </c>
      <c r="AG942" s="103">
        <v>65</v>
      </c>
      <c r="AH942" s="103">
        <v>224</v>
      </c>
      <c r="AI942" s="103">
        <v>431</v>
      </c>
      <c r="AJ942" s="103">
        <v>248</v>
      </c>
      <c r="AK942" s="103">
        <v>205</v>
      </c>
      <c r="AL942" s="103">
        <v>123</v>
      </c>
      <c r="AM942" s="103">
        <v>48</v>
      </c>
      <c r="AN942" s="103">
        <v>15</v>
      </c>
      <c r="AO942" s="103">
        <v>6</v>
      </c>
      <c r="AP942" s="6"/>
      <c r="AQ942" s="110"/>
      <c r="AR942" s="46" t="s">
        <v>7</v>
      </c>
      <c r="AS942" s="103">
        <v>32</v>
      </c>
      <c r="AT942" s="103">
        <v>60</v>
      </c>
      <c r="AU942" s="103">
        <v>164</v>
      </c>
      <c r="AV942" s="103">
        <v>292</v>
      </c>
      <c r="AW942" s="103">
        <v>164</v>
      </c>
      <c r="AX942" s="103">
        <v>126</v>
      </c>
      <c r="AY942" s="103">
        <v>65</v>
      </c>
      <c r="AZ942" s="103">
        <v>13</v>
      </c>
      <c r="BA942" s="103">
        <v>6</v>
      </c>
      <c r="BB942" s="103">
        <v>3</v>
      </c>
      <c r="BC942" s="42"/>
      <c r="BD942" s="110"/>
      <c r="BE942" s="46" t="s">
        <v>7</v>
      </c>
      <c r="BF942" s="103">
        <v>28</v>
      </c>
      <c r="BG942" s="103">
        <v>64</v>
      </c>
      <c r="BH942" s="103">
        <v>253</v>
      </c>
      <c r="BI942" s="103">
        <v>651</v>
      </c>
      <c r="BJ942" s="103">
        <v>414</v>
      </c>
      <c r="BK942" s="103">
        <v>381</v>
      </c>
      <c r="BL942" s="103">
        <v>244</v>
      </c>
      <c r="BM942" s="103">
        <v>112</v>
      </c>
      <c r="BN942" s="103">
        <v>33</v>
      </c>
      <c r="BO942" s="103">
        <v>10</v>
      </c>
      <c r="BQ942" s="110"/>
      <c r="BR942" s="46" t="s">
        <v>7</v>
      </c>
      <c r="BS942" s="103">
        <v>14</v>
      </c>
      <c r="BT942" s="103">
        <v>22</v>
      </c>
      <c r="BU942" s="103">
        <v>64</v>
      </c>
      <c r="BV942" s="103">
        <v>138</v>
      </c>
      <c r="BW942" s="103">
        <v>92</v>
      </c>
      <c r="BX942" s="103">
        <v>62</v>
      </c>
      <c r="BY942" s="103">
        <v>32</v>
      </c>
      <c r="BZ942" s="103">
        <v>10</v>
      </c>
      <c r="CA942" s="103">
        <v>5</v>
      </c>
      <c r="CB942" s="103">
        <v>2</v>
      </c>
      <c r="CC942" s="42"/>
      <c r="CD942" s="110"/>
      <c r="CE942" s="46" t="s">
        <v>7</v>
      </c>
      <c r="CF942" s="103">
        <v>46</v>
      </c>
      <c r="CG942" s="103">
        <v>102</v>
      </c>
      <c r="CH942" s="103">
        <v>353</v>
      </c>
      <c r="CI942" s="103">
        <v>805</v>
      </c>
      <c r="CJ942" s="103">
        <v>486</v>
      </c>
      <c r="CK942" s="103">
        <v>445</v>
      </c>
      <c r="CL942" s="103">
        <v>277</v>
      </c>
      <c r="CM942" s="103">
        <v>115</v>
      </c>
      <c r="CN942" s="103">
        <v>34</v>
      </c>
      <c r="CO942" s="103">
        <v>11</v>
      </c>
      <c r="CQ942" s="110"/>
      <c r="CR942" s="46" t="s">
        <v>7</v>
      </c>
      <c r="CS942" s="103">
        <v>6</v>
      </c>
      <c r="CT942" s="103">
        <v>14</v>
      </c>
      <c r="CU942" s="103">
        <v>30</v>
      </c>
      <c r="CV942" s="103">
        <v>99</v>
      </c>
      <c r="CW942" s="103">
        <v>67</v>
      </c>
      <c r="CX942" s="103">
        <v>57</v>
      </c>
      <c r="CY942" s="103">
        <v>32</v>
      </c>
      <c r="CZ942" s="103">
        <v>15</v>
      </c>
      <c r="DA942" s="103">
        <v>4</v>
      </c>
      <c r="DB942" s="103">
        <v>0</v>
      </c>
      <c r="DC942" s="42"/>
      <c r="DD942" s="110"/>
      <c r="DE942" s="46" t="s">
        <v>7</v>
      </c>
      <c r="DF942" s="103">
        <v>54</v>
      </c>
      <c r="DG942" s="103">
        <v>110</v>
      </c>
      <c r="DH942" s="103">
        <v>387</v>
      </c>
      <c r="DI942" s="103">
        <v>844</v>
      </c>
      <c r="DJ942" s="103">
        <v>511</v>
      </c>
      <c r="DK942" s="103">
        <v>450</v>
      </c>
      <c r="DL942" s="103">
        <v>277</v>
      </c>
      <c r="DM942" s="103">
        <v>110</v>
      </c>
      <c r="DN942" s="103">
        <v>35</v>
      </c>
      <c r="DO942" s="103">
        <v>13</v>
      </c>
    </row>
    <row r="943" spans="2:119" ht="16.5" customHeight="1" x14ac:dyDescent="0.45">
      <c r="B943" s="134"/>
      <c r="C943" s="42"/>
      <c r="D943" s="110"/>
      <c r="E943" s="46" t="s">
        <v>8</v>
      </c>
      <c r="F943" s="103">
        <v>51</v>
      </c>
      <c r="G943" s="103">
        <v>106</v>
      </c>
      <c r="H943" s="103">
        <v>437</v>
      </c>
      <c r="I943" s="103">
        <v>1141</v>
      </c>
      <c r="J943" s="103">
        <v>923</v>
      </c>
      <c r="K943" s="103">
        <v>1016</v>
      </c>
      <c r="L943" s="103">
        <v>776</v>
      </c>
      <c r="M943" s="103">
        <v>404</v>
      </c>
      <c r="N943" s="103">
        <v>167</v>
      </c>
      <c r="O943" s="103">
        <v>41</v>
      </c>
      <c r="P943" s="42"/>
      <c r="Q943" s="110"/>
      <c r="R943" s="46" t="s">
        <v>8</v>
      </c>
      <c r="S943" s="103">
        <v>24</v>
      </c>
      <c r="T943" s="103">
        <v>40</v>
      </c>
      <c r="U943" s="103">
        <v>202</v>
      </c>
      <c r="V943" s="103">
        <v>607</v>
      </c>
      <c r="W943" s="103">
        <v>554</v>
      </c>
      <c r="X943" s="103">
        <v>627</v>
      </c>
      <c r="Y943" s="103">
        <v>493</v>
      </c>
      <c r="Z943" s="103">
        <v>248</v>
      </c>
      <c r="AA943" s="103">
        <v>90</v>
      </c>
      <c r="AB943" s="103">
        <v>29</v>
      </c>
      <c r="AC943" s="42"/>
      <c r="AD943" s="110"/>
      <c r="AE943" s="46" t="s">
        <v>8</v>
      </c>
      <c r="AF943" s="103">
        <v>27</v>
      </c>
      <c r="AG943" s="103">
        <v>66</v>
      </c>
      <c r="AH943" s="103">
        <v>235</v>
      </c>
      <c r="AI943" s="103">
        <v>534</v>
      </c>
      <c r="AJ943" s="103">
        <v>369</v>
      </c>
      <c r="AK943" s="103">
        <v>389</v>
      </c>
      <c r="AL943" s="103">
        <v>283</v>
      </c>
      <c r="AM943" s="103">
        <v>156</v>
      </c>
      <c r="AN943" s="103">
        <v>77</v>
      </c>
      <c r="AO943" s="103">
        <v>12</v>
      </c>
      <c r="AP943" s="6"/>
      <c r="AQ943" s="110"/>
      <c r="AR943" s="46" t="s">
        <v>8</v>
      </c>
      <c r="AS943" s="103">
        <v>33</v>
      </c>
      <c r="AT943" s="103">
        <v>49</v>
      </c>
      <c r="AU943" s="103">
        <v>169</v>
      </c>
      <c r="AV943" s="103">
        <v>342</v>
      </c>
      <c r="AW943" s="103">
        <v>235</v>
      </c>
      <c r="AX943" s="103">
        <v>180</v>
      </c>
      <c r="AY943" s="103">
        <v>123</v>
      </c>
      <c r="AZ943" s="103">
        <v>47</v>
      </c>
      <c r="BA943" s="103">
        <v>10</v>
      </c>
      <c r="BB943" s="103">
        <v>2</v>
      </c>
      <c r="BC943" s="42"/>
      <c r="BD943" s="110"/>
      <c r="BE943" s="46" t="s">
        <v>8</v>
      </c>
      <c r="BF943" s="103">
        <v>18</v>
      </c>
      <c r="BG943" s="103">
        <v>57</v>
      </c>
      <c r="BH943" s="103">
        <v>268</v>
      </c>
      <c r="BI943" s="103">
        <v>799</v>
      </c>
      <c r="BJ943" s="103">
        <v>688</v>
      </c>
      <c r="BK943" s="103">
        <v>836</v>
      </c>
      <c r="BL943" s="103">
        <v>653</v>
      </c>
      <c r="BM943" s="103">
        <v>357</v>
      </c>
      <c r="BN943" s="103">
        <v>157</v>
      </c>
      <c r="BO943" s="103">
        <v>39</v>
      </c>
      <c r="BQ943" s="110"/>
      <c r="BR943" s="46" t="s">
        <v>8</v>
      </c>
      <c r="BS943" s="103">
        <v>11</v>
      </c>
      <c r="BT943" s="103">
        <v>22</v>
      </c>
      <c r="BU943" s="103">
        <v>61</v>
      </c>
      <c r="BV943" s="103">
        <v>126</v>
      </c>
      <c r="BW943" s="103">
        <v>80</v>
      </c>
      <c r="BX943" s="103">
        <v>81</v>
      </c>
      <c r="BY943" s="103">
        <v>48</v>
      </c>
      <c r="BZ943" s="103">
        <v>34</v>
      </c>
      <c r="CA943" s="103">
        <v>10</v>
      </c>
      <c r="CB943" s="103">
        <v>1</v>
      </c>
      <c r="CC943" s="42"/>
      <c r="CD943" s="110"/>
      <c r="CE943" s="46" t="s">
        <v>8</v>
      </c>
      <c r="CF943" s="103">
        <v>40</v>
      </c>
      <c r="CG943" s="103">
        <v>84</v>
      </c>
      <c r="CH943" s="103">
        <v>376</v>
      </c>
      <c r="CI943" s="103">
        <v>1015</v>
      </c>
      <c r="CJ943" s="103">
        <v>843</v>
      </c>
      <c r="CK943" s="103">
        <v>935</v>
      </c>
      <c r="CL943" s="103">
        <v>728</v>
      </c>
      <c r="CM943" s="103">
        <v>370</v>
      </c>
      <c r="CN943" s="103">
        <v>157</v>
      </c>
      <c r="CO943" s="103">
        <v>40</v>
      </c>
      <c r="CQ943" s="110"/>
      <c r="CR943" s="46" t="s">
        <v>8</v>
      </c>
      <c r="CS943" s="103">
        <v>4</v>
      </c>
      <c r="CT943" s="103">
        <v>7</v>
      </c>
      <c r="CU943" s="103">
        <v>44</v>
      </c>
      <c r="CV943" s="103">
        <v>115</v>
      </c>
      <c r="CW943" s="103">
        <v>91</v>
      </c>
      <c r="CX943" s="103">
        <v>115</v>
      </c>
      <c r="CY943" s="103">
        <v>63</v>
      </c>
      <c r="CZ943" s="103">
        <v>40</v>
      </c>
      <c r="DA943" s="103">
        <v>9</v>
      </c>
      <c r="DB943" s="103">
        <v>4</v>
      </c>
      <c r="DC943" s="42"/>
      <c r="DD943" s="110"/>
      <c r="DE943" s="46" t="s">
        <v>8</v>
      </c>
      <c r="DF943" s="103">
        <v>47</v>
      </c>
      <c r="DG943" s="103">
        <v>99</v>
      </c>
      <c r="DH943" s="103">
        <v>393</v>
      </c>
      <c r="DI943" s="103">
        <v>1026</v>
      </c>
      <c r="DJ943" s="103">
        <v>832</v>
      </c>
      <c r="DK943" s="103">
        <v>901</v>
      </c>
      <c r="DL943" s="103">
        <v>713</v>
      </c>
      <c r="DM943" s="103">
        <v>364</v>
      </c>
      <c r="DN943" s="103">
        <v>158</v>
      </c>
      <c r="DO943" s="103">
        <v>37</v>
      </c>
    </row>
    <row r="944" spans="2:119" ht="16.5" customHeight="1" x14ac:dyDescent="0.45">
      <c r="B944" s="134"/>
      <c r="C944" s="42"/>
      <c r="D944" s="110"/>
      <c r="E944" s="46" t="s">
        <v>9</v>
      </c>
      <c r="F944" s="103">
        <v>30</v>
      </c>
      <c r="G944" s="103">
        <v>71</v>
      </c>
      <c r="H944" s="103">
        <v>316</v>
      </c>
      <c r="I944" s="103">
        <v>1002</v>
      </c>
      <c r="J944" s="103">
        <v>1025</v>
      </c>
      <c r="K944" s="103">
        <v>1375</v>
      </c>
      <c r="L944" s="103">
        <v>1342</v>
      </c>
      <c r="M944" s="103">
        <v>931</v>
      </c>
      <c r="N944" s="103">
        <v>488</v>
      </c>
      <c r="O944" s="103">
        <v>219</v>
      </c>
      <c r="P944" s="42"/>
      <c r="Q944" s="110"/>
      <c r="R944" s="46" t="s">
        <v>9</v>
      </c>
      <c r="S944" s="103">
        <v>13</v>
      </c>
      <c r="T944" s="103">
        <v>27</v>
      </c>
      <c r="U944" s="103">
        <v>116</v>
      </c>
      <c r="V944" s="103">
        <v>463</v>
      </c>
      <c r="W944" s="103">
        <v>544</v>
      </c>
      <c r="X944" s="103">
        <v>810</v>
      </c>
      <c r="Y944" s="103">
        <v>775</v>
      </c>
      <c r="Z944" s="103">
        <v>571</v>
      </c>
      <c r="AA944" s="103">
        <v>288</v>
      </c>
      <c r="AB944" s="103">
        <v>128</v>
      </c>
      <c r="AC944" s="42"/>
      <c r="AD944" s="110"/>
      <c r="AE944" s="46" t="s">
        <v>9</v>
      </c>
      <c r="AF944" s="103">
        <v>17</v>
      </c>
      <c r="AG944" s="103">
        <v>44</v>
      </c>
      <c r="AH944" s="103">
        <v>200</v>
      </c>
      <c r="AI944" s="103">
        <v>539</v>
      </c>
      <c r="AJ944" s="103">
        <v>481</v>
      </c>
      <c r="AK944" s="103">
        <v>565</v>
      </c>
      <c r="AL944" s="103">
        <v>567</v>
      </c>
      <c r="AM944" s="103">
        <v>360</v>
      </c>
      <c r="AN944" s="103">
        <v>200</v>
      </c>
      <c r="AO944" s="103">
        <v>91</v>
      </c>
      <c r="AP944" s="6"/>
      <c r="AQ944" s="110"/>
      <c r="AR944" s="46" t="s">
        <v>9</v>
      </c>
      <c r="AS944" s="103">
        <v>13</v>
      </c>
      <c r="AT944" s="103">
        <v>34</v>
      </c>
      <c r="AU944" s="103">
        <v>96</v>
      </c>
      <c r="AV944" s="103">
        <v>246</v>
      </c>
      <c r="AW944" s="103">
        <v>191</v>
      </c>
      <c r="AX944" s="103">
        <v>217</v>
      </c>
      <c r="AY944" s="103">
        <v>169</v>
      </c>
      <c r="AZ944" s="103">
        <v>97</v>
      </c>
      <c r="BA944" s="103">
        <v>42</v>
      </c>
      <c r="BB944" s="103">
        <v>11</v>
      </c>
      <c r="BC944" s="42"/>
      <c r="BD944" s="110"/>
      <c r="BE944" s="46" t="s">
        <v>9</v>
      </c>
      <c r="BF944" s="103">
        <v>17</v>
      </c>
      <c r="BG944" s="103">
        <v>37</v>
      </c>
      <c r="BH944" s="103">
        <v>220</v>
      </c>
      <c r="BI944" s="103">
        <v>756</v>
      </c>
      <c r="BJ944" s="103">
        <v>834</v>
      </c>
      <c r="BK944" s="103">
        <v>1158</v>
      </c>
      <c r="BL944" s="103">
        <v>1173</v>
      </c>
      <c r="BM944" s="103">
        <v>834</v>
      </c>
      <c r="BN944" s="103">
        <v>446</v>
      </c>
      <c r="BO944" s="103">
        <v>208</v>
      </c>
      <c r="BQ944" s="110"/>
      <c r="BR944" s="46" t="s">
        <v>9</v>
      </c>
      <c r="BS944" s="103">
        <v>6</v>
      </c>
      <c r="BT944" s="103">
        <v>11</v>
      </c>
      <c r="BU944" s="103">
        <v>29</v>
      </c>
      <c r="BV944" s="103">
        <v>78</v>
      </c>
      <c r="BW944" s="103">
        <v>84</v>
      </c>
      <c r="BX944" s="103">
        <v>96</v>
      </c>
      <c r="BY944" s="103">
        <v>84</v>
      </c>
      <c r="BZ944" s="103">
        <v>50</v>
      </c>
      <c r="CA944" s="103">
        <v>26</v>
      </c>
      <c r="CB944" s="103">
        <v>13</v>
      </c>
      <c r="CC944" s="42"/>
      <c r="CD944" s="110"/>
      <c r="CE944" s="46" t="s">
        <v>9</v>
      </c>
      <c r="CF944" s="103">
        <v>24</v>
      </c>
      <c r="CG944" s="103">
        <v>60</v>
      </c>
      <c r="CH944" s="103">
        <v>287</v>
      </c>
      <c r="CI944" s="103">
        <v>924</v>
      </c>
      <c r="CJ944" s="103">
        <v>941</v>
      </c>
      <c r="CK944" s="103">
        <v>1279</v>
      </c>
      <c r="CL944" s="103">
        <v>1258</v>
      </c>
      <c r="CM944" s="103">
        <v>881</v>
      </c>
      <c r="CN944" s="103">
        <v>462</v>
      </c>
      <c r="CO944" s="103">
        <v>206</v>
      </c>
      <c r="CQ944" s="110"/>
      <c r="CR944" s="46" t="s">
        <v>9</v>
      </c>
      <c r="CS944" s="103">
        <v>5</v>
      </c>
      <c r="CT944" s="103">
        <v>8</v>
      </c>
      <c r="CU944" s="103">
        <v>25</v>
      </c>
      <c r="CV944" s="103">
        <v>92</v>
      </c>
      <c r="CW944" s="103">
        <v>85</v>
      </c>
      <c r="CX944" s="103">
        <v>119</v>
      </c>
      <c r="CY944" s="103">
        <v>110</v>
      </c>
      <c r="CZ944" s="103">
        <v>70</v>
      </c>
      <c r="DA944" s="103">
        <v>46</v>
      </c>
      <c r="DB944" s="103">
        <v>15</v>
      </c>
      <c r="DC944" s="42"/>
      <c r="DD944" s="110"/>
      <c r="DE944" s="46" t="s">
        <v>9</v>
      </c>
      <c r="DF944" s="103">
        <v>25</v>
      </c>
      <c r="DG944" s="103">
        <v>63</v>
      </c>
      <c r="DH944" s="103">
        <v>291</v>
      </c>
      <c r="DI944" s="103">
        <v>910</v>
      </c>
      <c r="DJ944" s="103">
        <v>940</v>
      </c>
      <c r="DK944" s="103">
        <v>1256</v>
      </c>
      <c r="DL944" s="103">
        <v>1232</v>
      </c>
      <c r="DM944" s="103">
        <v>861</v>
      </c>
      <c r="DN944" s="103">
        <v>442</v>
      </c>
      <c r="DO944" s="103">
        <v>204</v>
      </c>
    </row>
    <row r="945" spans="2:119" ht="16.5" customHeight="1" x14ac:dyDescent="0.45">
      <c r="B945" s="134"/>
      <c r="C945" s="42"/>
      <c r="D945" s="110"/>
      <c r="E945" s="46" t="s">
        <v>10</v>
      </c>
      <c r="F945" s="103">
        <v>11</v>
      </c>
      <c r="G945" s="103">
        <v>21</v>
      </c>
      <c r="H945" s="103">
        <v>128</v>
      </c>
      <c r="I945" s="103">
        <v>597</v>
      </c>
      <c r="J945" s="103">
        <v>707</v>
      </c>
      <c r="K945" s="103">
        <v>1216</v>
      </c>
      <c r="L945" s="103">
        <v>1652</v>
      </c>
      <c r="M945" s="103">
        <v>1541</v>
      </c>
      <c r="N945" s="103">
        <v>1253</v>
      </c>
      <c r="O945" s="103">
        <v>817</v>
      </c>
      <c r="P945" s="42"/>
      <c r="Q945" s="110"/>
      <c r="R945" s="46" t="s">
        <v>10</v>
      </c>
      <c r="S945" s="103">
        <v>3</v>
      </c>
      <c r="T945" s="103">
        <v>6</v>
      </c>
      <c r="U945" s="103">
        <v>55</v>
      </c>
      <c r="V945" s="103">
        <v>289</v>
      </c>
      <c r="W945" s="103">
        <v>355</v>
      </c>
      <c r="X945" s="103">
        <v>627</v>
      </c>
      <c r="Y945" s="103">
        <v>937</v>
      </c>
      <c r="Z945" s="103">
        <v>869</v>
      </c>
      <c r="AA945" s="103">
        <v>695</v>
      </c>
      <c r="AB945" s="103">
        <v>456</v>
      </c>
      <c r="AC945" s="42"/>
      <c r="AD945" s="110"/>
      <c r="AE945" s="46" t="s">
        <v>10</v>
      </c>
      <c r="AF945" s="103">
        <v>8</v>
      </c>
      <c r="AG945" s="103">
        <v>15</v>
      </c>
      <c r="AH945" s="103">
        <v>73</v>
      </c>
      <c r="AI945" s="103">
        <v>308</v>
      </c>
      <c r="AJ945" s="103">
        <v>352</v>
      </c>
      <c r="AK945" s="103">
        <v>589</v>
      </c>
      <c r="AL945" s="103">
        <v>715</v>
      </c>
      <c r="AM945" s="103">
        <v>672</v>
      </c>
      <c r="AN945" s="103">
        <v>558</v>
      </c>
      <c r="AO945" s="103">
        <v>361</v>
      </c>
      <c r="AP945" s="6"/>
      <c r="AQ945" s="110"/>
      <c r="AR945" s="46" t="s">
        <v>10</v>
      </c>
      <c r="AS945" s="103">
        <v>6</v>
      </c>
      <c r="AT945" s="103">
        <v>6</v>
      </c>
      <c r="AU945" s="103">
        <v>32</v>
      </c>
      <c r="AV945" s="103">
        <v>135</v>
      </c>
      <c r="AW945" s="103">
        <v>119</v>
      </c>
      <c r="AX945" s="103">
        <v>141</v>
      </c>
      <c r="AY945" s="103">
        <v>177</v>
      </c>
      <c r="AZ945" s="103">
        <v>108</v>
      </c>
      <c r="BA945" s="103">
        <v>69</v>
      </c>
      <c r="BB945" s="103">
        <v>37</v>
      </c>
      <c r="BC945" s="42"/>
      <c r="BD945" s="110"/>
      <c r="BE945" s="46" t="s">
        <v>10</v>
      </c>
      <c r="BF945" s="103">
        <v>5</v>
      </c>
      <c r="BG945" s="103">
        <v>15</v>
      </c>
      <c r="BH945" s="103">
        <v>96</v>
      </c>
      <c r="BI945" s="103">
        <v>462</v>
      </c>
      <c r="BJ945" s="103">
        <v>588</v>
      </c>
      <c r="BK945" s="103">
        <v>1075</v>
      </c>
      <c r="BL945" s="103">
        <v>1475</v>
      </c>
      <c r="BM945" s="103">
        <v>1433</v>
      </c>
      <c r="BN945" s="103">
        <v>1184</v>
      </c>
      <c r="BO945" s="103">
        <v>780</v>
      </c>
      <c r="BQ945" s="110"/>
      <c r="BR945" s="46" t="s">
        <v>10</v>
      </c>
      <c r="BS945" s="103">
        <v>1</v>
      </c>
      <c r="BT945" s="103">
        <v>3</v>
      </c>
      <c r="BU945" s="103">
        <v>10</v>
      </c>
      <c r="BV945" s="103">
        <v>52</v>
      </c>
      <c r="BW945" s="103">
        <v>51</v>
      </c>
      <c r="BX945" s="103">
        <v>73</v>
      </c>
      <c r="BY945" s="103">
        <v>68</v>
      </c>
      <c r="BZ945" s="103">
        <v>69</v>
      </c>
      <c r="CA945" s="103">
        <v>37</v>
      </c>
      <c r="CB945" s="103">
        <v>30</v>
      </c>
      <c r="CC945" s="42"/>
      <c r="CD945" s="110"/>
      <c r="CE945" s="46" t="s">
        <v>10</v>
      </c>
      <c r="CF945" s="103">
        <v>10</v>
      </c>
      <c r="CG945" s="103">
        <v>18</v>
      </c>
      <c r="CH945" s="103">
        <v>118</v>
      </c>
      <c r="CI945" s="103">
        <v>545</v>
      </c>
      <c r="CJ945" s="103">
        <v>656</v>
      </c>
      <c r="CK945" s="103">
        <v>1143</v>
      </c>
      <c r="CL945" s="103">
        <v>1584</v>
      </c>
      <c r="CM945" s="103">
        <v>1472</v>
      </c>
      <c r="CN945" s="103">
        <v>1216</v>
      </c>
      <c r="CO945" s="103">
        <v>787</v>
      </c>
      <c r="CQ945" s="110"/>
      <c r="CR945" s="46" t="s">
        <v>10</v>
      </c>
      <c r="CS945" s="103">
        <v>1</v>
      </c>
      <c r="CT945" s="103">
        <v>1</v>
      </c>
      <c r="CU945" s="103">
        <v>14</v>
      </c>
      <c r="CV945" s="103">
        <v>53</v>
      </c>
      <c r="CW945" s="103">
        <v>59</v>
      </c>
      <c r="CX945" s="103">
        <v>103</v>
      </c>
      <c r="CY945" s="103">
        <v>141</v>
      </c>
      <c r="CZ945" s="103">
        <v>127</v>
      </c>
      <c r="DA945" s="103">
        <v>105</v>
      </c>
      <c r="DB945" s="103">
        <v>65</v>
      </c>
      <c r="DC945" s="42"/>
      <c r="DD945" s="110"/>
      <c r="DE945" s="46" t="s">
        <v>10</v>
      </c>
      <c r="DF945" s="103">
        <v>10</v>
      </c>
      <c r="DG945" s="103">
        <v>20</v>
      </c>
      <c r="DH945" s="103">
        <v>114</v>
      </c>
      <c r="DI945" s="103">
        <v>544</v>
      </c>
      <c r="DJ945" s="103">
        <v>648</v>
      </c>
      <c r="DK945" s="103">
        <v>1113</v>
      </c>
      <c r="DL945" s="103">
        <v>1511</v>
      </c>
      <c r="DM945" s="103">
        <v>1414</v>
      </c>
      <c r="DN945" s="103">
        <v>1148</v>
      </c>
      <c r="DO945" s="103">
        <v>752</v>
      </c>
    </row>
    <row r="946" spans="2:119" ht="16.5" customHeight="1" x14ac:dyDescent="0.45">
      <c r="B946" s="134"/>
      <c r="C946" s="42"/>
      <c r="D946" s="111"/>
      <c r="E946" s="46" t="s">
        <v>11</v>
      </c>
      <c r="F946" s="103">
        <v>3</v>
      </c>
      <c r="G946" s="103">
        <v>1</v>
      </c>
      <c r="H946" s="103">
        <v>13</v>
      </c>
      <c r="I946" s="103">
        <v>73</v>
      </c>
      <c r="J946" s="103">
        <v>110</v>
      </c>
      <c r="K946" s="103">
        <v>251</v>
      </c>
      <c r="L946" s="103">
        <v>432</v>
      </c>
      <c r="M946" s="103">
        <v>569</v>
      </c>
      <c r="N946" s="103">
        <v>679</v>
      </c>
      <c r="O946" s="103">
        <v>763</v>
      </c>
      <c r="P946" s="42"/>
      <c r="Q946" s="111"/>
      <c r="R946" s="46" t="s">
        <v>11</v>
      </c>
      <c r="S946" s="103">
        <v>2</v>
      </c>
      <c r="T946" s="103">
        <v>0</v>
      </c>
      <c r="U946" s="103">
        <v>4</v>
      </c>
      <c r="V946" s="103">
        <v>24</v>
      </c>
      <c r="W946" s="103">
        <v>55</v>
      </c>
      <c r="X946" s="103">
        <v>138</v>
      </c>
      <c r="Y946" s="103">
        <v>221</v>
      </c>
      <c r="Z946" s="103">
        <v>302</v>
      </c>
      <c r="AA946" s="103">
        <v>351</v>
      </c>
      <c r="AB946" s="103">
        <v>415</v>
      </c>
      <c r="AC946" s="42"/>
      <c r="AD946" s="111"/>
      <c r="AE946" s="46" t="s">
        <v>11</v>
      </c>
      <c r="AF946" s="103">
        <v>1</v>
      </c>
      <c r="AG946" s="103">
        <v>1</v>
      </c>
      <c r="AH946" s="103">
        <v>9</v>
      </c>
      <c r="AI946" s="103">
        <v>49</v>
      </c>
      <c r="AJ946" s="103">
        <v>55</v>
      </c>
      <c r="AK946" s="103">
        <v>113</v>
      </c>
      <c r="AL946" s="103">
        <v>211</v>
      </c>
      <c r="AM946" s="103">
        <v>267</v>
      </c>
      <c r="AN946" s="103">
        <v>328</v>
      </c>
      <c r="AO946" s="103">
        <v>348</v>
      </c>
      <c r="AP946" s="6"/>
      <c r="AQ946" s="111"/>
      <c r="AR946" s="46" t="s">
        <v>11</v>
      </c>
      <c r="AS946" s="103">
        <v>1</v>
      </c>
      <c r="AT946" s="103">
        <v>1</v>
      </c>
      <c r="AU946" s="103">
        <v>4</v>
      </c>
      <c r="AV946" s="103">
        <v>9</v>
      </c>
      <c r="AW946" s="103">
        <v>8</v>
      </c>
      <c r="AX946" s="103">
        <v>29</v>
      </c>
      <c r="AY946" s="103">
        <v>32</v>
      </c>
      <c r="AZ946" s="103">
        <v>28</v>
      </c>
      <c r="BA946" s="103">
        <v>34</v>
      </c>
      <c r="BB946" s="103">
        <v>20</v>
      </c>
      <c r="BC946" s="42"/>
      <c r="BD946" s="111"/>
      <c r="BE946" s="46" t="s">
        <v>11</v>
      </c>
      <c r="BF946" s="103">
        <v>2</v>
      </c>
      <c r="BG946" s="103">
        <v>0</v>
      </c>
      <c r="BH946" s="103">
        <v>9</v>
      </c>
      <c r="BI946" s="103">
        <v>64</v>
      </c>
      <c r="BJ946" s="103">
        <v>102</v>
      </c>
      <c r="BK946" s="103">
        <v>222</v>
      </c>
      <c r="BL946" s="103">
        <v>400</v>
      </c>
      <c r="BM946" s="103">
        <v>541</v>
      </c>
      <c r="BN946" s="103">
        <v>645</v>
      </c>
      <c r="BO946" s="103">
        <v>743</v>
      </c>
      <c r="BQ946" s="111"/>
      <c r="BR946" s="46" t="s">
        <v>11</v>
      </c>
      <c r="BS946" s="103">
        <v>0</v>
      </c>
      <c r="BT946" s="103">
        <v>1</v>
      </c>
      <c r="BU946" s="103">
        <v>2</v>
      </c>
      <c r="BV946" s="103">
        <v>4</v>
      </c>
      <c r="BW946" s="103">
        <v>8</v>
      </c>
      <c r="BX946" s="103">
        <v>14</v>
      </c>
      <c r="BY946" s="103">
        <v>15</v>
      </c>
      <c r="BZ946" s="103">
        <v>15</v>
      </c>
      <c r="CA946" s="103">
        <v>15</v>
      </c>
      <c r="CB946" s="103">
        <v>15</v>
      </c>
      <c r="CC946" s="42"/>
      <c r="CD946" s="111"/>
      <c r="CE946" s="46" t="s">
        <v>11</v>
      </c>
      <c r="CF946" s="103">
        <v>3</v>
      </c>
      <c r="CG946" s="103">
        <v>0</v>
      </c>
      <c r="CH946" s="103">
        <v>11</v>
      </c>
      <c r="CI946" s="103">
        <v>69</v>
      </c>
      <c r="CJ946" s="103">
        <v>102</v>
      </c>
      <c r="CK946" s="103">
        <v>237</v>
      </c>
      <c r="CL946" s="103">
        <v>417</v>
      </c>
      <c r="CM946" s="103">
        <v>554</v>
      </c>
      <c r="CN946" s="103">
        <v>664</v>
      </c>
      <c r="CO946" s="103">
        <v>748</v>
      </c>
      <c r="CQ946" s="111"/>
      <c r="CR946" s="46" t="s">
        <v>11</v>
      </c>
      <c r="CS946" s="103">
        <v>1</v>
      </c>
      <c r="CT946" s="103">
        <v>0</v>
      </c>
      <c r="CU946" s="103">
        <v>1</v>
      </c>
      <c r="CV946" s="103">
        <v>5</v>
      </c>
      <c r="CW946" s="103">
        <v>8</v>
      </c>
      <c r="CX946" s="103">
        <v>12</v>
      </c>
      <c r="CY946" s="103">
        <v>38</v>
      </c>
      <c r="CZ946" s="103">
        <v>63</v>
      </c>
      <c r="DA946" s="103">
        <v>63</v>
      </c>
      <c r="DB946" s="103">
        <v>81</v>
      </c>
      <c r="DC946" s="42"/>
      <c r="DD946" s="111"/>
      <c r="DE946" s="46" t="s">
        <v>11</v>
      </c>
      <c r="DF946" s="103">
        <v>2</v>
      </c>
      <c r="DG946" s="103">
        <v>1</v>
      </c>
      <c r="DH946" s="103">
        <v>12</v>
      </c>
      <c r="DI946" s="103">
        <v>68</v>
      </c>
      <c r="DJ946" s="103">
        <v>102</v>
      </c>
      <c r="DK946" s="103">
        <v>239</v>
      </c>
      <c r="DL946" s="103">
        <v>394</v>
      </c>
      <c r="DM946" s="103">
        <v>506</v>
      </c>
      <c r="DN946" s="103">
        <v>616</v>
      </c>
      <c r="DO946" s="103">
        <v>682</v>
      </c>
    </row>
    <row r="947" spans="2:119" ht="16.5" customHeight="1" x14ac:dyDescent="0.45">
      <c r="B947" s="99"/>
      <c r="C947" s="42"/>
      <c r="D947" s="42"/>
      <c r="E947" s="42"/>
      <c r="F947" s="42"/>
      <c r="G947" s="42"/>
      <c r="H947" s="42"/>
      <c r="I947" s="42"/>
      <c r="J947" s="42"/>
      <c r="K947" s="42"/>
      <c r="L947" s="42"/>
      <c r="M947" s="42"/>
      <c r="N947" s="42"/>
      <c r="O947" s="42"/>
      <c r="P947" s="42"/>
      <c r="Q947" s="42"/>
      <c r="R947" s="42"/>
      <c r="S947" s="42"/>
      <c r="T947" s="42"/>
      <c r="U947" s="42"/>
      <c r="V947" s="42"/>
      <c r="W947" s="42"/>
      <c r="X947" s="42"/>
      <c r="Y947" s="42"/>
      <c r="Z947" s="42"/>
      <c r="AA947" s="42"/>
      <c r="AB947" s="42"/>
      <c r="AC947" s="42"/>
      <c r="AD947" s="42"/>
      <c r="AE947" s="42"/>
      <c r="AF947" s="42"/>
      <c r="AG947" s="42"/>
      <c r="AH947" s="42"/>
      <c r="AI947" s="42"/>
      <c r="AJ947" s="42"/>
      <c r="AK947" s="42"/>
      <c r="AL947" s="42"/>
      <c r="AM947" s="42"/>
      <c r="AN947" s="42"/>
      <c r="AO947" s="42"/>
      <c r="AP947" s="6"/>
      <c r="AQ947" s="42"/>
      <c r="AR947" s="42"/>
      <c r="AS947" s="42"/>
      <c r="AT947" s="42"/>
      <c r="AU947" s="42"/>
      <c r="AV947" s="42"/>
      <c r="AW947" s="42"/>
      <c r="AX947" s="42"/>
      <c r="AY947" s="42"/>
      <c r="AZ947" s="42"/>
      <c r="BA947" s="42"/>
      <c r="BB947" s="42"/>
      <c r="BC947" s="42"/>
      <c r="BD947" s="42"/>
      <c r="BE947" s="42"/>
      <c r="BF947" s="42"/>
      <c r="BG947" s="42"/>
      <c r="BH947" s="42"/>
      <c r="BI947" s="42"/>
      <c r="BJ947" s="42"/>
      <c r="BK947" s="42"/>
      <c r="BL947" s="42"/>
      <c r="BM947" s="42"/>
      <c r="BN947" s="42"/>
      <c r="BO947" s="42"/>
      <c r="BQ947" s="42"/>
      <c r="BR947" s="42"/>
      <c r="BS947" s="42"/>
      <c r="BT947" s="42"/>
      <c r="BU947" s="42"/>
      <c r="BV947" s="42"/>
      <c r="BW947" s="42"/>
      <c r="BX947" s="42"/>
      <c r="BY947" s="42"/>
      <c r="BZ947" s="42"/>
      <c r="CA947" s="42"/>
      <c r="CB947" s="42"/>
      <c r="CC947" s="42"/>
      <c r="CD947" s="42"/>
      <c r="CE947" s="42"/>
      <c r="CF947" s="42"/>
      <c r="CG947" s="42"/>
      <c r="CH947" s="42"/>
      <c r="CI947" s="42"/>
      <c r="CJ947" s="42"/>
      <c r="CK947" s="42"/>
      <c r="CL947" s="42"/>
      <c r="CM947" s="42"/>
      <c r="CN947" s="42"/>
      <c r="CO947" s="42"/>
      <c r="CQ947" s="42"/>
      <c r="CR947" s="42"/>
      <c r="CS947" s="42"/>
      <c r="CT947" s="42"/>
      <c r="CU947" s="42"/>
      <c r="CV947" s="42"/>
      <c r="CW947" s="42"/>
      <c r="CX947" s="42"/>
      <c r="CY947" s="42"/>
      <c r="CZ947" s="42"/>
      <c r="DA947" s="42"/>
      <c r="DB947" s="42"/>
      <c r="DC947" s="42"/>
      <c r="DD947" s="42"/>
      <c r="DE947" s="42"/>
      <c r="DF947" s="42"/>
      <c r="DG947" s="42"/>
      <c r="DH947" s="42"/>
      <c r="DI947" s="42"/>
      <c r="DJ947" s="42"/>
      <c r="DK947" s="42"/>
      <c r="DL947" s="42"/>
      <c r="DM947" s="42"/>
      <c r="DN947" s="42"/>
      <c r="DO947" s="42"/>
    </row>
    <row r="948" spans="2:119" ht="16.5" customHeight="1" x14ac:dyDescent="0.55000000000000004">
      <c r="B948" s="99"/>
      <c r="C948" s="42"/>
      <c r="D948" s="112" t="s">
        <v>16</v>
      </c>
      <c r="E948" s="112"/>
      <c r="F948" s="45"/>
      <c r="G948" s="45"/>
      <c r="H948" s="45"/>
      <c r="I948" s="45"/>
      <c r="J948" s="45"/>
      <c r="K948" s="45"/>
      <c r="L948" s="45"/>
      <c r="M948" s="45"/>
      <c r="N948" s="45"/>
      <c r="O948" s="45"/>
      <c r="P948" s="42"/>
      <c r="Q948" s="112" t="s">
        <v>16</v>
      </c>
      <c r="R948" s="112"/>
      <c r="S948" s="45"/>
      <c r="T948" s="45"/>
      <c r="U948" s="45"/>
      <c r="V948" s="45"/>
      <c r="W948" s="45"/>
      <c r="X948" s="45"/>
      <c r="Y948" s="45"/>
      <c r="Z948" s="45"/>
      <c r="AA948" s="45"/>
      <c r="AB948" s="45"/>
      <c r="AC948" s="42"/>
      <c r="AD948" s="112" t="s">
        <v>16</v>
      </c>
      <c r="AE948" s="112"/>
      <c r="AF948" s="45"/>
      <c r="AG948" s="45"/>
      <c r="AH948" s="45"/>
      <c r="AI948" s="45"/>
      <c r="AJ948" s="45"/>
      <c r="AK948" s="45"/>
      <c r="AL948" s="45"/>
      <c r="AM948" s="45"/>
      <c r="AN948" s="45"/>
      <c r="AO948" s="45"/>
      <c r="AP948" s="6"/>
      <c r="AQ948" s="112" t="s">
        <v>16</v>
      </c>
      <c r="AR948" s="112"/>
      <c r="AS948" s="45"/>
      <c r="AT948" s="45"/>
      <c r="AU948" s="45"/>
      <c r="AV948" s="45"/>
      <c r="AW948" s="45"/>
      <c r="AX948" s="45"/>
      <c r="AY948" s="45"/>
      <c r="AZ948" s="45"/>
      <c r="BA948" s="45"/>
      <c r="BB948" s="45"/>
      <c r="BC948" s="42"/>
      <c r="BD948" s="112" t="s">
        <v>16</v>
      </c>
      <c r="BE948" s="112"/>
      <c r="BF948" s="45"/>
      <c r="BG948" s="45"/>
      <c r="BH948" s="45"/>
      <c r="BI948" s="45"/>
      <c r="BJ948" s="45"/>
      <c r="BK948" s="45"/>
      <c r="BL948" s="45"/>
      <c r="BM948" s="45"/>
      <c r="BN948" s="45"/>
      <c r="BO948" s="45"/>
      <c r="BQ948" s="112" t="s">
        <v>16</v>
      </c>
      <c r="BR948" s="112"/>
      <c r="BS948" s="45"/>
      <c r="BT948" s="45"/>
      <c r="BU948" s="45"/>
      <c r="BV948" s="45"/>
      <c r="BW948" s="45"/>
      <c r="BX948" s="45"/>
      <c r="BY948" s="45"/>
      <c r="BZ948" s="45"/>
      <c r="CA948" s="45"/>
      <c r="CB948" s="45"/>
      <c r="CC948" s="42"/>
      <c r="CD948" s="112" t="s">
        <v>16</v>
      </c>
      <c r="CE948" s="112"/>
      <c r="CF948" s="45"/>
      <c r="CG948" s="45"/>
      <c r="CH948" s="45"/>
      <c r="CI948" s="45"/>
      <c r="CJ948" s="45"/>
      <c r="CK948" s="45"/>
      <c r="CL948" s="45"/>
      <c r="CM948" s="45"/>
      <c r="CN948" s="45"/>
      <c r="CO948" s="45"/>
      <c r="CQ948" s="112" t="s">
        <v>16</v>
      </c>
      <c r="CR948" s="112"/>
      <c r="CS948" s="45"/>
      <c r="CT948" s="45"/>
      <c r="CU948" s="45"/>
      <c r="CV948" s="45"/>
      <c r="CW948" s="45"/>
      <c r="CX948" s="45"/>
      <c r="CY948" s="45"/>
      <c r="CZ948" s="45"/>
      <c r="DA948" s="45"/>
      <c r="DB948" s="45"/>
      <c r="DC948" s="42"/>
      <c r="DD948" s="112" t="s">
        <v>16</v>
      </c>
      <c r="DE948" s="112"/>
      <c r="DF948" s="45"/>
      <c r="DG948" s="45"/>
      <c r="DH948" s="45"/>
      <c r="DI948" s="45"/>
      <c r="DJ948" s="45"/>
      <c r="DK948" s="45"/>
      <c r="DL948" s="45"/>
      <c r="DM948" s="45"/>
      <c r="DN948" s="45"/>
      <c r="DO948" s="45"/>
    </row>
    <row r="949" spans="2:119" ht="28.9" customHeight="1" x14ac:dyDescent="0.45">
      <c r="B949" s="99"/>
      <c r="C949" s="42"/>
      <c r="D949" s="112"/>
      <c r="E949" s="112"/>
      <c r="F949" s="108" t="s">
        <v>12</v>
      </c>
      <c r="G949" s="108"/>
      <c r="H949" s="108"/>
      <c r="I949" s="108"/>
      <c r="J949" s="108"/>
      <c r="K949" s="108"/>
      <c r="L949" s="108"/>
      <c r="M949" s="108"/>
      <c r="N949" s="108"/>
      <c r="O949" s="108"/>
      <c r="P949" s="42"/>
      <c r="Q949" s="112"/>
      <c r="R949" s="112"/>
      <c r="S949" s="108" t="s">
        <v>12</v>
      </c>
      <c r="T949" s="108"/>
      <c r="U949" s="108"/>
      <c r="V949" s="108"/>
      <c r="W949" s="108"/>
      <c r="X949" s="108"/>
      <c r="Y949" s="108"/>
      <c r="Z949" s="108"/>
      <c r="AA949" s="108"/>
      <c r="AB949" s="108"/>
      <c r="AC949" s="42"/>
      <c r="AD949" s="112"/>
      <c r="AE949" s="112"/>
      <c r="AF949" s="131" t="s">
        <v>12</v>
      </c>
      <c r="AG949" s="132"/>
      <c r="AH949" s="132"/>
      <c r="AI949" s="132"/>
      <c r="AJ949" s="132"/>
      <c r="AK949" s="132"/>
      <c r="AL949" s="132"/>
      <c r="AM949" s="132"/>
      <c r="AN949" s="132"/>
      <c r="AO949" s="133"/>
      <c r="AP949" s="6"/>
      <c r="AQ949" s="112"/>
      <c r="AR949" s="112"/>
      <c r="AS949" s="108" t="s">
        <v>12</v>
      </c>
      <c r="AT949" s="108"/>
      <c r="AU949" s="108"/>
      <c r="AV949" s="108"/>
      <c r="AW949" s="108"/>
      <c r="AX949" s="108"/>
      <c r="AY949" s="108"/>
      <c r="AZ949" s="108"/>
      <c r="BA949" s="108"/>
      <c r="BB949" s="108"/>
      <c r="BC949" s="42"/>
      <c r="BD949" s="112"/>
      <c r="BE949" s="112"/>
      <c r="BF949" s="108" t="s">
        <v>12</v>
      </c>
      <c r="BG949" s="108"/>
      <c r="BH949" s="108"/>
      <c r="BI949" s="108"/>
      <c r="BJ949" s="108"/>
      <c r="BK949" s="108"/>
      <c r="BL949" s="108"/>
      <c r="BM949" s="108"/>
      <c r="BN949" s="108"/>
      <c r="BO949" s="108"/>
      <c r="BQ949" s="112"/>
      <c r="BR949" s="112"/>
      <c r="BS949" s="108" t="s">
        <v>12</v>
      </c>
      <c r="BT949" s="108"/>
      <c r="BU949" s="108"/>
      <c r="BV949" s="108"/>
      <c r="BW949" s="108"/>
      <c r="BX949" s="108"/>
      <c r="BY949" s="108"/>
      <c r="BZ949" s="108"/>
      <c r="CA949" s="108"/>
      <c r="CB949" s="108"/>
      <c r="CC949" s="42"/>
      <c r="CD949" s="112"/>
      <c r="CE949" s="112"/>
      <c r="CF949" s="108" t="s">
        <v>12</v>
      </c>
      <c r="CG949" s="108"/>
      <c r="CH949" s="108"/>
      <c r="CI949" s="108"/>
      <c r="CJ949" s="108"/>
      <c r="CK949" s="108"/>
      <c r="CL949" s="108"/>
      <c r="CM949" s="108"/>
      <c r="CN949" s="108"/>
      <c r="CO949" s="108"/>
      <c r="CQ949" s="112"/>
      <c r="CR949" s="112"/>
      <c r="CS949" s="108" t="s">
        <v>12</v>
      </c>
      <c r="CT949" s="108"/>
      <c r="CU949" s="108"/>
      <c r="CV949" s="108"/>
      <c r="CW949" s="108"/>
      <c r="CX949" s="108"/>
      <c r="CY949" s="108"/>
      <c r="CZ949" s="108"/>
      <c r="DA949" s="108"/>
      <c r="DB949" s="108"/>
      <c r="DC949" s="42"/>
      <c r="DD949" s="112"/>
      <c r="DE949" s="112"/>
      <c r="DF949" s="108" t="s">
        <v>12</v>
      </c>
      <c r="DG949" s="108"/>
      <c r="DH949" s="108"/>
      <c r="DI949" s="108"/>
      <c r="DJ949" s="108"/>
      <c r="DK949" s="108"/>
      <c r="DL949" s="108"/>
      <c r="DM949" s="108"/>
      <c r="DN949" s="108"/>
      <c r="DO949" s="108"/>
    </row>
    <row r="950" spans="2:119" ht="15" customHeight="1" x14ac:dyDescent="0.45">
      <c r="B950" s="99"/>
      <c r="C950" s="42"/>
      <c r="D950" s="113"/>
      <c r="E950" s="113"/>
      <c r="F950" s="9" t="s">
        <v>0</v>
      </c>
      <c r="G950" s="9">
        <v>1</v>
      </c>
      <c r="H950" s="9">
        <v>2</v>
      </c>
      <c r="I950" s="9">
        <v>3</v>
      </c>
      <c r="J950" s="9">
        <v>4</v>
      </c>
      <c r="K950" s="9">
        <v>5</v>
      </c>
      <c r="L950" s="9">
        <v>6</v>
      </c>
      <c r="M950" s="9">
        <v>7</v>
      </c>
      <c r="N950" s="9">
        <v>8</v>
      </c>
      <c r="O950" s="9">
        <v>9</v>
      </c>
      <c r="P950" s="42"/>
      <c r="Q950" s="113"/>
      <c r="R950" s="113"/>
      <c r="S950" s="9" t="s">
        <v>0</v>
      </c>
      <c r="T950" s="9">
        <v>1</v>
      </c>
      <c r="U950" s="9">
        <v>2</v>
      </c>
      <c r="V950" s="9">
        <v>3</v>
      </c>
      <c r="W950" s="9">
        <v>4</v>
      </c>
      <c r="X950" s="9">
        <v>5</v>
      </c>
      <c r="Y950" s="9">
        <v>6</v>
      </c>
      <c r="Z950" s="9">
        <v>7</v>
      </c>
      <c r="AA950" s="9">
        <v>8</v>
      </c>
      <c r="AB950" s="9">
        <v>9</v>
      </c>
      <c r="AC950" s="42"/>
      <c r="AD950" s="113"/>
      <c r="AE950" s="113"/>
      <c r="AF950" s="9" t="s">
        <v>0</v>
      </c>
      <c r="AG950" s="9">
        <v>1</v>
      </c>
      <c r="AH950" s="9">
        <v>2</v>
      </c>
      <c r="AI950" s="9">
        <v>3</v>
      </c>
      <c r="AJ950" s="9">
        <v>4</v>
      </c>
      <c r="AK950" s="9">
        <v>5</v>
      </c>
      <c r="AL950" s="9">
        <v>6</v>
      </c>
      <c r="AM950" s="9">
        <v>7</v>
      </c>
      <c r="AN950" s="9">
        <v>8</v>
      </c>
      <c r="AO950" s="9">
        <v>9</v>
      </c>
      <c r="AP950" s="6"/>
      <c r="AQ950" s="113"/>
      <c r="AR950" s="113"/>
      <c r="AS950" s="9" t="s">
        <v>0</v>
      </c>
      <c r="AT950" s="9">
        <v>1</v>
      </c>
      <c r="AU950" s="9">
        <v>2</v>
      </c>
      <c r="AV950" s="9">
        <v>3</v>
      </c>
      <c r="AW950" s="9">
        <v>4</v>
      </c>
      <c r="AX950" s="9">
        <v>5</v>
      </c>
      <c r="AY950" s="9">
        <v>6</v>
      </c>
      <c r="AZ950" s="9">
        <v>7</v>
      </c>
      <c r="BA950" s="9">
        <v>8</v>
      </c>
      <c r="BB950" s="9">
        <v>9</v>
      </c>
      <c r="BC950" s="42"/>
      <c r="BD950" s="113"/>
      <c r="BE950" s="113"/>
      <c r="BF950" s="9" t="s">
        <v>0</v>
      </c>
      <c r="BG950" s="9">
        <v>1</v>
      </c>
      <c r="BH950" s="9">
        <v>2</v>
      </c>
      <c r="BI950" s="9">
        <v>3</v>
      </c>
      <c r="BJ950" s="9">
        <v>4</v>
      </c>
      <c r="BK950" s="9">
        <v>5</v>
      </c>
      <c r="BL950" s="9">
        <v>6</v>
      </c>
      <c r="BM950" s="9">
        <v>7</v>
      </c>
      <c r="BN950" s="9">
        <v>8</v>
      </c>
      <c r="BO950" s="9">
        <v>9</v>
      </c>
      <c r="BQ950" s="113"/>
      <c r="BR950" s="113"/>
      <c r="BS950" s="9" t="s">
        <v>0</v>
      </c>
      <c r="BT950" s="9">
        <v>1</v>
      </c>
      <c r="BU950" s="9">
        <v>2</v>
      </c>
      <c r="BV950" s="9">
        <v>3</v>
      </c>
      <c r="BW950" s="9">
        <v>4</v>
      </c>
      <c r="BX950" s="9">
        <v>5</v>
      </c>
      <c r="BY950" s="9">
        <v>6</v>
      </c>
      <c r="BZ950" s="9">
        <v>7</v>
      </c>
      <c r="CA950" s="9">
        <v>8</v>
      </c>
      <c r="CB950" s="9">
        <v>9</v>
      </c>
      <c r="CC950" s="42"/>
      <c r="CD950" s="113"/>
      <c r="CE950" s="113"/>
      <c r="CF950" s="9" t="s">
        <v>0</v>
      </c>
      <c r="CG950" s="9">
        <v>1</v>
      </c>
      <c r="CH950" s="9">
        <v>2</v>
      </c>
      <c r="CI950" s="9">
        <v>3</v>
      </c>
      <c r="CJ950" s="9">
        <v>4</v>
      </c>
      <c r="CK950" s="9">
        <v>5</v>
      </c>
      <c r="CL950" s="9">
        <v>6</v>
      </c>
      <c r="CM950" s="9">
        <v>7</v>
      </c>
      <c r="CN950" s="9">
        <v>8</v>
      </c>
      <c r="CO950" s="9">
        <v>9</v>
      </c>
      <c r="CQ950" s="113"/>
      <c r="CR950" s="113"/>
      <c r="CS950" s="9" t="s">
        <v>0</v>
      </c>
      <c r="CT950" s="9">
        <v>1</v>
      </c>
      <c r="CU950" s="9">
        <v>2</v>
      </c>
      <c r="CV950" s="9">
        <v>3</v>
      </c>
      <c r="CW950" s="9">
        <v>4</v>
      </c>
      <c r="CX950" s="9">
        <v>5</v>
      </c>
      <c r="CY950" s="9">
        <v>6</v>
      </c>
      <c r="CZ950" s="9">
        <v>7</v>
      </c>
      <c r="DA950" s="9">
        <v>8</v>
      </c>
      <c r="DB950" s="9">
        <v>9</v>
      </c>
      <c r="DC950" s="42"/>
      <c r="DD950" s="113"/>
      <c r="DE950" s="113"/>
      <c r="DF950" s="9" t="s">
        <v>0</v>
      </c>
      <c r="DG950" s="9">
        <v>1</v>
      </c>
      <c r="DH950" s="9">
        <v>2</v>
      </c>
      <c r="DI950" s="9">
        <v>3</v>
      </c>
      <c r="DJ950" s="9">
        <v>4</v>
      </c>
      <c r="DK950" s="9">
        <v>5</v>
      </c>
      <c r="DL950" s="9">
        <v>6</v>
      </c>
      <c r="DM950" s="9">
        <v>7</v>
      </c>
      <c r="DN950" s="9">
        <v>8</v>
      </c>
      <c r="DO950" s="9">
        <v>9</v>
      </c>
    </row>
    <row r="951" spans="2:119" ht="16.5" customHeight="1" x14ac:dyDescent="0.45">
      <c r="B951" s="99"/>
      <c r="C951" s="42"/>
      <c r="D951" s="109" t="s">
        <v>13</v>
      </c>
      <c r="E951" s="47" t="s">
        <v>1</v>
      </c>
      <c r="F951" s="103">
        <v>33.333333333333329</v>
      </c>
      <c r="G951" s="103">
        <v>0</v>
      </c>
      <c r="H951" s="103">
        <v>66.666666666666657</v>
      </c>
      <c r="I951" s="103">
        <v>0</v>
      </c>
      <c r="J951" s="103">
        <v>0</v>
      </c>
      <c r="K951" s="103">
        <v>0</v>
      </c>
      <c r="L951" s="103">
        <v>0</v>
      </c>
      <c r="M951" s="103">
        <v>0</v>
      </c>
      <c r="N951" s="103">
        <v>0</v>
      </c>
      <c r="O951" s="17">
        <v>0</v>
      </c>
      <c r="P951" s="42"/>
      <c r="Q951" s="109" t="s">
        <v>13</v>
      </c>
      <c r="R951" s="46" t="s">
        <v>1</v>
      </c>
      <c r="S951" s="103">
        <v>100</v>
      </c>
      <c r="T951" s="103">
        <v>0</v>
      </c>
      <c r="U951" s="103">
        <v>0</v>
      </c>
      <c r="V951" s="103">
        <v>0</v>
      </c>
      <c r="W951" s="103">
        <v>0</v>
      </c>
      <c r="X951" s="103">
        <v>0</v>
      </c>
      <c r="Y951" s="103">
        <v>0</v>
      </c>
      <c r="Z951" s="103">
        <v>0</v>
      </c>
      <c r="AA951" s="103">
        <v>0</v>
      </c>
      <c r="AB951" s="17">
        <v>0</v>
      </c>
      <c r="AC951" s="42"/>
      <c r="AD951" s="109" t="s">
        <v>13</v>
      </c>
      <c r="AE951" s="46" t="s">
        <v>1</v>
      </c>
      <c r="AF951" s="103">
        <v>0</v>
      </c>
      <c r="AG951" s="103">
        <v>0</v>
      </c>
      <c r="AH951" s="103">
        <v>100</v>
      </c>
      <c r="AI951" s="103">
        <v>0</v>
      </c>
      <c r="AJ951" s="103">
        <v>0</v>
      </c>
      <c r="AK951" s="103">
        <v>0</v>
      </c>
      <c r="AL951" s="103">
        <v>0</v>
      </c>
      <c r="AM951" s="103">
        <v>0</v>
      </c>
      <c r="AN951" s="103">
        <v>0</v>
      </c>
      <c r="AO951" s="17">
        <v>0</v>
      </c>
      <c r="AP951" s="6"/>
      <c r="AQ951" s="109" t="s">
        <v>13</v>
      </c>
      <c r="AR951" s="46" t="s">
        <v>1</v>
      </c>
      <c r="AS951" s="103">
        <v>50</v>
      </c>
      <c r="AT951" s="103">
        <v>0</v>
      </c>
      <c r="AU951" s="103">
        <v>50</v>
      </c>
      <c r="AV951" s="103">
        <v>0</v>
      </c>
      <c r="AW951" s="103">
        <v>0</v>
      </c>
      <c r="AX951" s="103">
        <v>0</v>
      </c>
      <c r="AY951" s="103">
        <v>0</v>
      </c>
      <c r="AZ951" s="103">
        <v>0</v>
      </c>
      <c r="BA951" s="103">
        <v>0</v>
      </c>
      <c r="BB951" s="17">
        <v>0</v>
      </c>
      <c r="BC951" s="42"/>
      <c r="BD951" s="109" t="s">
        <v>13</v>
      </c>
      <c r="BE951" s="46" t="s">
        <v>1</v>
      </c>
      <c r="BF951" s="103">
        <v>0</v>
      </c>
      <c r="BG951" s="103">
        <v>0</v>
      </c>
      <c r="BH951" s="103">
        <v>100</v>
      </c>
      <c r="BI951" s="103">
        <v>0</v>
      </c>
      <c r="BJ951" s="103">
        <v>0</v>
      </c>
      <c r="BK951" s="103">
        <v>0</v>
      </c>
      <c r="BL951" s="103">
        <v>0</v>
      </c>
      <c r="BM951" s="103">
        <v>0</v>
      </c>
      <c r="BN951" s="103">
        <v>0</v>
      </c>
      <c r="BO951" s="17">
        <v>0</v>
      </c>
      <c r="BQ951" s="109" t="s">
        <v>13</v>
      </c>
      <c r="BR951" s="46" t="s">
        <v>1</v>
      </c>
      <c r="BS951" s="103">
        <v>0</v>
      </c>
      <c r="BT951" s="103">
        <v>0</v>
      </c>
      <c r="BU951" s="103">
        <v>100</v>
      </c>
      <c r="BV951" s="103">
        <v>0</v>
      </c>
      <c r="BW951" s="103">
        <v>0</v>
      </c>
      <c r="BX951" s="103">
        <v>0</v>
      </c>
      <c r="BY951" s="103">
        <v>0</v>
      </c>
      <c r="BZ951" s="103">
        <v>0</v>
      </c>
      <c r="CA951" s="103">
        <v>0</v>
      </c>
      <c r="CB951" s="17">
        <v>0</v>
      </c>
      <c r="CC951" s="42"/>
      <c r="CD951" s="109" t="s">
        <v>13</v>
      </c>
      <c r="CE951" s="46" t="s">
        <v>1</v>
      </c>
      <c r="CF951" s="103">
        <v>100</v>
      </c>
      <c r="CG951" s="103">
        <v>0</v>
      </c>
      <c r="CH951" s="103">
        <v>0</v>
      </c>
      <c r="CI951" s="103">
        <v>0</v>
      </c>
      <c r="CJ951" s="103">
        <v>0</v>
      </c>
      <c r="CK951" s="103">
        <v>0</v>
      </c>
      <c r="CL951" s="103">
        <v>0</v>
      </c>
      <c r="CM951" s="103">
        <v>0</v>
      </c>
      <c r="CN951" s="103">
        <v>0</v>
      </c>
      <c r="CO951" s="17">
        <v>0</v>
      </c>
      <c r="CQ951" s="109" t="s">
        <v>13</v>
      </c>
      <c r="CR951" s="46" t="s">
        <v>1</v>
      </c>
      <c r="CS951" s="103">
        <v>50</v>
      </c>
      <c r="CT951" s="103">
        <v>0</v>
      </c>
      <c r="CU951" s="103">
        <v>50</v>
      </c>
      <c r="CV951" s="103">
        <v>0</v>
      </c>
      <c r="CW951" s="103">
        <v>0</v>
      </c>
      <c r="CX951" s="103">
        <v>0</v>
      </c>
      <c r="CY951" s="103">
        <v>0</v>
      </c>
      <c r="CZ951" s="103">
        <v>0</v>
      </c>
      <c r="DA951" s="103">
        <v>0</v>
      </c>
      <c r="DB951" s="17">
        <v>0</v>
      </c>
      <c r="DC951" s="42"/>
      <c r="DD951" s="109" t="s">
        <v>13</v>
      </c>
      <c r="DE951" s="46" t="s">
        <v>1</v>
      </c>
      <c r="DF951" s="103">
        <v>0</v>
      </c>
      <c r="DG951" s="103">
        <v>0</v>
      </c>
      <c r="DH951" s="103">
        <v>100</v>
      </c>
      <c r="DI951" s="103">
        <v>0</v>
      </c>
      <c r="DJ951" s="103">
        <v>0</v>
      </c>
      <c r="DK951" s="103">
        <v>0</v>
      </c>
      <c r="DL951" s="103">
        <v>0</v>
      </c>
      <c r="DM951" s="103">
        <v>0</v>
      </c>
      <c r="DN951" s="103">
        <v>0</v>
      </c>
      <c r="DO951" s="17">
        <v>0</v>
      </c>
    </row>
    <row r="952" spans="2:119" ht="16.5" customHeight="1" x14ac:dyDescent="0.45">
      <c r="B952" s="99"/>
      <c r="C952" s="42"/>
      <c r="D952" s="110"/>
      <c r="E952" s="47">
        <v>1</v>
      </c>
      <c r="F952" s="103">
        <v>0</v>
      </c>
      <c r="G952" s="103">
        <v>12.5</v>
      </c>
      <c r="H952" s="103">
        <v>62.5</v>
      </c>
      <c r="I952" s="103">
        <v>12.5</v>
      </c>
      <c r="J952" s="103">
        <v>12.5</v>
      </c>
      <c r="K952" s="103">
        <v>0</v>
      </c>
      <c r="L952" s="103">
        <v>0</v>
      </c>
      <c r="M952" s="103">
        <v>0</v>
      </c>
      <c r="N952" s="103">
        <v>0</v>
      </c>
      <c r="O952" s="103">
        <v>0</v>
      </c>
      <c r="P952" s="42"/>
      <c r="Q952" s="110"/>
      <c r="R952" s="46">
        <v>1</v>
      </c>
      <c r="S952" s="103">
        <v>0</v>
      </c>
      <c r="T952" s="103">
        <v>0</v>
      </c>
      <c r="U952" s="103">
        <v>60</v>
      </c>
      <c r="V952" s="103">
        <v>20</v>
      </c>
      <c r="W952" s="103">
        <v>20</v>
      </c>
      <c r="X952" s="103">
        <v>0</v>
      </c>
      <c r="Y952" s="103">
        <v>0</v>
      </c>
      <c r="Z952" s="103">
        <v>0</v>
      </c>
      <c r="AA952" s="103">
        <v>0</v>
      </c>
      <c r="AB952" s="103">
        <v>0</v>
      </c>
      <c r="AC952" s="42"/>
      <c r="AD952" s="110"/>
      <c r="AE952" s="46">
        <v>1</v>
      </c>
      <c r="AF952" s="103">
        <v>0</v>
      </c>
      <c r="AG952" s="103">
        <v>33.333333333333329</v>
      </c>
      <c r="AH952" s="103">
        <v>66.666666666666657</v>
      </c>
      <c r="AI952" s="103">
        <v>0</v>
      </c>
      <c r="AJ952" s="103">
        <v>0</v>
      </c>
      <c r="AK952" s="103">
        <v>0</v>
      </c>
      <c r="AL952" s="103">
        <v>0</v>
      </c>
      <c r="AM952" s="103">
        <v>0</v>
      </c>
      <c r="AN952" s="103">
        <v>0</v>
      </c>
      <c r="AO952" s="103">
        <v>0</v>
      </c>
      <c r="AP952" s="6"/>
      <c r="AQ952" s="110"/>
      <c r="AR952" s="46">
        <v>1</v>
      </c>
      <c r="AS952" s="103">
        <v>0</v>
      </c>
      <c r="AT952" s="103">
        <v>33.333333333333329</v>
      </c>
      <c r="AU952" s="103">
        <v>66.666666666666657</v>
      </c>
      <c r="AV952" s="103">
        <v>0</v>
      </c>
      <c r="AW952" s="103">
        <v>0</v>
      </c>
      <c r="AX952" s="103">
        <v>0</v>
      </c>
      <c r="AY952" s="103">
        <v>0</v>
      </c>
      <c r="AZ952" s="103">
        <v>0</v>
      </c>
      <c r="BA952" s="103">
        <v>0</v>
      </c>
      <c r="BB952" s="103">
        <v>0</v>
      </c>
      <c r="BC952" s="42"/>
      <c r="BD952" s="110"/>
      <c r="BE952" s="46">
        <v>1</v>
      </c>
      <c r="BF952" s="103">
        <v>0</v>
      </c>
      <c r="BG952" s="103">
        <v>0</v>
      </c>
      <c r="BH952" s="103">
        <v>60</v>
      </c>
      <c r="BI952" s="103">
        <v>20</v>
      </c>
      <c r="BJ952" s="103">
        <v>20</v>
      </c>
      <c r="BK952" s="103">
        <v>0</v>
      </c>
      <c r="BL952" s="103">
        <v>0</v>
      </c>
      <c r="BM952" s="103">
        <v>0</v>
      </c>
      <c r="BN952" s="103">
        <v>0</v>
      </c>
      <c r="BO952" s="103">
        <v>0</v>
      </c>
      <c r="BQ952" s="110"/>
      <c r="BR952" s="46">
        <v>1</v>
      </c>
      <c r="BS952" s="103">
        <v>0</v>
      </c>
      <c r="BT952" s="103">
        <v>14.285714285714285</v>
      </c>
      <c r="BU952" s="103">
        <v>71.428571428571431</v>
      </c>
      <c r="BV952" s="103">
        <v>14.285714285714285</v>
      </c>
      <c r="BW952" s="103">
        <v>0</v>
      </c>
      <c r="BX952" s="103">
        <v>0</v>
      </c>
      <c r="BY952" s="103">
        <v>0</v>
      </c>
      <c r="BZ952" s="103">
        <v>0</v>
      </c>
      <c r="CA952" s="103">
        <v>0</v>
      </c>
      <c r="CB952" s="103">
        <v>0</v>
      </c>
      <c r="CC952" s="42"/>
      <c r="CD952" s="110"/>
      <c r="CE952" s="46">
        <v>1</v>
      </c>
      <c r="CF952" s="103">
        <v>0</v>
      </c>
      <c r="CG952" s="103">
        <v>0</v>
      </c>
      <c r="CH952" s="103">
        <v>0</v>
      </c>
      <c r="CI952" s="103">
        <v>0</v>
      </c>
      <c r="CJ952" s="103">
        <v>100</v>
      </c>
      <c r="CK952" s="103">
        <v>0</v>
      </c>
      <c r="CL952" s="103">
        <v>0</v>
      </c>
      <c r="CM952" s="103">
        <v>0</v>
      </c>
      <c r="CN952" s="103">
        <v>0</v>
      </c>
      <c r="CO952" s="103">
        <v>0</v>
      </c>
      <c r="CQ952" s="110"/>
      <c r="CR952" s="46">
        <v>1</v>
      </c>
      <c r="CS952" s="103">
        <v>0</v>
      </c>
      <c r="CT952" s="103">
        <v>0</v>
      </c>
      <c r="CU952" s="103">
        <v>50</v>
      </c>
      <c r="CV952" s="103">
        <v>25</v>
      </c>
      <c r="CW952" s="103">
        <v>25</v>
      </c>
      <c r="CX952" s="103">
        <v>0</v>
      </c>
      <c r="CY952" s="103">
        <v>0</v>
      </c>
      <c r="CZ952" s="103">
        <v>0</v>
      </c>
      <c r="DA952" s="103">
        <v>0</v>
      </c>
      <c r="DB952" s="103">
        <v>0</v>
      </c>
      <c r="DC952" s="42"/>
      <c r="DD952" s="110"/>
      <c r="DE952" s="46">
        <v>1</v>
      </c>
      <c r="DF952" s="103">
        <v>0</v>
      </c>
      <c r="DG952" s="103">
        <v>25</v>
      </c>
      <c r="DH952" s="103">
        <v>75</v>
      </c>
      <c r="DI952" s="103">
        <v>0</v>
      </c>
      <c r="DJ952" s="103">
        <v>0</v>
      </c>
      <c r="DK952" s="103">
        <v>0</v>
      </c>
      <c r="DL952" s="103">
        <v>0</v>
      </c>
      <c r="DM952" s="103">
        <v>0</v>
      </c>
      <c r="DN952" s="103">
        <v>0</v>
      </c>
      <c r="DO952" s="103">
        <v>0</v>
      </c>
    </row>
    <row r="953" spans="2:119" ht="16.5" customHeight="1" x14ac:dyDescent="0.45">
      <c r="B953" s="99"/>
      <c r="C953" s="42"/>
      <c r="D953" s="110"/>
      <c r="E953" s="47" t="s">
        <v>2</v>
      </c>
      <c r="F953" s="103">
        <v>9.79020979020979</v>
      </c>
      <c r="G953" s="103">
        <v>18.88111888111888</v>
      </c>
      <c r="H953" s="103">
        <v>29.37062937062937</v>
      </c>
      <c r="I953" s="103">
        <v>29.02097902097902</v>
      </c>
      <c r="J953" s="103">
        <v>8.0419580419580416</v>
      </c>
      <c r="K953" s="103">
        <v>3.4965034965034967</v>
      </c>
      <c r="L953" s="103">
        <v>0.69930069930069927</v>
      </c>
      <c r="M953" s="103">
        <v>0.69930069930069927</v>
      </c>
      <c r="N953" s="103">
        <v>0</v>
      </c>
      <c r="O953" s="103">
        <v>0</v>
      </c>
      <c r="P953" s="42"/>
      <c r="Q953" s="110"/>
      <c r="R953" s="46" t="s">
        <v>2</v>
      </c>
      <c r="S953" s="103">
        <v>6.7164179104477615</v>
      </c>
      <c r="T953" s="103">
        <v>19.402985074626866</v>
      </c>
      <c r="U953" s="103">
        <v>29.1044776119403</v>
      </c>
      <c r="V953" s="103">
        <v>32.089552238805972</v>
      </c>
      <c r="W953" s="103">
        <v>8.2089552238805972</v>
      </c>
      <c r="X953" s="103">
        <v>2.9850746268656714</v>
      </c>
      <c r="Y953" s="103">
        <v>0.74626865671641784</v>
      </c>
      <c r="Z953" s="103">
        <v>0.74626865671641784</v>
      </c>
      <c r="AA953" s="103">
        <v>0</v>
      </c>
      <c r="AB953" s="103">
        <v>0</v>
      </c>
      <c r="AC953" s="42"/>
      <c r="AD953" s="110"/>
      <c r="AE953" s="46" t="s">
        <v>2</v>
      </c>
      <c r="AF953" s="103">
        <v>12.5</v>
      </c>
      <c r="AG953" s="103">
        <v>18.421052631578945</v>
      </c>
      <c r="AH953" s="103">
        <v>29.605263157894733</v>
      </c>
      <c r="AI953" s="103">
        <v>26.315789473684209</v>
      </c>
      <c r="AJ953" s="103">
        <v>7.8947368421052628</v>
      </c>
      <c r="AK953" s="103">
        <v>3.9473684210526314</v>
      </c>
      <c r="AL953" s="103">
        <v>0.6578947368421052</v>
      </c>
      <c r="AM953" s="103">
        <v>0.6578947368421052</v>
      </c>
      <c r="AN953" s="103">
        <v>0</v>
      </c>
      <c r="AO953" s="103">
        <v>0</v>
      </c>
      <c r="AP953" s="6"/>
      <c r="AQ953" s="110"/>
      <c r="AR953" s="46" t="s">
        <v>2</v>
      </c>
      <c r="AS953" s="103">
        <v>13.513513513513514</v>
      </c>
      <c r="AT953" s="103">
        <v>18.243243243243242</v>
      </c>
      <c r="AU953" s="103">
        <v>31.756756756756754</v>
      </c>
      <c r="AV953" s="103">
        <v>24.324324324324326</v>
      </c>
      <c r="AW953" s="103">
        <v>8.1081081081081088</v>
      </c>
      <c r="AX953" s="103">
        <v>2.0270270270270272</v>
      </c>
      <c r="AY953" s="103">
        <v>0.67567567567567566</v>
      </c>
      <c r="AZ953" s="103">
        <v>1.3513513513513513</v>
      </c>
      <c r="BA953" s="103">
        <v>0</v>
      </c>
      <c r="BB953" s="103">
        <v>0</v>
      </c>
      <c r="BC953" s="42"/>
      <c r="BD953" s="110"/>
      <c r="BE953" s="46" t="s">
        <v>2</v>
      </c>
      <c r="BF953" s="103">
        <v>5.7971014492753623</v>
      </c>
      <c r="BG953" s="103">
        <v>19.565217391304348</v>
      </c>
      <c r="BH953" s="103">
        <v>26.811594202898554</v>
      </c>
      <c r="BI953" s="103">
        <v>34.057971014492757</v>
      </c>
      <c r="BJ953" s="103">
        <v>7.9710144927536222</v>
      </c>
      <c r="BK953" s="103">
        <v>5.0724637681159424</v>
      </c>
      <c r="BL953" s="103">
        <v>0.72463768115942029</v>
      </c>
      <c r="BM953" s="103">
        <v>0</v>
      </c>
      <c r="BN953" s="103">
        <v>0</v>
      </c>
      <c r="BO953" s="103">
        <v>0</v>
      </c>
      <c r="BQ953" s="110"/>
      <c r="BR953" s="46" t="s">
        <v>2</v>
      </c>
      <c r="BS953" s="103">
        <v>10</v>
      </c>
      <c r="BT953" s="103">
        <v>19.473684210526315</v>
      </c>
      <c r="BU953" s="103">
        <v>30.526315789473685</v>
      </c>
      <c r="BV953" s="103">
        <v>28.947368421052634</v>
      </c>
      <c r="BW953" s="103">
        <v>7.3684210526315779</v>
      </c>
      <c r="BX953" s="103">
        <v>3.1578947368421053</v>
      </c>
      <c r="BY953" s="103">
        <v>0</v>
      </c>
      <c r="BZ953" s="103">
        <v>0.52631578947368418</v>
      </c>
      <c r="CA953" s="103">
        <v>0</v>
      </c>
      <c r="CB953" s="103">
        <v>0</v>
      </c>
      <c r="CC953" s="42"/>
      <c r="CD953" s="110"/>
      <c r="CE953" s="46" t="s">
        <v>2</v>
      </c>
      <c r="CF953" s="103">
        <v>9.375</v>
      </c>
      <c r="CG953" s="103">
        <v>17.708333333333336</v>
      </c>
      <c r="CH953" s="103">
        <v>27.083333333333332</v>
      </c>
      <c r="CI953" s="103">
        <v>29.166666666666668</v>
      </c>
      <c r="CJ953" s="103">
        <v>9.375</v>
      </c>
      <c r="CK953" s="103">
        <v>4.1666666666666661</v>
      </c>
      <c r="CL953" s="103">
        <v>2.083333333333333</v>
      </c>
      <c r="CM953" s="103">
        <v>1.0416666666666665</v>
      </c>
      <c r="CN953" s="103">
        <v>0</v>
      </c>
      <c r="CO953" s="103">
        <v>0</v>
      </c>
      <c r="CQ953" s="110"/>
      <c r="CR953" s="46" t="s">
        <v>2</v>
      </c>
      <c r="CS953" s="103">
        <v>8.5106382978723403</v>
      </c>
      <c r="CT953" s="103">
        <v>14.893617021276595</v>
      </c>
      <c r="CU953" s="103">
        <v>28.723404255319153</v>
      </c>
      <c r="CV953" s="103">
        <v>30.851063829787233</v>
      </c>
      <c r="CW953" s="103">
        <v>9.5744680851063837</v>
      </c>
      <c r="CX953" s="103">
        <v>5.3191489361702127</v>
      </c>
      <c r="CY953" s="103">
        <v>1.0638297872340425</v>
      </c>
      <c r="CZ953" s="103">
        <v>1.0638297872340425</v>
      </c>
      <c r="DA953" s="103">
        <v>0</v>
      </c>
      <c r="DB953" s="103">
        <v>0</v>
      </c>
      <c r="DC953" s="42"/>
      <c r="DD953" s="110"/>
      <c r="DE953" s="46" t="s">
        <v>2</v>
      </c>
      <c r="DF953" s="103">
        <v>10.416666666666668</v>
      </c>
      <c r="DG953" s="103">
        <v>20.833333333333336</v>
      </c>
      <c r="DH953" s="103">
        <v>29.6875</v>
      </c>
      <c r="DI953" s="103">
        <v>28.125</v>
      </c>
      <c r="DJ953" s="103">
        <v>7.291666666666667</v>
      </c>
      <c r="DK953" s="103">
        <v>2.604166666666667</v>
      </c>
      <c r="DL953" s="103">
        <v>0.52083333333333326</v>
      </c>
      <c r="DM953" s="103">
        <v>0.52083333333333326</v>
      </c>
      <c r="DN953" s="103">
        <v>0</v>
      </c>
      <c r="DO953" s="103">
        <v>0</v>
      </c>
    </row>
    <row r="954" spans="2:119" ht="16.5" customHeight="1" x14ac:dyDescent="0.45">
      <c r="B954" s="99"/>
      <c r="C954" s="42"/>
      <c r="D954" s="110"/>
      <c r="E954" s="47" t="s">
        <v>3</v>
      </c>
      <c r="F954" s="103">
        <v>5.5</v>
      </c>
      <c r="G954" s="103">
        <v>15.5</v>
      </c>
      <c r="H954" s="103">
        <v>28.499999999999996</v>
      </c>
      <c r="I954" s="103">
        <v>26</v>
      </c>
      <c r="J954" s="103">
        <v>14.499999999999998</v>
      </c>
      <c r="K954" s="103">
        <v>7.0000000000000009</v>
      </c>
      <c r="L954" s="103">
        <v>2.5</v>
      </c>
      <c r="M954" s="103">
        <v>0.5</v>
      </c>
      <c r="N954" s="103">
        <v>0</v>
      </c>
      <c r="O954" s="103">
        <v>0</v>
      </c>
      <c r="P954" s="42"/>
      <c r="Q954" s="110"/>
      <c r="R954" s="46" t="s">
        <v>3</v>
      </c>
      <c r="S954" s="103">
        <v>3.6363636363636362</v>
      </c>
      <c r="T954" s="103">
        <v>13.636363636363635</v>
      </c>
      <c r="U954" s="103">
        <v>30.909090909090907</v>
      </c>
      <c r="V954" s="103">
        <v>21.818181818181817</v>
      </c>
      <c r="W954" s="103">
        <v>18.181818181818183</v>
      </c>
      <c r="X954" s="103">
        <v>7.2727272727272725</v>
      </c>
      <c r="Y954" s="103">
        <v>3.6363636363636362</v>
      </c>
      <c r="Z954" s="103">
        <v>0.90909090909090906</v>
      </c>
      <c r="AA954" s="103">
        <v>0</v>
      </c>
      <c r="AB954" s="103">
        <v>0</v>
      </c>
      <c r="AC954" s="42"/>
      <c r="AD954" s="110"/>
      <c r="AE954" s="46" t="s">
        <v>3</v>
      </c>
      <c r="AF954" s="103">
        <v>7.7777777777777777</v>
      </c>
      <c r="AG954" s="103">
        <v>17.777777777777779</v>
      </c>
      <c r="AH954" s="103">
        <v>25.555555555555554</v>
      </c>
      <c r="AI954" s="103">
        <v>31.111111111111111</v>
      </c>
      <c r="AJ954" s="103">
        <v>10</v>
      </c>
      <c r="AK954" s="103">
        <v>6.666666666666667</v>
      </c>
      <c r="AL954" s="103">
        <v>1.1111111111111112</v>
      </c>
      <c r="AM954" s="103">
        <v>0</v>
      </c>
      <c r="AN954" s="103">
        <v>0</v>
      </c>
      <c r="AO954" s="103">
        <v>0</v>
      </c>
      <c r="AP954" s="6"/>
      <c r="AQ954" s="110"/>
      <c r="AR954" s="46" t="s">
        <v>3</v>
      </c>
      <c r="AS954" s="103">
        <v>3.3707865168539324</v>
      </c>
      <c r="AT954" s="103">
        <v>19.101123595505616</v>
      </c>
      <c r="AU954" s="103">
        <v>30.337078651685395</v>
      </c>
      <c r="AV954" s="103">
        <v>30.337078651685395</v>
      </c>
      <c r="AW954" s="103">
        <v>10.112359550561797</v>
      </c>
      <c r="AX954" s="103">
        <v>5.6179775280898872</v>
      </c>
      <c r="AY954" s="103">
        <v>1.1235955056179776</v>
      </c>
      <c r="AZ954" s="103">
        <v>0</v>
      </c>
      <c r="BA954" s="103">
        <v>0</v>
      </c>
      <c r="BB954" s="103">
        <v>0</v>
      </c>
      <c r="BC954" s="42"/>
      <c r="BD954" s="110"/>
      <c r="BE954" s="46" t="s">
        <v>3</v>
      </c>
      <c r="BF954" s="103">
        <v>7.2072072072072073</v>
      </c>
      <c r="BG954" s="103">
        <v>12.612612612612612</v>
      </c>
      <c r="BH954" s="103">
        <v>27.027027027027028</v>
      </c>
      <c r="BI954" s="103">
        <v>22.522522522522522</v>
      </c>
      <c r="BJ954" s="103">
        <v>18.018018018018019</v>
      </c>
      <c r="BK954" s="103">
        <v>8.1081081081081088</v>
      </c>
      <c r="BL954" s="103">
        <v>3.6036036036036037</v>
      </c>
      <c r="BM954" s="103">
        <v>0.90090090090090091</v>
      </c>
      <c r="BN954" s="103">
        <v>0</v>
      </c>
      <c r="BO954" s="103">
        <v>0</v>
      </c>
      <c r="BQ954" s="110"/>
      <c r="BR954" s="46" t="s">
        <v>3</v>
      </c>
      <c r="BS954" s="103">
        <v>5.3097345132743365</v>
      </c>
      <c r="BT954" s="103">
        <v>20.353982300884958</v>
      </c>
      <c r="BU954" s="103">
        <v>25.663716814159294</v>
      </c>
      <c r="BV954" s="103">
        <v>23.893805309734514</v>
      </c>
      <c r="BW954" s="103">
        <v>15.044247787610621</v>
      </c>
      <c r="BX954" s="103">
        <v>7.0796460176991154</v>
      </c>
      <c r="BY954" s="103">
        <v>2.6548672566371683</v>
      </c>
      <c r="BZ954" s="103">
        <v>0</v>
      </c>
      <c r="CA954" s="103">
        <v>0</v>
      </c>
      <c r="CB954" s="103">
        <v>0</v>
      </c>
      <c r="CC954" s="42"/>
      <c r="CD954" s="110"/>
      <c r="CE954" s="46" t="s">
        <v>3</v>
      </c>
      <c r="CF954" s="103">
        <v>5.7471264367816088</v>
      </c>
      <c r="CG954" s="103">
        <v>9.1954022988505741</v>
      </c>
      <c r="CH954" s="103">
        <v>32.183908045977013</v>
      </c>
      <c r="CI954" s="103">
        <v>28.735632183908045</v>
      </c>
      <c r="CJ954" s="103">
        <v>13.793103448275861</v>
      </c>
      <c r="CK954" s="103">
        <v>6.8965517241379306</v>
      </c>
      <c r="CL954" s="103">
        <v>2.2988505747126435</v>
      </c>
      <c r="CM954" s="103">
        <v>1.1494252873563218</v>
      </c>
      <c r="CN954" s="103">
        <v>0</v>
      </c>
      <c r="CO954" s="103">
        <v>0</v>
      </c>
      <c r="CQ954" s="110"/>
      <c r="CR954" s="46" t="s">
        <v>3</v>
      </c>
      <c r="CS954" s="103">
        <v>3.225806451612903</v>
      </c>
      <c r="CT954" s="103">
        <v>6.4516129032258061</v>
      </c>
      <c r="CU954" s="103">
        <v>32.258064516129032</v>
      </c>
      <c r="CV954" s="103">
        <v>35.483870967741936</v>
      </c>
      <c r="CW954" s="103">
        <v>9.67741935483871</v>
      </c>
      <c r="CX954" s="103">
        <v>9.67741935483871</v>
      </c>
      <c r="CY954" s="103">
        <v>3.225806451612903</v>
      </c>
      <c r="CZ954" s="103">
        <v>0</v>
      </c>
      <c r="DA954" s="103">
        <v>0</v>
      </c>
      <c r="DB954" s="103">
        <v>0</v>
      </c>
      <c r="DC954" s="42"/>
      <c r="DD954" s="110"/>
      <c r="DE954" s="46" t="s">
        <v>3</v>
      </c>
      <c r="DF954" s="103">
        <v>5.9171597633136095</v>
      </c>
      <c r="DG954" s="103">
        <v>17.159763313609467</v>
      </c>
      <c r="DH954" s="103">
        <v>27.810650887573964</v>
      </c>
      <c r="DI954" s="103">
        <v>24.260355029585799</v>
      </c>
      <c r="DJ954" s="103">
        <v>15.384615384615385</v>
      </c>
      <c r="DK954" s="103">
        <v>6.5088757396449708</v>
      </c>
      <c r="DL954" s="103">
        <v>2.3668639053254439</v>
      </c>
      <c r="DM954" s="103">
        <v>0.59171597633136097</v>
      </c>
      <c r="DN954" s="103">
        <v>0</v>
      </c>
      <c r="DO954" s="103">
        <v>0</v>
      </c>
    </row>
    <row r="955" spans="2:119" ht="16.5" customHeight="1" x14ac:dyDescent="0.45">
      <c r="B955" s="99"/>
      <c r="C955" s="42"/>
      <c r="D955" s="110"/>
      <c r="E955" s="47" t="s">
        <v>4</v>
      </c>
      <c r="F955" s="103">
        <v>4.8913043478260869</v>
      </c>
      <c r="G955" s="103">
        <v>11.684782608695652</v>
      </c>
      <c r="H955" s="103">
        <v>23.641304347826086</v>
      </c>
      <c r="I955" s="103">
        <v>34.782608695652172</v>
      </c>
      <c r="J955" s="103">
        <v>12.5</v>
      </c>
      <c r="K955" s="103">
        <v>7.3369565217391308</v>
      </c>
      <c r="L955" s="103">
        <v>3.2608695652173911</v>
      </c>
      <c r="M955" s="103">
        <v>1.0869565217391304</v>
      </c>
      <c r="N955" s="103">
        <v>0.54347826086956519</v>
      </c>
      <c r="O955" s="103">
        <v>0.27173913043478259</v>
      </c>
      <c r="P955" s="42"/>
      <c r="Q955" s="110"/>
      <c r="R955" s="46" t="s">
        <v>4</v>
      </c>
      <c r="S955" s="103">
        <v>2.6178010471204187</v>
      </c>
      <c r="T955" s="103">
        <v>11.518324607329843</v>
      </c>
      <c r="U955" s="103">
        <v>25.654450261780106</v>
      </c>
      <c r="V955" s="103">
        <v>33.507853403141361</v>
      </c>
      <c r="W955" s="103">
        <v>13.612565445026178</v>
      </c>
      <c r="X955" s="103">
        <v>7.8534031413612562</v>
      </c>
      <c r="Y955" s="103">
        <v>4.1884816753926701</v>
      </c>
      <c r="Z955" s="103">
        <v>1.0471204188481675</v>
      </c>
      <c r="AA955" s="103">
        <v>0</v>
      </c>
      <c r="AB955" s="103">
        <v>0</v>
      </c>
      <c r="AC955" s="42"/>
      <c r="AD955" s="110"/>
      <c r="AE955" s="46" t="s">
        <v>4</v>
      </c>
      <c r="AF955" s="103">
        <v>7.3446327683615822</v>
      </c>
      <c r="AG955" s="103">
        <v>11.864406779661017</v>
      </c>
      <c r="AH955" s="103">
        <v>21.468926553672315</v>
      </c>
      <c r="AI955" s="103">
        <v>36.158192090395481</v>
      </c>
      <c r="AJ955" s="103">
        <v>11.299435028248588</v>
      </c>
      <c r="AK955" s="103">
        <v>6.7796610169491522</v>
      </c>
      <c r="AL955" s="103">
        <v>2.2598870056497176</v>
      </c>
      <c r="AM955" s="103">
        <v>1.1299435028248588</v>
      </c>
      <c r="AN955" s="103">
        <v>1.1299435028248588</v>
      </c>
      <c r="AO955" s="103">
        <v>0.56497175141242939</v>
      </c>
      <c r="AP955" s="6"/>
      <c r="AQ955" s="110"/>
      <c r="AR955" s="46" t="s">
        <v>4</v>
      </c>
      <c r="AS955" s="103">
        <v>5.625</v>
      </c>
      <c r="AT955" s="103">
        <v>12.5</v>
      </c>
      <c r="AU955" s="103">
        <v>30.625000000000004</v>
      </c>
      <c r="AV955" s="103">
        <v>33.125</v>
      </c>
      <c r="AW955" s="103">
        <v>11.25</v>
      </c>
      <c r="AX955" s="103">
        <v>5</v>
      </c>
      <c r="AY955" s="103">
        <v>1.25</v>
      </c>
      <c r="AZ955" s="103">
        <v>0.625</v>
      </c>
      <c r="BA955" s="103">
        <v>0</v>
      </c>
      <c r="BB955" s="103">
        <v>0</v>
      </c>
      <c r="BC955" s="42"/>
      <c r="BD955" s="110"/>
      <c r="BE955" s="46" t="s">
        <v>4</v>
      </c>
      <c r="BF955" s="103">
        <v>4.3269230769230766</v>
      </c>
      <c r="BG955" s="103">
        <v>11.057692307692307</v>
      </c>
      <c r="BH955" s="103">
        <v>18.269230769230766</v>
      </c>
      <c r="BI955" s="103">
        <v>36.057692307692307</v>
      </c>
      <c r="BJ955" s="103">
        <v>13.461538461538462</v>
      </c>
      <c r="BK955" s="103">
        <v>9.1346153846153832</v>
      </c>
      <c r="BL955" s="103">
        <v>4.8076923076923084</v>
      </c>
      <c r="BM955" s="103">
        <v>1.4423076923076923</v>
      </c>
      <c r="BN955" s="103">
        <v>0.96153846153846156</v>
      </c>
      <c r="BO955" s="103">
        <v>0.48076923076923078</v>
      </c>
      <c r="BQ955" s="110"/>
      <c r="BR955" s="46" t="s">
        <v>4</v>
      </c>
      <c r="BS955" s="103">
        <v>6.1349693251533743</v>
      </c>
      <c r="BT955" s="103">
        <v>13.496932515337424</v>
      </c>
      <c r="BU955" s="103">
        <v>27.607361963190186</v>
      </c>
      <c r="BV955" s="103">
        <v>31.901840490797547</v>
      </c>
      <c r="BW955" s="103">
        <v>9.2024539877300615</v>
      </c>
      <c r="BX955" s="103">
        <v>7.9754601226993866</v>
      </c>
      <c r="BY955" s="103">
        <v>2.4539877300613497</v>
      </c>
      <c r="BZ955" s="103">
        <v>1.2269938650306749</v>
      </c>
      <c r="CA955" s="103">
        <v>0</v>
      </c>
      <c r="CB955" s="103">
        <v>0</v>
      </c>
      <c r="CC955" s="42"/>
      <c r="CD955" s="110"/>
      <c r="CE955" s="46" t="s">
        <v>4</v>
      </c>
      <c r="CF955" s="103">
        <v>3.9024390243902438</v>
      </c>
      <c r="CG955" s="103">
        <v>10.24390243902439</v>
      </c>
      <c r="CH955" s="103">
        <v>20.487804878048781</v>
      </c>
      <c r="CI955" s="103">
        <v>37.073170731707314</v>
      </c>
      <c r="CJ955" s="103">
        <v>15.121951219512194</v>
      </c>
      <c r="CK955" s="103">
        <v>6.8292682926829276</v>
      </c>
      <c r="CL955" s="103">
        <v>3.9024390243902438</v>
      </c>
      <c r="CM955" s="103">
        <v>0.97560975609756095</v>
      </c>
      <c r="CN955" s="103">
        <v>0.97560975609756095</v>
      </c>
      <c r="CO955" s="103">
        <v>0.48780487804878048</v>
      </c>
      <c r="CQ955" s="110"/>
      <c r="CR955" s="46" t="s">
        <v>4</v>
      </c>
      <c r="CS955" s="103">
        <v>1.5384615384615385</v>
      </c>
      <c r="CT955" s="103">
        <v>13.846153846153847</v>
      </c>
      <c r="CU955" s="103">
        <v>21.53846153846154</v>
      </c>
      <c r="CV955" s="103">
        <v>43.07692307692308</v>
      </c>
      <c r="CW955" s="103">
        <v>3.0769230769230771</v>
      </c>
      <c r="CX955" s="103">
        <v>9.2307692307692317</v>
      </c>
      <c r="CY955" s="103">
        <v>4.6153846153846159</v>
      </c>
      <c r="CZ955" s="103">
        <v>0</v>
      </c>
      <c r="DA955" s="103">
        <v>3.0769230769230771</v>
      </c>
      <c r="DB955" s="103">
        <v>0</v>
      </c>
      <c r="DC955" s="42"/>
      <c r="DD955" s="110"/>
      <c r="DE955" s="46" t="s">
        <v>4</v>
      </c>
      <c r="DF955" s="103">
        <v>5.6105610561056105</v>
      </c>
      <c r="DG955" s="103">
        <v>11.221122112211221</v>
      </c>
      <c r="DH955" s="103">
        <v>24.092409240924091</v>
      </c>
      <c r="DI955" s="103">
        <v>33.003300330032999</v>
      </c>
      <c r="DJ955" s="103">
        <v>14.521452145214523</v>
      </c>
      <c r="DK955" s="103">
        <v>6.9306930693069315</v>
      </c>
      <c r="DL955" s="103">
        <v>2.9702970297029703</v>
      </c>
      <c r="DM955" s="103">
        <v>1.3201320132013201</v>
      </c>
      <c r="DN955" s="103">
        <v>0</v>
      </c>
      <c r="DO955" s="103">
        <v>0.33003300330033003</v>
      </c>
    </row>
    <row r="956" spans="2:119" ht="16.5" customHeight="1" x14ac:dyDescent="0.45">
      <c r="B956" s="99"/>
      <c r="C956" s="42"/>
      <c r="D956" s="110"/>
      <c r="E956" s="47" t="s">
        <v>5</v>
      </c>
      <c r="F956" s="103">
        <v>4.3872919818456886</v>
      </c>
      <c r="G956" s="103">
        <v>8.0181543116490168</v>
      </c>
      <c r="H956" s="103">
        <v>22.54160363086233</v>
      </c>
      <c r="I956" s="103">
        <v>36.459909228441759</v>
      </c>
      <c r="J956" s="103">
        <v>14.674735249621785</v>
      </c>
      <c r="K956" s="103">
        <v>8.0181543116490168</v>
      </c>
      <c r="L956" s="103">
        <v>5.2950075642965198</v>
      </c>
      <c r="M956" s="103">
        <v>0.45385779122541603</v>
      </c>
      <c r="N956" s="103">
        <v>0</v>
      </c>
      <c r="O956" s="103">
        <v>0.15128593040847202</v>
      </c>
      <c r="P956" s="42"/>
      <c r="Q956" s="110"/>
      <c r="R956" s="46" t="s">
        <v>5</v>
      </c>
      <c r="S956" s="103">
        <v>3.5911602209944751</v>
      </c>
      <c r="T956" s="103">
        <v>5.2486187845303869</v>
      </c>
      <c r="U956" s="103">
        <v>21.823204419889503</v>
      </c>
      <c r="V956" s="103">
        <v>37.569060773480665</v>
      </c>
      <c r="W956" s="103">
        <v>15.745856353591158</v>
      </c>
      <c r="X956" s="103">
        <v>10.497237569060774</v>
      </c>
      <c r="Y956" s="103">
        <v>5.2486187845303869</v>
      </c>
      <c r="Z956" s="103">
        <v>0.27624309392265189</v>
      </c>
      <c r="AA956" s="103">
        <v>0</v>
      </c>
      <c r="AB956" s="103">
        <v>0</v>
      </c>
      <c r="AC956" s="42"/>
      <c r="AD956" s="110"/>
      <c r="AE956" s="46" t="s">
        <v>5</v>
      </c>
      <c r="AF956" s="103">
        <v>5.3511705685618729</v>
      </c>
      <c r="AG956" s="103">
        <v>11.371237458193979</v>
      </c>
      <c r="AH956" s="103">
        <v>23.411371237458194</v>
      </c>
      <c r="AI956" s="103">
        <v>35.11705685618729</v>
      </c>
      <c r="AJ956" s="103">
        <v>13.377926421404682</v>
      </c>
      <c r="AK956" s="103">
        <v>5.0167224080267561</v>
      </c>
      <c r="AL956" s="103">
        <v>5.3511705685618729</v>
      </c>
      <c r="AM956" s="103">
        <v>0.66889632107023411</v>
      </c>
      <c r="AN956" s="103">
        <v>0</v>
      </c>
      <c r="AO956" s="103">
        <v>0.33444816053511706</v>
      </c>
      <c r="AP956" s="6"/>
      <c r="AQ956" s="110"/>
      <c r="AR956" s="46" t="s">
        <v>5</v>
      </c>
      <c r="AS956" s="103">
        <v>6.2271062271062272</v>
      </c>
      <c r="AT956" s="103">
        <v>12.820512820512819</v>
      </c>
      <c r="AU956" s="103">
        <v>27.106227106227106</v>
      </c>
      <c r="AV956" s="103">
        <v>32.600732600732599</v>
      </c>
      <c r="AW956" s="103">
        <v>10.256410256410255</v>
      </c>
      <c r="AX956" s="103">
        <v>6.9597069597069599</v>
      </c>
      <c r="AY956" s="103">
        <v>3.6630036630036633</v>
      </c>
      <c r="AZ956" s="103">
        <v>0.36630036630036628</v>
      </c>
      <c r="BA956" s="103">
        <v>0</v>
      </c>
      <c r="BB956" s="103">
        <v>0</v>
      </c>
      <c r="BC956" s="42"/>
      <c r="BD956" s="110"/>
      <c r="BE956" s="46" t="s">
        <v>5</v>
      </c>
      <c r="BF956" s="103">
        <v>3.0927835051546393</v>
      </c>
      <c r="BG956" s="103">
        <v>4.6391752577319592</v>
      </c>
      <c r="BH956" s="103">
        <v>19.329896907216497</v>
      </c>
      <c r="BI956" s="103">
        <v>39.175257731958766</v>
      </c>
      <c r="BJ956" s="103">
        <v>17.783505154639176</v>
      </c>
      <c r="BK956" s="103">
        <v>8.7628865979381434</v>
      </c>
      <c r="BL956" s="103">
        <v>6.4432989690721643</v>
      </c>
      <c r="BM956" s="103">
        <v>0.51546391752577314</v>
      </c>
      <c r="BN956" s="103">
        <v>0</v>
      </c>
      <c r="BO956" s="103">
        <v>0.25773195876288657</v>
      </c>
      <c r="BQ956" s="110"/>
      <c r="BR956" s="46" t="s">
        <v>5</v>
      </c>
      <c r="BS956" s="103">
        <v>5.4298642533936654</v>
      </c>
      <c r="BT956" s="103">
        <v>9.502262443438914</v>
      </c>
      <c r="BU956" s="103">
        <v>22.624434389140273</v>
      </c>
      <c r="BV956" s="103">
        <v>38.009049773755656</v>
      </c>
      <c r="BW956" s="103">
        <v>13.122171945701359</v>
      </c>
      <c r="BX956" s="103">
        <v>5.4298642533936654</v>
      </c>
      <c r="BY956" s="103">
        <v>5.4298642533936654</v>
      </c>
      <c r="BZ956" s="103">
        <v>0</v>
      </c>
      <c r="CA956" s="103">
        <v>0</v>
      </c>
      <c r="CB956" s="103">
        <v>0.45248868778280549</v>
      </c>
      <c r="CC956" s="42"/>
      <c r="CD956" s="110"/>
      <c r="CE956" s="46" t="s">
        <v>5</v>
      </c>
      <c r="CF956" s="103">
        <v>3.8636363636363633</v>
      </c>
      <c r="CG956" s="103">
        <v>7.2727272727272725</v>
      </c>
      <c r="CH956" s="103">
        <v>22.5</v>
      </c>
      <c r="CI956" s="103">
        <v>35.68181818181818</v>
      </c>
      <c r="CJ956" s="103">
        <v>15.454545454545453</v>
      </c>
      <c r="CK956" s="103">
        <v>9.3181818181818183</v>
      </c>
      <c r="CL956" s="103">
        <v>5.2272727272727266</v>
      </c>
      <c r="CM956" s="103">
        <v>0.68181818181818177</v>
      </c>
      <c r="CN956" s="103">
        <v>0</v>
      </c>
      <c r="CO956" s="103">
        <v>0</v>
      </c>
      <c r="CQ956" s="110"/>
      <c r="CR956" s="46" t="s">
        <v>5</v>
      </c>
      <c r="CS956" s="103">
        <v>3.5714285714285712</v>
      </c>
      <c r="CT956" s="103">
        <v>5.9523809523809517</v>
      </c>
      <c r="CU956" s="103">
        <v>25</v>
      </c>
      <c r="CV956" s="103">
        <v>35.714285714285715</v>
      </c>
      <c r="CW956" s="103">
        <v>9.5238095238095237</v>
      </c>
      <c r="CX956" s="103">
        <v>13.095238095238097</v>
      </c>
      <c r="CY956" s="103">
        <v>5.9523809523809517</v>
      </c>
      <c r="CZ956" s="103">
        <v>1.1904761904761905</v>
      </c>
      <c r="DA956" s="103">
        <v>0</v>
      </c>
      <c r="DB956" s="103">
        <v>0</v>
      </c>
      <c r="DC956" s="42"/>
      <c r="DD956" s="110"/>
      <c r="DE956" s="46" t="s">
        <v>5</v>
      </c>
      <c r="DF956" s="103">
        <v>4.5060658578856154</v>
      </c>
      <c r="DG956" s="103">
        <v>8.3188908145580598</v>
      </c>
      <c r="DH956" s="103">
        <v>22.183708838821488</v>
      </c>
      <c r="DI956" s="103">
        <v>36.568457538994807</v>
      </c>
      <c r="DJ956" s="103">
        <v>15.424610051993067</v>
      </c>
      <c r="DK956" s="103">
        <v>7.2790294627383014</v>
      </c>
      <c r="DL956" s="103">
        <v>5.1993067590987865</v>
      </c>
      <c r="DM956" s="103">
        <v>0.34662045060658575</v>
      </c>
      <c r="DN956" s="103">
        <v>0</v>
      </c>
      <c r="DO956" s="103">
        <v>0.17331022530329288</v>
      </c>
    </row>
    <row r="957" spans="2:119" ht="16.5" customHeight="1" x14ac:dyDescent="0.45">
      <c r="B957" s="99"/>
      <c r="C957" s="42"/>
      <c r="D957" s="110"/>
      <c r="E957" s="47" t="s">
        <v>6</v>
      </c>
      <c r="F957" s="103">
        <v>2.3427041499330654</v>
      </c>
      <c r="G957" s="103">
        <v>5.689424364123159</v>
      </c>
      <c r="H957" s="103">
        <v>18.540829986613119</v>
      </c>
      <c r="I957" s="103">
        <v>32.797858099062921</v>
      </c>
      <c r="J957" s="103">
        <v>19.009370816599734</v>
      </c>
      <c r="K957" s="103">
        <v>12.182061579651942</v>
      </c>
      <c r="L957" s="103">
        <v>6.8942436412315926</v>
      </c>
      <c r="M957" s="103">
        <v>1.9410977242302543</v>
      </c>
      <c r="N957" s="103">
        <v>0.46854082998661312</v>
      </c>
      <c r="O957" s="103">
        <v>0.13386880856760375</v>
      </c>
      <c r="P957" s="42"/>
      <c r="Q957" s="110"/>
      <c r="R957" s="46" t="s">
        <v>6</v>
      </c>
      <c r="S957" s="103">
        <v>1.5</v>
      </c>
      <c r="T957" s="103">
        <v>3.75</v>
      </c>
      <c r="U957" s="103">
        <v>16.125</v>
      </c>
      <c r="V957" s="103">
        <v>36.125</v>
      </c>
      <c r="W957" s="103">
        <v>19</v>
      </c>
      <c r="X957" s="103">
        <v>13</v>
      </c>
      <c r="Y957" s="103">
        <v>8.125</v>
      </c>
      <c r="Z957" s="103">
        <v>2.125</v>
      </c>
      <c r="AA957" s="103">
        <v>0.25</v>
      </c>
      <c r="AB957" s="103">
        <v>0</v>
      </c>
      <c r="AC957" s="42"/>
      <c r="AD957" s="110"/>
      <c r="AE957" s="46" t="s">
        <v>6</v>
      </c>
      <c r="AF957" s="103">
        <v>3.3141210374639769</v>
      </c>
      <c r="AG957" s="103">
        <v>7.9250720461095101</v>
      </c>
      <c r="AH957" s="103">
        <v>21.32564841498559</v>
      </c>
      <c r="AI957" s="103">
        <v>28.962536023054753</v>
      </c>
      <c r="AJ957" s="103">
        <v>19.020172910662826</v>
      </c>
      <c r="AK957" s="103">
        <v>11.239193083573488</v>
      </c>
      <c r="AL957" s="103">
        <v>5.4755043227665707</v>
      </c>
      <c r="AM957" s="103">
        <v>1.7291066282420751</v>
      </c>
      <c r="AN957" s="103">
        <v>0.72046109510086453</v>
      </c>
      <c r="AO957" s="103">
        <v>0.28818443804034583</v>
      </c>
      <c r="AP957" s="6"/>
      <c r="AQ957" s="110"/>
      <c r="AR957" s="46" t="s">
        <v>6</v>
      </c>
      <c r="AS957" s="103">
        <v>4.066543438077634</v>
      </c>
      <c r="AT957" s="103">
        <v>8.6876155268022188</v>
      </c>
      <c r="AU957" s="103">
        <v>23.290203327171906</v>
      </c>
      <c r="AV957" s="103">
        <v>35.304990757855826</v>
      </c>
      <c r="AW957" s="103">
        <v>16.266173752310536</v>
      </c>
      <c r="AX957" s="103">
        <v>7.3937153419593349</v>
      </c>
      <c r="AY957" s="103">
        <v>3.6968576709796674</v>
      </c>
      <c r="AZ957" s="103">
        <v>1.1090573012939002</v>
      </c>
      <c r="BA957" s="103">
        <v>0.18484288354898337</v>
      </c>
      <c r="BB957" s="103">
        <v>0</v>
      </c>
      <c r="BC957" s="42"/>
      <c r="BD957" s="110"/>
      <c r="BE957" s="46" t="s">
        <v>6</v>
      </c>
      <c r="BF957" s="103">
        <v>1.3641133263378804</v>
      </c>
      <c r="BG957" s="103">
        <v>3.9874081846799578</v>
      </c>
      <c r="BH957" s="103">
        <v>15.844700944386151</v>
      </c>
      <c r="BI957" s="103">
        <v>31.374606505771247</v>
      </c>
      <c r="BJ957" s="103">
        <v>20.566631689401888</v>
      </c>
      <c r="BK957" s="103">
        <v>14.900314795383002</v>
      </c>
      <c r="BL957" s="103">
        <v>8.7093389296956971</v>
      </c>
      <c r="BM957" s="103">
        <v>2.4134312696747111</v>
      </c>
      <c r="BN957" s="103">
        <v>0.62959076600209862</v>
      </c>
      <c r="BO957" s="103">
        <v>0.20986358866736621</v>
      </c>
      <c r="BQ957" s="110"/>
      <c r="BR957" s="46" t="s">
        <v>6</v>
      </c>
      <c r="BS957" s="103">
        <v>3.4946236559139781</v>
      </c>
      <c r="BT957" s="103">
        <v>7.5268817204301079</v>
      </c>
      <c r="BU957" s="103">
        <v>26.344086021505376</v>
      </c>
      <c r="BV957" s="103">
        <v>29.838709677419356</v>
      </c>
      <c r="BW957" s="103">
        <v>16.93548387096774</v>
      </c>
      <c r="BX957" s="103">
        <v>9.67741935483871</v>
      </c>
      <c r="BY957" s="103">
        <v>4.56989247311828</v>
      </c>
      <c r="BZ957" s="103">
        <v>1.3440860215053763</v>
      </c>
      <c r="CA957" s="103">
        <v>0.26881720430107531</v>
      </c>
      <c r="CB957" s="103">
        <v>0</v>
      </c>
      <c r="CC957" s="42"/>
      <c r="CD957" s="110"/>
      <c r="CE957" s="46" t="s">
        <v>6</v>
      </c>
      <c r="CF957" s="103">
        <v>1.9607843137254901</v>
      </c>
      <c r="CG957" s="103">
        <v>5.0802139037433154</v>
      </c>
      <c r="CH957" s="103">
        <v>15.953654188948308</v>
      </c>
      <c r="CI957" s="103">
        <v>33.778966131907303</v>
      </c>
      <c r="CJ957" s="103">
        <v>19.696969696969695</v>
      </c>
      <c r="CK957" s="103">
        <v>13.012477718360071</v>
      </c>
      <c r="CL957" s="103">
        <v>7.66488413547237</v>
      </c>
      <c r="CM957" s="103">
        <v>2.1390374331550799</v>
      </c>
      <c r="CN957" s="103">
        <v>0.53475935828876997</v>
      </c>
      <c r="CO957" s="103">
        <v>0.17825311942959002</v>
      </c>
      <c r="CQ957" s="110"/>
      <c r="CR957" s="46" t="s">
        <v>6</v>
      </c>
      <c r="CS957" s="103">
        <v>2.054794520547945</v>
      </c>
      <c r="CT957" s="103">
        <v>1.3698630136986301</v>
      </c>
      <c r="CU957" s="103">
        <v>18.493150684931507</v>
      </c>
      <c r="CV957" s="103">
        <v>37.671232876712331</v>
      </c>
      <c r="CW957" s="103">
        <v>18.493150684931507</v>
      </c>
      <c r="CX957" s="103">
        <v>13.698630136986301</v>
      </c>
      <c r="CY957" s="103">
        <v>5.4794520547945202</v>
      </c>
      <c r="CZ957" s="103">
        <v>2.054794520547945</v>
      </c>
      <c r="DA957" s="103">
        <v>0.68493150684931503</v>
      </c>
      <c r="DB957" s="103">
        <v>0</v>
      </c>
      <c r="DC957" s="42"/>
      <c r="DD957" s="110"/>
      <c r="DE957" s="46" t="s">
        <v>6</v>
      </c>
      <c r="DF957" s="103">
        <v>2.3738872403560833</v>
      </c>
      <c r="DG957" s="103">
        <v>6.1572700296735912</v>
      </c>
      <c r="DH957" s="103">
        <v>18.545994065281899</v>
      </c>
      <c r="DI957" s="103">
        <v>32.270029673590507</v>
      </c>
      <c r="DJ957" s="103">
        <v>19.065281899109792</v>
      </c>
      <c r="DK957" s="103">
        <v>12.01780415430267</v>
      </c>
      <c r="DL957" s="103">
        <v>7.0474777448071224</v>
      </c>
      <c r="DM957" s="103">
        <v>1.9287833827893175</v>
      </c>
      <c r="DN957" s="103">
        <v>0.44510385756676557</v>
      </c>
      <c r="DO957" s="103">
        <v>0.14836795252225521</v>
      </c>
    </row>
    <row r="958" spans="2:119" ht="16.5" customHeight="1" x14ac:dyDescent="0.45">
      <c r="B958" s="99"/>
      <c r="C958" s="42"/>
      <c r="D958" s="110"/>
      <c r="E958" s="47" t="s">
        <v>7</v>
      </c>
      <c r="F958" s="103">
        <v>1.9261637239165328</v>
      </c>
      <c r="G958" s="103">
        <v>3.9807383627608348</v>
      </c>
      <c r="H958" s="103">
        <v>13.386837881219904</v>
      </c>
      <c r="I958" s="103">
        <v>30.272873194221511</v>
      </c>
      <c r="J958" s="103">
        <v>18.555377207062602</v>
      </c>
      <c r="K958" s="103">
        <v>16.276083467094704</v>
      </c>
      <c r="L958" s="103">
        <v>9.9197431781701439</v>
      </c>
      <c r="M958" s="103">
        <v>4.0128410914927768</v>
      </c>
      <c r="N958" s="103">
        <v>1.2520064205457464</v>
      </c>
      <c r="O958" s="103">
        <v>0.4173354735152488</v>
      </c>
      <c r="P958" s="42"/>
      <c r="Q958" s="110"/>
      <c r="R958" s="46" t="s">
        <v>7</v>
      </c>
      <c r="S958" s="103">
        <v>1.4002333722287048</v>
      </c>
      <c r="T958" s="103">
        <v>3.4422403733955655</v>
      </c>
      <c r="U958" s="103">
        <v>11.260210035005834</v>
      </c>
      <c r="V958" s="103">
        <v>29.871645274212366</v>
      </c>
      <c r="W958" s="103">
        <v>19.253208868144693</v>
      </c>
      <c r="X958" s="103">
        <v>17.6196032672112</v>
      </c>
      <c r="Y958" s="103">
        <v>10.851808634772462</v>
      </c>
      <c r="Z958" s="103">
        <v>4.4924154025670946</v>
      </c>
      <c r="AA958" s="103">
        <v>1.4002333722287048</v>
      </c>
      <c r="AB958" s="103">
        <v>0.40840140023337224</v>
      </c>
      <c r="AC958" s="42"/>
      <c r="AD958" s="110"/>
      <c r="AE958" s="46" t="s">
        <v>7</v>
      </c>
      <c r="AF958" s="103">
        <v>2.5695931477516059</v>
      </c>
      <c r="AG958" s="103">
        <v>4.6395431834403995</v>
      </c>
      <c r="AH958" s="103">
        <v>15.988579586009994</v>
      </c>
      <c r="AI958" s="103">
        <v>30.763740185581728</v>
      </c>
      <c r="AJ958" s="103">
        <v>17.701641684511063</v>
      </c>
      <c r="AK958" s="103">
        <v>14.632405424696646</v>
      </c>
      <c r="AL958" s="103">
        <v>8.7794432548179877</v>
      </c>
      <c r="AM958" s="103">
        <v>3.4261241970021414</v>
      </c>
      <c r="AN958" s="103">
        <v>1.070663811563169</v>
      </c>
      <c r="AO958" s="103">
        <v>0.42826552462526768</v>
      </c>
      <c r="AP958" s="6"/>
      <c r="AQ958" s="110"/>
      <c r="AR958" s="46" t="s">
        <v>7</v>
      </c>
      <c r="AS958" s="103">
        <v>3.4594594594594597</v>
      </c>
      <c r="AT958" s="103">
        <v>6.4864864864864868</v>
      </c>
      <c r="AU958" s="103">
        <v>17.72972972972973</v>
      </c>
      <c r="AV958" s="103">
        <v>31.567567567567568</v>
      </c>
      <c r="AW958" s="103">
        <v>17.72972972972973</v>
      </c>
      <c r="AX958" s="103">
        <v>13.621621621621621</v>
      </c>
      <c r="AY958" s="103">
        <v>7.0270270270270272</v>
      </c>
      <c r="AZ958" s="103">
        <v>1.4054054054054055</v>
      </c>
      <c r="BA958" s="103">
        <v>0.64864864864864857</v>
      </c>
      <c r="BB958" s="103">
        <v>0.32432432432432429</v>
      </c>
      <c r="BC958" s="42"/>
      <c r="BD958" s="110"/>
      <c r="BE958" s="46" t="s">
        <v>7</v>
      </c>
      <c r="BF958" s="103">
        <v>1.2785388127853883</v>
      </c>
      <c r="BG958" s="103">
        <v>2.9223744292237441</v>
      </c>
      <c r="BH958" s="103">
        <v>11.552511415525114</v>
      </c>
      <c r="BI958" s="103">
        <v>29.726027397260275</v>
      </c>
      <c r="BJ958" s="103">
        <v>18.904109589041095</v>
      </c>
      <c r="BK958" s="103">
        <v>17.397260273972602</v>
      </c>
      <c r="BL958" s="103">
        <v>11.141552511415526</v>
      </c>
      <c r="BM958" s="103">
        <v>5.1141552511415531</v>
      </c>
      <c r="BN958" s="103">
        <v>1.5068493150684932</v>
      </c>
      <c r="BO958" s="103">
        <v>0.45662100456621002</v>
      </c>
      <c r="BQ958" s="110"/>
      <c r="BR958" s="46" t="s">
        <v>7</v>
      </c>
      <c r="BS958" s="103">
        <v>3.1746031746031744</v>
      </c>
      <c r="BT958" s="103">
        <v>4.9886621315192743</v>
      </c>
      <c r="BU958" s="103">
        <v>14.512471655328799</v>
      </c>
      <c r="BV958" s="103">
        <v>31.292517006802722</v>
      </c>
      <c r="BW958" s="103">
        <v>20.861678004535147</v>
      </c>
      <c r="BX958" s="103">
        <v>14.058956916099774</v>
      </c>
      <c r="BY958" s="103">
        <v>7.2562358276643995</v>
      </c>
      <c r="BZ958" s="103">
        <v>2.2675736961451247</v>
      </c>
      <c r="CA958" s="103">
        <v>1.1337868480725624</v>
      </c>
      <c r="CB958" s="103">
        <v>0.45351473922902497</v>
      </c>
      <c r="CC958" s="42"/>
      <c r="CD958" s="110"/>
      <c r="CE958" s="46" t="s">
        <v>7</v>
      </c>
      <c r="CF958" s="103">
        <v>1.7202692595362752</v>
      </c>
      <c r="CG958" s="103">
        <v>3.8145100972326103</v>
      </c>
      <c r="CH958" s="103">
        <v>13.201196709050112</v>
      </c>
      <c r="CI958" s="103">
        <v>30.104712041884817</v>
      </c>
      <c r="CJ958" s="103">
        <v>18.175018698578906</v>
      </c>
      <c r="CK958" s="103">
        <v>16.641735228122663</v>
      </c>
      <c r="CL958" s="103">
        <v>10.359012715033659</v>
      </c>
      <c r="CM958" s="103">
        <v>4.300673148840688</v>
      </c>
      <c r="CN958" s="103">
        <v>1.2715033657442034</v>
      </c>
      <c r="CO958" s="103">
        <v>0.41136873597606582</v>
      </c>
      <c r="CQ958" s="110"/>
      <c r="CR958" s="46" t="s">
        <v>7</v>
      </c>
      <c r="CS958" s="103">
        <v>1.8518518518518516</v>
      </c>
      <c r="CT958" s="103">
        <v>4.3209876543209873</v>
      </c>
      <c r="CU958" s="103">
        <v>9.2592592592592595</v>
      </c>
      <c r="CV958" s="103">
        <v>30.555555555555557</v>
      </c>
      <c r="CW958" s="103">
        <v>20.679012345679013</v>
      </c>
      <c r="CX958" s="103">
        <v>17.592592592592592</v>
      </c>
      <c r="CY958" s="103">
        <v>9.8765432098765427</v>
      </c>
      <c r="CZ958" s="103">
        <v>4.6296296296296298</v>
      </c>
      <c r="DA958" s="103">
        <v>1.2345679012345678</v>
      </c>
      <c r="DB958" s="103">
        <v>0</v>
      </c>
      <c r="DC958" s="42"/>
      <c r="DD958" s="110"/>
      <c r="DE958" s="46" t="s">
        <v>7</v>
      </c>
      <c r="DF958" s="103">
        <v>1.9347903977069152</v>
      </c>
      <c r="DG958" s="103">
        <v>3.9412396990326046</v>
      </c>
      <c r="DH958" s="103">
        <v>13.865997850232892</v>
      </c>
      <c r="DI958" s="103">
        <v>30.240057327122894</v>
      </c>
      <c r="DJ958" s="103">
        <v>18.30884987459692</v>
      </c>
      <c r="DK958" s="103">
        <v>16.123253314224293</v>
      </c>
      <c r="DL958" s="103">
        <v>9.9247581512002867</v>
      </c>
      <c r="DM958" s="103">
        <v>3.9412396990326046</v>
      </c>
      <c r="DN958" s="103">
        <v>1.254030813328556</v>
      </c>
      <c r="DO958" s="103">
        <v>0.46578287352203507</v>
      </c>
    </row>
    <row r="959" spans="2:119" ht="16.5" customHeight="1" x14ac:dyDescent="0.45">
      <c r="B959" s="99"/>
      <c r="C959" s="42"/>
      <c r="D959" s="110"/>
      <c r="E959" s="47" t="s">
        <v>8</v>
      </c>
      <c r="F959" s="103">
        <v>1.007506914263137</v>
      </c>
      <c r="G959" s="103">
        <v>2.0940339786645596</v>
      </c>
      <c r="H959" s="103">
        <v>8.6329514026076648</v>
      </c>
      <c r="I959" s="103">
        <v>22.54049782694587</v>
      </c>
      <c r="J959" s="103">
        <v>18.233899644409323</v>
      </c>
      <c r="K959" s="103">
        <v>20.071118135124458</v>
      </c>
      <c r="L959" s="103">
        <v>15.32990912682734</v>
      </c>
      <c r="M959" s="103">
        <v>7.9810351639668111</v>
      </c>
      <c r="N959" s="103">
        <v>3.2990912682734095</v>
      </c>
      <c r="O959" s="103">
        <v>0.80995653891742392</v>
      </c>
      <c r="P959" s="42"/>
      <c r="Q959" s="110"/>
      <c r="R959" s="46" t="s">
        <v>8</v>
      </c>
      <c r="S959" s="103">
        <v>0.82361015785861369</v>
      </c>
      <c r="T959" s="103">
        <v>1.3726835964310227</v>
      </c>
      <c r="U959" s="103">
        <v>6.9320521619766655</v>
      </c>
      <c r="V959" s="103">
        <v>20.83047357584077</v>
      </c>
      <c r="W959" s="103">
        <v>19.011667810569662</v>
      </c>
      <c r="X959" s="103">
        <v>21.516815374056282</v>
      </c>
      <c r="Y959" s="103">
        <v>16.918325326012354</v>
      </c>
      <c r="Z959" s="103">
        <v>8.5106382978723403</v>
      </c>
      <c r="AA959" s="103">
        <v>3.0885380919698009</v>
      </c>
      <c r="AB959" s="103">
        <v>0.99519560741249147</v>
      </c>
      <c r="AC959" s="42"/>
      <c r="AD959" s="110"/>
      <c r="AE959" s="46" t="s">
        <v>8</v>
      </c>
      <c r="AF959" s="103">
        <v>1.2569832402234637</v>
      </c>
      <c r="AG959" s="103">
        <v>3.0726256983240221</v>
      </c>
      <c r="AH959" s="103">
        <v>10.940409683426443</v>
      </c>
      <c r="AI959" s="103">
        <v>24.860335195530723</v>
      </c>
      <c r="AJ959" s="103">
        <v>17.178770949720672</v>
      </c>
      <c r="AK959" s="103">
        <v>18.109869646182496</v>
      </c>
      <c r="AL959" s="103">
        <v>13.175046554934825</v>
      </c>
      <c r="AM959" s="103">
        <v>7.2625698324022352</v>
      </c>
      <c r="AN959" s="103">
        <v>3.5847299813780258</v>
      </c>
      <c r="AO959" s="103">
        <v>0.55865921787709494</v>
      </c>
      <c r="AP959" s="6"/>
      <c r="AQ959" s="110"/>
      <c r="AR959" s="46" t="s">
        <v>8</v>
      </c>
      <c r="AS959" s="103">
        <v>2.7731092436974789</v>
      </c>
      <c r="AT959" s="103">
        <v>4.117647058823529</v>
      </c>
      <c r="AU959" s="103">
        <v>14.201680672268907</v>
      </c>
      <c r="AV959" s="103">
        <v>28.739495798319325</v>
      </c>
      <c r="AW959" s="103">
        <v>19.747899159663866</v>
      </c>
      <c r="AX959" s="103">
        <v>15.126050420168067</v>
      </c>
      <c r="AY959" s="103">
        <v>10.336134453781511</v>
      </c>
      <c r="AZ959" s="103">
        <v>3.9495798319327728</v>
      </c>
      <c r="BA959" s="103">
        <v>0.84033613445378152</v>
      </c>
      <c r="BB959" s="103">
        <v>0.16806722689075632</v>
      </c>
      <c r="BC959" s="42"/>
      <c r="BD959" s="110"/>
      <c r="BE959" s="46" t="s">
        <v>8</v>
      </c>
      <c r="BF959" s="103">
        <v>0.46487603305785125</v>
      </c>
      <c r="BG959" s="103">
        <v>1.4721074380165289</v>
      </c>
      <c r="BH959" s="103">
        <v>6.9214876033057857</v>
      </c>
      <c r="BI959" s="103">
        <v>20.635330578512399</v>
      </c>
      <c r="BJ959" s="103">
        <v>17.768595041322314</v>
      </c>
      <c r="BK959" s="103">
        <v>21.59090909090909</v>
      </c>
      <c r="BL959" s="103">
        <v>16.864669421487601</v>
      </c>
      <c r="BM959" s="103">
        <v>9.2200413223140494</v>
      </c>
      <c r="BN959" s="103">
        <v>4.0547520661157019</v>
      </c>
      <c r="BO959" s="103">
        <v>1.0072314049586777</v>
      </c>
      <c r="BQ959" s="110"/>
      <c r="BR959" s="46" t="s">
        <v>8</v>
      </c>
      <c r="BS959" s="103">
        <v>2.3206751054852321</v>
      </c>
      <c r="BT959" s="103">
        <v>4.6413502109704643</v>
      </c>
      <c r="BU959" s="103">
        <v>12.869198312236287</v>
      </c>
      <c r="BV959" s="103">
        <v>26.582278481012654</v>
      </c>
      <c r="BW959" s="103">
        <v>16.877637130801688</v>
      </c>
      <c r="BX959" s="103">
        <v>17.088607594936708</v>
      </c>
      <c r="BY959" s="103">
        <v>10.126582278481013</v>
      </c>
      <c r="BZ959" s="103">
        <v>7.1729957805907167</v>
      </c>
      <c r="CA959" s="103">
        <v>2.109704641350211</v>
      </c>
      <c r="CB959" s="103">
        <v>0.21097046413502107</v>
      </c>
      <c r="CC959" s="42"/>
      <c r="CD959" s="110"/>
      <c r="CE959" s="46" t="s">
        <v>8</v>
      </c>
      <c r="CF959" s="103">
        <v>0.87183958151700081</v>
      </c>
      <c r="CG959" s="103">
        <v>1.8308631211857016</v>
      </c>
      <c r="CH959" s="103">
        <v>8.1952920662598085</v>
      </c>
      <c r="CI959" s="103">
        <v>22.122929380993899</v>
      </c>
      <c r="CJ959" s="103">
        <v>18.374019180470793</v>
      </c>
      <c r="CK959" s="103">
        <v>20.379250217959896</v>
      </c>
      <c r="CL959" s="103">
        <v>15.867480383609417</v>
      </c>
      <c r="CM959" s="103">
        <v>8.064516129032258</v>
      </c>
      <c r="CN959" s="103">
        <v>3.4219703574542284</v>
      </c>
      <c r="CO959" s="103">
        <v>0.87183958151700081</v>
      </c>
      <c r="CQ959" s="110"/>
      <c r="CR959" s="46" t="s">
        <v>8</v>
      </c>
      <c r="CS959" s="103">
        <v>0.81300813008130091</v>
      </c>
      <c r="CT959" s="103">
        <v>1.4227642276422763</v>
      </c>
      <c r="CU959" s="103">
        <v>8.9430894308943092</v>
      </c>
      <c r="CV959" s="103">
        <v>23.373983739837399</v>
      </c>
      <c r="CW959" s="103">
        <v>18.495934959349594</v>
      </c>
      <c r="CX959" s="103">
        <v>23.373983739837399</v>
      </c>
      <c r="CY959" s="103">
        <v>12.804878048780488</v>
      </c>
      <c r="CZ959" s="103">
        <v>8.1300813008130071</v>
      </c>
      <c r="DA959" s="103">
        <v>1.8292682926829267</v>
      </c>
      <c r="DB959" s="103">
        <v>0.81300813008130091</v>
      </c>
      <c r="DC959" s="42"/>
      <c r="DD959" s="110"/>
      <c r="DE959" s="46" t="s">
        <v>8</v>
      </c>
      <c r="DF959" s="103">
        <v>1.0284463894967177</v>
      </c>
      <c r="DG959" s="103">
        <v>2.1663019693654268</v>
      </c>
      <c r="DH959" s="103">
        <v>8.5995623632385119</v>
      </c>
      <c r="DI959" s="103">
        <v>22.450765864332602</v>
      </c>
      <c r="DJ959" s="103">
        <v>18.205689277899342</v>
      </c>
      <c r="DK959" s="103">
        <v>19.715536105032822</v>
      </c>
      <c r="DL959" s="103">
        <v>15.601750547045951</v>
      </c>
      <c r="DM959" s="103">
        <v>7.9649890590809624</v>
      </c>
      <c r="DN959" s="103">
        <v>3.4573304157549236</v>
      </c>
      <c r="DO959" s="103">
        <v>0.80962800875273522</v>
      </c>
    </row>
    <row r="960" spans="2:119" ht="16.5" customHeight="1" x14ac:dyDescent="0.45">
      <c r="B960" s="99"/>
      <c r="C960" s="42"/>
      <c r="D960" s="110"/>
      <c r="E960" s="47" t="s">
        <v>9</v>
      </c>
      <c r="F960" s="103">
        <v>0.44124135902338579</v>
      </c>
      <c r="G960" s="103">
        <v>1.0442712163553465</v>
      </c>
      <c r="H960" s="103">
        <v>4.6477423150463304</v>
      </c>
      <c r="I960" s="103">
        <v>14.737461391381085</v>
      </c>
      <c r="J960" s="103">
        <v>15.075746433299015</v>
      </c>
      <c r="K960" s="103">
        <v>20.223562288571848</v>
      </c>
      <c r="L960" s="103">
        <v>19.738196793646125</v>
      </c>
      <c r="M960" s="103">
        <v>13.693190175025737</v>
      </c>
      <c r="N960" s="103">
        <v>7.1775261067804088</v>
      </c>
      <c r="O960" s="103">
        <v>3.2210619208707167</v>
      </c>
      <c r="P960" s="42"/>
      <c r="Q960" s="110"/>
      <c r="R960" s="46" t="s">
        <v>9</v>
      </c>
      <c r="S960" s="103">
        <v>0.34805890227576974</v>
      </c>
      <c r="T960" s="103">
        <v>0.72289156626506024</v>
      </c>
      <c r="U960" s="103">
        <v>3.1057563587684069</v>
      </c>
      <c r="V960" s="103">
        <v>12.396251673360108</v>
      </c>
      <c r="W960" s="103">
        <v>14.564926372155288</v>
      </c>
      <c r="X960" s="103">
        <v>21.686746987951807</v>
      </c>
      <c r="Y960" s="103">
        <v>20.74966532797858</v>
      </c>
      <c r="Z960" s="103">
        <v>15.287817938420348</v>
      </c>
      <c r="AA960" s="103">
        <v>7.7108433734939767</v>
      </c>
      <c r="AB960" s="103">
        <v>3.4270414993306559</v>
      </c>
      <c r="AC960" s="42"/>
      <c r="AD960" s="110"/>
      <c r="AE960" s="46" t="s">
        <v>9</v>
      </c>
      <c r="AF960" s="103">
        <v>0.55483028720626626</v>
      </c>
      <c r="AG960" s="103">
        <v>1.4360313315926894</v>
      </c>
      <c r="AH960" s="103">
        <v>6.5274151436031342</v>
      </c>
      <c r="AI960" s="103">
        <v>17.591383812010445</v>
      </c>
      <c r="AJ960" s="103">
        <v>15.698433420365534</v>
      </c>
      <c r="AK960" s="103">
        <v>18.43994778067885</v>
      </c>
      <c r="AL960" s="103">
        <v>18.505221932114882</v>
      </c>
      <c r="AM960" s="103">
        <v>11.74934725848564</v>
      </c>
      <c r="AN960" s="103">
        <v>6.5274151436031342</v>
      </c>
      <c r="AO960" s="103">
        <v>2.9699738903394257</v>
      </c>
      <c r="AP960" s="6"/>
      <c r="AQ960" s="110"/>
      <c r="AR960" s="46" t="s">
        <v>9</v>
      </c>
      <c r="AS960" s="103">
        <v>1.1648745519713262</v>
      </c>
      <c r="AT960" s="103">
        <v>3.0465949820788532</v>
      </c>
      <c r="AU960" s="103">
        <v>8.6021505376344098</v>
      </c>
      <c r="AV960" s="103">
        <v>22.043010752688172</v>
      </c>
      <c r="AW960" s="103">
        <v>17.114695340501793</v>
      </c>
      <c r="AX960" s="103">
        <v>19.444444444444446</v>
      </c>
      <c r="AY960" s="103">
        <v>15.143369175627242</v>
      </c>
      <c r="AZ960" s="103">
        <v>8.6917562724014346</v>
      </c>
      <c r="BA960" s="103">
        <v>3.763440860215054</v>
      </c>
      <c r="BB960" s="103">
        <v>0.98566308243727596</v>
      </c>
      <c r="BC960" s="42"/>
      <c r="BD960" s="110"/>
      <c r="BE960" s="46" t="s">
        <v>9</v>
      </c>
      <c r="BF960" s="103">
        <v>0.29913777934189689</v>
      </c>
      <c r="BG960" s="103">
        <v>0.65106457856765787</v>
      </c>
      <c r="BH960" s="103">
        <v>3.8711947914833713</v>
      </c>
      <c r="BI960" s="103">
        <v>13.302833010733767</v>
      </c>
      <c r="BJ960" s="103">
        <v>14.675347527714235</v>
      </c>
      <c r="BK960" s="103">
        <v>20.376561675171565</v>
      </c>
      <c r="BL960" s="103">
        <v>20.640506774590886</v>
      </c>
      <c r="BM960" s="103">
        <v>14.675347527714235</v>
      </c>
      <c r="BN960" s="103">
        <v>7.8479676227344708</v>
      </c>
      <c r="BO960" s="103">
        <v>3.6600387119479145</v>
      </c>
      <c r="BQ960" s="110"/>
      <c r="BR960" s="46" t="s">
        <v>9</v>
      </c>
      <c r="BS960" s="103">
        <v>1.257861635220126</v>
      </c>
      <c r="BT960" s="103">
        <v>2.3060796645702304</v>
      </c>
      <c r="BU960" s="103">
        <v>6.0796645702306078</v>
      </c>
      <c r="BV960" s="103">
        <v>16.352201257861633</v>
      </c>
      <c r="BW960" s="103">
        <v>17.610062893081761</v>
      </c>
      <c r="BX960" s="103">
        <v>20.125786163522015</v>
      </c>
      <c r="BY960" s="103">
        <v>17.610062893081761</v>
      </c>
      <c r="BZ960" s="103">
        <v>10.482180293501047</v>
      </c>
      <c r="CA960" s="103">
        <v>5.450733752620545</v>
      </c>
      <c r="CB960" s="103">
        <v>2.7253668763102725</v>
      </c>
      <c r="CC960" s="42"/>
      <c r="CD960" s="110"/>
      <c r="CE960" s="46" t="s">
        <v>9</v>
      </c>
      <c r="CF960" s="103">
        <v>0.37962670041126223</v>
      </c>
      <c r="CG960" s="103">
        <v>0.94906675102815563</v>
      </c>
      <c r="CH960" s="103">
        <v>4.5397026257513451</v>
      </c>
      <c r="CI960" s="103">
        <v>14.615627965833596</v>
      </c>
      <c r="CJ960" s="103">
        <v>14.884530211958241</v>
      </c>
      <c r="CK960" s="103">
        <v>20.230939576083518</v>
      </c>
      <c r="CL960" s="103">
        <v>19.898766213223663</v>
      </c>
      <c r="CM960" s="103">
        <v>13.935463460930087</v>
      </c>
      <c r="CN960" s="103">
        <v>7.3078139829167981</v>
      </c>
      <c r="CO960" s="103">
        <v>3.2584625118633346</v>
      </c>
      <c r="CQ960" s="110"/>
      <c r="CR960" s="46" t="s">
        <v>9</v>
      </c>
      <c r="CS960" s="103">
        <v>0.86956521739130432</v>
      </c>
      <c r="CT960" s="103">
        <v>1.3913043478260869</v>
      </c>
      <c r="CU960" s="103">
        <v>4.3478260869565215</v>
      </c>
      <c r="CV960" s="103">
        <v>16</v>
      </c>
      <c r="CW960" s="103">
        <v>14.782608695652174</v>
      </c>
      <c r="CX960" s="103">
        <v>20.695652173913043</v>
      </c>
      <c r="CY960" s="103">
        <v>19.130434782608695</v>
      </c>
      <c r="CZ960" s="103">
        <v>12.173913043478262</v>
      </c>
      <c r="DA960" s="103">
        <v>8</v>
      </c>
      <c r="DB960" s="103">
        <v>2.6086956521739131</v>
      </c>
      <c r="DC960" s="42"/>
      <c r="DD960" s="110"/>
      <c r="DE960" s="46" t="s">
        <v>9</v>
      </c>
      <c r="DF960" s="103">
        <v>0.40167095115681234</v>
      </c>
      <c r="DG960" s="103">
        <v>1.012210796915167</v>
      </c>
      <c r="DH960" s="103">
        <v>4.675449871465295</v>
      </c>
      <c r="DI960" s="103">
        <v>14.620822622107967</v>
      </c>
      <c r="DJ960" s="103">
        <v>15.102827763496144</v>
      </c>
      <c r="DK960" s="103">
        <v>20.17994858611825</v>
      </c>
      <c r="DL960" s="103">
        <v>19.794344473007712</v>
      </c>
      <c r="DM960" s="103">
        <v>13.833547557840618</v>
      </c>
      <c r="DN960" s="103">
        <v>7.1015424164524417</v>
      </c>
      <c r="DO960" s="103">
        <v>3.2776349614395883</v>
      </c>
    </row>
    <row r="961" spans="2:119" ht="16.5" customHeight="1" x14ac:dyDescent="0.45">
      <c r="B961" s="99"/>
      <c r="C961" s="42"/>
      <c r="D961" s="110"/>
      <c r="E961" s="47" t="s">
        <v>10</v>
      </c>
      <c r="F961" s="103">
        <v>0.13848671786478658</v>
      </c>
      <c r="G961" s="103">
        <v>0.2643837341055017</v>
      </c>
      <c r="H961" s="103">
        <v>1.6114818078811532</v>
      </c>
      <c r="I961" s="103">
        <v>7.5160518695706919</v>
      </c>
      <c r="J961" s="103">
        <v>8.9009190482185563</v>
      </c>
      <c r="K961" s="103">
        <v>15.309077174870955</v>
      </c>
      <c r="L961" s="103">
        <v>20.798187082966134</v>
      </c>
      <c r="M961" s="103">
        <v>19.400730202694199</v>
      </c>
      <c r="N961" s="103">
        <v>15.774896134961603</v>
      </c>
      <c r="O961" s="103">
        <v>10.285786226866424</v>
      </c>
      <c r="P961" s="42"/>
      <c r="Q961" s="110"/>
      <c r="R961" s="46" t="s">
        <v>10</v>
      </c>
      <c r="S961" s="103">
        <v>6.9897483690587139E-2</v>
      </c>
      <c r="T961" s="103">
        <v>0.13979496738117428</v>
      </c>
      <c r="U961" s="103">
        <v>1.2814538676607641</v>
      </c>
      <c r="V961" s="103">
        <v>6.733457595526561</v>
      </c>
      <c r="W961" s="103">
        <v>8.2712022367194784</v>
      </c>
      <c r="X961" s="103">
        <v>14.608574091332713</v>
      </c>
      <c r="Y961" s="103">
        <v>21.831314072693385</v>
      </c>
      <c r="Z961" s="103">
        <v>20.246971109040075</v>
      </c>
      <c r="AA961" s="103">
        <v>16.192917054986019</v>
      </c>
      <c r="AB961" s="103">
        <v>10.624417520969246</v>
      </c>
      <c r="AC961" s="42"/>
      <c r="AD961" s="110"/>
      <c r="AE961" s="46" t="s">
        <v>10</v>
      </c>
      <c r="AF961" s="103">
        <v>0.21911804984935634</v>
      </c>
      <c r="AG961" s="103">
        <v>0.41084634346754317</v>
      </c>
      <c r="AH961" s="103">
        <v>1.9994522048753764</v>
      </c>
      <c r="AI961" s="103">
        <v>8.4360449192002189</v>
      </c>
      <c r="AJ961" s="103">
        <v>9.6411941933716783</v>
      </c>
      <c r="AK961" s="103">
        <v>16.132566420158863</v>
      </c>
      <c r="AL961" s="103">
        <v>19.583675705286225</v>
      </c>
      <c r="AM961" s="103">
        <v>18.405916187345934</v>
      </c>
      <c r="AN961" s="103">
        <v>15.283483976992605</v>
      </c>
      <c r="AO961" s="103">
        <v>9.8877019994522044</v>
      </c>
      <c r="AP961" s="6"/>
      <c r="AQ961" s="110"/>
      <c r="AR961" s="46" t="s">
        <v>10</v>
      </c>
      <c r="AS961" s="103">
        <v>0.72289156626506024</v>
      </c>
      <c r="AT961" s="103">
        <v>0.72289156626506024</v>
      </c>
      <c r="AU961" s="103">
        <v>3.8554216867469884</v>
      </c>
      <c r="AV961" s="103">
        <v>16.265060240963855</v>
      </c>
      <c r="AW961" s="103">
        <v>14.337349397590362</v>
      </c>
      <c r="AX961" s="103">
        <v>16.987951807228914</v>
      </c>
      <c r="AY961" s="103">
        <v>21.325301204819276</v>
      </c>
      <c r="AZ961" s="103">
        <v>13.012048192771083</v>
      </c>
      <c r="BA961" s="103">
        <v>8.3132530120481931</v>
      </c>
      <c r="BB961" s="103">
        <v>4.4578313253012052</v>
      </c>
      <c r="BC961" s="42"/>
      <c r="BD961" s="110"/>
      <c r="BE961" s="46" t="s">
        <v>10</v>
      </c>
      <c r="BF961" s="103">
        <v>7.0293828201883873E-2</v>
      </c>
      <c r="BG961" s="103">
        <v>0.21088148460565162</v>
      </c>
      <c r="BH961" s="103">
        <v>1.3496415014761705</v>
      </c>
      <c r="BI961" s="103">
        <v>6.4951497258540698</v>
      </c>
      <c r="BJ961" s="103">
        <v>8.2665541965415432</v>
      </c>
      <c r="BK961" s="103">
        <v>15.113173063405034</v>
      </c>
      <c r="BL961" s="103">
        <v>20.736679319555744</v>
      </c>
      <c r="BM961" s="103">
        <v>20.14621116265992</v>
      </c>
      <c r="BN961" s="103">
        <v>16.645578518206104</v>
      </c>
      <c r="BO961" s="103">
        <v>10.965837199493885</v>
      </c>
      <c r="BQ961" s="110"/>
      <c r="BR961" s="46" t="s">
        <v>10</v>
      </c>
      <c r="BS961" s="103">
        <v>0.25380710659898476</v>
      </c>
      <c r="BT961" s="103">
        <v>0.76142131979695438</v>
      </c>
      <c r="BU961" s="103">
        <v>2.5380710659898478</v>
      </c>
      <c r="BV961" s="103">
        <v>13.197969543147209</v>
      </c>
      <c r="BW961" s="103">
        <v>12.944162436548224</v>
      </c>
      <c r="BX961" s="103">
        <v>18.527918781725887</v>
      </c>
      <c r="BY961" s="103">
        <v>17.258883248730964</v>
      </c>
      <c r="BZ961" s="103">
        <v>17.512690355329948</v>
      </c>
      <c r="CA961" s="103">
        <v>9.3908629441624374</v>
      </c>
      <c r="CB961" s="103">
        <v>7.6142131979695442</v>
      </c>
      <c r="CC961" s="42"/>
      <c r="CD961" s="110"/>
      <c r="CE961" s="46" t="s">
        <v>10</v>
      </c>
      <c r="CF961" s="103">
        <v>0.13246787653993908</v>
      </c>
      <c r="CG961" s="103">
        <v>0.23844217777189031</v>
      </c>
      <c r="CH961" s="103">
        <v>1.5631209431712807</v>
      </c>
      <c r="CI961" s="103">
        <v>7.2194992714266784</v>
      </c>
      <c r="CJ961" s="103">
        <v>8.6898927010200016</v>
      </c>
      <c r="CK961" s="103">
        <v>15.141078288515036</v>
      </c>
      <c r="CL961" s="103">
        <v>20.982911643926347</v>
      </c>
      <c r="CM961" s="103">
        <v>19.49927142667903</v>
      </c>
      <c r="CN961" s="103">
        <v>16.108093787256593</v>
      </c>
      <c r="CO961" s="103">
        <v>10.425221883693204</v>
      </c>
      <c r="CQ961" s="110"/>
      <c r="CR961" s="46" t="s">
        <v>10</v>
      </c>
      <c r="CS961" s="103">
        <v>0.14947683109118087</v>
      </c>
      <c r="CT961" s="103">
        <v>0.14947683109118087</v>
      </c>
      <c r="CU961" s="103">
        <v>2.0926756352765321</v>
      </c>
      <c r="CV961" s="103">
        <v>7.9222720478325863</v>
      </c>
      <c r="CW961" s="103">
        <v>8.8191330343796714</v>
      </c>
      <c r="CX961" s="103">
        <v>15.396113602391628</v>
      </c>
      <c r="CY961" s="103">
        <v>21.076233183856502</v>
      </c>
      <c r="CZ961" s="103">
        <v>18.98355754857997</v>
      </c>
      <c r="DA961" s="103">
        <v>15.695067264573993</v>
      </c>
      <c r="DB961" s="103">
        <v>9.7159940209267557</v>
      </c>
      <c r="DC961" s="42"/>
      <c r="DD961" s="110"/>
      <c r="DE961" s="46" t="s">
        <v>10</v>
      </c>
      <c r="DF961" s="103">
        <v>0.13747594171020072</v>
      </c>
      <c r="DG961" s="103">
        <v>0.27495188342040144</v>
      </c>
      <c r="DH961" s="103">
        <v>1.567225735496288</v>
      </c>
      <c r="DI961" s="103">
        <v>7.4786912290349186</v>
      </c>
      <c r="DJ961" s="103">
        <v>8.9084410228210071</v>
      </c>
      <c r="DK961" s="103">
        <v>15.30107231234534</v>
      </c>
      <c r="DL961" s="103">
        <v>20.772614792411328</v>
      </c>
      <c r="DM961" s="103">
        <v>19.439098157822382</v>
      </c>
      <c r="DN961" s="103">
        <v>15.782238108331043</v>
      </c>
      <c r="DO961" s="103">
        <v>10.338190816607094</v>
      </c>
    </row>
    <row r="962" spans="2:119" ht="16.5" customHeight="1" x14ac:dyDescent="0.45">
      <c r="B962" s="99"/>
      <c r="C962" s="42"/>
      <c r="D962" s="111"/>
      <c r="E962" s="47" t="s">
        <v>11</v>
      </c>
      <c r="F962" s="103">
        <v>0.10366275051831375</v>
      </c>
      <c r="G962" s="103">
        <v>3.455425017277125E-2</v>
      </c>
      <c r="H962" s="103">
        <v>0.44920525224602625</v>
      </c>
      <c r="I962" s="103">
        <v>2.5224602626123014</v>
      </c>
      <c r="J962" s="103">
        <v>3.8009675190048373</v>
      </c>
      <c r="K962" s="103">
        <v>8.6731167933655851</v>
      </c>
      <c r="L962" s="103">
        <v>14.927436074637178</v>
      </c>
      <c r="M962" s="103">
        <v>19.661368348306844</v>
      </c>
      <c r="N962" s="103">
        <v>23.46233586731168</v>
      </c>
      <c r="O962" s="103">
        <v>26.364892881824463</v>
      </c>
      <c r="P962" s="42"/>
      <c r="Q962" s="111"/>
      <c r="R962" s="46" t="s">
        <v>11</v>
      </c>
      <c r="S962" s="103">
        <v>0.13227513227513227</v>
      </c>
      <c r="T962" s="103">
        <v>0</v>
      </c>
      <c r="U962" s="103">
        <v>0.26455026455026454</v>
      </c>
      <c r="V962" s="103">
        <v>1.5873015873015872</v>
      </c>
      <c r="W962" s="103">
        <v>3.6375661375661372</v>
      </c>
      <c r="X962" s="103">
        <v>9.1269841269841265</v>
      </c>
      <c r="Y962" s="103">
        <v>14.616402116402117</v>
      </c>
      <c r="Z962" s="103">
        <v>19.973544973544975</v>
      </c>
      <c r="AA962" s="103">
        <v>23.214285714285715</v>
      </c>
      <c r="AB962" s="103">
        <v>27.447089947089946</v>
      </c>
      <c r="AC962" s="42"/>
      <c r="AD962" s="111"/>
      <c r="AE962" s="46" t="s">
        <v>11</v>
      </c>
      <c r="AF962" s="103">
        <v>7.2358900144717797E-2</v>
      </c>
      <c r="AG962" s="103">
        <v>7.2358900144717797E-2</v>
      </c>
      <c r="AH962" s="103">
        <v>0.65123010130246017</v>
      </c>
      <c r="AI962" s="103">
        <v>3.5455861070911721</v>
      </c>
      <c r="AJ962" s="103">
        <v>3.9797395079594788</v>
      </c>
      <c r="AK962" s="103">
        <v>8.1765557163531106</v>
      </c>
      <c r="AL962" s="103">
        <v>15.267727930535454</v>
      </c>
      <c r="AM962" s="103">
        <v>19.319826338639654</v>
      </c>
      <c r="AN962" s="103">
        <v>23.733719247467437</v>
      </c>
      <c r="AO962" s="103">
        <v>25.180897250361795</v>
      </c>
      <c r="AP962" s="6"/>
      <c r="AQ962" s="111"/>
      <c r="AR962" s="46" t="s">
        <v>11</v>
      </c>
      <c r="AS962" s="103">
        <v>0.60240963855421692</v>
      </c>
      <c r="AT962" s="103">
        <v>0.60240963855421692</v>
      </c>
      <c r="AU962" s="103">
        <v>2.4096385542168677</v>
      </c>
      <c r="AV962" s="103">
        <v>5.4216867469879517</v>
      </c>
      <c r="AW962" s="103">
        <v>4.8192771084337354</v>
      </c>
      <c r="AX962" s="103">
        <v>17.46987951807229</v>
      </c>
      <c r="AY962" s="103">
        <v>19.277108433734941</v>
      </c>
      <c r="AZ962" s="103">
        <v>16.867469879518072</v>
      </c>
      <c r="BA962" s="103">
        <v>20.481927710843372</v>
      </c>
      <c r="BB962" s="103">
        <v>12.048192771084338</v>
      </c>
      <c r="BC962" s="42"/>
      <c r="BD962" s="111"/>
      <c r="BE962" s="46" t="s">
        <v>11</v>
      </c>
      <c r="BF962" s="103">
        <v>7.331378299120235E-2</v>
      </c>
      <c r="BG962" s="103">
        <v>0</v>
      </c>
      <c r="BH962" s="103">
        <v>0.32991202346041054</v>
      </c>
      <c r="BI962" s="103">
        <v>2.3460410557184752</v>
      </c>
      <c r="BJ962" s="103">
        <v>3.7390029325513199</v>
      </c>
      <c r="BK962" s="103">
        <v>8.1378299120234594</v>
      </c>
      <c r="BL962" s="103">
        <v>14.66275659824047</v>
      </c>
      <c r="BM962" s="103">
        <v>19.831378299120235</v>
      </c>
      <c r="BN962" s="103">
        <v>23.643695014662757</v>
      </c>
      <c r="BO962" s="103">
        <v>27.23607038123167</v>
      </c>
      <c r="BQ962" s="111"/>
      <c r="BR962" s="46" t="s">
        <v>11</v>
      </c>
      <c r="BS962" s="103">
        <v>0</v>
      </c>
      <c r="BT962" s="103">
        <v>1.1235955056179776</v>
      </c>
      <c r="BU962" s="103">
        <v>2.2471910112359552</v>
      </c>
      <c r="BV962" s="103">
        <v>4.4943820224719104</v>
      </c>
      <c r="BW962" s="103">
        <v>8.9887640449438209</v>
      </c>
      <c r="BX962" s="103">
        <v>15.730337078651685</v>
      </c>
      <c r="BY962" s="103">
        <v>16.853932584269664</v>
      </c>
      <c r="BZ962" s="103">
        <v>16.853932584269664</v>
      </c>
      <c r="CA962" s="103">
        <v>16.853932584269664</v>
      </c>
      <c r="CB962" s="103">
        <v>16.853932584269664</v>
      </c>
      <c r="CC962" s="42"/>
      <c r="CD962" s="111"/>
      <c r="CE962" s="46" t="s">
        <v>11</v>
      </c>
      <c r="CF962" s="103">
        <v>0.10695187165775401</v>
      </c>
      <c r="CG962" s="103">
        <v>0</v>
      </c>
      <c r="CH962" s="103">
        <v>0.39215686274509803</v>
      </c>
      <c r="CI962" s="103">
        <v>2.4598930481283423</v>
      </c>
      <c r="CJ962" s="103">
        <v>3.6363636363636362</v>
      </c>
      <c r="CK962" s="103">
        <v>8.4491978609625669</v>
      </c>
      <c r="CL962" s="103">
        <v>14.866310160427807</v>
      </c>
      <c r="CM962" s="103">
        <v>19.750445632798574</v>
      </c>
      <c r="CN962" s="103">
        <v>23.672014260249554</v>
      </c>
      <c r="CO962" s="103">
        <v>26.666666666666668</v>
      </c>
      <c r="CQ962" s="111"/>
      <c r="CR962" s="46" t="s">
        <v>11</v>
      </c>
      <c r="CS962" s="103">
        <v>0.36764705882352938</v>
      </c>
      <c r="CT962" s="103">
        <v>0</v>
      </c>
      <c r="CU962" s="103">
        <v>0.36764705882352938</v>
      </c>
      <c r="CV962" s="103">
        <v>1.8382352941176472</v>
      </c>
      <c r="CW962" s="103">
        <v>2.9411764705882351</v>
      </c>
      <c r="CX962" s="103">
        <v>4.4117647058823533</v>
      </c>
      <c r="CY962" s="103">
        <v>13.970588235294118</v>
      </c>
      <c r="CZ962" s="103">
        <v>23.161764705882355</v>
      </c>
      <c r="DA962" s="103">
        <v>23.161764705882355</v>
      </c>
      <c r="DB962" s="103">
        <v>29.77941176470588</v>
      </c>
      <c r="DC962" s="42"/>
      <c r="DD962" s="111"/>
      <c r="DE962" s="46" t="s">
        <v>11</v>
      </c>
      <c r="DF962" s="103">
        <v>7.6277650648360035E-2</v>
      </c>
      <c r="DG962" s="103">
        <v>3.8138825324180017E-2</v>
      </c>
      <c r="DH962" s="103">
        <v>0.45766590389016021</v>
      </c>
      <c r="DI962" s="103">
        <v>2.5934401220442411</v>
      </c>
      <c r="DJ962" s="103">
        <v>3.8901601830663615</v>
      </c>
      <c r="DK962" s="103">
        <v>9.1151792524790238</v>
      </c>
      <c r="DL962" s="103">
        <v>15.026697177726925</v>
      </c>
      <c r="DM962" s="103">
        <v>19.298245614035086</v>
      </c>
      <c r="DN962" s="103">
        <v>23.49351639969489</v>
      </c>
      <c r="DO962" s="103">
        <v>26.010678871090771</v>
      </c>
    </row>
    <row r="963" spans="2:119" x14ac:dyDescent="0.45">
      <c r="B963" s="99"/>
      <c r="C963" s="42"/>
      <c r="D963" s="42"/>
      <c r="E963" s="42"/>
      <c r="F963" s="42"/>
      <c r="G963" s="42"/>
      <c r="H963" s="42"/>
      <c r="I963" s="42"/>
      <c r="J963" s="42"/>
      <c r="K963" s="42"/>
      <c r="L963" s="42"/>
      <c r="M963" s="42"/>
      <c r="N963" s="42"/>
      <c r="O963" s="42"/>
      <c r="P963" s="42"/>
      <c r="Q963" s="42"/>
      <c r="R963" s="42"/>
      <c r="S963" s="42"/>
      <c r="T963" s="42"/>
      <c r="U963" s="42"/>
      <c r="V963" s="42"/>
      <c r="W963" s="42"/>
      <c r="X963" s="42"/>
      <c r="Y963" s="42"/>
      <c r="Z963" s="42"/>
      <c r="AA963" s="42"/>
      <c r="AB963" s="42"/>
      <c r="AC963" s="42"/>
      <c r="AD963" s="42"/>
      <c r="AE963" s="42"/>
      <c r="AF963" s="42"/>
      <c r="AG963" s="42"/>
      <c r="AH963" s="42"/>
      <c r="AI963" s="42"/>
      <c r="AJ963" s="42"/>
      <c r="AK963" s="42"/>
      <c r="AL963" s="42"/>
      <c r="AM963" s="42"/>
      <c r="AN963" s="42"/>
      <c r="AO963" s="42"/>
      <c r="AQ963" s="42"/>
      <c r="AR963" s="42"/>
      <c r="AS963" s="42"/>
      <c r="AT963" s="42"/>
      <c r="AU963" s="42"/>
      <c r="AV963" s="42"/>
      <c r="AW963" s="42"/>
      <c r="AX963" s="42"/>
      <c r="AY963" s="42"/>
      <c r="AZ963" s="42"/>
      <c r="BA963" s="42"/>
      <c r="BB963" s="42"/>
      <c r="BC963" s="42"/>
      <c r="BD963" s="42"/>
      <c r="BE963" s="42"/>
      <c r="BF963" s="42"/>
      <c r="BG963" s="42"/>
      <c r="BH963" s="42"/>
      <c r="BI963" s="42"/>
      <c r="BJ963" s="42"/>
      <c r="BK963" s="42"/>
      <c r="BL963" s="42"/>
      <c r="BM963" s="42"/>
      <c r="BN963" s="42"/>
      <c r="BO963" s="42"/>
      <c r="BQ963" s="42"/>
      <c r="BR963" s="42"/>
      <c r="BS963" s="42"/>
      <c r="BT963" s="42"/>
      <c r="BU963" s="42"/>
      <c r="BV963" s="42"/>
      <c r="BW963" s="42"/>
      <c r="BX963" s="42"/>
      <c r="BY963" s="42"/>
      <c r="BZ963" s="42"/>
      <c r="CA963" s="42"/>
      <c r="CB963" s="42"/>
      <c r="CC963" s="42"/>
      <c r="CD963" s="42"/>
      <c r="CE963" s="42"/>
      <c r="CF963" s="42"/>
      <c r="CG963" s="42"/>
      <c r="CH963" s="42"/>
      <c r="CI963" s="42"/>
      <c r="CJ963" s="42"/>
      <c r="CK963" s="42"/>
      <c r="CL963" s="42"/>
      <c r="CM963" s="42"/>
      <c r="CN963" s="42"/>
      <c r="CO963" s="42"/>
      <c r="CQ963" s="42"/>
      <c r="CR963" s="42"/>
      <c r="CS963" s="42"/>
      <c r="CT963" s="42"/>
      <c r="CU963" s="42"/>
      <c r="CV963" s="42"/>
      <c r="CW963" s="42"/>
      <c r="CX963" s="42"/>
      <c r="CY963" s="42"/>
      <c r="CZ963" s="42"/>
      <c r="DA963" s="42"/>
      <c r="DB963" s="42"/>
      <c r="DC963" s="42"/>
      <c r="DD963" s="42"/>
      <c r="DE963" s="42"/>
      <c r="DF963" s="42"/>
      <c r="DG963" s="42"/>
      <c r="DH963" s="42"/>
      <c r="DI963" s="42"/>
      <c r="DJ963" s="42"/>
      <c r="DK963" s="42"/>
      <c r="DL963" s="42"/>
      <c r="DM963" s="42"/>
      <c r="DN963" s="42"/>
      <c r="DO963" s="42"/>
    </row>
    <row r="964" spans="2:119" x14ac:dyDescent="0.45">
      <c r="B964" s="99"/>
      <c r="C964" s="42"/>
      <c r="D964" s="42"/>
      <c r="E964" s="42"/>
      <c r="F964" s="42"/>
      <c r="G964" s="42"/>
      <c r="H964" s="42"/>
      <c r="I964" s="42"/>
      <c r="J964" s="42"/>
      <c r="K964" s="42"/>
      <c r="L964" s="42"/>
      <c r="M964" s="42"/>
      <c r="N964" s="42"/>
      <c r="O964" s="42"/>
      <c r="P964" s="42"/>
      <c r="Q964" s="42"/>
      <c r="R964" s="42"/>
      <c r="S964" s="42"/>
      <c r="T964" s="42"/>
      <c r="U964" s="42"/>
      <c r="V964" s="42"/>
      <c r="W964" s="42"/>
      <c r="X964" s="42"/>
      <c r="Y964" s="42"/>
      <c r="Z964" s="42"/>
      <c r="AA964" s="42"/>
      <c r="AB964" s="42"/>
      <c r="AC964" s="42"/>
      <c r="AD964" s="42"/>
      <c r="AE964" s="42"/>
      <c r="AF964" s="42"/>
      <c r="AG964" s="42"/>
      <c r="AH964" s="42"/>
      <c r="AI964" s="42"/>
      <c r="AJ964" s="42"/>
      <c r="AK964" s="42"/>
      <c r="AL964" s="42"/>
      <c r="AM964" s="42"/>
      <c r="AN964" s="42"/>
      <c r="AO964" s="42"/>
      <c r="AQ964" s="42"/>
      <c r="AR964" s="42"/>
      <c r="AS964" s="42"/>
      <c r="AT964" s="42"/>
      <c r="AU964" s="42"/>
      <c r="AV964" s="42"/>
      <c r="AW964" s="42"/>
      <c r="AX964" s="42"/>
      <c r="AY964" s="42"/>
      <c r="AZ964" s="42"/>
      <c r="BA964" s="42"/>
      <c r="BB964" s="42"/>
      <c r="BC964" s="42"/>
      <c r="BD964" s="42"/>
      <c r="BE964" s="42"/>
      <c r="BF964" s="42"/>
      <c r="BG964" s="42"/>
      <c r="BH964" s="42"/>
      <c r="BI964" s="42"/>
      <c r="BJ964" s="42"/>
      <c r="BK964" s="42"/>
      <c r="BL964" s="42"/>
      <c r="BM964" s="42"/>
      <c r="BN964" s="42"/>
      <c r="BO964" s="42"/>
      <c r="BQ964" s="42"/>
      <c r="BR964" s="42"/>
      <c r="BS964" s="42"/>
      <c r="BT964" s="42"/>
      <c r="BU964" s="42"/>
      <c r="BV964" s="42"/>
      <c r="BW964" s="42"/>
      <c r="BX964" s="42"/>
      <c r="BY964" s="42"/>
      <c r="BZ964" s="42"/>
      <c r="CA964" s="42"/>
      <c r="CB964" s="42"/>
      <c r="CC964" s="42"/>
      <c r="CD964" s="42"/>
      <c r="CE964" s="42"/>
      <c r="CF964" s="42"/>
      <c r="CG964" s="42"/>
      <c r="CH964" s="42"/>
      <c r="CI964" s="42"/>
      <c r="CJ964" s="42"/>
      <c r="CK964" s="42"/>
      <c r="CL964" s="42"/>
      <c r="CM964" s="42"/>
      <c r="CN964" s="42"/>
      <c r="CO964" s="42"/>
      <c r="CQ964" s="42"/>
      <c r="CR964" s="42"/>
      <c r="CS964" s="42"/>
      <c r="CT964" s="42"/>
      <c r="CU964" s="42"/>
      <c r="CV964" s="42"/>
      <c r="CW964" s="42"/>
      <c r="CX964" s="42"/>
      <c r="CY964" s="42"/>
      <c r="CZ964" s="42"/>
      <c r="DA964" s="42"/>
      <c r="DB964" s="42"/>
      <c r="DC964" s="42"/>
      <c r="DD964" s="42"/>
      <c r="DE964" s="42"/>
      <c r="DF964" s="42"/>
      <c r="DG964" s="42"/>
      <c r="DH964" s="42"/>
      <c r="DI964" s="42"/>
      <c r="DJ964" s="42"/>
      <c r="DK964" s="42"/>
      <c r="DL964" s="42"/>
      <c r="DM964" s="42"/>
      <c r="DN964" s="42"/>
      <c r="DO964" s="42"/>
    </row>
    <row r="965" spans="2:119" ht="18.75" customHeight="1" x14ac:dyDescent="0.55000000000000004">
      <c r="B965" s="99"/>
      <c r="C965" s="42"/>
      <c r="D965" s="112" t="s">
        <v>24</v>
      </c>
      <c r="E965" s="112"/>
      <c r="F965" s="45"/>
      <c r="G965" s="45"/>
      <c r="H965" s="45"/>
      <c r="I965" s="45"/>
      <c r="J965" s="45"/>
      <c r="K965" s="45"/>
      <c r="L965" s="45"/>
      <c r="M965" s="45"/>
      <c r="N965" s="45"/>
      <c r="O965" s="45"/>
      <c r="P965" s="42"/>
      <c r="Q965" s="112" t="s">
        <v>24</v>
      </c>
      <c r="R965" s="112"/>
      <c r="S965" s="45"/>
      <c r="T965" s="45"/>
      <c r="U965" s="45"/>
      <c r="V965" s="45"/>
      <c r="W965" s="45"/>
      <c r="X965" s="45"/>
      <c r="Y965" s="45"/>
      <c r="Z965" s="45"/>
      <c r="AA965" s="45"/>
      <c r="AB965" s="45"/>
      <c r="AC965" s="42"/>
      <c r="AD965" s="112" t="s">
        <v>24</v>
      </c>
      <c r="AE965" s="112"/>
      <c r="AF965" s="45"/>
      <c r="AG965" s="45"/>
      <c r="AH965" s="45"/>
      <c r="AI965" s="45"/>
      <c r="AJ965" s="45"/>
      <c r="AK965" s="45"/>
      <c r="AL965" s="45"/>
      <c r="AM965" s="45"/>
      <c r="AN965" s="45"/>
      <c r="AO965" s="45"/>
      <c r="AP965" s="6"/>
      <c r="AQ965" s="112" t="s">
        <v>24</v>
      </c>
      <c r="AR965" s="112"/>
      <c r="AS965" s="45"/>
      <c r="AT965" s="45"/>
      <c r="AU965" s="45"/>
      <c r="AV965" s="45"/>
      <c r="AW965" s="45"/>
      <c r="AX965" s="45"/>
      <c r="AY965" s="45"/>
      <c r="AZ965" s="45"/>
      <c r="BA965" s="45"/>
      <c r="BB965" s="45"/>
      <c r="BC965" s="42"/>
      <c r="BD965" s="112" t="s">
        <v>24</v>
      </c>
      <c r="BE965" s="112"/>
      <c r="BF965" s="45"/>
      <c r="BG965" s="45"/>
      <c r="BH965" s="45"/>
      <c r="BI965" s="45"/>
      <c r="BJ965" s="45"/>
      <c r="BK965" s="45"/>
      <c r="BL965" s="45"/>
      <c r="BM965" s="45"/>
      <c r="BN965" s="45"/>
      <c r="BO965" s="45"/>
      <c r="BQ965" s="112" t="s">
        <v>24</v>
      </c>
      <c r="BR965" s="112"/>
      <c r="BS965" s="45"/>
      <c r="BT965" s="45"/>
      <c r="BU965" s="45"/>
      <c r="BV965" s="45"/>
      <c r="BW965" s="45"/>
      <c r="BX965" s="45"/>
      <c r="BY965" s="45"/>
      <c r="BZ965" s="45"/>
      <c r="CA965" s="45"/>
      <c r="CB965" s="45"/>
      <c r="CC965" s="42"/>
      <c r="CD965" s="112" t="s">
        <v>24</v>
      </c>
      <c r="CE965" s="112"/>
      <c r="CF965" s="45"/>
      <c r="CG965" s="45"/>
      <c r="CH965" s="45"/>
      <c r="CI965" s="45"/>
      <c r="CJ965" s="45"/>
      <c r="CK965" s="45"/>
      <c r="CL965" s="45"/>
      <c r="CM965" s="45"/>
      <c r="CN965" s="45"/>
      <c r="CO965" s="45"/>
      <c r="CQ965" s="112" t="s">
        <v>24</v>
      </c>
      <c r="CR965" s="112"/>
      <c r="CS965" s="45"/>
      <c r="CT965" s="45"/>
      <c r="CU965" s="45"/>
      <c r="CV965" s="45"/>
      <c r="CW965" s="45"/>
      <c r="CX965" s="45"/>
      <c r="CY965" s="45"/>
      <c r="CZ965" s="45"/>
      <c r="DA965" s="45"/>
      <c r="DB965" s="45"/>
      <c r="DC965" s="42"/>
      <c r="DD965" s="112" t="s">
        <v>24</v>
      </c>
      <c r="DE965" s="112"/>
      <c r="DF965" s="45"/>
      <c r="DG965" s="45"/>
      <c r="DH965" s="45"/>
      <c r="DI965" s="45"/>
      <c r="DJ965" s="45"/>
      <c r="DK965" s="45"/>
      <c r="DL965" s="45"/>
      <c r="DM965" s="45"/>
      <c r="DN965" s="45"/>
      <c r="DO965" s="45"/>
    </row>
    <row r="966" spans="2:119" ht="28.9" customHeight="1" x14ac:dyDescent="0.45">
      <c r="B966" s="99"/>
      <c r="C966" s="42"/>
      <c r="D966" s="112"/>
      <c r="E966" s="112"/>
      <c r="F966" s="108" t="s">
        <v>12</v>
      </c>
      <c r="G966" s="108"/>
      <c r="H966" s="108"/>
      <c r="I966" s="108"/>
      <c r="J966" s="108"/>
      <c r="K966" s="108"/>
      <c r="L966" s="108"/>
      <c r="M966" s="108"/>
      <c r="N966" s="108"/>
      <c r="O966" s="108"/>
      <c r="P966" s="42"/>
      <c r="Q966" s="112"/>
      <c r="R966" s="112"/>
      <c r="S966" s="108" t="s">
        <v>12</v>
      </c>
      <c r="T966" s="108"/>
      <c r="U966" s="108"/>
      <c r="V966" s="108"/>
      <c r="W966" s="108"/>
      <c r="X966" s="108"/>
      <c r="Y966" s="108"/>
      <c r="Z966" s="108"/>
      <c r="AA966" s="108"/>
      <c r="AB966" s="108"/>
      <c r="AC966" s="42"/>
      <c r="AD966" s="112"/>
      <c r="AE966" s="112"/>
      <c r="AF966" s="108" t="s">
        <v>12</v>
      </c>
      <c r="AG966" s="108"/>
      <c r="AH966" s="108"/>
      <c r="AI966" s="108"/>
      <c r="AJ966" s="108"/>
      <c r="AK966" s="108"/>
      <c r="AL966" s="108"/>
      <c r="AM966" s="108"/>
      <c r="AN966" s="108"/>
      <c r="AO966" s="108"/>
      <c r="AP966" s="6"/>
      <c r="AQ966" s="112"/>
      <c r="AR966" s="112"/>
      <c r="AS966" s="108" t="s">
        <v>12</v>
      </c>
      <c r="AT966" s="108"/>
      <c r="AU966" s="108"/>
      <c r="AV966" s="108"/>
      <c r="AW966" s="108"/>
      <c r="AX966" s="108"/>
      <c r="AY966" s="108"/>
      <c r="AZ966" s="108"/>
      <c r="BA966" s="108"/>
      <c r="BB966" s="108"/>
      <c r="BC966" s="42"/>
      <c r="BD966" s="112"/>
      <c r="BE966" s="112"/>
      <c r="BF966" s="108" t="s">
        <v>12</v>
      </c>
      <c r="BG966" s="108"/>
      <c r="BH966" s="108"/>
      <c r="BI966" s="108"/>
      <c r="BJ966" s="108"/>
      <c r="BK966" s="108"/>
      <c r="BL966" s="108"/>
      <c r="BM966" s="108"/>
      <c r="BN966" s="108"/>
      <c r="BO966" s="108"/>
      <c r="BQ966" s="112"/>
      <c r="BR966" s="112"/>
      <c r="BS966" s="108" t="s">
        <v>12</v>
      </c>
      <c r="BT966" s="108"/>
      <c r="BU966" s="108"/>
      <c r="BV966" s="108"/>
      <c r="BW966" s="108"/>
      <c r="BX966" s="108"/>
      <c r="BY966" s="108"/>
      <c r="BZ966" s="108"/>
      <c r="CA966" s="108"/>
      <c r="CB966" s="108"/>
      <c r="CC966" s="42"/>
      <c r="CD966" s="112"/>
      <c r="CE966" s="112"/>
      <c r="CF966" s="108" t="s">
        <v>12</v>
      </c>
      <c r="CG966" s="108"/>
      <c r="CH966" s="108"/>
      <c r="CI966" s="108"/>
      <c r="CJ966" s="108"/>
      <c r="CK966" s="108"/>
      <c r="CL966" s="108"/>
      <c r="CM966" s="108"/>
      <c r="CN966" s="108"/>
      <c r="CO966" s="108"/>
      <c r="CQ966" s="112"/>
      <c r="CR966" s="112"/>
      <c r="CS966" s="108" t="s">
        <v>12</v>
      </c>
      <c r="CT966" s="108"/>
      <c r="CU966" s="108"/>
      <c r="CV966" s="108"/>
      <c r="CW966" s="108"/>
      <c r="CX966" s="108"/>
      <c r="CY966" s="108"/>
      <c r="CZ966" s="108"/>
      <c r="DA966" s="108"/>
      <c r="DB966" s="108"/>
      <c r="DC966" s="42"/>
      <c r="DD966" s="112"/>
      <c r="DE966" s="112"/>
      <c r="DF966" s="108" t="s">
        <v>12</v>
      </c>
      <c r="DG966" s="108"/>
      <c r="DH966" s="108"/>
      <c r="DI966" s="108"/>
      <c r="DJ966" s="108"/>
      <c r="DK966" s="108"/>
      <c r="DL966" s="108"/>
      <c r="DM966" s="108"/>
      <c r="DN966" s="108"/>
      <c r="DO966" s="108"/>
    </row>
    <row r="967" spans="2:119" ht="15" customHeight="1" x14ac:dyDescent="0.45">
      <c r="B967" s="99"/>
      <c r="C967" s="42"/>
      <c r="D967" s="113"/>
      <c r="E967" s="113"/>
      <c r="F967" s="9" t="s">
        <v>0</v>
      </c>
      <c r="G967" s="9">
        <v>1</v>
      </c>
      <c r="H967" s="9">
        <v>2</v>
      </c>
      <c r="I967" s="9">
        <v>3</v>
      </c>
      <c r="J967" s="9">
        <v>4</v>
      </c>
      <c r="K967" s="9">
        <v>5</v>
      </c>
      <c r="L967" s="9">
        <v>6</v>
      </c>
      <c r="M967" s="9">
        <v>7</v>
      </c>
      <c r="N967" s="9">
        <v>8</v>
      </c>
      <c r="O967" s="9">
        <v>9</v>
      </c>
      <c r="P967" s="42"/>
      <c r="Q967" s="113"/>
      <c r="R967" s="113"/>
      <c r="S967" s="9" t="s">
        <v>0</v>
      </c>
      <c r="T967" s="9">
        <v>1</v>
      </c>
      <c r="U967" s="9">
        <v>2</v>
      </c>
      <c r="V967" s="9">
        <v>3</v>
      </c>
      <c r="W967" s="9">
        <v>4</v>
      </c>
      <c r="X967" s="9">
        <v>5</v>
      </c>
      <c r="Y967" s="9">
        <v>6</v>
      </c>
      <c r="Z967" s="9">
        <v>7</v>
      </c>
      <c r="AA967" s="9">
        <v>8</v>
      </c>
      <c r="AB967" s="9">
        <v>9</v>
      </c>
      <c r="AC967" s="42"/>
      <c r="AD967" s="113"/>
      <c r="AE967" s="113"/>
      <c r="AF967" s="9" t="s">
        <v>0</v>
      </c>
      <c r="AG967" s="9">
        <v>1</v>
      </c>
      <c r="AH967" s="9">
        <v>2</v>
      </c>
      <c r="AI967" s="9">
        <v>3</v>
      </c>
      <c r="AJ967" s="9">
        <v>4</v>
      </c>
      <c r="AK967" s="9">
        <v>5</v>
      </c>
      <c r="AL967" s="9">
        <v>6</v>
      </c>
      <c r="AM967" s="9">
        <v>7</v>
      </c>
      <c r="AN967" s="9">
        <v>8</v>
      </c>
      <c r="AO967" s="9">
        <v>9</v>
      </c>
      <c r="AP967" s="6"/>
      <c r="AQ967" s="113"/>
      <c r="AR967" s="113"/>
      <c r="AS967" s="9" t="s">
        <v>0</v>
      </c>
      <c r="AT967" s="9">
        <v>1</v>
      </c>
      <c r="AU967" s="9">
        <v>2</v>
      </c>
      <c r="AV967" s="9">
        <v>3</v>
      </c>
      <c r="AW967" s="9">
        <v>4</v>
      </c>
      <c r="AX967" s="9">
        <v>5</v>
      </c>
      <c r="AY967" s="9">
        <v>6</v>
      </c>
      <c r="AZ967" s="9">
        <v>7</v>
      </c>
      <c r="BA967" s="9">
        <v>8</v>
      </c>
      <c r="BB967" s="9">
        <v>9</v>
      </c>
      <c r="BC967" s="42"/>
      <c r="BD967" s="113"/>
      <c r="BE967" s="113"/>
      <c r="BF967" s="9" t="s">
        <v>0</v>
      </c>
      <c r="BG967" s="9">
        <v>1</v>
      </c>
      <c r="BH967" s="9">
        <v>2</v>
      </c>
      <c r="BI967" s="9">
        <v>3</v>
      </c>
      <c r="BJ967" s="9">
        <v>4</v>
      </c>
      <c r="BK967" s="9">
        <v>5</v>
      </c>
      <c r="BL967" s="9">
        <v>6</v>
      </c>
      <c r="BM967" s="9">
        <v>7</v>
      </c>
      <c r="BN967" s="9">
        <v>8</v>
      </c>
      <c r="BO967" s="9">
        <v>9</v>
      </c>
      <c r="BQ967" s="113"/>
      <c r="BR967" s="113"/>
      <c r="BS967" s="9" t="s">
        <v>0</v>
      </c>
      <c r="BT967" s="9">
        <v>1</v>
      </c>
      <c r="BU967" s="9">
        <v>2</v>
      </c>
      <c r="BV967" s="9">
        <v>3</v>
      </c>
      <c r="BW967" s="9">
        <v>4</v>
      </c>
      <c r="BX967" s="9">
        <v>5</v>
      </c>
      <c r="BY967" s="9">
        <v>6</v>
      </c>
      <c r="BZ967" s="9">
        <v>7</v>
      </c>
      <c r="CA967" s="9">
        <v>8</v>
      </c>
      <c r="CB967" s="9">
        <v>9</v>
      </c>
      <c r="CC967" s="42"/>
      <c r="CD967" s="113"/>
      <c r="CE967" s="113"/>
      <c r="CF967" s="9" t="s">
        <v>0</v>
      </c>
      <c r="CG967" s="9">
        <v>1</v>
      </c>
      <c r="CH967" s="9">
        <v>2</v>
      </c>
      <c r="CI967" s="9">
        <v>3</v>
      </c>
      <c r="CJ967" s="9">
        <v>4</v>
      </c>
      <c r="CK967" s="9">
        <v>5</v>
      </c>
      <c r="CL967" s="9">
        <v>6</v>
      </c>
      <c r="CM967" s="9">
        <v>7</v>
      </c>
      <c r="CN967" s="9">
        <v>8</v>
      </c>
      <c r="CO967" s="9">
        <v>9</v>
      </c>
      <c r="CQ967" s="113"/>
      <c r="CR967" s="113"/>
      <c r="CS967" s="9" t="s">
        <v>0</v>
      </c>
      <c r="CT967" s="9">
        <v>1</v>
      </c>
      <c r="CU967" s="9">
        <v>2</v>
      </c>
      <c r="CV967" s="9">
        <v>3</v>
      </c>
      <c r="CW967" s="9">
        <v>4</v>
      </c>
      <c r="CX967" s="9">
        <v>5</v>
      </c>
      <c r="CY967" s="9">
        <v>6</v>
      </c>
      <c r="CZ967" s="9">
        <v>7</v>
      </c>
      <c r="DA967" s="9">
        <v>8</v>
      </c>
      <c r="DB967" s="9">
        <v>9</v>
      </c>
      <c r="DC967" s="42"/>
      <c r="DD967" s="113"/>
      <c r="DE967" s="113"/>
      <c r="DF967" s="9" t="s">
        <v>0</v>
      </c>
      <c r="DG967" s="9">
        <v>1</v>
      </c>
      <c r="DH967" s="9">
        <v>2</v>
      </c>
      <c r="DI967" s="9">
        <v>3</v>
      </c>
      <c r="DJ967" s="9">
        <v>4</v>
      </c>
      <c r="DK967" s="9">
        <v>5</v>
      </c>
      <c r="DL967" s="9">
        <v>6</v>
      </c>
      <c r="DM967" s="9">
        <v>7</v>
      </c>
      <c r="DN967" s="9">
        <v>8</v>
      </c>
      <c r="DO967" s="9">
        <v>9</v>
      </c>
    </row>
    <row r="968" spans="2:119" ht="16.5" customHeight="1" x14ac:dyDescent="0.45">
      <c r="B968" s="134" t="s">
        <v>44</v>
      </c>
      <c r="C968" s="42"/>
      <c r="D968" s="109" t="s">
        <v>13</v>
      </c>
      <c r="E968" s="46" t="s">
        <v>1</v>
      </c>
      <c r="F968" s="103">
        <v>0</v>
      </c>
      <c r="G968" s="103">
        <v>0</v>
      </c>
      <c r="H968" s="103">
        <v>0</v>
      </c>
      <c r="I968" s="103">
        <v>1</v>
      </c>
      <c r="J968" s="103">
        <v>1</v>
      </c>
      <c r="K968" s="103">
        <v>1</v>
      </c>
      <c r="L968" s="103">
        <v>1</v>
      </c>
      <c r="M968" s="103">
        <v>0</v>
      </c>
      <c r="N968" s="103">
        <v>0</v>
      </c>
      <c r="O968" s="17">
        <v>0</v>
      </c>
      <c r="P968" s="42"/>
      <c r="Q968" s="109" t="s">
        <v>13</v>
      </c>
      <c r="R968" s="46" t="s">
        <v>1</v>
      </c>
      <c r="S968" s="103">
        <v>0</v>
      </c>
      <c r="T968" s="103">
        <v>0</v>
      </c>
      <c r="U968" s="103">
        <v>0</v>
      </c>
      <c r="V968" s="103">
        <v>1</v>
      </c>
      <c r="W968" s="103">
        <v>0</v>
      </c>
      <c r="X968" s="103">
        <v>0</v>
      </c>
      <c r="Y968" s="103">
        <v>0</v>
      </c>
      <c r="Z968" s="103">
        <v>0</v>
      </c>
      <c r="AA968" s="103">
        <v>0</v>
      </c>
      <c r="AB968" s="17">
        <v>0</v>
      </c>
      <c r="AC968" s="42"/>
      <c r="AD968" s="109" t="s">
        <v>13</v>
      </c>
      <c r="AE968" s="46" t="s">
        <v>1</v>
      </c>
      <c r="AF968" s="103">
        <v>0</v>
      </c>
      <c r="AG968" s="103">
        <v>0</v>
      </c>
      <c r="AH968" s="103">
        <v>0</v>
      </c>
      <c r="AI968" s="103">
        <v>0</v>
      </c>
      <c r="AJ968" s="103">
        <v>1</v>
      </c>
      <c r="AK968" s="103">
        <v>1</v>
      </c>
      <c r="AL968" s="103">
        <v>1</v>
      </c>
      <c r="AM968" s="103">
        <v>0</v>
      </c>
      <c r="AN968" s="103">
        <v>0</v>
      </c>
      <c r="AO968" s="17">
        <v>0</v>
      </c>
      <c r="AP968" s="6"/>
      <c r="AQ968" s="109" t="s">
        <v>13</v>
      </c>
      <c r="AR968" s="46" t="s">
        <v>1</v>
      </c>
      <c r="AS968" s="103">
        <v>0</v>
      </c>
      <c r="AT968" s="103">
        <v>0</v>
      </c>
      <c r="AU968" s="103">
        <v>0</v>
      </c>
      <c r="AV968" s="103">
        <v>1</v>
      </c>
      <c r="AW968" s="103">
        <v>1</v>
      </c>
      <c r="AX968" s="103">
        <v>0</v>
      </c>
      <c r="AY968" s="103">
        <v>0</v>
      </c>
      <c r="AZ968" s="103">
        <v>0</v>
      </c>
      <c r="BA968" s="103">
        <v>0</v>
      </c>
      <c r="BB968" s="17">
        <v>0</v>
      </c>
      <c r="BC968" s="42"/>
      <c r="BD968" s="109" t="s">
        <v>13</v>
      </c>
      <c r="BE968" s="46" t="s">
        <v>1</v>
      </c>
      <c r="BF968" s="103">
        <v>0</v>
      </c>
      <c r="BG968" s="103">
        <v>0</v>
      </c>
      <c r="BH968" s="103">
        <v>0</v>
      </c>
      <c r="BI968" s="103">
        <v>0</v>
      </c>
      <c r="BJ968" s="103">
        <v>0</v>
      </c>
      <c r="BK968" s="103">
        <v>1</v>
      </c>
      <c r="BL968" s="103">
        <v>1</v>
      </c>
      <c r="BM968" s="103">
        <v>0</v>
      </c>
      <c r="BN968" s="103">
        <v>0</v>
      </c>
      <c r="BO968" s="17">
        <v>0</v>
      </c>
      <c r="BQ968" s="109" t="s">
        <v>13</v>
      </c>
      <c r="BR968" s="46" t="s">
        <v>1</v>
      </c>
      <c r="BS968" s="103">
        <v>0</v>
      </c>
      <c r="BT968" s="103">
        <v>0</v>
      </c>
      <c r="BU968" s="103">
        <v>0</v>
      </c>
      <c r="BV968" s="103">
        <v>0</v>
      </c>
      <c r="BW968" s="103">
        <v>0</v>
      </c>
      <c r="BX968" s="103">
        <v>0</v>
      </c>
      <c r="BY968" s="103">
        <v>1</v>
      </c>
      <c r="BZ968" s="103">
        <v>0</v>
      </c>
      <c r="CA968" s="103">
        <v>0</v>
      </c>
      <c r="CB968" s="17">
        <v>0</v>
      </c>
      <c r="CC968" s="42"/>
      <c r="CD968" s="109" t="s">
        <v>13</v>
      </c>
      <c r="CE968" s="46" t="s">
        <v>1</v>
      </c>
      <c r="CF968" s="103">
        <v>0</v>
      </c>
      <c r="CG968" s="103">
        <v>0</v>
      </c>
      <c r="CH968" s="103">
        <v>0</v>
      </c>
      <c r="CI968" s="103">
        <v>1</v>
      </c>
      <c r="CJ968" s="103">
        <v>1</v>
      </c>
      <c r="CK968" s="103">
        <v>1</v>
      </c>
      <c r="CL968" s="103">
        <v>0</v>
      </c>
      <c r="CM968" s="103">
        <v>0</v>
      </c>
      <c r="CN968" s="103">
        <v>0</v>
      </c>
      <c r="CO968" s="17">
        <v>0</v>
      </c>
      <c r="CQ968" s="109" t="s">
        <v>13</v>
      </c>
      <c r="CR968" s="46" t="s">
        <v>1</v>
      </c>
      <c r="CS968" s="103">
        <v>0</v>
      </c>
      <c r="CT968" s="103">
        <v>0</v>
      </c>
      <c r="CU968" s="103">
        <v>0</v>
      </c>
      <c r="CV968" s="103">
        <v>1</v>
      </c>
      <c r="CW968" s="103">
        <v>1</v>
      </c>
      <c r="CX968" s="103">
        <v>1</v>
      </c>
      <c r="CY968" s="103">
        <v>0</v>
      </c>
      <c r="CZ968" s="103">
        <v>0</v>
      </c>
      <c r="DA968" s="103">
        <v>0</v>
      </c>
      <c r="DB968" s="17">
        <v>0</v>
      </c>
      <c r="DC968" s="42"/>
      <c r="DD968" s="109" t="s">
        <v>13</v>
      </c>
      <c r="DE968" s="46" t="s">
        <v>1</v>
      </c>
      <c r="DF968" s="103">
        <v>0</v>
      </c>
      <c r="DG968" s="103">
        <v>0</v>
      </c>
      <c r="DH968" s="103">
        <v>0</v>
      </c>
      <c r="DI968" s="103">
        <v>0</v>
      </c>
      <c r="DJ968" s="103">
        <v>0</v>
      </c>
      <c r="DK968" s="103">
        <v>0</v>
      </c>
      <c r="DL968" s="103">
        <v>1</v>
      </c>
      <c r="DM968" s="103">
        <v>0</v>
      </c>
      <c r="DN968" s="103">
        <v>0</v>
      </c>
      <c r="DO968" s="17">
        <v>0</v>
      </c>
    </row>
    <row r="969" spans="2:119" ht="16.5" customHeight="1" x14ac:dyDescent="0.45">
      <c r="B969" s="134"/>
      <c r="C969" s="42"/>
      <c r="D969" s="110"/>
      <c r="E969" s="46">
        <v>1</v>
      </c>
      <c r="F969" s="103">
        <v>3</v>
      </c>
      <c r="G969" s="103">
        <v>5</v>
      </c>
      <c r="H969" s="103">
        <v>7</v>
      </c>
      <c r="I969" s="103">
        <v>4</v>
      </c>
      <c r="J969" s="103">
        <v>1</v>
      </c>
      <c r="K969" s="103">
        <v>1</v>
      </c>
      <c r="L969" s="103">
        <v>1</v>
      </c>
      <c r="M969" s="103">
        <v>0</v>
      </c>
      <c r="N969" s="103">
        <v>0</v>
      </c>
      <c r="O969" s="103">
        <v>0</v>
      </c>
      <c r="P969" s="42"/>
      <c r="Q969" s="110"/>
      <c r="R969" s="46">
        <v>1</v>
      </c>
      <c r="S969" s="103">
        <v>0</v>
      </c>
      <c r="T969" s="103">
        <v>3</v>
      </c>
      <c r="U969" s="103">
        <v>6</v>
      </c>
      <c r="V969" s="103">
        <v>2</v>
      </c>
      <c r="W969" s="103">
        <v>1</v>
      </c>
      <c r="X969" s="103">
        <v>1</v>
      </c>
      <c r="Y969" s="103">
        <v>0</v>
      </c>
      <c r="Z969" s="103">
        <v>0</v>
      </c>
      <c r="AA969" s="103">
        <v>0</v>
      </c>
      <c r="AB969" s="103">
        <v>0</v>
      </c>
      <c r="AC969" s="42"/>
      <c r="AD969" s="110"/>
      <c r="AE969" s="46">
        <v>1</v>
      </c>
      <c r="AF969" s="103">
        <v>3</v>
      </c>
      <c r="AG969" s="103">
        <v>2</v>
      </c>
      <c r="AH969" s="103">
        <v>1</v>
      </c>
      <c r="AI969" s="103">
        <v>2</v>
      </c>
      <c r="AJ969" s="103">
        <v>0</v>
      </c>
      <c r="AK969" s="103">
        <v>0</v>
      </c>
      <c r="AL969" s="103">
        <v>1</v>
      </c>
      <c r="AM969" s="103">
        <v>0</v>
      </c>
      <c r="AN969" s="103">
        <v>0</v>
      </c>
      <c r="AO969" s="103">
        <v>0</v>
      </c>
      <c r="AP969" s="6"/>
      <c r="AQ969" s="110"/>
      <c r="AR969" s="46">
        <v>1</v>
      </c>
      <c r="AS969" s="103">
        <v>1</v>
      </c>
      <c r="AT969" s="103">
        <v>3</v>
      </c>
      <c r="AU969" s="103">
        <v>7</v>
      </c>
      <c r="AV969" s="103">
        <v>3</v>
      </c>
      <c r="AW969" s="103">
        <v>0</v>
      </c>
      <c r="AX969" s="103">
        <v>1</v>
      </c>
      <c r="AY969" s="103">
        <v>1</v>
      </c>
      <c r="AZ969" s="103">
        <v>0</v>
      </c>
      <c r="BA969" s="103">
        <v>0</v>
      </c>
      <c r="BB969" s="103">
        <v>0</v>
      </c>
      <c r="BC969" s="42"/>
      <c r="BD969" s="110"/>
      <c r="BE969" s="46">
        <v>1</v>
      </c>
      <c r="BF969" s="103">
        <v>2</v>
      </c>
      <c r="BG969" s="103">
        <v>2</v>
      </c>
      <c r="BH969" s="103">
        <v>0</v>
      </c>
      <c r="BI969" s="103">
        <v>1</v>
      </c>
      <c r="BJ969" s="103">
        <v>1</v>
      </c>
      <c r="BK969" s="103">
        <v>0</v>
      </c>
      <c r="BL969" s="103">
        <v>0</v>
      </c>
      <c r="BM969" s="103">
        <v>0</v>
      </c>
      <c r="BN969" s="103">
        <v>0</v>
      </c>
      <c r="BO969" s="103">
        <v>0</v>
      </c>
      <c r="BQ969" s="110"/>
      <c r="BR969" s="46">
        <v>1</v>
      </c>
      <c r="BS969" s="103">
        <v>2</v>
      </c>
      <c r="BT969" s="103">
        <v>4</v>
      </c>
      <c r="BU969" s="103">
        <v>4</v>
      </c>
      <c r="BV969" s="103">
        <v>1</v>
      </c>
      <c r="BW969" s="103">
        <v>0</v>
      </c>
      <c r="BX969" s="103">
        <v>0</v>
      </c>
      <c r="BY969" s="103">
        <v>0</v>
      </c>
      <c r="BZ969" s="103">
        <v>0</v>
      </c>
      <c r="CA969" s="103">
        <v>0</v>
      </c>
      <c r="CB969" s="103">
        <v>0</v>
      </c>
      <c r="CC969" s="42"/>
      <c r="CD969" s="110"/>
      <c r="CE969" s="46">
        <v>1</v>
      </c>
      <c r="CF969" s="103">
        <v>1</v>
      </c>
      <c r="CG969" s="103">
        <v>1</v>
      </c>
      <c r="CH969" s="103">
        <v>3</v>
      </c>
      <c r="CI969" s="103">
        <v>3</v>
      </c>
      <c r="CJ969" s="103">
        <v>1</v>
      </c>
      <c r="CK969" s="103">
        <v>1</v>
      </c>
      <c r="CL969" s="103">
        <v>1</v>
      </c>
      <c r="CM969" s="103">
        <v>0</v>
      </c>
      <c r="CN969" s="103">
        <v>0</v>
      </c>
      <c r="CO969" s="103">
        <v>0</v>
      </c>
      <c r="CQ969" s="110"/>
      <c r="CR969" s="46">
        <v>1</v>
      </c>
      <c r="CS969" s="103">
        <v>1</v>
      </c>
      <c r="CT969" s="103">
        <v>1</v>
      </c>
      <c r="CU969" s="103">
        <v>2</v>
      </c>
      <c r="CV969" s="103">
        <v>2</v>
      </c>
      <c r="CW969" s="103">
        <v>1</v>
      </c>
      <c r="CX969" s="103">
        <v>1</v>
      </c>
      <c r="CY969" s="103">
        <v>1</v>
      </c>
      <c r="CZ969" s="103">
        <v>0</v>
      </c>
      <c r="DA969" s="103">
        <v>0</v>
      </c>
      <c r="DB969" s="103">
        <v>0</v>
      </c>
      <c r="DC969" s="42"/>
      <c r="DD969" s="110"/>
      <c r="DE969" s="46">
        <v>1</v>
      </c>
      <c r="DF969" s="103">
        <v>2</v>
      </c>
      <c r="DG969" s="103">
        <v>4</v>
      </c>
      <c r="DH969" s="103">
        <v>5</v>
      </c>
      <c r="DI969" s="103">
        <v>2</v>
      </c>
      <c r="DJ969" s="103">
        <v>0</v>
      </c>
      <c r="DK969" s="103">
        <v>0</v>
      </c>
      <c r="DL969" s="103">
        <v>0</v>
      </c>
      <c r="DM969" s="103">
        <v>0</v>
      </c>
      <c r="DN969" s="103">
        <v>0</v>
      </c>
      <c r="DO969" s="103">
        <v>0</v>
      </c>
    </row>
    <row r="970" spans="2:119" ht="16.5" customHeight="1" x14ac:dyDescent="0.45">
      <c r="B970" s="134"/>
      <c r="C970" s="42"/>
      <c r="D970" s="110"/>
      <c r="E970" s="46" t="s">
        <v>2</v>
      </c>
      <c r="F970" s="103">
        <v>33</v>
      </c>
      <c r="G970" s="103">
        <v>168</v>
      </c>
      <c r="H970" s="103">
        <v>291</v>
      </c>
      <c r="I970" s="103">
        <v>254</v>
      </c>
      <c r="J970" s="103">
        <v>58</v>
      </c>
      <c r="K970" s="103">
        <v>22</v>
      </c>
      <c r="L970" s="103">
        <v>9</v>
      </c>
      <c r="M970" s="103">
        <v>1</v>
      </c>
      <c r="N970" s="103">
        <v>0</v>
      </c>
      <c r="O970" s="103">
        <v>0</v>
      </c>
      <c r="P970" s="42"/>
      <c r="Q970" s="110"/>
      <c r="R970" s="46" t="s">
        <v>2</v>
      </c>
      <c r="S970" s="103">
        <v>14</v>
      </c>
      <c r="T970" s="103">
        <v>80</v>
      </c>
      <c r="U970" s="103">
        <v>145</v>
      </c>
      <c r="V970" s="103">
        <v>137</v>
      </c>
      <c r="W970" s="103">
        <v>33</v>
      </c>
      <c r="X970" s="103">
        <v>16</v>
      </c>
      <c r="Y970" s="103">
        <v>7</v>
      </c>
      <c r="Z970" s="103">
        <v>0</v>
      </c>
      <c r="AA970" s="103">
        <v>0</v>
      </c>
      <c r="AB970" s="103">
        <v>0</v>
      </c>
      <c r="AC970" s="42"/>
      <c r="AD970" s="110"/>
      <c r="AE970" s="46" t="s">
        <v>2</v>
      </c>
      <c r="AF970" s="103">
        <v>19</v>
      </c>
      <c r="AG970" s="103">
        <v>88</v>
      </c>
      <c r="AH970" s="103">
        <v>146</v>
      </c>
      <c r="AI970" s="103">
        <v>117</v>
      </c>
      <c r="AJ970" s="103">
        <v>25</v>
      </c>
      <c r="AK970" s="103">
        <v>6</v>
      </c>
      <c r="AL970" s="103">
        <v>2</v>
      </c>
      <c r="AM970" s="103">
        <v>1</v>
      </c>
      <c r="AN970" s="103">
        <v>0</v>
      </c>
      <c r="AO970" s="103">
        <v>0</v>
      </c>
      <c r="AP970" s="6"/>
      <c r="AQ970" s="110"/>
      <c r="AR970" s="46" t="s">
        <v>2</v>
      </c>
      <c r="AS970" s="103">
        <v>20</v>
      </c>
      <c r="AT970" s="103">
        <v>104</v>
      </c>
      <c r="AU970" s="103">
        <v>150</v>
      </c>
      <c r="AV970" s="103">
        <v>116</v>
      </c>
      <c r="AW970" s="103">
        <v>22</v>
      </c>
      <c r="AX970" s="103">
        <v>5</v>
      </c>
      <c r="AY970" s="103">
        <v>2</v>
      </c>
      <c r="AZ970" s="103">
        <v>1</v>
      </c>
      <c r="BA970" s="103">
        <v>0</v>
      </c>
      <c r="BB970" s="103">
        <v>0</v>
      </c>
      <c r="BC970" s="42"/>
      <c r="BD970" s="110"/>
      <c r="BE970" s="46" t="s">
        <v>2</v>
      </c>
      <c r="BF970" s="103">
        <v>13</v>
      </c>
      <c r="BG970" s="103">
        <v>64</v>
      </c>
      <c r="BH970" s="103">
        <v>141</v>
      </c>
      <c r="BI970" s="103">
        <v>138</v>
      </c>
      <c r="BJ970" s="103">
        <v>36</v>
      </c>
      <c r="BK970" s="103">
        <v>17</v>
      </c>
      <c r="BL970" s="103">
        <v>7</v>
      </c>
      <c r="BM970" s="103">
        <v>0</v>
      </c>
      <c r="BN970" s="103">
        <v>0</v>
      </c>
      <c r="BO970" s="103">
        <v>0</v>
      </c>
      <c r="BQ970" s="110"/>
      <c r="BR970" s="46" t="s">
        <v>2</v>
      </c>
      <c r="BS970" s="103">
        <v>23</v>
      </c>
      <c r="BT970" s="103">
        <v>134</v>
      </c>
      <c r="BU970" s="103">
        <v>212</v>
      </c>
      <c r="BV970" s="103">
        <v>177</v>
      </c>
      <c r="BW970" s="103">
        <v>38</v>
      </c>
      <c r="BX970" s="103">
        <v>11</v>
      </c>
      <c r="BY970" s="103">
        <v>3</v>
      </c>
      <c r="BZ970" s="103">
        <v>0</v>
      </c>
      <c r="CA970" s="103">
        <v>0</v>
      </c>
      <c r="CB970" s="103">
        <v>0</v>
      </c>
      <c r="CC970" s="42"/>
      <c r="CD970" s="110"/>
      <c r="CE970" s="46" t="s">
        <v>2</v>
      </c>
      <c r="CF970" s="103">
        <v>10</v>
      </c>
      <c r="CG970" s="103">
        <v>34</v>
      </c>
      <c r="CH970" s="103">
        <v>79</v>
      </c>
      <c r="CI970" s="103">
        <v>77</v>
      </c>
      <c r="CJ970" s="103">
        <v>20</v>
      </c>
      <c r="CK970" s="103">
        <v>11</v>
      </c>
      <c r="CL970" s="103">
        <v>6</v>
      </c>
      <c r="CM970" s="103">
        <v>1</v>
      </c>
      <c r="CN970" s="103">
        <v>0</v>
      </c>
      <c r="CO970" s="103">
        <v>0</v>
      </c>
      <c r="CQ970" s="110"/>
      <c r="CR970" s="46" t="s">
        <v>2</v>
      </c>
      <c r="CS970" s="103">
        <v>6</v>
      </c>
      <c r="CT970" s="103">
        <v>27</v>
      </c>
      <c r="CU970" s="103">
        <v>61</v>
      </c>
      <c r="CV970" s="103">
        <v>60</v>
      </c>
      <c r="CW970" s="103">
        <v>21</v>
      </c>
      <c r="CX970" s="103">
        <v>7</v>
      </c>
      <c r="CY970" s="103">
        <v>6</v>
      </c>
      <c r="CZ970" s="103">
        <v>0</v>
      </c>
      <c r="DA970" s="103">
        <v>0</v>
      </c>
      <c r="DB970" s="103">
        <v>0</v>
      </c>
      <c r="DC970" s="42"/>
      <c r="DD970" s="110"/>
      <c r="DE970" s="46" t="s">
        <v>2</v>
      </c>
      <c r="DF970" s="103">
        <v>27</v>
      </c>
      <c r="DG970" s="103">
        <v>141</v>
      </c>
      <c r="DH970" s="103">
        <v>230</v>
      </c>
      <c r="DI970" s="103">
        <v>194</v>
      </c>
      <c r="DJ970" s="103">
        <v>37</v>
      </c>
      <c r="DK970" s="103">
        <v>15</v>
      </c>
      <c r="DL970" s="103">
        <v>3</v>
      </c>
      <c r="DM970" s="103">
        <v>1</v>
      </c>
      <c r="DN970" s="103">
        <v>0</v>
      </c>
      <c r="DO970" s="103">
        <v>0</v>
      </c>
    </row>
    <row r="971" spans="2:119" ht="16.5" customHeight="1" x14ac:dyDescent="0.45">
      <c r="B971" s="134"/>
      <c r="C971" s="42"/>
      <c r="D971" s="110"/>
      <c r="E971" s="46" t="s">
        <v>3</v>
      </c>
      <c r="F971" s="103">
        <v>20</v>
      </c>
      <c r="G971" s="103">
        <v>79</v>
      </c>
      <c r="H971" s="103">
        <v>221</v>
      </c>
      <c r="I971" s="103">
        <v>206</v>
      </c>
      <c r="J971" s="103">
        <v>69</v>
      </c>
      <c r="K971" s="103">
        <v>26</v>
      </c>
      <c r="L971" s="103">
        <v>12</v>
      </c>
      <c r="M971" s="103">
        <v>2</v>
      </c>
      <c r="N971" s="103">
        <v>0</v>
      </c>
      <c r="O971" s="103">
        <v>0</v>
      </c>
      <c r="P971" s="42"/>
      <c r="Q971" s="110"/>
      <c r="R971" s="46" t="s">
        <v>3</v>
      </c>
      <c r="S971" s="103">
        <v>4</v>
      </c>
      <c r="T971" s="103">
        <v>35</v>
      </c>
      <c r="U971" s="103">
        <v>107</v>
      </c>
      <c r="V971" s="103">
        <v>126</v>
      </c>
      <c r="W971" s="103">
        <v>47</v>
      </c>
      <c r="X971" s="103">
        <v>21</v>
      </c>
      <c r="Y971" s="103">
        <v>12</v>
      </c>
      <c r="Z971" s="103">
        <v>2</v>
      </c>
      <c r="AA971" s="103">
        <v>0</v>
      </c>
      <c r="AB971" s="103">
        <v>0</v>
      </c>
      <c r="AC971" s="42"/>
      <c r="AD971" s="110"/>
      <c r="AE971" s="46" t="s">
        <v>3</v>
      </c>
      <c r="AF971" s="103">
        <v>16</v>
      </c>
      <c r="AG971" s="103">
        <v>44</v>
      </c>
      <c r="AH971" s="103">
        <v>114</v>
      </c>
      <c r="AI971" s="103">
        <v>80</v>
      </c>
      <c r="AJ971" s="103">
        <v>22</v>
      </c>
      <c r="AK971" s="103">
        <v>5</v>
      </c>
      <c r="AL971" s="103">
        <v>0</v>
      </c>
      <c r="AM971" s="103">
        <v>0</v>
      </c>
      <c r="AN971" s="103">
        <v>0</v>
      </c>
      <c r="AO971" s="103">
        <v>0</v>
      </c>
      <c r="AP971" s="6"/>
      <c r="AQ971" s="110"/>
      <c r="AR971" s="46" t="s">
        <v>3</v>
      </c>
      <c r="AS971" s="103">
        <v>11</v>
      </c>
      <c r="AT971" s="103">
        <v>48</v>
      </c>
      <c r="AU971" s="103">
        <v>103</v>
      </c>
      <c r="AV971" s="103">
        <v>83</v>
      </c>
      <c r="AW971" s="103">
        <v>26</v>
      </c>
      <c r="AX971" s="103">
        <v>6</v>
      </c>
      <c r="AY971" s="103">
        <v>2</v>
      </c>
      <c r="AZ971" s="103">
        <v>0</v>
      </c>
      <c r="BA971" s="103">
        <v>0</v>
      </c>
      <c r="BB971" s="103">
        <v>0</v>
      </c>
      <c r="BC971" s="42"/>
      <c r="BD971" s="110"/>
      <c r="BE971" s="46" t="s">
        <v>3</v>
      </c>
      <c r="BF971" s="103">
        <v>9</v>
      </c>
      <c r="BG971" s="103">
        <v>31</v>
      </c>
      <c r="BH971" s="103">
        <v>118</v>
      </c>
      <c r="BI971" s="103">
        <v>123</v>
      </c>
      <c r="BJ971" s="103">
        <v>43</v>
      </c>
      <c r="BK971" s="103">
        <v>20</v>
      </c>
      <c r="BL971" s="103">
        <v>10</v>
      </c>
      <c r="BM971" s="103">
        <v>2</v>
      </c>
      <c r="BN971" s="103">
        <v>0</v>
      </c>
      <c r="BO971" s="103">
        <v>0</v>
      </c>
      <c r="BQ971" s="110"/>
      <c r="BR971" s="46" t="s">
        <v>3</v>
      </c>
      <c r="BS971" s="103">
        <v>12</v>
      </c>
      <c r="BT971" s="103">
        <v>49</v>
      </c>
      <c r="BU971" s="103">
        <v>132</v>
      </c>
      <c r="BV971" s="103">
        <v>99</v>
      </c>
      <c r="BW971" s="103">
        <v>26</v>
      </c>
      <c r="BX971" s="103">
        <v>15</v>
      </c>
      <c r="BY971" s="103">
        <v>6</v>
      </c>
      <c r="BZ971" s="103">
        <v>1</v>
      </c>
      <c r="CA971" s="103">
        <v>0</v>
      </c>
      <c r="CB971" s="103">
        <v>0</v>
      </c>
      <c r="CC971" s="42"/>
      <c r="CD971" s="110"/>
      <c r="CE971" s="46" t="s">
        <v>3</v>
      </c>
      <c r="CF971" s="103">
        <v>8</v>
      </c>
      <c r="CG971" s="103">
        <v>30</v>
      </c>
      <c r="CH971" s="103">
        <v>89</v>
      </c>
      <c r="CI971" s="103">
        <v>107</v>
      </c>
      <c r="CJ971" s="103">
        <v>43</v>
      </c>
      <c r="CK971" s="103">
        <v>11</v>
      </c>
      <c r="CL971" s="103">
        <v>6</v>
      </c>
      <c r="CM971" s="103">
        <v>1</v>
      </c>
      <c r="CN971" s="103">
        <v>0</v>
      </c>
      <c r="CO971" s="103">
        <v>0</v>
      </c>
      <c r="CQ971" s="110"/>
      <c r="CR971" s="46" t="s">
        <v>3</v>
      </c>
      <c r="CS971" s="103">
        <v>7</v>
      </c>
      <c r="CT971" s="103">
        <v>16</v>
      </c>
      <c r="CU971" s="103">
        <v>38</v>
      </c>
      <c r="CV971" s="103">
        <v>36</v>
      </c>
      <c r="CW971" s="103">
        <v>11</v>
      </c>
      <c r="CX971" s="103">
        <v>4</v>
      </c>
      <c r="CY971" s="103">
        <v>2</v>
      </c>
      <c r="CZ971" s="103">
        <v>0</v>
      </c>
      <c r="DA971" s="103">
        <v>0</v>
      </c>
      <c r="DB971" s="103">
        <v>0</v>
      </c>
      <c r="DC971" s="42"/>
      <c r="DD971" s="110"/>
      <c r="DE971" s="46" t="s">
        <v>3</v>
      </c>
      <c r="DF971" s="103">
        <v>13</v>
      </c>
      <c r="DG971" s="103">
        <v>63</v>
      </c>
      <c r="DH971" s="103">
        <v>183</v>
      </c>
      <c r="DI971" s="103">
        <v>170</v>
      </c>
      <c r="DJ971" s="103">
        <v>58</v>
      </c>
      <c r="DK971" s="103">
        <v>22</v>
      </c>
      <c r="DL971" s="103">
        <v>10</v>
      </c>
      <c r="DM971" s="103">
        <v>2</v>
      </c>
      <c r="DN971" s="103">
        <v>0</v>
      </c>
      <c r="DO971" s="103">
        <v>0</v>
      </c>
    </row>
    <row r="972" spans="2:119" ht="16.5" customHeight="1" x14ac:dyDescent="0.45">
      <c r="B972" s="134"/>
      <c r="C972" s="42"/>
      <c r="D972" s="110"/>
      <c r="E972" s="46" t="s">
        <v>4</v>
      </c>
      <c r="F972" s="103">
        <v>22</v>
      </c>
      <c r="G972" s="103">
        <v>110</v>
      </c>
      <c r="H972" s="103">
        <v>250</v>
      </c>
      <c r="I972" s="103">
        <v>378</v>
      </c>
      <c r="J972" s="103">
        <v>162</v>
      </c>
      <c r="K972" s="103">
        <v>80</v>
      </c>
      <c r="L972" s="103">
        <v>25</v>
      </c>
      <c r="M972" s="103">
        <v>4</v>
      </c>
      <c r="N972" s="103">
        <v>0</v>
      </c>
      <c r="O972" s="103">
        <v>1</v>
      </c>
      <c r="P972" s="42"/>
      <c r="Q972" s="110"/>
      <c r="R972" s="46" t="s">
        <v>4</v>
      </c>
      <c r="S972" s="103">
        <v>14</v>
      </c>
      <c r="T972" s="103">
        <v>49</v>
      </c>
      <c r="U972" s="103">
        <v>138</v>
      </c>
      <c r="V972" s="103">
        <v>237</v>
      </c>
      <c r="W972" s="103">
        <v>111</v>
      </c>
      <c r="X972" s="103">
        <v>56</v>
      </c>
      <c r="Y972" s="103">
        <v>22</v>
      </c>
      <c r="Z972" s="103">
        <v>3</v>
      </c>
      <c r="AA972" s="103">
        <v>0</v>
      </c>
      <c r="AB972" s="103">
        <v>1</v>
      </c>
      <c r="AC972" s="42"/>
      <c r="AD972" s="110"/>
      <c r="AE972" s="46" t="s">
        <v>4</v>
      </c>
      <c r="AF972" s="103">
        <v>8</v>
      </c>
      <c r="AG972" s="103">
        <v>61</v>
      </c>
      <c r="AH972" s="103">
        <v>112</v>
      </c>
      <c r="AI972" s="103">
        <v>141</v>
      </c>
      <c r="AJ972" s="103">
        <v>51</v>
      </c>
      <c r="AK972" s="103">
        <v>24</v>
      </c>
      <c r="AL972" s="103">
        <v>3</v>
      </c>
      <c r="AM972" s="103">
        <v>1</v>
      </c>
      <c r="AN972" s="103">
        <v>0</v>
      </c>
      <c r="AO972" s="103">
        <v>0</v>
      </c>
      <c r="AP972" s="6"/>
      <c r="AQ972" s="110"/>
      <c r="AR972" s="46" t="s">
        <v>4</v>
      </c>
      <c r="AS972" s="103">
        <v>7</v>
      </c>
      <c r="AT972" s="103">
        <v>59</v>
      </c>
      <c r="AU972" s="103">
        <v>103</v>
      </c>
      <c r="AV972" s="103">
        <v>179</v>
      </c>
      <c r="AW972" s="103">
        <v>59</v>
      </c>
      <c r="AX972" s="103">
        <v>23</v>
      </c>
      <c r="AY972" s="103">
        <v>6</v>
      </c>
      <c r="AZ972" s="103">
        <v>1</v>
      </c>
      <c r="BA972" s="103">
        <v>0</v>
      </c>
      <c r="BB972" s="103">
        <v>0</v>
      </c>
      <c r="BC972" s="42"/>
      <c r="BD972" s="110"/>
      <c r="BE972" s="46" t="s">
        <v>4</v>
      </c>
      <c r="BF972" s="103">
        <v>15</v>
      </c>
      <c r="BG972" s="103">
        <v>51</v>
      </c>
      <c r="BH972" s="103">
        <v>147</v>
      </c>
      <c r="BI972" s="103">
        <v>199</v>
      </c>
      <c r="BJ972" s="103">
        <v>103</v>
      </c>
      <c r="BK972" s="103">
        <v>57</v>
      </c>
      <c r="BL972" s="103">
        <v>19</v>
      </c>
      <c r="BM972" s="103">
        <v>3</v>
      </c>
      <c r="BN972" s="103">
        <v>0</v>
      </c>
      <c r="BO972" s="103">
        <v>1</v>
      </c>
      <c r="BQ972" s="110"/>
      <c r="BR972" s="46" t="s">
        <v>4</v>
      </c>
      <c r="BS972" s="103">
        <v>6</v>
      </c>
      <c r="BT972" s="103">
        <v>54</v>
      </c>
      <c r="BU972" s="103">
        <v>121</v>
      </c>
      <c r="BV972" s="103">
        <v>160</v>
      </c>
      <c r="BW972" s="103">
        <v>57</v>
      </c>
      <c r="BX972" s="103">
        <v>36</v>
      </c>
      <c r="BY972" s="103">
        <v>6</v>
      </c>
      <c r="BZ972" s="103">
        <v>2</v>
      </c>
      <c r="CA972" s="103">
        <v>0</v>
      </c>
      <c r="CB972" s="103">
        <v>1</v>
      </c>
      <c r="CC972" s="42"/>
      <c r="CD972" s="110"/>
      <c r="CE972" s="46" t="s">
        <v>4</v>
      </c>
      <c r="CF972" s="103">
        <v>16</v>
      </c>
      <c r="CG972" s="103">
        <v>56</v>
      </c>
      <c r="CH972" s="103">
        <v>129</v>
      </c>
      <c r="CI972" s="103">
        <v>218</v>
      </c>
      <c r="CJ972" s="103">
        <v>105</v>
      </c>
      <c r="CK972" s="103">
        <v>44</v>
      </c>
      <c r="CL972" s="103">
        <v>19</v>
      </c>
      <c r="CM972" s="103">
        <v>2</v>
      </c>
      <c r="CN972" s="103">
        <v>0</v>
      </c>
      <c r="CO972" s="103">
        <v>0</v>
      </c>
      <c r="CQ972" s="110"/>
      <c r="CR972" s="46" t="s">
        <v>4</v>
      </c>
      <c r="CS972" s="103">
        <v>6</v>
      </c>
      <c r="CT972" s="103">
        <v>11</v>
      </c>
      <c r="CU972" s="103">
        <v>32</v>
      </c>
      <c r="CV972" s="103">
        <v>77</v>
      </c>
      <c r="CW972" s="103">
        <v>35</v>
      </c>
      <c r="CX972" s="103">
        <v>14</v>
      </c>
      <c r="CY972" s="103">
        <v>5</v>
      </c>
      <c r="CZ972" s="103">
        <v>0</v>
      </c>
      <c r="DA972" s="103">
        <v>0</v>
      </c>
      <c r="DB972" s="103">
        <v>0</v>
      </c>
      <c r="DC972" s="42"/>
      <c r="DD972" s="110"/>
      <c r="DE972" s="46" t="s">
        <v>4</v>
      </c>
      <c r="DF972" s="103">
        <v>16</v>
      </c>
      <c r="DG972" s="103">
        <v>99</v>
      </c>
      <c r="DH972" s="103">
        <v>218</v>
      </c>
      <c r="DI972" s="103">
        <v>301</v>
      </c>
      <c r="DJ972" s="103">
        <v>127</v>
      </c>
      <c r="DK972" s="103">
        <v>66</v>
      </c>
      <c r="DL972" s="103">
        <v>20</v>
      </c>
      <c r="DM972" s="103">
        <v>4</v>
      </c>
      <c r="DN972" s="103">
        <v>0</v>
      </c>
      <c r="DO972" s="103">
        <v>1</v>
      </c>
    </row>
    <row r="973" spans="2:119" ht="16.5" customHeight="1" x14ac:dyDescent="0.45">
      <c r="B973" s="134"/>
      <c r="C973" s="42"/>
      <c r="D973" s="110"/>
      <c r="E973" s="46" t="s">
        <v>5</v>
      </c>
      <c r="F973" s="103">
        <v>31</v>
      </c>
      <c r="G973" s="103">
        <v>125</v>
      </c>
      <c r="H973" s="103">
        <v>415</v>
      </c>
      <c r="I973" s="103">
        <v>697</v>
      </c>
      <c r="J973" s="103">
        <v>366</v>
      </c>
      <c r="K973" s="103">
        <v>210</v>
      </c>
      <c r="L973" s="103">
        <v>93</v>
      </c>
      <c r="M973" s="103">
        <v>21</v>
      </c>
      <c r="N973" s="103">
        <v>10</v>
      </c>
      <c r="O973" s="103">
        <v>1</v>
      </c>
      <c r="P973" s="42"/>
      <c r="Q973" s="110"/>
      <c r="R973" s="46" t="s">
        <v>5</v>
      </c>
      <c r="S973" s="103">
        <v>8</v>
      </c>
      <c r="T973" s="103">
        <v>68</v>
      </c>
      <c r="U973" s="103">
        <v>192</v>
      </c>
      <c r="V973" s="103">
        <v>443</v>
      </c>
      <c r="W973" s="103">
        <v>260</v>
      </c>
      <c r="X973" s="103">
        <v>163</v>
      </c>
      <c r="Y973" s="103">
        <v>75</v>
      </c>
      <c r="Z973" s="103">
        <v>16</v>
      </c>
      <c r="AA973" s="103">
        <v>5</v>
      </c>
      <c r="AB973" s="103">
        <v>0</v>
      </c>
      <c r="AC973" s="42"/>
      <c r="AD973" s="110"/>
      <c r="AE973" s="46" t="s">
        <v>5</v>
      </c>
      <c r="AF973" s="103">
        <v>23</v>
      </c>
      <c r="AG973" s="103">
        <v>57</v>
      </c>
      <c r="AH973" s="103">
        <v>223</v>
      </c>
      <c r="AI973" s="103">
        <v>254</v>
      </c>
      <c r="AJ973" s="103">
        <v>106</v>
      </c>
      <c r="AK973" s="103">
        <v>47</v>
      </c>
      <c r="AL973" s="103">
        <v>18</v>
      </c>
      <c r="AM973" s="103">
        <v>5</v>
      </c>
      <c r="AN973" s="103">
        <v>5</v>
      </c>
      <c r="AO973" s="103">
        <v>1</v>
      </c>
      <c r="AP973" s="6"/>
      <c r="AQ973" s="110"/>
      <c r="AR973" s="46" t="s">
        <v>5</v>
      </c>
      <c r="AS973" s="103">
        <v>16</v>
      </c>
      <c r="AT973" s="103">
        <v>76</v>
      </c>
      <c r="AU973" s="103">
        <v>173</v>
      </c>
      <c r="AV973" s="103">
        <v>269</v>
      </c>
      <c r="AW973" s="103">
        <v>108</v>
      </c>
      <c r="AX973" s="103">
        <v>61</v>
      </c>
      <c r="AY973" s="103">
        <v>24</v>
      </c>
      <c r="AZ973" s="103">
        <v>8</v>
      </c>
      <c r="BA973" s="103">
        <v>4</v>
      </c>
      <c r="BB973" s="103">
        <v>0</v>
      </c>
      <c r="BC973" s="42"/>
      <c r="BD973" s="110"/>
      <c r="BE973" s="46" t="s">
        <v>5</v>
      </c>
      <c r="BF973" s="103">
        <v>15</v>
      </c>
      <c r="BG973" s="103">
        <v>49</v>
      </c>
      <c r="BH973" s="103">
        <v>242</v>
      </c>
      <c r="BI973" s="103">
        <v>428</v>
      </c>
      <c r="BJ973" s="103">
        <v>258</v>
      </c>
      <c r="BK973" s="103">
        <v>149</v>
      </c>
      <c r="BL973" s="103">
        <v>69</v>
      </c>
      <c r="BM973" s="103">
        <v>13</v>
      </c>
      <c r="BN973" s="103">
        <v>6</v>
      </c>
      <c r="BO973" s="103">
        <v>1</v>
      </c>
      <c r="BQ973" s="110"/>
      <c r="BR973" s="46" t="s">
        <v>5</v>
      </c>
      <c r="BS973" s="103">
        <v>11</v>
      </c>
      <c r="BT973" s="103">
        <v>44</v>
      </c>
      <c r="BU973" s="103">
        <v>156</v>
      </c>
      <c r="BV973" s="103">
        <v>212</v>
      </c>
      <c r="BW973" s="103">
        <v>89</v>
      </c>
      <c r="BX973" s="103">
        <v>46</v>
      </c>
      <c r="BY973" s="103">
        <v>17</v>
      </c>
      <c r="BZ973" s="103">
        <v>4</v>
      </c>
      <c r="CA973" s="103">
        <v>3</v>
      </c>
      <c r="CB973" s="103">
        <v>1</v>
      </c>
      <c r="CC973" s="42"/>
      <c r="CD973" s="110"/>
      <c r="CE973" s="46" t="s">
        <v>5</v>
      </c>
      <c r="CF973" s="103">
        <v>20</v>
      </c>
      <c r="CG973" s="103">
        <v>81</v>
      </c>
      <c r="CH973" s="103">
        <v>259</v>
      </c>
      <c r="CI973" s="103">
        <v>485</v>
      </c>
      <c r="CJ973" s="103">
        <v>277</v>
      </c>
      <c r="CK973" s="103">
        <v>164</v>
      </c>
      <c r="CL973" s="103">
        <v>76</v>
      </c>
      <c r="CM973" s="103">
        <v>17</v>
      </c>
      <c r="CN973" s="103">
        <v>7</v>
      </c>
      <c r="CO973" s="103">
        <v>0</v>
      </c>
      <c r="CQ973" s="110"/>
      <c r="CR973" s="46" t="s">
        <v>5</v>
      </c>
      <c r="CS973" s="103">
        <v>7</v>
      </c>
      <c r="CT973" s="103">
        <v>13</v>
      </c>
      <c r="CU973" s="103">
        <v>49</v>
      </c>
      <c r="CV973" s="103">
        <v>108</v>
      </c>
      <c r="CW973" s="103">
        <v>64</v>
      </c>
      <c r="CX973" s="103">
        <v>31</v>
      </c>
      <c r="CY973" s="103">
        <v>7</v>
      </c>
      <c r="CZ973" s="103">
        <v>4</v>
      </c>
      <c r="DA973" s="103">
        <v>1</v>
      </c>
      <c r="DB973" s="103">
        <v>0</v>
      </c>
      <c r="DC973" s="42"/>
      <c r="DD973" s="110"/>
      <c r="DE973" s="46" t="s">
        <v>5</v>
      </c>
      <c r="DF973" s="103">
        <v>24</v>
      </c>
      <c r="DG973" s="103">
        <v>112</v>
      </c>
      <c r="DH973" s="103">
        <v>366</v>
      </c>
      <c r="DI973" s="103">
        <v>589</v>
      </c>
      <c r="DJ973" s="103">
        <v>302</v>
      </c>
      <c r="DK973" s="103">
        <v>179</v>
      </c>
      <c r="DL973" s="103">
        <v>86</v>
      </c>
      <c r="DM973" s="103">
        <v>17</v>
      </c>
      <c r="DN973" s="103">
        <v>9</v>
      </c>
      <c r="DO973" s="103">
        <v>1</v>
      </c>
    </row>
    <row r="974" spans="2:119" ht="16.5" customHeight="1" x14ac:dyDescent="0.45">
      <c r="B974" s="134"/>
      <c r="C974" s="42"/>
      <c r="D974" s="110"/>
      <c r="E974" s="46" t="s">
        <v>6</v>
      </c>
      <c r="F974" s="103">
        <v>46</v>
      </c>
      <c r="G974" s="103">
        <v>166</v>
      </c>
      <c r="H974" s="103">
        <v>644</v>
      </c>
      <c r="I974" s="103">
        <v>1330</v>
      </c>
      <c r="J974" s="103">
        <v>866</v>
      </c>
      <c r="K974" s="103">
        <v>624</v>
      </c>
      <c r="L974" s="103">
        <v>329</v>
      </c>
      <c r="M974" s="103">
        <v>71</v>
      </c>
      <c r="N974" s="103">
        <v>35</v>
      </c>
      <c r="O974" s="103">
        <v>3</v>
      </c>
      <c r="P974" s="42"/>
      <c r="Q974" s="110"/>
      <c r="R974" s="46" t="s">
        <v>6</v>
      </c>
      <c r="S974" s="103">
        <v>19</v>
      </c>
      <c r="T974" s="103">
        <v>75</v>
      </c>
      <c r="U974" s="103">
        <v>308</v>
      </c>
      <c r="V974" s="103">
        <v>777</v>
      </c>
      <c r="W974" s="103">
        <v>586</v>
      </c>
      <c r="X974" s="103">
        <v>468</v>
      </c>
      <c r="Y974" s="103">
        <v>268</v>
      </c>
      <c r="Z974" s="103">
        <v>60</v>
      </c>
      <c r="AA974" s="103">
        <v>30</v>
      </c>
      <c r="AB974" s="103">
        <v>2</v>
      </c>
      <c r="AC974" s="42"/>
      <c r="AD974" s="110"/>
      <c r="AE974" s="46" t="s">
        <v>6</v>
      </c>
      <c r="AF974" s="103">
        <v>27</v>
      </c>
      <c r="AG974" s="103">
        <v>91</v>
      </c>
      <c r="AH974" s="103">
        <v>336</v>
      </c>
      <c r="AI974" s="103">
        <v>553</v>
      </c>
      <c r="AJ974" s="103">
        <v>280</v>
      </c>
      <c r="AK974" s="103">
        <v>156</v>
      </c>
      <c r="AL974" s="103">
        <v>61</v>
      </c>
      <c r="AM974" s="103">
        <v>11</v>
      </c>
      <c r="AN974" s="103">
        <v>5</v>
      </c>
      <c r="AO974" s="103">
        <v>1</v>
      </c>
      <c r="AP974" s="6"/>
      <c r="AQ974" s="110"/>
      <c r="AR974" s="46" t="s">
        <v>6</v>
      </c>
      <c r="AS974" s="103">
        <v>25</v>
      </c>
      <c r="AT974" s="103">
        <v>78</v>
      </c>
      <c r="AU974" s="103">
        <v>285</v>
      </c>
      <c r="AV974" s="103">
        <v>502</v>
      </c>
      <c r="AW974" s="103">
        <v>252</v>
      </c>
      <c r="AX974" s="103">
        <v>176</v>
      </c>
      <c r="AY974" s="103">
        <v>86</v>
      </c>
      <c r="AZ974" s="103">
        <v>15</v>
      </c>
      <c r="BA974" s="103">
        <v>9</v>
      </c>
      <c r="BB974" s="103">
        <v>1</v>
      </c>
      <c r="BC974" s="42"/>
      <c r="BD974" s="110"/>
      <c r="BE974" s="46" t="s">
        <v>6</v>
      </c>
      <c r="BF974" s="103">
        <v>21</v>
      </c>
      <c r="BG974" s="103">
        <v>88</v>
      </c>
      <c r="BH974" s="103">
        <v>359</v>
      </c>
      <c r="BI974" s="103">
        <v>828</v>
      </c>
      <c r="BJ974" s="103">
        <v>614</v>
      </c>
      <c r="BK974" s="103">
        <v>448</v>
      </c>
      <c r="BL974" s="103">
        <v>243</v>
      </c>
      <c r="BM974" s="103">
        <v>56</v>
      </c>
      <c r="BN974" s="103">
        <v>26</v>
      </c>
      <c r="BO974" s="103">
        <v>2</v>
      </c>
      <c r="BQ974" s="110"/>
      <c r="BR974" s="46" t="s">
        <v>6</v>
      </c>
      <c r="BS974" s="103">
        <v>15</v>
      </c>
      <c r="BT974" s="103">
        <v>50</v>
      </c>
      <c r="BU974" s="103">
        <v>183</v>
      </c>
      <c r="BV974" s="103">
        <v>307</v>
      </c>
      <c r="BW974" s="103">
        <v>155</v>
      </c>
      <c r="BX974" s="103">
        <v>81</v>
      </c>
      <c r="BY974" s="103">
        <v>51</v>
      </c>
      <c r="BZ974" s="103">
        <v>10</v>
      </c>
      <c r="CA974" s="103">
        <v>5</v>
      </c>
      <c r="CB974" s="103">
        <v>2</v>
      </c>
      <c r="CC974" s="42"/>
      <c r="CD974" s="110"/>
      <c r="CE974" s="46" t="s">
        <v>6</v>
      </c>
      <c r="CF974" s="103">
        <v>31</v>
      </c>
      <c r="CG974" s="103">
        <v>116</v>
      </c>
      <c r="CH974" s="103">
        <v>461</v>
      </c>
      <c r="CI974" s="103">
        <v>1023</v>
      </c>
      <c r="CJ974" s="103">
        <v>711</v>
      </c>
      <c r="CK974" s="103">
        <v>543</v>
      </c>
      <c r="CL974" s="103">
        <v>278</v>
      </c>
      <c r="CM974" s="103">
        <v>61</v>
      </c>
      <c r="CN974" s="103">
        <v>30</v>
      </c>
      <c r="CO974" s="103">
        <v>1</v>
      </c>
      <c r="CQ974" s="110"/>
      <c r="CR974" s="46" t="s">
        <v>6</v>
      </c>
      <c r="CS974" s="103">
        <v>2</v>
      </c>
      <c r="CT974" s="103">
        <v>23</v>
      </c>
      <c r="CU974" s="103">
        <v>69</v>
      </c>
      <c r="CV974" s="103">
        <v>162</v>
      </c>
      <c r="CW974" s="103">
        <v>110</v>
      </c>
      <c r="CX974" s="103">
        <v>83</v>
      </c>
      <c r="CY974" s="103">
        <v>43</v>
      </c>
      <c r="CZ974" s="103">
        <v>12</v>
      </c>
      <c r="DA974" s="103">
        <v>7</v>
      </c>
      <c r="DB974" s="103">
        <v>0</v>
      </c>
      <c r="DC974" s="42"/>
      <c r="DD974" s="110"/>
      <c r="DE974" s="46" t="s">
        <v>6</v>
      </c>
      <c r="DF974" s="103">
        <v>44</v>
      </c>
      <c r="DG974" s="103">
        <v>143</v>
      </c>
      <c r="DH974" s="103">
        <v>575</v>
      </c>
      <c r="DI974" s="103">
        <v>1168</v>
      </c>
      <c r="DJ974" s="103">
        <v>756</v>
      </c>
      <c r="DK974" s="103">
        <v>541</v>
      </c>
      <c r="DL974" s="103">
        <v>286</v>
      </c>
      <c r="DM974" s="103">
        <v>59</v>
      </c>
      <c r="DN974" s="103">
        <v>28</v>
      </c>
      <c r="DO974" s="103">
        <v>3</v>
      </c>
    </row>
    <row r="975" spans="2:119" ht="16.5" customHeight="1" x14ac:dyDescent="0.45">
      <c r="B975" s="134"/>
      <c r="C975" s="42"/>
      <c r="D975" s="110"/>
      <c r="E975" s="46" t="s">
        <v>7</v>
      </c>
      <c r="F975" s="103">
        <v>47</v>
      </c>
      <c r="G975" s="103">
        <v>232</v>
      </c>
      <c r="H975" s="103">
        <v>780</v>
      </c>
      <c r="I975" s="103">
        <v>2174</v>
      </c>
      <c r="J975" s="103">
        <v>1662</v>
      </c>
      <c r="K975" s="103">
        <v>1450</v>
      </c>
      <c r="L975" s="103">
        <v>904</v>
      </c>
      <c r="M975" s="103">
        <v>308</v>
      </c>
      <c r="N975" s="103">
        <v>112</v>
      </c>
      <c r="O975" s="103">
        <v>25</v>
      </c>
      <c r="P975" s="42"/>
      <c r="Q975" s="110"/>
      <c r="R975" s="46" t="s">
        <v>7</v>
      </c>
      <c r="S975" s="103">
        <v>17</v>
      </c>
      <c r="T975" s="103">
        <v>72</v>
      </c>
      <c r="U975" s="103">
        <v>339</v>
      </c>
      <c r="V975" s="103">
        <v>1193</v>
      </c>
      <c r="W975" s="103">
        <v>1059</v>
      </c>
      <c r="X975" s="103">
        <v>1095</v>
      </c>
      <c r="Y975" s="103">
        <v>719</v>
      </c>
      <c r="Z975" s="103">
        <v>265</v>
      </c>
      <c r="AA975" s="103">
        <v>92</v>
      </c>
      <c r="AB975" s="103">
        <v>21</v>
      </c>
      <c r="AC975" s="42"/>
      <c r="AD975" s="110"/>
      <c r="AE975" s="46" t="s">
        <v>7</v>
      </c>
      <c r="AF975" s="103">
        <v>30</v>
      </c>
      <c r="AG975" s="103">
        <v>160</v>
      </c>
      <c r="AH975" s="103">
        <v>441</v>
      </c>
      <c r="AI975" s="103">
        <v>981</v>
      </c>
      <c r="AJ975" s="103">
        <v>603</v>
      </c>
      <c r="AK975" s="103">
        <v>355</v>
      </c>
      <c r="AL975" s="103">
        <v>185</v>
      </c>
      <c r="AM975" s="103">
        <v>43</v>
      </c>
      <c r="AN975" s="103">
        <v>20</v>
      </c>
      <c r="AO975" s="103">
        <v>4</v>
      </c>
      <c r="AP975" s="6"/>
      <c r="AQ975" s="110"/>
      <c r="AR975" s="46" t="s">
        <v>7</v>
      </c>
      <c r="AS975" s="103">
        <v>24</v>
      </c>
      <c r="AT975" s="103">
        <v>122</v>
      </c>
      <c r="AU975" s="103">
        <v>322</v>
      </c>
      <c r="AV975" s="103">
        <v>756</v>
      </c>
      <c r="AW975" s="103">
        <v>474</v>
      </c>
      <c r="AX975" s="103">
        <v>377</v>
      </c>
      <c r="AY975" s="103">
        <v>192</v>
      </c>
      <c r="AZ975" s="103">
        <v>51</v>
      </c>
      <c r="BA975" s="103">
        <v>17</v>
      </c>
      <c r="BB975" s="103">
        <v>3</v>
      </c>
      <c r="BC975" s="42"/>
      <c r="BD975" s="110"/>
      <c r="BE975" s="46" t="s">
        <v>7</v>
      </c>
      <c r="BF975" s="103">
        <v>23</v>
      </c>
      <c r="BG975" s="103">
        <v>110</v>
      </c>
      <c r="BH975" s="103">
        <v>458</v>
      </c>
      <c r="BI975" s="103">
        <v>1418</v>
      </c>
      <c r="BJ975" s="103">
        <v>1188</v>
      </c>
      <c r="BK975" s="103">
        <v>1073</v>
      </c>
      <c r="BL975" s="103">
        <v>712</v>
      </c>
      <c r="BM975" s="103">
        <v>257</v>
      </c>
      <c r="BN975" s="103">
        <v>95</v>
      </c>
      <c r="BO975" s="103">
        <v>22</v>
      </c>
      <c r="BQ975" s="110"/>
      <c r="BR975" s="46" t="s">
        <v>7</v>
      </c>
      <c r="BS975" s="103">
        <v>13</v>
      </c>
      <c r="BT975" s="103">
        <v>61</v>
      </c>
      <c r="BU975" s="103">
        <v>156</v>
      </c>
      <c r="BV975" s="103">
        <v>351</v>
      </c>
      <c r="BW975" s="103">
        <v>230</v>
      </c>
      <c r="BX975" s="103">
        <v>136</v>
      </c>
      <c r="BY975" s="103">
        <v>94</v>
      </c>
      <c r="BZ975" s="103">
        <v>23</v>
      </c>
      <c r="CA975" s="103">
        <v>10</v>
      </c>
      <c r="CB975" s="103">
        <v>2</v>
      </c>
      <c r="CC975" s="42"/>
      <c r="CD975" s="110"/>
      <c r="CE975" s="46" t="s">
        <v>7</v>
      </c>
      <c r="CF975" s="103">
        <v>34</v>
      </c>
      <c r="CG975" s="103">
        <v>171</v>
      </c>
      <c r="CH975" s="103">
        <v>624</v>
      </c>
      <c r="CI975" s="103">
        <v>1823</v>
      </c>
      <c r="CJ975" s="103">
        <v>1432</v>
      </c>
      <c r="CK975" s="103">
        <v>1314</v>
      </c>
      <c r="CL975" s="103">
        <v>810</v>
      </c>
      <c r="CM975" s="103">
        <v>285</v>
      </c>
      <c r="CN975" s="103">
        <v>102</v>
      </c>
      <c r="CO975" s="103">
        <v>23</v>
      </c>
      <c r="CQ975" s="110"/>
      <c r="CR975" s="46" t="s">
        <v>7</v>
      </c>
      <c r="CS975" s="103">
        <v>5</v>
      </c>
      <c r="CT975" s="103">
        <v>27</v>
      </c>
      <c r="CU975" s="103">
        <v>81</v>
      </c>
      <c r="CV975" s="103">
        <v>252</v>
      </c>
      <c r="CW975" s="103">
        <v>188</v>
      </c>
      <c r="CX975" s="103">
        <v>173</v>
      </c>
      <c r="CY975" s="103">
        <v>115</v>
      </c>
      <c r="CZ975" s="103">
        <v>40</v>
      </c>
      <c r="DA975" s="103">
        <v>8</v>
      </c>
      <c r="DB975" s="103">
        <v>4</v>
      </c>
      <c r="DC975" s="42"/>
      <c r="DD975" s="110"/>
      <c r="DE975" s="46" t="s">
        <v>7</v>
      </c>
      <c r="DF975" s="103">
        <v>42</v>
      </c>
      <c r="DG975" s="103">
        <v>205</v>
      </c>
      <c r="DH975" s="103">
        <v>699</v>
      </c>
      <c r="DI975" s="103">
        <v>1922</v>
      </c>
      <c r="DJ975" s="103">
        <v>1474</v>
      </c>
      <c r="DK975" s="103">
        <v>1277</v>
      </c>
      <c r="DL975" s="103">
        <v>789</v>
      </c>
      <c r="DM975" s="103">
        <v>268</v>
      </c>
      <c r="DN975" s="103">
        <v>104</v>
      </c>
      <c r="DO975" s="103">
        <v>21</v>
      </c>
    </row>
    <row r="976" spans="2:119" ht="16.5" customHeight="1" x14ac:dyDescent="0.45">
      <c r="B976" s="134"/>
      <c r="C976" s="42"/>
      <c r="D976" s="110"/>
      <c r="E976" s="46" t="s">
        <v>8</v>
      </c>
      <c r="F976" s="103">
        <v>38</v>
      </c>
      <c r="G976" s="103">
        <v>146</v>
      </c>
      <c r="H976" s="103">
        <v>572</v>
      </c>
      <c r="I976" s="103">
        <v>1937</v>
      </c>
      <c r="J976" s="103">
        <v>2036</v>
      </c>
      <c r="K976" s="103">
        <v>2390</v>
      </c>
      <c r="L976" s="103">
        <v>2009</v>
      </c>
      <c r="M976" s="103">
        <v>757</v>
      </c>
      <c r="N976" s="103">
        <v>402</v>
      </c>
      <c r="O976" s="103">
        <v>129</v>
      </c>
      <c r="P976" s="42"/>
      <c r="Q976" s="110"/>
      <c r="R976" s="46" t="s">
        <v>8</v>
      </c>
      <c r="S976" s="103">
        <v>11</v>
      </c>
      <c r="T976" s="103">
        <v>46</v>
      </c>
      <c r="U976" s="103">
        <v>215</v>
      </c>
      <c r="V976" s="103">
        <v>954</v>
      </c>
      <c r="W976" s="103">
        <v>1251</v>
      </c>
      <c r="X976" s="103">
        <v>1714</v>
      </c>
      <c r="Y976" s="103">
        <v>1544</v>
      </c>
      <c r="Z976" s="103">
        <v>636</v>
      </c>
      <c r="AA976" s="103">
        <v>351</v>
      </c>
      <c r="AB976" s="103">
        <v>111</v>
      </c>
      <c r="AC976" s="42"/>
      <c r="AD976" s="110"/>
      <c r="AE976" s="46" t="s">
        <v>8</v>
      </c>
      <c r="AF976" s="103">
        <v>27</v>
      </c>
      <c r="AG976" s="103">
        <v>100</v>
      </c>
      <c r="AH976" s="103">
        <v>357</v>
      </c>
      <c r="AI976" s="103">
        <v>983</v>
      </c>
      <c r="AJ976" s="103">
        <v>785</v>
      </c>
      <c r="AK976" s="103">
        <v>676</v>
      </c>
      <c r="AL976" s="103">
        <v>465</v>
      </c>
      <c r="AM976" s="103">
        <v>121</v>
      </c>
      <c r="AN976" s="103">
        <v>51</v>
      </c>
      <c r="AO976" s="103">
        <v>18</v>
      </c>
      <c r="AP976" s="6"/>
      <c r="AQ976" s="110"/>
      <c r="AR976" s="46" t="s">
        <v>8</v>
      </c>
      <c r="AS976" s="103">
        <v>26</v>
      </c>
      <c r="AT976" s="103">
        <v>79</v>
      </c>
      <c r="AU976" s="103">
        <v>212</v>
      </c>
      <c r="AV976" s="103">
        <v>640</v>
      </c>
      <c r="AW976" s="103">
        <v>533</v>
      </c>
      <c r="AX976" s="103">
        <v>562</v>
      </c>
      <c r="AY976" s="103">
        <v>389</v>
      </c>
      <c r="AZ976" s="103">
        <v>127</v>
      </c>
      <c r="BA976" s="103">
        <v>61</v>
      </c>
      <c r="BB976" s="103">
        <v>12</v>
      </c>
      <c r="BC976" s="42"/>
      <c r="BD976" s="110"/>
      <c r="BE976" s="46" t="s">
        <v>8</v>
      </c>
      <c r="BF976" s="103">
        <v>12</v>
      </c>
      <c r="BG976" s="103">
        <v>67</v>
      </c>
      <c r="BH976" s="103">
        <v>360</v>
      </c>
      <c r="BI976" s="103">
        <v>1297</v>
      </c>
      <c r="BJ976" s="103">
        <v>1503</v>
      </c>
      <c r="BK976" s="103">
        <v>1828</v>
      </c>
      <c r="BL976" s="103">
        <v>1620</v>
      </c>
      <c r="BM976" s="103">
        <v>630</v>
      </c>
      <c r="BN976" s="103">
        <v>341</v>
      </c>
      <c r="BO976" s="103">
        <v>117</v>
      </c>
      <c r="BQ976" s="110"/>
      <c r="BR976" s="46" t="s">
        <v>8</v>
      </c>
      <c r="BS976" s="103">
        <v>8</v>
      </c>
      <c r="BT976" s="103">
        <v>31</v>
      </c>
      <c r="BU976" s="103">
        <v>107</v>
      </c>
      <c r="BV976" s="103">
        <v>239</v>
      </c>
      <c r="BW976" s="103">
        <v>199</v>
      </c>
      <c r="BX976" s="103">
        <v>177</v>
      </c>
      <c r="BY976" s="103">
        <v>107</v>
      </c>
      <c r="BZ976" s="103">
        <v>43</v>
      </c>
      <c r="CA976" s="103">
        <v>18</v>
      </c>
      <c r="CB976" s="103">
        <v>3</v>
      </c>
      <c r="CC976" s="42"/>
      <c r="CD976" s="110"/>
      <c r="CE976" s="46" t="s">
        <v>8</v>
      </c>
      <c r="CF976" s="103">
        <v>30</v>
      </c>
      <c r="CG976" s="103">
        <v>115</v>
      </c>
      <c r="CH976" s="103">
        <v>465</v>
      </c>
      <c r="CI976" s="103">
        <v>1698</v>
      </c>
      <c r="CJ976" s="103">
        <v>1837</v>
      </c>
      <c r="CK976" s="103">
        <v>2213</v>
      </c>
      <c r="CL976" s="103">
        <v>1902</v>
      </c>
      <c r="CM976" s="103">
        <v>714</v>
      </c>
      <c r="CN976" s="103">
        <v>384</v>
      </c>
      <c r="CO976" s="103">
        <v>126</v>
      </c>
      <c r="CQ976" s="110"/>
      <c r="CR976" s="46" t="s">
        <v>8</v>
      </c>
      <c r="CS976" s="103">
        <v>2</v>
      </c>
      <c r="CT976" s="103">
        <v>17</v>
      </c>
      <c r="CU976" s="103">
        <v>46</v>
      </c>
      <c r="CV976" s="103">
        <v>218</v>
      </c>
      <c r="CW976" s="103">
        <v>212</v>
      </c>
      <c r="CX976" s="103">
        <v>205</v>
      </c>
      <c r="CY976" s="103">
        <v>204</v>
      </c>
      <c r="CZ976" s="103">
        <v>66</v>
      </c>
      <c r="DA976" s="103">
        <v>40</v>
      </c>
      <c r="DB976" s="103">
        <v>7</v>
      </c>
      <c r="DC976" s="42"/>
      <c r="DD976" s="110"/>
      <c r="DE976" s="46" t="s">
        <v>8</v>
      </c>
      <c r="DF976" s="103">
        <v>36</v>
      </c>
      <c r="DG976" s="103">
        <v>129</v>
      </c>
      <c r="DH976" s="103">
        <v>526</v>
      </c>
      <c r="DI976" s="103">
        <v>1719</v>
      </c>
      <c r="DJ976" s="103">
        <v>1824</v>
      </c>
      <c r="DK976" s="103">
        <v>2185</v>
      </c>
      <c r="DL976" s="103">
        <v>1805</v>
      </c>
      <c r="DM976" s="103">
        <v>691</v>
      </c>
      <c r="DN976" s="103">
        <v>362</v>
      </c>
      <c r="DO976" s="103">
        <v>122</v>
      </c>
    </row>
    <row r="977" spans="2:119" ht="16.5" customHeight="1" x14ac:dyDescent="0.45">
      <c r="B977" s="134"/>
      <c r="C977" s="42"/>
      <c r="D977" s="110"/>
      <c r="E977" s="46" t="s">
        <v>9</v>
      </c>
      <c r="F977" s="103">
        <v>18</v>
      </c>
      <c r="G977" s="103">
        <v>57</v>
      </c>
      <c r="H977" s="103">
        <v>290</v>
      </c>
      <c r="I977" s="103">
        <v>1124</v>
      </c>
      <c r="J977" s="103">
        <v>1598</v>
      </c>
      <c r="K977" s="103">
        <v>2361</v>
      </c>
      <c r="L977" s="103">
        <v>2706</v>
      </c>
      <c r="M977" s="103">
        <v>1378</v>
      </c>
      <c r="N977" s="103">
        <v>927</v>
      </c>
      <c r="O977" s="103">
        <v>426</v>
      </c>
      <c r="P977" s="42"/>
      <c r="Q977" s="110"/>
      <c r="R977" s="46" t="s">
        <v>9</v>
      </c>
      <c r="S977" s="103">
        <v>9</v>
      </c>
      <c r="T977" s="103">
        <v>21</v>
      </c>
      <c r="U977" s="103">
        <v>94</v>
      </c>
      <c r="V977" s="103">
        <v>505</v>
      </c>
      <c r="W977" s="103">
        <v>896</v>
      </c>
      <c r="X977" s="103">
        <v>1530</v>
      </c>
      <c r="Y977" s="103">
        <v>1967</v>
      </c>
      <c r="Z977" s="103">
        <v>1118</v>
      </c>
      <c r="AA977" s="103">
        <v>764</v>
      </c>
      <c r="AB977" s="103">
        <v>371</v>
      </c>
      <c r="AC977" s="42"/>
      <c r="AD977" s="110"/>
      <c r="AE977" s="46" t="s">
        <v>9</v>
      </c>
      <c r="AF977" s="103">
        <v>9</v>
      </c>
      <c r="AG977" s="103">
        <v>36</v>
      </c>
      <c r="AH977" s="103">
        <v>196</v>
      </c>
      <c r="AI977" s="103">
        <v>619</v>
      </c>
      <c r="AJ977" s="103">
        <v>702</v>
      </c>
      <c r="AK977" s="103">
        <v>831</v>
      </c>
      <c r="AL977" s="103">
        <v>739</v>
      </c>
      <c r="AM977" s="103">
        <v>260</v>
      </c>
      <c r="AN977" s="103">
        <v>163</v>
      </c>
      <c r="AO977" s="103">
        <v>55</v>
      </c>
      <c r="AP977" s="6"/>
      <c r="AQ977" s="110"/>
      <c r="AR977" s="46" t="s">
        <v>9</v>
      </c>
      <c r="AS977" s="103">
        <v>8</v>
      </c>
      <c r="AT977" s="103">
        <v>28</v>
      </c>
      <c r="AU977" s="103">
        <v>95</v>
      </c>
      <c r="AV977" s="103">
        <v>320</v>
      </c>
      <c r="AW977" s="103">
        <v>358</v>
      </c>
      <c r="AX977" s="103">
        <v>461</v>
      </c>
      <c r="AY977" s="103">
        <v>426</v>
      </c>
      <c r="AZ977" s="103">
        <v>175</v>
      </c>
      <c r="BA977" s="103">
        <v>106</v>
      </c>
      <c r="BB977" s="103">
        <v>49</v>
      </c>
      <c r="BC977" s="42"/>
      <c r="BD977" s="110"/>
      <c r="BE977" s="46" t="s">
        <v>9</v>
      </c>
      <c r="BF977" s="103">
        <v>10</v>
      </c>
      <c r="BG977" s="103">
        <v>29</v>
      </c>
      <c r="BH977" s="103">
        <v>195</v>
      </c>
      <c r="BI977" s="103">
        <v>804</v>
      </c>
      <c r="BJ977" s="103">
        <v>1240</v>
      </c>
      <c r="BK977" s="103">
        <v>1900</v>
      </c>
      <c r="BL977" s="103">
        <v>2280</v>
      </c>
      <c r="BM977" s="103">
        <v>1203</v>
      </c>
      <c r="BN977" s="103">
        <v>821</v>
      </c>
      <c r="BO977" s="103">
        <v>377</v>
      </c>
      <c r="BQ977" s="110"/>
      <c r="BR977" s="46" t="s">
        <v>9</v>
      </c>
      <c r="BS977" s="103">
        <v>5</v>
      </c>
      <c r="BT977" s="103">
        <v>13</v>
      </c>
      <c r="BU977" s="103">
        <v>36</v>
      </c>
      <c r="BV977" s="103">
        <v>105</v>
      </c>
      <c r="BW977" s="103">
        <v>117</v>
      </c>
      <c r="BX977" s="103">
        <v>128</v>
      </c>
      <c r="BY977" s="103">
        <v>123</v>
      </c>
      <c r="BZ977" s="103">
        <v>61</v>
      </c>
      <c r="CA977" s="103">
        <v>32</v>
      </c>
      <c r="CB977" s="103">
        <v>15</v>
      </c>
      <c r="CC977" s="42"/>
      <c r="CD977" s="110"/>
      <c r="CE977" s="46" t="s">
        <v>9</v>
      </c>
      <c r="CF977" s="103">
        <v>13</v>
      </c>
      <c r="CG977" s="103">
        <v>44</v>
      </c>
      <c r="CH977" s="103">
        <v>254</v>
      </c>
      <c r="CI977" s="103">
        <v>1019</v>
      </c>
      <c r="CJ977" s="103">
        <v>1481</v>
      </c>
      <c r="CK977" s="103">
        <v>2233</v>
      </c>
      <c r="CL977" s="103">
        <v>2583</v>
      </c>
      <c r="CM977" s="103">
        <v>1317</v>
      </c>
      <c r="CN977" s="103">
        <v>895</v>
      </c>
      <c r="CO977" s="103">
        <v>411</v>
      </c>
      <c r="CQ977" s="110"/>
      <c r="CR977" s="46" t="s">
        <v>9</v>
      </c>
      <c r="CS977" s="103">
        <v>3</v>
      </c>
      <c r="CT977" s="103">
        <v>9</v>
      </c>
      <c r="CU977" s="103">
        <v>20</v>
      </c>
      <c r="CV977" s="103">
        <v>102</v>
      </c>
      <c r="CW977" s="103">
        <v>129</v>
      </c>
      <c r="CX977" s="103">
        <v>207</v>
      </c>
      <c r="CY977" s="103">
        <v>251</v>
      </c>
      <c r="CZ977" s="103">
        <v>104</v>
      </c>
      <c r="DA977" s="103">
        <v>69</v>
      </c>
      <c r="DB977" s="103">
        <v>30</v>
      </c>
      <c r="DC977" s="42"/>
      <c r="DD977" s="110"/>
      <c r="DE977" s="46" t="s">
        <v>9</v>
      </c>
      <c r="DF977" s="103">
        <v>15</v>
      </c>
      <c r="DG977" s="103">
        <v>48</v>
      </c>
      <c r="DH977" s="103">
        <v>270</v>
      </c>
      <c r="DI977" s="103">
        <v>1022</v>
      </c>
      <c r="DJ977" s="103">
        <v>1469</v>
      </c>
      <c r="DK977" s="103">
        <v>2154</v>
      </c>
      <c r="DL977" s="103">
        <v>2455</v>
      </c>
      <c r="DM977" s="103">
        <v>1274</v>
      </c>
      <c r="DN977" s="103">
        <v>858</v>
      </c>
      <c r="DO977" s="103">
        <v>396</v>
      </c>
    </row>
    <row r="978" spans="2:119" ht="16.5" customHeight="1" x14ac:dyDescent="0.45">
      <c r="B978" s="134"/>
      <c r="C978" s="42"/>
      <c r="D978" s="110"/>
      <c r="E978" s="46" t="s">
        <v>10</v>
      </c>
      <c r="F978" s="103">
        <v>9</v>
      </c>
      <c r="G978" s="103">
        <v>32</v>
      </c>
      <c r="H978" s="103">
        <v>81</v>
      </c>
      <c r="I978" s="103">
        <v>497</v>
      </c>
      <c r="J978" s="103">
        <v>794</v>
      </c>
      <c r="K978" s="103">
        <v>1568</v>
      </c>
      <c r="L978" s="103">
        <v>2406</v>
      </c>
      <c r="M978" s="103">
        <v>1736</v>
      </c>
      <c r="N978" s="103">
        <v>1396</v>
      </c>
      <c r="O978" s="103">
        <v>849</v>
      </c>
      <c r="P978" s="42"/>
      <c r="Q978" s="110"/>
      <c r="R978" s="46" t="s">
        <v>10</v>
      </c>
      <c r="S978" s="103">
        <v>3</v>
      </c>
      <c r="T978" s="103">
        <v>7</v>
      </c>
      <c r="U978" s="103">
        <v>23</v>
      </c>
      <c r="V978" s="103">
        <v>176</v>
      </c>
      <c r="W978" s="103">
        <v>353</v>
      </c>
      <c r="X978" s="103">
        <v>901</v>
      </c>
      <c r="Y978" s="103">
        <v>1566</v>
      </c>
      <c r="Z978" s="103">
        <v>1274</v>
      </c>
      <c r="AA978" s="103">
        <v>1084</v>
      </c>
      <c r="AB978" s="103">
        <v>701</v>
      </c>
      <c r="AC978" s="42"/>
      <c r="AD978" s="110"/>
      <c r="AE978" s="46" t="s">
        <v>10</v>
      </c>
      <c r="AF978" s="103">
        <v>6</v>
      </c>
      <c r="AG978" s="103">
        <v>25</v>
      </c>
      <c r="AH978" s="103">
        <v>58</v>
      </c>
      <c r="AI978" s="103">
        <v>321</v>
      </c>
      <c r="AJ978" s="103">
        <v>441</v>
      </c>
      <c r="AK978" s="103">
        <v>667</v>
      </c>
      <c r="AL978" s="103">
        <v>840</v>
      </c>
      <c r="AM978" s="103">
        <v>462</v>
      </c>
      <c r="AN978" s="103">
        <v>312</v>
      </c>
      <c r="AO978" s="103">
        <v>148</v>
      </c>
      <c r="AP978" s="6"/>
      <c r="AQ978" s="110"/>
      <c r="AR978" s="46" t="s">
        <v>10</v>
      </c>
      <c r="AS978" s="103">
        <v>5</v>
      </c>
      <c r="AT978" s="103">
        <v>12</v>
      </c>
      <c r="AU978" s="103">
        <v>34</v>
      </c>
      <c r="AV978" s="103">
        <v>124</v>
      </c>
      <c r="AW978" s="103">
        <v>135</v>
      </c>
      <c r="AX978" s="103">
        <v>251</v>
      </c>
      <c r="AY978" s="103">
        <v>291</v>
      </c>
      <c r="AZ978" s="103">
        <v>172</v>
      </c>
      <c r="BA978" s="103">
        <v>123</v>
      </c>
      <c r="BB978" s="103">
        <v>58</v>
      </c>
      <c r="BC978" s="42"/>
      <c r="BD978" s="110"/>
      <c r="BE978" s="46" t="s">
        <v>10</v>
      </c>
      <c r="BF978" s="103">
        <v>4</v>
      </c>
      <c r="BG978" s="103">
        <v>20</v>
      </c>
      <c r="BH978" s="103">
        <v>47</v>
      </c>
      <c r="BI978" s="103">
        <v>373</v>
      </c>
      <c r="BJ978" s="103">
        <v>659</v>
      </c>
      <c r="BK978" s="103">
        <v>1317</v>
      </c>
      <c r="BL978" s="103">
        <v>2115</v>
      </c>
      <c r="BM978" s="103">
        <v>1564</v>
      </c>
      <c r="BN978" s="103">
        <v>1273</v>
      </c>
      <c r="BO978" s="103">
        <v>791</v>
      </c>
      <c r="BQ978" s="110"/>
      <c r="BR978" s="46" t="s">
        <v>10</v>
      </c>
      <c r="BS978" s="103">
        <v>0</v>
      </c>
      <c r="BT978" s="103">
        <v>1</v>
      </c>
      <c r="BU978" s="103">
        <v>11</v>
      </c>
      <c r="BV978" s="103">
        <v>46</v>
      </c>
      <c r="BW978" s="103">
        <v>51</v>
      </c>
      <c r="BX978" s="103">
        <v>93</v>
      </c>
      <c r="BY978" s="103">
        <v>99</v>
      </c>
      <c r="BZ978" s="103">
        <v>64</v>
      </c>
      <c r="CA978" s="103">
        <v>45</v>
      </c>
      <c r="CB978" s="103">
        <v>28</v>
      </c>
      <c r="CC978" s="42"/>
      <c r="CD978" s="110"/>
      <c r="CE978" s="46" t="s">
        <v>10</v>
      </c>
      <c r="CF978" s="103">
        <v>9</v>
      </c>
      <c r="CG978" s="103">
        <v>31</v>
      </c>
      <c r="CH978" s="103">
        <v>70</v>
      </c>
      <c r="CI978" s="103">
        <v>451</v>
      </c>
      <c r="CJ978" s="103">
        <v>743</v>
      </c>
      <c r="CK978" s="103">
        <v>1475</v>
      </c>
      <c r="CL978" s="103">
        <v>2307</v>
      </c>
      <c r="CM978" s="103">
        <v>1672</v>
      </c>
      <c r="CN978" s="103">
        <v>1351</v>
      </c>
      <c r="CO978" s="103">
        <v>821</v>
      </c>
      <c r="CQ978" s="110"/>
      <c r="CR978" s="46" t="s">
        <v>10</v>
      </c>
      <c r="CS978" s="103">
        <v>0</v>
      </c>
      <c r="CT978" s="103">
        <v>0</v>
      </c>
      <c r="CU978" s="103">
        <v>8</v>
      </c>
      <c r="CV978" s="103">
        <v>37</v>
      </c>
      <c r="CW978" s="103">
        <v>72</v>
      </c>
      <c r="CX978" s="103">
        <v>142</v>
      </c>
      <c r="CY978" s="103">
        <v>198</v>
      </c>
      <c r="CZ978" s="103">
        <v>116</v>
      </c>
      <c r="DA978" s="103">
        <v>91</v>
      </c>
      <c r="DB978" s="103">
        <v>62</v>
      </c>
      <c r="DC978" s="42"/>
      <c r="DD978" s="110"/>
      <c r="DE978" s="46" t="s">
        <v>10</v>
      </c>
      <c r="DF978" s="103">
        <v>9</v>
      </c>
      <c r="DG978" s="103">
        <v>32</v>
      </c>
      <c r="DH978" s="103">
        <v>73</v>
      </c>
      <c r="DI978" s="103">
        <v>460</v>
      </c>
      <c r="DJ978" s="103">
        <v>722</v>
      </c>
      <c r="DK978" s="103">
        <v>1426</v>
      </c>
      <c r="DL978" s="103">
        <v>2208</v>
      </c>
      <c r="DM978" s="103">
        <v>1620</v>
      </c>
      <c r="DN978" s="103">
        <v>1305</v>
      </c>
      <c r="DO978" s="103">
        <v>787</v>
      </c>
    </row>
    <row r="979" spans="2:119" ht="16.5" customHeight="1" x14ac:dyDescent="0.45">
      <c r="B979" s="134"/>
      <c r="C979" s="42"/>
      <c r="D979" s="111"/>
      <c r="E979" s="46" t="s">
        <v>11</v>
      </c>
      <c r="F979" s="103">
        <v>1</v>
      </c>
      <c r="G979" s="103">
        <v>1</v>
      </c>
      <c r="H979" s="103">
        <v>5</v>
      </c>
      <c r="I979" s="103">
        <v>31</v>
      </c>
      <c r="J979" s="103">
        <v>68</v>
      </c>
      <c r="K979" s="103">
        <v>208</v>
      </c>
      <c r="L979" s="103">
        <v>468</v>
      </c>
      <c r="M979" s="103">
        <v>479</v>
      </c>
      <c r="N979" s="103">
        <v>495</v>
      </c>
      <c r="O979" s="103">
        <v>470</v>
      </c>
      <c r="P979" s="42"/>
      <c r="Q979" s="111"/>
      <c r="R979" s="46" t="s">
        <v>11</v>
      </c>
      <c r="S979" s="103">
        <v>0</v>
      </c>
      <c r="T979" s="103">
        <v>1</v>
      </c>
      <c r="U979" s="103">
        <v>2</v>
      </c>
      <c r="V979" s="103">
        <v>8</v>
      </c>
      <c r="W979" s="103">
        <v>26</v>
      </c>
      <c r="X979" s="103">
        <v>102</v>
      </c>
      <c r="Y979" s="103">
        <v>275</v>
      </c>
      <c r="Z979" s="103">
        <v>341</v>
      </c>
      <c r="AA979" s="103">
        <v>370</v>
      </c>
      <c r="AB979" s="103">
        <v>373</v>
      </c>
      <c r="AC979" s="42"/>
      <c r="AD979" s="111"/>
      <c r="AE979" s="46" t="s">
        <v>11</v>
      </c>
      <c r="AF979" s="103">
        <v>1</v>
      </c>
      <c r="AG979" s="103">
        <v>0</v>
      </c>
      <c r="AH979" s="103">
        <v>3</v>
      </c>
      <c r="AI979" s="103">
        <v>23</v>
      </c>
      <c r="AJ979" s="103">
        <v>42</v>
      </c>
      <c r="AK979" s="103">
        <v>106</v>
      </c>
      <c r="AL979" s="103">
        <v>193</v>
      </c>
      <c r="AM979" s="103">
        <v>138</v>
      </c>
      <c r="AN979" s="103">
        <v>125</v>
      </c>
      <c r="AO979" s="103">
        <v>97</v>
      </c>
      <c r="AP979" s="6"/>
      <c r="AQ979" s="111"/>
      <c r="AR979" s="46" t="s">
        <v>11</v>
      </c>
      <c r="AS979" s="103">
        <v>0</v>
      </c>
      <c r="AT979" s="103">
        <v>1</v>
      </c>
      <c r="AU979" s="103">
        <v>1</v>
      </c>
      <c r="AV979" s="103">
        <v>9</v>
      </c>
      <c r="AW979" s="103">
        <v>10</v>
      </c>
      <c r="AX979" s="103">
        <v>15</v>
      </c>
      <c r="AY979" s="103">
        <v>49</v>
      </c>
      <c r="AZ979" s="103">
        <v>43</v>
      </c>
      <c r="BA979" s="103">
        <v>32</v>
      </c>
      <c r="BB979" s="103">
        <v>19</v>
      </c>
      <c r="BC979" s="42"/>
      <c r="BD979" s="111"/>
      <c r="BE979" s="46" t="s">
        <v>11</v>
      </c>
      <c r="BF979" s="103">
        <v>1</v>
      </c>
      <c r="BG979" s="103">
        <v>0</v>
      </c>
      <c r="BH979" s="103">
        <v>4</v>
      </c>
      <c r="BI979" s="103">
        <v>22</v>
      </c>
      <c r="BJ979" s="103">
        <v>58</v>
      </c>
      <c r="BK979" s="103">
        <v>193</v>
      </c>
      <c r="BL979" s="103">
        <v>419</v>
      </c>
      <c r="BM979" s="103">
        <v>436</v>
      </c>
      <c r="BN979" s="103">
        <v>463</v>
      </c>
      <c r="BO979" s="103">
        <v>451</v>
      </c>
      <c r="BQ979" s="111"/>
      <c r="BR979" s="46" t="s">
        <v>11</v>
      </c>
      <c r="BS979" s="103">
        <v>1</v>
      </c>
      <c r="BT979" s="103">
        <v>0</v>
      </c>
      <c r="BU979" s="103">
        <v>0</v>
      </c>
      <c r="BV979" s="103">
        <v>3</v>
      </c>
      <c r="BW979" s="103">
        <v>4</v>
      </c>
      <c r="BX979" s="103">
        <v>5</v>
      </c>
      <c r="BY979" s="103">
        <v>18</v>
      </c>
      <c r="BZ979" s="103">
        <v>16</v>
      </c>
      <c r="CA979" s="103">
        <v>15</v>
      </c>
      <c r="CB979" s="103">
        <v>16</v>
      </c>
      <c r="CC979" s="42"/>
      <c r="CD979" s="111"/>
      <c r="CE979" s="46" t="s">
        <v>11</v>
      </c>
      <c r="CF979" s="103">
        <v>0</v>
      </c>
      <c r="CG979" s="103">
        <v>1</v>
      </c>
      <c r="CH979" s="103">
        <v>5</v>
      </c>
      <c r="CI979" s="103">
        <v>28</v>
      </c>
      <c r="CJ979" s="103">
        <v>64</v>
      </c>
      <c r="CK979" s="103">
        <v>203</v>
      </c>
      <c r="CL979" s="103">
        <v>450</v>
      </c>
      <c r="CM979" s="103">
        <v>463</v>
      </c>
      <c r="CN979" s="103">
        <v>480</v>
      </c>
      <c r="CO979" s="103">
        <v>454</v>
      </c>
      <c r="CQ979" s="111"/>
      <c r="CR979" s="46" t="s">
        <v>11</v>
      </c>
      <c r="CS979" s="103">
        <v>0</v>
      </c>
      <c r="CT979" s="103">
        <v>0</v>
      </c>
      <c r="CU979" s="103">
        <v>0</v>
      </c>
      <c r="CV979" s="103">
        <v>5</v>
      </c>
      <c r="CW979" s="103">
        <v>3</v>
      </c>
      <c r="CX979" s="103">
        <v>14</v>
      </c>
      <c r="CY979" s="103">
        <v>38</v>
      </c>
      <c r="CZ979" s="103">
        <v>29</v>
      </c>
      <c r="DA979" s="103">
        <v>43</v>
      </c>
      <c r="DB979" s="103">
        <v>34</v>
      </c>
      <c r="DC979" s="42"/>
      <c r="DD979" s="111"/>
      <c r="DE979" s="46" t="s">
        <v>11</v>
      </c>
      <c r="DF979" s="103">
        <v>1</v>
      </c>
      <c r="DG979" s="103">
        <v>1</v>
      </c>
      <c r="DH979" s="103">
        <v>5</v>
      </c>
      <c r="DI979" s="103">
        <v>26</v>
      </c>
      <c r="DJ979" s="103">
        <v>65</v>
      </c>
      <c r="DK979" s="103">
        <v>194</v>
      </c>
      <c r="DL979" s="103">
        <v>430</v>
      </c>
      <c r="DM979" s="103">
        <v>450</v>
      </c>
      <c r="DN979" s="103">
        <v>452</v>
      </c>
      <c r="DO979" s="103">
        <v>436</v>
      </c>
    </row>
    <row r="980" spans="2:119" ht="16.5" customHeight="1" x14ac:dyDescent="0.45">
      <c r="B980" s="99"/>
      <c r="C980" s="42"/>
      <c r="D980" s="42"/>
      <c r="E980" s="42"/>
      <c r="F980" s="42"/>
      <c r="G980" s="42"/>
      <c r="H980" s="42"/>
      <c r="I980" s="42"/>
      <c r="J980" s="42"/>
      <c r="K980" s="42"/>
      <c r="L980" s="42"/>
      <c r="M980" s="42"/>
      <c r="N980" s="42"/>
      <c r="O980" s="42"/>
      <c r="P980" s="42"/>
      <c r="Q980" s="42"/>
      <c r="R980" s="42"/>
      <c r="S980" s="42"/>
      <c r="T980" s="42"/>
      <c r="U980" s="42"/>
      <c r="V980" s="42"/>
      <c r="W980" s="42"/>
      <c r="X980" s="42"/>
      <c r="Y980" s="42"/>
      <c r="Z980" s="42"/>
      <c r="AA980" s="42"/>
      <c r="AB980" s="42"/>
      <c r="AC980" s="42"/>
      <c r="AD980" s="42"/>
      <c r="AE980" s="42"/>
      <c r="AF980" s="42"/>
      <c r="AG980" s="42"/>
      <c r="AH980" s="42"/>
      <c r="AI980" s="42"/>
      <c r="AJ980" s="42"/>
      <c r="AK980" s="42"/>
      <c r="AL980" s="42"/>
      <c r="AM980" s="42"/>
      <c r="AN980" s="42"/>
      <c r="AO980" s="42"/>
      <c r="AP980" s="6"/>
      <c r="AQ980" s="42"/>
      <c r="AR980" s="42"/>
      <c r="AS980" s="42"/>
      <c r="AT980" s="42"/>
      <c r="AU980" s="42"/>
      <c r="AV980" s="42"/>
      <c r="AW980" s="42"/>
      <c r="AX980" s="42"/>
      <c r="AY980" s="42"/>
      <c r="AZ980" s="42"/>
      <c r="BA980" s="42"/>
      <c r="BB980" s="42"/>
      <c r="BC980" s="42"/>
      <c r="BD980" s="42"/>
      <c r="BE980" s="42"/>
      <c r="BF980" s="42"/>
      <c r="BG980" s="42"/>
      <c r="BH980" s="42"/>
      <c r="BI980" s="42"/>
      <c r="BJ980" s="42"/>
      <c r="BK980" s="42"/>
      <c r="BL980" s="42"/>
      <c r="BM980" s="42"/>
      <c r="BN980" s="42"/>
      <c r="BO980" s="42"/>
      <c r="BQ980" s="42"/>
      <c r="BR980" s="42"/>
      <c r="BS980" s="42"/>
      <c r="BT980" s="42"/>
      <c r="BU980" s="42"/>
      <c r="BV980" s="42"/>
      <c r="BW980" s="42"/>
      <c r="BX980" s="42"/>
      <c r="BY980" s="42"/>
      <c r="BZ980" s="42"/>
      <c r="CA980" s="42"/>
      <c r="CB980" s="42"/>
      <c r="CC980" s="42"/>
      <c r="CD980" s="42"/>
      <c r="CE980" s="42"/>
      <c r="CF980" s="42"/>
      <c r="CG980" s="42"/>
      <c r="CH980" s="42"/>
      <c r="CI980" s="42"/>
      <c r="CJ980" s="42"/>
      <c r="CK980" s="42"/>
      <c r="CL980" s="42"/>
      <c r="CM980" s="42"/>
      <c r="CN980" s="42"/>
      <c r="CO980" s="42"/>
      <c r="CQ980" s="42"/>
      <c r="CR980" s="42"/>
      <c r="CS980" s="42"/>
      <c r="CT980" s="42"/>
      <c r="CU980" s="42"/>
      <c r="CV980" s="42"/>
      <c r="CW980" s="42"/>
      <c r="CX980" s="42"/>
      <c r="CY980" s="42"/>
      <c r="CZ980" s="42"/>
      <c r="DA980" s="42"/>
      <c r="DB980" s="42"/>
      <c r="DC980" s="42"/>
      <c r="DD980" s="42"/>
      <c r="DE980" s="42"/>
      <c r="DF980" s="42"/>
      <c r="DG980" s="42"/>
      <c r="DH980" s="42"/>
      <c r="DI980" s="42"/>
      <c r="DJ980" s="42"/>
      <c r="DK980" s="42"/>
      <c r="DL980" s="42"/>
      <c r="DM980" s="42"/>
      <c r="DN980" s="42"/>
      <c r="DO980" s="42"/>
    </row>
    <row r="981" spans="2:119" ht="16.5" customHeight="1" x14ac:dyDescent="0.55000000000000004">
      <c r="B981" s="99"/>
      <c r="C981" s="42"/>
      <c r="D981" s="112" t="s">
        <v>16</v>
      </c>
      <c r="E981" s="112"/>
      <c r="F981" s="45"/>
      <c r="G981" s="45"/>
      <c r="H981" s="45"/>
      <c r="I981" s="45"/>
      <c r="J981" s="45"/>
      <c r="K981" s="45"/>
      <c r="L981" s="45"/>
      <c r="M981" s="45"/>
      <c r="N981" s="45"/>
      <c r="O981" s="45"/>
      <c r="P981" s="42"/>
      <c r="Q981" s="112" t="s">
        <v>16</v>
      </c>
      <c r="R981" s="112"/>
      <c r="S981" s="45"/>
      <c r="T981" s="45"/>
      <c r="U981" s="45"/>
      <c r="V981" s="45"/>
      <c r="W981" s="45"/>
      <c r="X981" s="45"/>
      <c r="Y981" s="45"/>
      <c r="Z981" s="45"/>
      <c r="AA981" s="45"/>
      <c r="AB981" s="45"/>
      <c r="AC981" s="42"/>
      <c r="AD981" s="112" t="s">
        <v>16</v>
      </c>
      <c r="AE981" s="112"/>
      <c r="AF981" s="45"/>
      <c r="AG981" s="45"/>
      <c r="AH981" s="45"/>
      <c r="AI981" s="45"/>
      <c r="AJ981" s="45"/>
      <c r="AK981" s="45"/>
      <c r="AL981" s="45"/>
      <c r="AM981" s="45"/>
      <c r="AN981" s="45"/>
      <c r="AO981" s="45"/>
      <c r="AP981" s="6"/>
      <c r="AQ981" s="112" t="s">
        <v>16</v>
      </c>
      <c r="AR981" s="112"/>
      <c r="AS981" s="45"/>
      <c r="AT981" s="45"/>
      <c r="AU981" s="45"/>
      <c r="AV981" s="45"/>
      <c r="AW981" s="45"/>
      <c r="AX981" s="45"/>
      <c r="AY981" s="45"/>
      <c r="AZ981" s="45"/>
      <c r="BA981" s="45"/>
      <c r="BB981" s="45"/>
      <c r="BC981" s="42"/>
      <c r="BD981" s="112" t="s">
        <v>16</v>
      </c>
      <c r="BE981" s="112"/>
      <c r="BF981" s="45"/>
      <c r="BG981" s="45"/>
      <c r="BH981" s="45"/>
      <c r="BI981" s="45"/>
      <c r="BJ981" s="45"/>
      <c r="BK981" s="45"/>
      <c r="BL981" s="45"/>
      <c r="BM981" s="45"/>
      <c r="BN981" s="45"/>
      <c r="BO981" s="45"/>
      <c r="BQ981" s="112" t="s">
        <v>16</v>
      </c>
      <c r="BR981" s="112"/>
      <c r="BS981" s="45"/>
      <c r="BT981" s="45"/>
      <c r="BU981" s="45"/>
      <c r="BV981" s="45"/>
      <c r="BW981" s="45"/>
      <c r="BX981" s="45"/>
      <c r="BY981" s="45"/>
      <c r="BZ981" s="45"/>
      <c r="CA981" s="45"/>
      <c r="CB981" s="45"/>
      <c r="CC981" s="42"/>
      <c r="CD981" s="112" t="s">
        <v>16</v>
      </c>
      <c r="CE981" s="112"/>
      <c r="CF981" s="45"/>
      <c r="CG981" s="45"/>
      <c r="CH981" s="45"/>
      <c r="CI981" s="45"/>
      <c r="CJ981" s="45"/>
      <c r="CK981" s="45"/>
      <c r="CL981" s="45"/>
      <c r="CM981" s="45"/>
      <c r="CN981" s="45"/>
      <c r="CO981" s="45"/>
      <c r="CQ981" s="112" t="s">
        <v>16</v>
      </c>
      <c r="CR981" s="112"/>
      <c r="CS981" s="45"/>
      <c r="CT981" s="45"/>
      <c r="CU981" s="45"/>
      <c r="CV981" s="45"/>
      <c r="CW981" s="45"/>
      <c r="CX981" s="45"/>
      <c r="CY981" s="45"/>
      <c r="CZ981" s="45"/>
      <c r="DA981" s="45"/>
      <c r="DB981" s="45"/>
      <c r="DC981" s="42"/>
      <c r="DD981" s="112" t="s">
        <v>16</v>
      </c>
      <c r="DE981" s="112"/>
      <c r="DF981" s="45"/>
      <c r="DG981" s="45"/>
      <c r="DH981" s="45"/>
      <c r="DI981" s="45"/>
      <c r="DJ981" s="45"/>
      <c r="DK981" s="45"/>
      <c r="DL981" s="45"/>
      <c r="DM981" s="45"/>
      <c r="DN981" s="45"/>
      <c r="DO981" s="45"/>
    </row>
    <row r="982" spans="2:119" ht="28.9" customHeight="1" x14ac:dyDescent="0.45">
      <c r="B982" s="99"/>
      <c r="C982" s="42"/>
      <c r="D982" s="112"/>
      <c r="E982" s="112"/>
      <c r="F982" s="108" t="s">
        <v>12</v>
      </c>
      <c r="G982" s="108"/>
      <c r="H982" s="108"/>
      <c r="I982" s="108"/>
      <c r="J982" s="108"/>
      <c r="K982" s="108"/>
      <c r="L982" s="108"/>
      <c r="M982" s="108"/>
      <c r="N982" s="108"/>
      <c r="O982" s="108"/>
      <c r="P982" s="42"/>
      <c r="Q982" s="112"/>
      <c r="R982" s="112"/>
      <c r="S982" s="108" t="s">
        <v>12</v>
      </c>
      <c r="T982" s="108"/>
      <c r="U982" s="108"/>
      <c r="V982" s="108"/>
      <c r="W982" s="108"/>
      <c r="X982" s="108"/>
      <c r="Y982" s="108"/>
      <c r="Z982" s="108"/>
      <c r="AA982" s="108"/>
      <c r="AB982" s="108"/>
      <c r="AC982" s="42"/>
      <c r="AD982" s="112"/>
      <c r="AE982" s="112"/>
      <c r="AF982" s="131" t="s">
        <v>12</v>
      </c>
      <c r="AG982" s="132"/>
      <c r="AH982" s="132"/>
      <c r="AI982" s="132"/>
      <c r="AJ982" s="132"/>
      <c r="AK982" s="132"/>
      <c r="AL982" s="132"/>
      <c r="AM982" s="132"/>
      <c r="AN982" s="132"/>
      <c r="AO982" s="133"/>
      <c r="AP982" s="6"/>
      <c r="AQ982" s="112"/>
      <c r="AR982" s="112"/>
      <c r="AS982" s="108" t="s">
        <v>12</v>
      </c>
      <c r="AT982" s="108"/>
      <c r="AU982" s="108"/>
      <c r="AV982" s="108"/>
      <c r="AW982" s="108"/>
      <c r="AX982" s="108"/>
      <c r="AY982" s="108"/>
      <c r="AZ982" s="108"/>
      <c r="BA982" s="108"/>
      <c r="BB982" s="108"/>
      <c r="BC982" s="42"/>
      <c r="BD982" s="112"/>
      <c r="BE982" s="112"/>
      <c r="BF982" s="108" t="s">
        <v>12</v>
      </c>
      <c r="BG982" s="108"/>
      <c r="BH982" s="108"/>
      <c r="BI982" s="108"/>
      <c r="BJ982" s="108"/>
      <c r="BK982" s="108"/>
      <c r="BL982" s="108"/>
      <c r="BM982" s="108"/>
      <c r="BN982" s="108"/>
      <c r="BO982" s="108"/>
      <c r="BQ982" s="112"/>
      <c r="BR982" s="112"/>
      <c r="BS982" s="108" t="s">
        <v>12</v>
      </c>
      <c r="BT982" s="108"/>
      <c r="BU982" s="108"/>
      <c r="BV982" s="108"/>
      <c r="BW982" s="108"/>
      <c r="BX982" s="108"/>
      <c r="BY982" s="108"/>
      <c r="BZ982" s="108"/>
      <c r="CA982" s="108"/>
      <c r="CB982" s="108"/>
      <c r="CC982" s="42"/>
      <c r="CD982" s="112"/>
      <c r="CE982" s="112"/>
      <c r="CF982" s="108" t="s">
        <v>12</v>
      </c>
      <c r="CG982" s="108"/>
      <c r="CH982" s="108"/>
      <c r="CI982" s="108"/>
      <c r="CJ982" s="108"/>
      <c r="CK982" s="108"/>
      <c r="CL982" s="108"/>
      <c r="CM982" s="108"/>
      <c r="CN982" s="108"/>
      <c r="CO982" s="108"/>
      <c r="CQ982" s="112"/>
      <c r="CR982" s="112"/>
      <c r="CS982" s="108" t="s">
        <v>12</v>
      </c>
      <c r="CT982" s="108"/>
      <c r="CU982" s="108"/>
      <c r="CV982" s="108"/>
      <c r="CW982" s="108"/>
      <c r="CX982" s="108"/>
      <c r="CY982" s="108"/>
      <c r="CZ982" s="108"/>
      <c r="DA982" s="108"/>
      <c r="DB982" s="108"/>
      <c r="DC982" s="42"/>
      <c r="DD982" s="112"/>
      <c r="DE982" s="112"/>
      <c r="DF982" s="108" t="s">
        <v>12</v>
      </c>
      <c r="DG982" s="108"/>
      <c r="DH982" s="108"/>
      <c r="DI982" s="108"/>
      <c r="DJ982" s="108"/>
      <c r="DK982" s="108"/>
      <c r="DL982" s="108"/>
      <c r="DM982" s="108"/>
      <c r="DN982" s="108"/>
      <c r="DO982" s="108"/>
    </row>
    <row r="983" spans="2:119" ht="15" customHeight="1" x14ac:dyDescent="0.45">
      <c r="B983" s="99"/>
      <c r="C983" s="42"/>
      <c r="D983" s="113"/>
      <c r="E983" s="113"/>
      <c r="F983" s="9" t="s">
        <v>0</v>
      </c>
      <c r="G983" s="9">
        <v>1</v>
      </c>
      <c r="H983" s="9">
        <v>2</v>
      </c>
      <c r="I983" s="9">
        <v>3</v>
      </c>
      <c r="J983" s="9">
        <v>4</v>
      </c>
      <c r="K983" s="9">
        <v>5</v>
      </c>
      <c r="L983" s="9">
        <v>6</v>
      </c>
      <c r="M983" s="9">
        <v>7</v>
      </c>
      <c r="N983" s="9">
        <v>8</v>
      </c>
      <c r="O983" s="9">
        <v>9</v>
      </c>
      <c r="P983" s="42"/>
      <c r="Q983" s="113"/>
      <c r="R983" s="113"/>
      <c r="S983" s="9" t="s">
        <v>0</v>
      </c>
      <c r="T983" s="9">
        <v>1</v>
      </c>
      <c r="U983" s="9">
        <v>2</v>
      </c>
      <c r="V983" s="9">
        <v>3</v>
      </c>
      <c r="W983" s="9">
        <v>4</v>
      </c>
      <c r="X983" s="9">
        <v>5</v>
      </c>
      <c r="Y983" s="9">
        <v>6</v>
      </c>
      <c r="Z983" s="9">
        <v>7</v>
      </c>
      <c r="AA983" s="9">
        <v>8</v>
      </c>
      <c r="AB983" s="9">
        <v>9</v>
      </c>
      <c r="AC983" s="42"/>
      <c r="AD983" s="113"/>
      <c r="AE983" s="113"/>
      <c r="AF983" s="9" t="s">
        <v>0</v>
      </c>
      <c r="AG983" s="9">
        <v>1</v>
      </c>
      <c r="AH983" s="9">
        <v>2</v>
      </c>
      <c r="AI983" s="9">
        <v>3</v>
      </c>
      <c r="AJ983" s="9">
        <v>4</v>
      </c>
      <c r="AK983" s="9">
        <v>5</v>
      </c>
      <c r="AL983" s="9">
        <v>6</v>
      </c>
      <c r="AM983" s="9">
        <v>7</v>
      </c>
      <c r="AN983" s="9">
        <v>8</v>
      </c>
      <c r="AO983" s="9">
        <v>9</v>
      </c>
      <c r="AP983" s="6"/>
      <c r="AQ983" s="113"/>
      <c r="AR983" s="113"/>
      <c r="AS983" s="9" t="s">
        <v>0</v>
      </c>
      <c r="AT983" s="9">
        <v>1</v>
      </c>
      <c r="AU983" s="9">
        <v>2</v>
      </c>
      <c r="AV983" s="9">
        <v>3</v>
      </c>
      <c r="AW983" s="9">
        <v>4</v>
      </c>
      <c r="AX983" s="9">
        <v>5</v>
      </c>
      <c r="AY983" s="9">
        <v>6</v>
      </c>
      <c r="AZ983" s="9">
        <v>7</v>
      </c>
      <c r="BA983" s="9">
        <v>8</v>
      </c>
      <c r="BB983" s="9">
        <v>9</v>
      </c>
      <c r="BC983" s="42"/>
      <c r="BD983" s="113"/>
      <c r="BE983" s="113"/>
      <c r="BF983" s="9" t="s">
        <v>0</v>
      </c>
      <c r="BG983" s="9">
        <v>1</v>
      </c>
      <c r="BH983" s="9">
        <v>2</v>
      </c>
      <c r="BI983" s="9">
        <v>3</v>
      </c>
      <c r="BJ983" s="9">
        <v>4</v>
      </c>
      <c r="BK983" s="9">
        <v>5</v>
      </c>
      <c r="BL983" s="9">
        <v>6</v>
      </c>
      <c r="BM983" s="9">
        <v>7</v>
      </c>
      <c r="BN983" s="9">
        <v>8</v>
      </c>
      <c r="BO983" s="9">
        <v>9</v>
      </c>
      <c r="BQ983" s="113"/>
      <c r="BR983" s="113"/>
      <c r="BS983" s="9" t="s">
        <v>0</v>
      </c>
      <c r="BT983" s="9">
        <v>1</v>
      </c>
      <c r="BU983" s="9">
        <v>2</v>
      </c>
      <c r="BV983" s="9">
        <v>3</v>
      </c>
      <c r="BW983" s="9">
        <v>4</v>
      </c>
      <c r="BX983" s="9">
        <v>5</v>
      </c>
      <c r="BY983" s="9">
        <v>6</v>
      </c>
      <c r="BZ983" s="9">
        <v>7</v>
      </c>
      <c r="CA983" s="9">
        <v>8</v>
      </c>
      <c r="CB983" s="9">
        <v>9</v>
      </c>
      <c r="CC983" s="42"/>
      <c r="CD983" s="113"/>
      <c r="CE983" s="113"/>
      <c r="CF983" s="9" t="s">
        <v>0</v>
      </c>
      <c r="CG983" s="9">
        <v>1</v>
      </c>
      <c r="CH983" s="9">
        <v>2</v>
      </c>
      <c r="CI983" s="9">
        <v>3</v>
      </c>
      <c r="CJ983" s="9">
        <v>4</v>
      </c>
      <c r="CK983" s="9">
        <v>5</v>
      </c>
      <c r="CL983" s="9">
        <v>6</v>
      </c>
      <c r="CM983" s="9">
        <v>7</v>
      </c>
      <c r="CN983" s="9">
        <v>8</v>
      </c>
      <c r="CO983" s="9">
        <v>9</v>
      </c>
      <c r="CQ983" s="113"/>
      <c r="CR983" s="113"/>
      <c r="CS983" s="9" t="s">
        <v>0</v>
      </c>
      <c r="CT983" s="9">
        <v>1</v>
      </c>
      <c r="CU983" s="9">
        <v>2</v>
      </c>
      <c r="CV983" s="9">
        <v>3</v>
      </c>
      <c r="CW983" s="9">
        <v>4</v>
      </c>
      <c r="CX983" s="9">
        <v>5</v>
      </c>
      <c r="CY983" s="9">
        <v>6</v>
      </c>
      <c r="CZ983" s="9">
        <v>7</v>
      </c>
      <c r="DA983" s="9">
        <v>8</v>
      </c>
      <c r="DB983" s="9">
        <v>9</v>
      </c>
      <c r="DC983" s="42"/>
      <c r="DD983" s="113"/>
      <c r="DE983" s="113"/>
      <c r="DF983" s="9" t="s">
        <v>0</v>
      </c>
      <c r="DG983" s="9">
        <v>1</v>
      </c>
      <c r="DH983" s="9">
        <v>2</v>
      </c>
      <c r="DI983" s="9">
        <v>3</v>
      </c>
      <c r="DJ983" s="9">
        <v>4</v>
      </c>
      <c r="DK983" s="9">
        <v>5</v>
      </c>
      <c r="DL983" s="9">
        <v>6</v>
      </c>
      <c r="DM983" s="9">
        <v>7</v>
      </c>
      <c r="DN983" s="9">
        <v>8</v>
      </c>
      <c r="DO983" s="9">
        <v>9</v>
      </c>
    </row>
    <row r="984" spans="2:119" ht="16.5" customHeight="1" x14ac:dyDescent="0.45">
      <c r="B984" s="99"/>
      <c r="C984" s="42"/>
      <c r="D984" s="109" t="s">
        <v>13</v>
      </c>
      <c r="E984" s="47" t="s">
        <v>1</v>
      </c>
      <c r="F984" s="103">
        <v>0</v>
      </c>
      <c r="G984" s="103">
        <v>0</v>
      </c>
      <c r="H984" s="103">
        <v>0</v>
      </c>
      <c r="I984" s="103">
        <v>25</v>
      </c>
      <c r="J984" s="103">
        <v>25</v>
      </c>
      <c r="K984" s="103">
        <v>25</v>
      </c>
      <c r="L984" s="103">
        <v>25</v>
      </c>
      <c r="M984" s="103">
        <v>0</v>
      </c>
      <c r="N984" s="103">
        <v>0</v>
      </c>
      <c r="O984" s="17">
        <v>0</v>
      </c>
      <c r="P984" s="42"/>
      <c r="Q984" s="109" t="s">
        <v>13</v>
      </c>
      <c r="R984" s="46" t="s">
        <v>1</v>
      </c>
      <c r="S984" s="103">
        <v>0</v>
      </c>
      <c r="T984" s="103">
        <v>0</v>
      </c>
      <c r="U984" s="103">
        <v>0</v>
      </c>
      <c r="V984" s="103">
        <v>100</v>
      </c>
      <c r="W984" s="103">
        <v>0</v>
      </c>
      <c r="X984" s="103">
        <v>0</v>
      </c>
      <c r="Y984" s="103">
        <v>0</v>
      </c>
      <c r="Z984" s="103">
        <v>0</v>
      </c>
      <c r="AA984" s="103">
        <v>0</v>
      </c>
      <c r="AB984" s="17">
        <v>0</v>
      </c>
      <c r="AC984" s="42"/>
      <c r="AD984" s="109" t="s">
        <v>13</v>
      </c>
      <c r="AE984" s="46" t="s">
        <v>1</v>
      </c>
      <c r="AF984" s="103">
        <v>0</v>
      </c>
      <c r="AG984" s="103">
        <v>0</v>
      </c>
      <c r="AH984" s="103">
        <v>0</v>
      </c>
      <c r="AI984" s="103">
        <v>0</v>
      </c>
      <c r="AJ984" s="103">
        <v>33.333333333333329</v>
      </c>
      <c r="AK984" s="103">
        <v>33.333333333333329</v>
      </c>
      <c r="AL984" s="103">
        <v>33.333333333333329</v>
      </c>
      <c r="AM984" s="103">
        <v>0</v>
      </c>
      <c r="AN984" s="103">
        <v>0</v>
      </c>
      <c r="AO984" s="17">
        <v>0</v>
      </c>
      <c r="AP984" s="6"/>
      <c r="AQ984" s="109" t="s">
        <v>13</v>
      </c>
      <c r="AR984" s="46" t="s">
        <v>1</v>
      </c>
      <c r="AS984" s="103">
        <v>0</v>
      </c>
      <c r="AT984" s="103">
        <v>0</v>
      </c>
      <c r="AU984" s="103">
        <v>0</v>
      </c>
      <c r="AV984" s="103">
        <v>50</v>
      </c>
      <c r="AW984" s="103">
        <v>50</v>
      </c>
      <c r="AX984" s="103">
        <v>0</v>
      </c>
      <c r="AY984" s="103">
        <v>0</v>
      </c>
      <c r="AZ984" s="103">
        <v>0</v>
      </c>
      <c r="BA984" s="103">
        <v>0</v>
      </c>
      <c r="BB984" s="17">
        <v>0</v>
      </c>
      <c r="BC984" s="42"/>
      <c r="BD984" s="109" t="s">
        <v>13</v>
      </c>
      <c r="BE984" s="46" t="s">
        <v>1</v>
      </c>
      <c r="BF984" s="103">
        <v>0</v>
      </c>
      <c r="BG984" s="103">
        <v>0</v>
      </c>
      <c r="BH984" s="103">
        <v>0</v>
      </c>
      <c r="BI984" s="103">
        <v>0</v>
      </c>
      <c r="BJ984" s="103">
        <v>0</v>
      </c>
      <c r="BK984" s="103">
        <v>50</v>
      </c>
      <c r="BL984" s="103">
        <v>50</v>
      </c>
      <c r="BM984" s="103">
        <v>0</v>
      </c>
      <c r="BN984" s="103">
        <v>0</v>
      </c>
      <c r="BO984" s="17">
        <v>0</v>
      </c>
      <c r="BQ984" s="109" t="s">
        <v>13</v>
      </c>
      <c r="BR984" s="46" t="s">
        <v>1</v>
      </c>
      <c r="BS984" s="103">
        <v>0</v>
      </c>
      <c r="BT984" s="103">
        <v>0</v>
      </c>
      <c r="BU984" s="103">
        <v>0</v>
      </c>
      <c r="BV984" s="103">
        <v>0</v>
      </c>
      <c r="BW984" s="103">
        <v>0</v>
      </c>
      <c r="BX984" s="103">
        <v>0</v>
      </c>
      <c r="BY984" s="103">
        <v>100</v>
      </c>
      <c r="BZ984" s="103">
        <v>0</v>
      </c>
      <c r="CA984" s="103">
        <v>0</v>
      </c>
      <c r="CB984" s="17">
        <v>0</v>
      </c>
      <c r="CC984" s="42"/>
      <c r="CD984" s="109" t="s">
        <v>13</v>
      </c>
      <c r="CE984" s="46" t="s">
        <v>1</v>
      </c>
      <c r="CF984" s="103">
        <v>0</v>
      </c>
      <c r="CG984" s="103">
        <v>0</v>
      </c>
      <c r="CH984" s="103">
        <v>0</v>
      </c>
      <c r="CI984" s="103">
        <v>33.333333333333329</v>
      </c>
      <c r="CJ984" s="103">
        <v>33.333333333333329</v>
      </c>
      <c r="CK984" s="103">
        <v>33.333333333333329</v>
      </c>
      <c r="CL984" s="103">
        <v>0</v>
      </c>
      <c r="CM984" s="103">
        <v>0</v>
      </c>
      <c r="CN984" s="103">
        <v>0</v>
      </c>
      <c r="CO984" s="17">
        <v>0</v>
      </c>
      <c r="CQ984" s="109" t="s">
        <v>13</v>
      </c>
      <c r="CR984" s="46" t="s">
        <v>1</v>
      </c>
      <c r="CS984" s="103">
        <v>0</v>
      </c>
      <c r="CT984" s="103">
        <v>0</v>
      </c>
      <c r="CU984" s="103">
        <v>0</v>
      </c>
      <c r="CV984" s="103">
        <v>33.333333333333329</v>
      </c>
      <c r="CW984" s="103">
        <v>33.333333333333329</v>
      </c>
      <c r="CX984" s="103">
        <v>33.333333333333329</v>
      </c>
      <c r="CY984" s="103">
        <v>0</v>
      </c>
      <c r="CZ984" s="103">
        <v>0</v>
      </c>
      <c r="DA984" s="103">
        <v>0</v>
      </c>
      <c r="DB984" s="17">
        <v>0</v>
      </c>
      <c r="DC984" s="42"/>
      <c r="DD984" s="109" t="s">
        <v>13</v>
      </c>
      <c r="DE984" s="46" t="s">
        <v>1</v>
      </c>
      <c r="DF984" s="103">
        <v>0</v>
      </c>
      <c r="DG984" s="103">
        <v>0</v>
      </c>
      <c r="DH984" s="103">
        <v>0</v>
      </c>
      <c r="DI984" s="103">
        <v>0</v>
      </c>
      <c r="DJ984" s="103">
        <v>0</v>
      </c>
      <c r="DK984" s="103">
        <v>0</v>
      </c>
      <c r="DL984" s="103">
        <v>100</v>
      </c>
      <c r="DM984" s="103">
        <v>0</v>
      </c>
      <c r="DN984" s="103">
        <v>0</v>
      </c>
      <c r="DO984" s="17">
        <v>0</v>
      </c>
    </row>
    <row r="985" spans="2:119" ht="16.5" customHeight="1" x14ac:dyDescent="0.45">
      <c r="B985" s="99"/>
      <c r="C985" s="42"/>
      <c r="D985" s="110"/>
      <c r="E985" s="47">
        <v>1</v>
      </c>
      <c r="F985" s="103">
        <v>13.636363636363635</v>
      </c>
      <c r="G985" s="103">
        <v>22.727272727272727</v>
      </c>
      <c r="H985" s="103">
        <v>31.818181818181817</v>
      </c>
      <c r="I985" s="103">
        <v>18.181818181818183</v>
      </c>
      <c r="J985" s="103">
        <v>4.5454545454545459</v>
      </c>
      <c r="K985" s="103">
        <v>4.5454545454545459</v>
      </c>
      <c r="L985" s="103">
        <v>4.5454545454545459</v>
      </c>
      <c r="M985" s="103">
        <v>0</v>
      </c>
      <c r="N985" s="103">
        <v>0</v>
      </c>
      <c r="O985" s="103">
        <v>0</v>
      </c>
      <c r="P985" s="42"/>
      <c r="Q985" s="110"/>
      <c r="R985" s="46">
        <v>1</v>
      </c>
      <c r="S985" s="103">
        <v>0</v>
      </c>
      <c r="T985" s="103">
        <v>23.076923076923077</v>
      </c>
      <c r="U985" s="103">
        <v>46.153846153846153</v>
      </c>
      <c r="V985" s="103">
        <v>15.384615384615385</v>
      </c>
      <c r="W985" s="103">
        <v>7.6923076923076925</v>
      </c>
      <c r="X985" s="103">
        <v>7.6923076923076925</v>
      </c>
      <c r="Y985" s="103">
        <v>0</v>
      </c>
      <c r="Z985" s="103">
        <v>0</v>
      </c>
      <c r="AA985" s="103">
        <v>0</v>
      </c>
      <c r="AB985" s="103">
        <v>0</v>
      </c>
      <c r="AC985" s="42"/>
      <c r="AD985" s="110"/>
      <c r="AE985" s="46">
        <v>1</v>
      </c>
      <c r="AF985" s="103">
        <v>33.333333333333329</v>
      </c>
      <c r="AG985" s="103">
        <v>22.222222222222221</v>
      </c>
      <c r="AH985" s="103">
        <v>11.111111111111111</v>
      </c>
      <c r="AI985" s="103">
        <v>22.222222222222221</v>
      </c>
      <c r="AJ985" s="103">
        <v>0</v>
      </c>
      <c r="AK985" s="103">
        <v>0</v>
      </c>
      <c r="AL985" s="103">
        <v>11.111111111111111</v>
      </c>
      <c r="AM985" s="103">
        <v>0</v>
      </c>
      <c r="AN985" s="103">
        <v>0</v>
      </c>
      <c r="AO985" s="103">
        <v>0</v>
      </c>
      <c r="AP985" s="6"/>
      <c r="AQ985" s="110"/>
      <c r="AR985" s="46">
        <v>1</v>
      </c>
      <c r="AS985" s="103">
        <v>6.25</v>
      </c>
      <c r="AT985" s="103">
        <v>18.75</v>
      </c>
      <c r="AU985" s="103">
        <v>43.75</v>
      </c>
      <c r="AV985" s="103">
        <v>18.75</v>
      </c>
      <c r="AW985" s="103">
        <v>0</v>
      </c>
      <c r="AX985" s="103">
        <v>6.25</v>
      </c>
      <c r="AY985" s="103">
        <v>6.25</v>
      </c>
      <c r="AZ985" s="103">
        <v>0</v>
      </c>
      <c r="BA985" s="103">
        <v>0</v>
      </c>
      <c r="BB985" s="103">
        <v>0</v>
      </c>
      <c r="BC985" s="42"/>
      <c r="BD985" s="110"/>
      <c r="BE985" s="46">
        <v>1</v>
      </c>
      <c r="BF985" s="103">
        <v>33.333333333333329</v>
      </c>
      <c r="BG985" s="103">
        <v>33.333333333333329</v>
      </c>
      <c r="BH985" s="103">
        <v>0</v>
      </c>
      <c r="BI985" s="103">
        <v>16.666666666666664</v>
      </c>
      <c r="BJ985" s="103">
        <v>16.666666666666664</v>
      </c>
      <c r="BK985" s="103">
        <v>0</v>
      </c>
      <c r="BL985" s="103">
        <v>0</v>
      </c>
      <c r="BM985" s="103">
        <v>0</v>
      </c>
      <c r="BN985" s="103">
        <v>0</v>
      </c>
      <c r="BO985" s="103">
        <v>0</v>
      </c>
      <c r="BQ985" s="110"/>
      <c r="BR985" s="46">
        <v>1</v>
      </c>
      <c r="BS985" s="103">
        <v>18.181818181818183</v>
      </c>
      <c r="BT985" s="103">
        <v>36.363636363636367</v>
      </c>
      <c r="BU985" s="103">
        <v>36.363636363636367</v>
      </c>
      <c r="BV985" s="103">
        <v>9.0909090909090917</v>
      </c>
      <c r="BW985" s="103">
        <v>0</v>
      </c>
      <c r="BX985" s="103">
        <v>0</v>
      </c>
      <c r="BY985" s="103">
        <v>0</v>
      </c>
      <c r="BZ985" s="103">
        <v>0</v>
      </c>
      <c r="CA985" s="103">
        <v>0</v>
      </c>
      <c r="CB985" s="103">
        <v>0</v>
      </c>
      <c r="CC985" s="42"/>
      <c r="CD985" s="110"/>
      <c r="CE985" s="46">
        <v>1</v>
      </c>
      <c r="CF985" s="103">
        <v>9.0909090909090917</v>
      </c>
      <c r="CG985" s="103">
        <v>9.0909090909090917</v>
      </c>
      <c r="CH985" s="103">
        <v>27.27272727272727</v>
      </c>
      <c r="CI985" s="103">
        <v>27.27272727272727</v>
      </c>
      <c r="CJ985" s="103">
        <v>9.0909090909090917</v>
      </c>
      <c r="CK985" s="103">
        <v>9.0909090909090917</v>
      </c>
      <c r="CL985" s="103">
        <v>9.0909090909090917</v>
      </c>
      <c r="CM985" s="103">
        <v>0</v>
      </c>
      <c r="CN985" s="103">
        <v>0</v>
      </c>
      <c r="CO985" s="103">
        <v>0</v>
      </c>
      <c r="CQ985" s="110"/>
      <c r="CR985" s="46">
        <v>1</v>
      </c>
      <c r="CS985" s="103">
        <v>11.111111111111111</v>
      </c>
      <c r="CT985" s="103">
        <v>11.111111111111111</v>
      </c>
      <c r="CU985" s="103">
        <v>22.222222222222221</v>
      </c>
      <c r="CV985" s="103">
        <v>22.222222222222221</v>
      </c>
      <c r="CW985" s="103">
        <v>11.111111111111111</v>
      </c>
      <c r="CX985" s="103">
        <v>11.111111111111111</v>
      </c>
      <c r="CY985" s="103">
        <v>11.111111111111111</v>
      </c>
      <c r="CZ985" s="103">
        <v>0</v>
      </c>
      <c r="DA985" s="103">
        <v>0</v>
      </c>
      <c r="DB985" s="103">
        <v>0</v>
      </c>
      <c r="DC985" s="42"/>
      <c r="DD985" s="110"/>
      <c r="DE985" s="46">
        <v>1</v>
      </c>
      <c r="DF985" s="103">
        <v>15.384615384615385</v>
      </c>
      <c r="DG985" s="103">
        <v>30.76923076923077</v>
      </c>
      <c r="DH985" s="103">
        <v>38.461538461538467</v>
      </c>
      <c r="DI985" s="103">
        <v>15.384615384615385</v>
      </c>
      <c r="DJ985" s="103">
        <v>0</v>
      </c>
      <c r="DK985" s="103">
        <v>0</v>
      </c>
      <c r="DL985" s="103">
        <v>0</v>
      </c>
      <c r="DM985" s="103">
        <v>0</v>
      </c>
      <c r="DN985" s="103">
        <v>0</v>
      </c>
      <c r="DO985" s="103">
        <v>0</v>
      </c>
    </row>
    <row r="986" spans="2:119" ht="16.5" customHeight="1" x14ac:dyDescent="0.45">
      <c r="B986" s="99"/>
      <c r="C986" s="42"/>
      <c r="D986" s="110"/>
      <c r="E986" s="47" t="s">
        <v>2</v>
      </c>
      <c r="F986" s="103">
        <v>3.9473684210526314</v>
      </c>
      <c r="G986" s="103">
        <v>20.095693779904305</v>
      </c>
      <c r="H986" s="103">
        <v>34.808612440191389</v>
      </c>
      <c r="I986" s="103">
        <v>30.382775119617222</v>
      </c>
      <c r="J986" s="103">
        <v>6.937799043062201</v>
      </c>
      <c r="K986" s="103">
        <v>2.6315789473684208</v>
      </c>
      <c r="L986" s="103">
        <v>1.0765550239234449</v>
      </c>
      <c r="M986" s="103">
        <v>0.11961722488038277</v>
      </c>
      <c r="N986" s="103">
        <v>0</v>
      </c>
      <c r="O986" s="103">
        <v>0</v>
      </c>
      <c r="P986" s="42"/>
      <c r="Q986" s="110"/>
      <c r="R986" s="46" t="s">
        <v>2</v>
      </c>
      <c r="S986" s="103">
        <v>3.2407407407407405</v>
      </c>
      <c r="T986" s="103">
        <v>18.518518518518519</v>
      </c>
      <c r="U986" s="103">
        <v>33.564814814814817</v>
      </c>
      <c r="V986" s="103">
        <v>31.712962962962965</v>
      </c>
      <c r="W986" s="103">
        <v>7.6388888888888893</v>
      </c>
      <c r="X986" s="103">
        <v>3.7037037037037033</v>
      </c>
      <c r="Y986" s="103">
        <v>1.6203703703703702</v>
      </c>
      <c r="Z986" s="103">
        <v>0</v>
      </c>
      <c r="AA986" s="103">
        <v>0</v>
      </c>
      <c r="AB986" s="103">
        <v>0</v>
      </c>
      <c r="AC986" s="42"/>
      <c r="AD986" s="110"/>
      <c r="AE986" s="46" t="s">
        <v>2</v>
      </c>
      <c r="AF986" s="103">
        <v>4.7029702970297027</v>
      </c>
      <c r="AG986" s="103">
        <v>21.782178217821784</v>
      </c>
      <c r="AH986" s="103">
        <v>36.138613861386141</v>
      </c>
      <c r="AI986" s="103">
        <v>28.960396039603957</v>
      </c>
      <c r="AJ986" s="103">
        <v>6.1881188118811883</v>
      </c>
      <c r="AK986" s="103">
        <v>1.4851485148514851</v>
      </c>
      <c r="AL986" s="103">
        <v>0.49504950495049505</v>
      </c>
      <c r="AM986" s="103">
        <v>0.24752475247524752</v>
      </c>
      <c r="AN986" s="103">
        <v>0</v>
      </c>
      <c r="AO986" s="103">
        <v>0</v>
      </c>
      <c r="AP986" s="6"/>
      <c r="AQ986" s="110"/>
      <c r="AR986" s="46" t="s">
        <v>2</v>
      </c>
      <c r="AS986" s="103">
        <v>4.7619047619047619</v>
      </c>
      <c r="AT986" s="103">
        <v>24.761904761904763</v>
      </c>
      <c r="AU986" s="103">
        <v>35.714285714285715</v>
      </c>
      <c r="AV986" s="103">
        <v>27.61904761904762</v>
      </c>
      <c r="AW986" s="103">
        <v>5.2380952380952381</v>
      </c>
      <c r="AX986" s="103">
        <v>1.1904761904761905</v>
      </c>
      <c r="AY986" s="103">
        <v>0.47619047619047622</v>
      </c>
      <c r="AZ986" s="103">
        <v>0.23809523809523811</v>
      </c>
      <c r="BA986" s="103">
        <v>0</v>
      </c>
      <c r="BB986" s="103">
        <v>0</v>
      </c>
      <c r="BC986" s="42"/>
      <c r="BD986" s="110"/>
      <c r="BE986" s="46" t="s">
        <v>2</v>
      </c>
      <c r="BF986" s="103">
        <v>3.125</v>
      </c>
      <c r="BG986" s="103">
        <v>15.384615384615385</v>
      </c>
      <c r="BH986" s="103">
        <v>33.894230769230774</v>
      </c>
      <c r="BI986" s="103">
        <v>33.17307692307692</v>
      </c>
      <c r="BJ986" s="103">
        <v>8.6538461538461533</v>
      </c>
      <c r="BK986" s="103">
        <v>4.0865384615384617</v>
      </c>
      <c r="BL986" s="103">
        <v>1.6826923076923077</v>
      </c>
      <c r="BM986" s="103">
        <v>0</v>
      </c>
      <c r="BN986" s="103">
        <v>0</v>
      </c>
      <c r="BO986" s="103">
        <v>0</v>
      </c>
      <c r="BQ986" s="110"/>
      <c r="BR986" s="46" t="s">
        <v>2</v>
      </c>
      <c r="BS986" s="103">
        <v>3.8461538461538463</v>
      </c>
      <c r="BT986" s="103">
        <v>22.408026755852841</v>
      </c>
      <c r="BU986" s="103">
        <v>35.451505016722408</v>
      </c>
      <c r="BV986" s="103">
        <v>29.598662207357862</v>
      </c>
      <c r="BW986" s="103">
        <v>6.3545150501672243</v>
      </c>
      <c r="BX986" s="103">
        <v>1.8394648829431439</v>
      </c>
      <c r="BY986" s="103">
        <v>0.50167224080267558</v>
      </c>
      <c r="BZ986" s="103">
        <v>0</v>
      </c>
      <c r="CA986" s="103">
        <v>0</v>
      </c>
      <c r="CB986" s="103">
        <v>0</v>
      </c>
      <c r="CC986" s="42"/>
      <c r="CD986" s="110"/>
      <c r="CE986" s="46" t="s">
        <v>2</v>
      </c>
      <c r="CF986" s="103">
        <v>4.2016806722689077</v>
      </c>
      <c r="CG986" s="103">
        <v>14.285714285714285</v>
      </c>
      <c r="CH986" s="103">
        <v>33.193277310924366</v>
      </c>
      <c r="CI986" s="103">
        <v>32.352941176470587</v>
      </c>
      <c r="CJ986" s="103">
        <v>8.4033613445378155</v>
      </c>
      <c r="CK986" s="103">
        <v>4.6218487394957988</v>
      </c>
      <c r="CL986" s="103">
        <v>2.5210084033613445</v>
      </c>
      <c r="CM986" s="103">
        <v>0.42016806722689076</v>
      </c>
      <c r="CN986" s="103">
        <v>0</v>
      </c>
      <c r="CO986" s="103">
        <v>0</v>
      </c>
      <c r="CQ986" s="110"/>
      <c r="CR986" s="46" t="s">
        <v>2</v>
      </c>
      <c r="CS986" s="103">
        <v>3.1914893617021276</v>
      </c>
      <c r="CT986" s="103">
        <v>14.361702127659576</v>
      </c>
      <c r="CU986" s="103">
        <v>32.446808510638299</v>
      </c>
      <c r="CV986" s="103">
        <v>31.914893617021278</v>
      </c>
      <c r="CW986" s="103">
        <v>11.170212765957446</v>
      </c>
      <c r="CX986" s="103">
        <v>3.7234042553191489</v>
      </c>
      <c r="CY986" s="103">
        <v>3.1914893617021276</v>
      </c>
      <c r="CZ986" s="103">
        <v>0</v>
      </c>
      <c r="DA986" s="103">
        <v>0</v>
      </c>
      <c r="DB986" s="103">
        <v>0</v>
      </c>
      <c r="DC986" s="42"/>
      <c r="DD986" s="110"/>
      <c r="DE986" s="46" t="s">
        <v>2</v>
      </c>
      <c r="DF986" s="103">
        <v>4.1666666666666661</v>
      </c>
      <c r="DG986" s="103">
        <v>21.75925925925926</v>
      </c>
      <c r="DH986" s="103">
        <v>35.493827160493829</v>
      </c>
      <c r="DI986" s="103">
        <v>29.938271604938272</v>
      </c>
      <c r="DJ986" s="103">
        <v>5.7098765432098766</v>
      </c>
      <c r="DK986" s="103">
        <v>2.3148148148148149</v>
      </c>
      <c r="DL986" s="103">
        <v>0.46296296296296291</v>
      </c>
      <c r="DM986" s="103">
        <v>0.15432098765432098</v>
      </c>
      <c r="DN986" s="103">
        <v>0</v>
      </c>
      <c r="DO986" s="103">
        <v>0</v>
      </c>
    </row>
    <row r="987" spans="2:119" ht="16.5" customHeight="1" x14ac:dyDescent="0.45">
      <c r="B987" s="99"/>
      <c r="C987" s="42"/>
      <c r="D987" s="110"/>
      <c r="E987" s="47" t="s">
        <v>3</v>
      </c>
      <c r="F987" s="103">
        <v>3.1496062992125982</v>
      </c>
      <c r="G987" s="103">
        <v>12.440944881889763</v>
      </c>
      <c r="H987" s="103">
        <v>34.803149606299208</v>
      </c>
      <c r="I987" s="103">
        <v>32.440944881889763</v>
      </c>
      <c r="J987" s="103">
        <v>10.866141732283465</v>
      </c>
      <c r="K987" s="103">
        <v>4.0944881889763778</v>
      </c>
      <c r="L987" s="103">
        <v>1.889763779527559</v>
      </c>
      <c r="M987" s="103">
        <v>0.31496062992125984</v>
      </c>
      <c r="N987" s="103">
        <v>0</v>
      </c>
      <c r="O987" s="103">
        <v>0</v>
      </c>
      <c r="P987" s="42"/>
      <c r="Q987" s="110"/>
      <c r="R987" s="46" t="s">
        <v>3</v>
      </c>
      <c r="S987" s="103">
        <v>1.1299435028248588</v>
      </c>
      <c r="T987" s="103">
        <v>9.8870056497175138</v>
      </c>
      <c r="U987" s="103">
        <v>30.225988700564972</v>
      </c>
      <c r="V987" s="103">
        <v>35.593220338983052</v>
      </c>
      <c r="W987" s="103">
        <v>13.27683615819209</v>
      </c>
      <c r="X987" s="103">
        <v>5.9322033898305087</v>
      </c>
      <c r="Y987" s="103">
        <v>3.3898305084745761</v>
      </c>
      <c r="Z987" s="103">
        <v>0.56497175141242939</v>
      </c>
      <c r="AA987" s="103">
        <v>0</v>
      </c>
      <c r="AB987" s="103">
        <v>0</v>
      </c>
      <c r="AC987" s="42"/>
      <c r="AD987" s="110"/>
      <c r="AE987" s="46" t="s">
        <v>3</v>
      </c>
      <c r="AF987" s="103">
        <v>5.6939501779359425</v>
      </c>
      <c r="AG987" s="103">
        <v>15.658362989323843</v>
      </c>
      <c r="AH987" s="103">
        <v>40.569395017793596</v>
      </c>
      <c r="AI987" s="103">
        <v>28.46975088967972</v>
      </c>
      <c r="AJ987" s="103">
        <v>7.8291814946619214</v>
      </c>
      <c r="AK987" s="103">
        <v>1.7793594306049825</v>
      </c>
      <c r="AL987" s="103">
        <v>0</v>
      </c>
      <c r="AM987" s="103">
        <v>0</v>
      </c>
      <c r="AN987" s="103">
        <v>0</v>
      </c>
      <c r="AO987" s="103">
        <v>0</v>
      </c>
      <c r="AP987" s="6"/>
      <c r="AQ987" s="110"/>
      <c r="AR987" s="46" t="s">
        <v>3</v>
      </c>
      <c r="AS987" s="103">
        <v>3.9426523297491038</v>
      </c>
      <c r="AT987" s="103">
        <v>17.20430107526882</v>
      </c>
      <c r="AU987" s="103">
        <v>36.917562724014338</v>
      </c>
      <c r="AV987" s="103">
        <v>29.749103942652326</v>
      </c>
      <c r="AW987" s="103">
        <v>9.3189964157706093</v>
      </c>
      <c r="AX987" s="103">
        <v>2.1505376344086025</v>
      </c>
      <c r="AY987" s="103">
        <v>0.71684587813620071</v>
      </c>
      <c r="AZ987" s="103">
        <v>0</v>
      </c>
      <c r="BA987" s="103">
        <v>0</v>
      </c>
      <c r="BB987" s="103">
        <v>0</v>
      </c>
      <c r="BC987" s="42"/>
      <c r="BD987" s="110"/>
      <c r="BE987" s="46" t="s">
        <v>3</v>
      </c>
      <c r="BF987" s="103">
        <v>2.5280898876404492</v>
      </c>
      <c r="BG987" s="103">
        <v>8.7078651685393265</v>
      </c>
      <c r="BH987" s="103">
        <v>33.146067415730336</v>
      </c>
      <c r="BI987" s="103">
        <v>34.550561797752813</v>
      </c>
      <c r="BJ987" s="103">
        <v>12.078651685393259</v>
      </c>
      <c r="BK987" s="103">
        <v>5.6179775280898872</v>
      </c>
      <c r="BL987" s="103">
        <v>2.8089887640449436</v>
      </c>
      <c r="BM987" s="103">
        <v>0.5617977528089888</v>
      </c>
      <c r="BN987" s="103">
        <v>0</v>
      </c>
      <c r="BO987" s="103">
        <v>0</v>
      </c>
      <c r="BQ987" s="110"/>
      <c r="BR987" s="46" t="s">
        <v>3</v>
      </c>
      <c r="BS987" s="103">
        <v>3.5294117647058822</v>
      </c>
      <c r="BT987" s="103">
        <v>14.411764705882351</v>
      </c>
      <c r="BU987" s="103">
        <v>38.82352941176471</v>
      </c>
      <c r="BV987" s="103">
        <v>29.117647058823533</v>
      </c>
      <c r="BW987" s="103">
        <v>7.6470588235294121</v>
      </c>
      <c r="BX987" s="103">
        <v>4.4117647058823533</v>
      </c>
      <c r="BY987" s="103">
        <v>1.7647058823529411</v>
      </c>
      <c r="BZ987" s="103">
        <v>0.29411764705882354</v>
      </c>
      <c r="CA987" s="103">
        <v>0</v>
      </c>
      <c r="CB987" s="103">
        <v>0</v>
      </c>
      <c r="CC987" s="42"/>
      <c r="CD987" s="110"/>
      <c r="CE987" s="46" t="s">
        <v>3</v>
      </c>
      <c r="CF987" s="103">
        <v>2.7118644067796609</v>
      </c>
      <c r="CG987" s="103">
        <v>10.16949152542373</v>
      </c>
      <c r="CH987" s="103">
        <v>30.16949152542373</v>
      </c>
      <c r="CI987" s="103">
        <v>36.271186440677965</v>
      </c>
      <c r="CJ987" s="103">
        <v>14.576271186440678</v>
      </c>
      <c r="CK987" s="103">
        <v>3.7288135593220342</v>
      </c>
      <c r="CL987" s="103">
        <v>2.0338983050847457</v>
      </c>
      <c r="CM987" s="103">
        <v>0.33898305084745761</v>
      </c>
      <c r="CN987" s="103">
        <v>0</v>
      </c>
      <c r="CO987" s="103">
        <v>0</v>
      </c>
      <c r="CQ987" s="110"/>
      <c r="CR987" s="46" t="s">
        <v>3</v>
      </c>
      <c r="CS987" s="103">
        <v>6.140350877192982</v>
      </c>
      <c r="CT987" s="103">
        <v>14.035087719298245</v>
      </c>
      <c r="CU987" s="103">
        <v>33.333333333333329</v>
      </c>
      <c r="CV987" s="103">
        <v>31.578947368421051</v>
      </c>
      <c r="CW987" s="103">
        <v>9.6491228070175428</v>
      </c>
      <c r="CX987" s="103">
        <v>3.5087719298245612</v>
      </c>
      <c r="CY987" s="103">
        <v>1.7543859649122806</v>
      </c>
      <c r="CZ987" s="103">
        <v>0</v>
      </c>
      <c r="DA987" s="103">
        <v>0</v>
      </c>
      <c r="DB987" s="103">
        <v>0</v>
      </c>
      <c r="DC987" s="42"/>
      <c r="DD987" s="110"/>
      <c r="DE987" s="46" t="s">
        <v>3</v>
      </c>
      <c r="DF987" s="103">
        <v>2.4952015355086372</v>
      </c>
      <c r="DG987" s="103">
        <v>12.092130518234164</v>
      </c>
      <c r="DH987" s="103">
        <v>35.124760076775431</v>
      </c>
      <c r="DI987" s="103">
        <v>32.629558541266796</v>
      </c>
      <c r="DJ987" s="103">
        <v>11.132437619961612</v>
      </c>
      <c r="DK987" s="103">
        <v>4.2226487523992322</v>
      </c>
      <c r="DL987" s="103">
        <v>1.9193857965451053</v>
      </c>
      <c r="DM987" s="103">
        <v>0.38387715930902111</v>
      </c>
      <c r="DN987" s="103">
        <v>0</v>
      </c>
      <c r="DO987" s="103">
        <v>0</v>
      </c>
    </row>
    <row r="988" spans="2:119" ht="16.5" customHeight="1" x14ac:dyDescent="0.45">
      <c r="B988" s="99"/>
      <c r="C988" s="42"/>
      <c r="D988" s="110"/>
      <c r="E988" s="47" t="s">
        <v>4</v>
      </c>
      <c r="F988" s="103">
        <v>2.1317829457364339</v>
      </c>
      <c r="G988" s="103">
        <v>10.65891472868217</v>
      </c>
      <c r="H988" s="103">
        <v>24.224806201550386</v>
      </c>
      <c r="I988" s="103">
        <v>36.627906976744185</v>
      </c>
      <c r="J988" s="103">
        <v>15.697674418604651</v>
      </c>
      <c r="K988" s="103">
        <v>7.7519379844961236</v>
      </c>
      <c r="L988" s="103">
        <v>2.4224806201550391</v>
      </c>
      <c r="M988" s="103">
        <v>0.38759689922480622</v>
      </c>
      <c r="N988" s="103">
        <v>0</v>
      </c>
      <c r="O988" s="103">
        <v>9.6899224806201556E-2</v>
      </c>
      <c r="P988" s="42"/>
      <c r="Q988" s="110"/>
      <c r="R988" s="46" t="s">
        <v>4</v>
      </c>
      <c r="S988" s="103">
        <v>2.2187004754358162</v>
      </c>
      <c r="T988" s="103">
        <v>7.7654516640253561</v>
      </c>
      <c r="U988" s="103">
        <v>21.870047543581617</v>
      </c>
      <c r="V988" s="103">
        <v>37.559429477020601</v>
      </c>
      <c r="W988" s="103">
        <v>17.591125198098258</v>
      </c>
      <c r="X988" s="103">
        <v>8.8748019017432647</v>
      </c>
      <c r="Y988" s="103">
        <v>3.4865293185419968</v>
      </c>
      <c r="Z988" s="103">
        <v>0.47543581616481778</v>
      </c>
      <c r="AA988" s="103">
        <v>0</v>
      </c>
      <c r="AB988" s="103">
        <v>0.15847860538827258</v>
      </c>
      <c r="AC988" s="42"/>
      <c r="AD988" s="110"/>
      <c r="AE988" s="46" t="s">
        <v>4</v>
      </c>
      <c r="AF988" s="103">
        <v>1.99501246882793</v>
      </c>
      <c r="AG988" s="103">
        <v>15.211970074812967</v>
      </c>
      <c r="AH988" s="103">
        <v>27.93017456359102</v>
      </c>
      <c r="AI988" s="103">
        <v>35.16209476309227</v>
      </c>
      <c r="AJ988" s="103">
        <v>12.718204488778055</v>
      </c>
      <c r="AK988" s="103">
        <v>5.9850374064837908</v>
      </c>
      <c r="AL988" s="103">
        <v>0.74812967581047385</v>
      </c>
      <c r="AM988" s="103">
        <v>0.24937655860349126</v>
      </c>
      <c r="AN988" s="103">
        <v>0</v>
      </c>
      <c r="AO988" s="103">
        <v>0</v>
      </c>
      <c r="AP988" s="6"/>
      <c r="AQ988" s="110"/>
      <c r="AR988" s="46" t="s">
        <v>4</v>
      </c>
      <c r="AS988" s="103">
        <v>1.6018306636155606</v>
      </c>
      <c r="AT988" s="103">
        <v>13.501144164759726</v>
      </c>
      <c r="AU988" s="103">
        <v>23.569794050343248</v>
      </c>
      <c r="AV988" s="103">
        <v>40.961098398169341</v>
      </c>
      <c r="AW988" s="103">
        <v>13.501144164759726</v>
      </c>
      <c r="AX988" s="103">
        <v>5.2631578947368416</v>
      </c>
      <c r="AY988" s="103">
        <v>1.3729977116704806</v>
      </c>
      <c r="AZ988" s="103">
        <v>0.2288329519450801</v>
      </c>
      <c r="BA988" s="103">
        <v>0</v>
      </c>
      <c r="BB988" s="103">
        <v>0</v>
      </c>
      <c r="BC988" s="42"/>
      <c r="BD988" s="110"/>
      <c r="BE988" s="46" t="s">
        <v>4</v>
      </c>
      <c r="BF988" s="103">
        <v>2.5210084033613445</v>
      </c>
      <c r="BG988" s="103">
        <v>8.5714285714285712</v>
      </c>
      <c r="BH988" s="103">
        <v>24.705882352941178</v>
      </c>
      <c r="BI988" s="103">
        <v>33.445378151260499</v>
      </c>
      <c r="BJ988" s="103">
        <v>17.310924369747898</v>
      </c>
      <c r="BK988" s="103">
        <v>9.5798319327731107</v>
      </c>
      <c r="BL988" s="103">
        <v>3.1932773109243695</v>
      </c>
      <c r="BM988" s="103">
        <v>0.50420168067226889</v>
      </c>
      <c r="BN988" s="103">
        <v>0</v>
      </c>
      <c r="BO988" s="103">
        <v>0.16806722689075632</v>
      </c>
      <c r="BQ988" s="110"/>
      <c r="BR988" s="46" t="s">
        <v>4</v>
      </c>
      <c r="BS988" s="103">
        <v>1.3544018058690745</v>
      </c>
      <c r="BT988" s="103">
        <v>12.18961625282167</v>
      </c>
      <c r="BU988" s="103">
        <v>27.313769751693002</v>
      </c>
      <c r="BV988" s="103">
        <v>36.117381489841989</v>
      </c>
      <c r="BW988" s="103">
        <v>12.866817155756207</v>
      </c>
      <c r="BX988" s="103">
        <v>8.1264108352144468</v>
      </c>
      <c r="BY988" s="103">
        <v>1.3544018058690745</v>
      </c>
      <c r="BZ988" s="103">
        <v>0.45146726862302478</v>
      </c>
      <c r="CA988" s="103">
        <v>0</v>
      </c>
      <c r="CB988" s="103">
        <v>0.22573363431151239</v>
      </c>
      <c r="CC988" s="42"/>
      <c r="CD988" s="110"/>
      <c r="CE988" s="46" t="s">
        <v>4</v>
      </c>
      <c r="CF988" s="103">
        <v>2.7164685908319184</v>
      </c>
      <c r="CG988" s="103">
        <v>9.5076400679117139</v>
      </c>
      <c r="CH988" s="103">
        <v>21.901528013582343</v>
      </c>
      <c r="CI988" s="103">
        <v>37.011884550084886</v>
      </c>
      <c r="CJ988" s="103">
        <v>17.826825127334462</v>
      </c>
      <c r="CK988" s="103">
        <v>7.4702886247877753</v>
      </c>
      <c r="CL988" s="103">
        <v>3.225806451612903</v>
      </c>
      <c r="CM988" s="103">
        <v>0.3395585738539898</v>
      </c>
      <c r="CN988" s="103">
        <v>0</v>
      </c>
      <c r="CO988" s="103">
        <v>0</v>
      </c>
      <c r="CQ988" s="110"/>
      <c r="CR988" s="46" t="s">
        <v>4</v>
      </c>
      <c r="CS988" s="103">
        <v>3.3333333333333335</v>
      </c>
      <c r="CT988" s="103">
        <v>6.1111111111111107</v>
      </c>
      <c r="CU988" s="103">
        <v>17.777777777777779</v>
      </c>
      <c r="CV988" s="103">
        <v>42.777777777777779</v>
      </c>
      <c r="CW988" s="103">
        <v>19.444444444444446</v>
      </c>
      <c r="CX988" s="103">
        <v>7.7777777777777777</v>
      </c>
      <c r="CY988" s="103">
        <v>2.7777777777777777</v>
      </c>
      <c r="CZ988" s="103">
        <v>0</v>
      </c>
      <c r="DA988" s="103">
        <v>0</v>
      </c>
      <c r="DB988" s="103">
        <v>0</v>
      </c>
      <c r="DC988" s="42"/>
      <c r="DD988" s="110"/>
      <c r="DE988" s="46" t="s">
        <v>4</v>
      </c>
      <c r="DF988" s="103">
        <v>1.8779342723004695</v>
      </c>
      <c r="DG988" s="103">
        <v>11.619718309859154</v>
      </c>
      <c r="DH988" s="103">
        <v>25.586854460093893</v>
      </c>
      <c r="DI988" s="103">
        <v>35.328638497652584</v>
      </c>
      <c r="DJ988" s="103">
        <v>14.906103286384976</v>
      </c>
      <c r="DK988" s="103">
        <v>7.7464788732394361</v>
      </c>
      <c r="DL988" s="103">
        <v>2.3474178403755865</v>
      </c>
      <c r="DM988" s="103">
        <v>0.46948356807511737</v>
      </c>
      <c r="DN988" s="103">
        <v>0</v>
      </c>
      <c r="DO988" s="103">
        <v>0.11737089201877934</v>
      </c>
    </row>
    <row r="989" spans="2:119" ht="16.5" customHeight="1" x14ac:dyDescent="0.45">
      <c r="B989" s="99"/>
      <c r="C989" s="42"/>
      <c r="D989" s="110"/>
      <c r="E989" s="47" t="s">
        <v>5</v>
      </c>
      <c r="F989" s="103">
        <v>1.5744032503809042</v>
      </c>
      <c r="G989" s="103">
        <v>6.348400203148806</v>
      </c>
      <c r="H989" s="103">
        <v>21.07668867445404</v>
      </c>
      <c r="I989" s="103">
        <v>35.39867953275774</v>
      </c>
      <c r="J989" s="103">
        <v>18.588115794819707</v>
      </c>
      <c r="K989" s="103">
        <v>10.665312341289996</v>
      </c>
      <c r="L989" s="103">
        <v>4.7232097511427122</v>
      </c>
      <c r="M989" s="103">
        <v>1.0665312341289994</v>
      </c>
      <c r="N989" s="103">
        <v>0.50787201625190448</v>
      </c>
      <c r="O989" s="103">
        <v>5.0787201625190445E-2</v>
      </c>
      <c r="P989" s="42"/>
      <c r="Q989" s="110"/>
      <c r="R989" s="46" t="s">
        <v>5</v>
      </c>
      <c r="S989" s="103">
        <v>0.65040650406504064</v>
      </c>
      <c r="T989" s="103">
        <v>5.5284552845528454</v>
      </c>
      <c r="U989" s="103">
        <v>15.609756097560975</v>
      </c>
      <c r="V989" s="103">
        <v>36.016260162601625</v>
      </c>
      <c r="W989" s="103">
        <v>21.138211382113823</v>
      </c>
      <c r="X989" s="103">
        <v>13.252032520325201</v>
      </c>
      <c r="Y989" s="103">
        <v>6.0975609756097562</v>
      </c>
      <c r="Z989" s="103">
        <v>1.3008130081300813</v>
      </c>
      <c r="AA989" s="103">
        <v>0.40650406504065045</v>
      </c>
      <c r="AB989" s="103">
        <v>0</v>
      </c>
      <c r="AC989" s="42"/>
      <c r="AD989" s="110"/>
      <c r="AE989" s="46" t="s">
        <v>5</v>
      </c>
      <c r="AF989" s="103">
        <v>3.1123139377537212</v>
      </c>
      <c r="AG989" s="103">
        <v>7.7131258457374825</v>
      </c>
      <c r="AH989" s="103">
        <v>30.175913396481729</v>
      </c>
      <c r="AI989" s="103">
        <v>34.370771312584573</v>
      </c>
      <c r="AJ989" s="103">
        <v>14.343707713125845</v>
      </c>
      <c r="AK989" s="103">
        <v>6.3599458728010827</v>
      </c>
      <c r="AL989" s="103">
        <v>2.4357239512855209</v>
      </c>
      <c r="AM989" s="103">
        <v>0.67658998646820023</v>
      </c>
      <c r="AN989" s="103">
        <v>0.67658998646820023</v>
      </c>
      <c r="AO989" s="103">
        <v>0.13531799729364005</v>
      </c>
      <c r="AP989" s="6"/>
      <c r="AQ989" s="110"/>
      <c r="AR989" s="46" t="s">
        <v>5</v>
      </c>
      <c r="AS989" s="103">
        <v>2.1650879566982408</v>
      </c>
      <c r="AT989" s="103">
        <v>10.284167794316645</v>
      </c>
      <c r="AU989" s="103">
        <v>23.410013531799727</v>
      </c>
      <c r="AV989" s="103">
        <v>36.400541271989169</v>
      </c>
      <c r="AW989" s="103">
        <v>14.614343707713125</v>
      </c>
      <c r="AX989" s="103">
        <v>8.2543978349120426</v>
      </c>
      <c r="AY989" s="103">
        <v>3.247631935047361</v>
      </c>
      <c r="AZ989" s="103">
        <v>1.0825439783491204</v>
      </c>
      <c r="BA989" s="103">
        <v>0.54127198917456021</v>
      </c>
      <c r="BB989" s="103">
        <v>0</v>
      </c>
      <c r="BC989" s="42"/>
      <c r="BD989" s="110"/>
      <c r="BE989" s="46" t="s">
        <v>5</v>
      </c>
      <c r="BF989" s="103">
        <v>1.2195121951219512</v>
      </c>
      <c r="BG989" s="103">
        <v>3.9837398373983741</v>
      </c>
      <c r="BH989" s="103">
        <v>19.674796747967481</v>
      </c>
      <c r="BI989" s="103">
        <v>34.796747967479675</v>
      </c>
      <c r="BJ989" s="103">
        <v>20.975609756097562</v>
      </c>
      <c r="BK989" s="103">
        <v>12.113821138211382</v>
      </c>
      <c r="BL989" s="103">
        <v>5.6097560975609762</v>
      </c>
      <c r="BM989" s="103">
        <v>1.056910569105691</v>
      </c>
      <c r="BN989" s="103">
        <v>0.48780487804878048</v>
      </c>
      <c r="BO989" s="103">
        <v>8.1300813008130079E-2</v>
      </c>
      <c r="BQ989" s="110"/>
      <c r="BR989" s="46" t="s">
        <v>5</v>
      </c>
      <c r="BS989" s="103">
        <v>1.8867924528301887</v>
      </c>
      <c r="BT989" s="103">
        <v>7.5471698113207548</v>
      </c>
      <c r="BU989" s="103">
        <v>26.758147512864493</v>
      </c>
      <c r="BV989" s="103">
        <v>36.363636363636367</v>
      </c>
      <c r="BW989" s="103">
        <v>15.265866209262436</v>
      </c>
      <c r="BX989" s="103">
        <v>7.8902229845626071</v>
      </c>
      <c r="BY989" s="103">
        <v>2.9159519725557463</v>
      </c>
      <c r="BZ989" s="103">
        <v>0.68610634648370494</v>
      </c>
      <c r="CA989" s="103">
        <v>0.51457975986277882</v>
      </c>
      <c r="CB989" s="103">
        <v>0.17152658662092624</v>
      </c>
      <c r="CC989" s="42"/>
      <c r="CD989" s="110"/>
      <c r="CE989" s="46" t="s">
        <v>5</v>
      </c>
      <c r="CF989" s="103">
        <v>1.4430014430014431</v>
      </c>
      <c r="CG989" s="103">
        <v>5.8441558441558437</v>
      </c>
      <c r="CH989" s="103">
        <v>18.686868686868689</v>
      </c>
      <c r="CI989" s="103">
        <v>34.992784992784991</v>
      </c>
      <c r="CJ989" s="103">
        <v>19.985569985569985</v>
      </c>
      <c r="CK989" s="103">
        <v>11.832611832611832</v>
      </c>
      <c r="CL989" s="103">
        <v>5.4834054834054831</v>
      </c>
      <c r="CM989" s="103">
        <v>1.2265512265512266</v>
      </c>
      <c r="CN989" s="103">
        <v>0.50505050505050508</v>
      </c>
      <c r="CO989" s="103">
        <v>0</v>
      </c>
      <c r="CQ989" s="110"/>
      <c r="CR989" s="46" t="s">
        <v>5</v>
      </c>
      <c r="CS989" s="103">
        <v>2.464788732394366</v>
      </c>
      <c r="CT989" s="103">
        <v>4.5774647887323949</v>
      </c>
      <c r="CU989" s="103">
        <v>17.253521126760564</v>
      </c>
      <c r="CV989" s="103">
        <v>38.028169014084504</v>
      </c>
      <c r="CW989" s="103">
        <v>22.535211267605636</v>
      </c>
      <c r="CX989" s="103">
        <v>10.915492957746478</v>
      </c>
      <c r="CY989" s="103">
        <v>2.464788732394366</v>
      </c>
      <c r="CZ989" s="103">
        <v>1.4084507042253522</v>
      </c>
      <c r="DA989" s="103">
        <v>0.35211267605633806</v>
      </c>
      <c r="DB989" s="103">
        <v>0</v>
      </c>
      <c r="DC989" s="42"/>
      <c r="DD989" s="110"/>
      <c r="DE989" s="46" t="s">
        <v>5</v>
      </c>
      <c r="DF989" s="103">
        <v>1.4243323442136497</v>
      </c>
      <c r="DG989" s="103">
        <v>6.6468842729970321</v>
      </c>
      <c r="DH989" s="103">
        <v>21.72106824925816</v>
      </c>
      <c r="DI989" s="103">
        <v>34.955489614243326</v>
      </c>
      <c r="DJ989" s="103">
        <v>17.922848664688427</v>
      </c>
      <c r="DK989" s="103">
        <v>10.623145400593472</v>
      </c>
      <c r="DL989" s="103">
        <v>5.103857566765579</v>
      </c>
      <c r="DM989" s="103">
        <v>1.0089020771513353</v>
      </c>
      <c r="DN989" s="103">
        <v>0.53412462908011871</v>
      </c>
      <c r="DO989" s="103">
        <v>5.9347181008902072E-2</v>
      </c>
    </row>
    <row r="990" spans="2:119" ht="16.5" customHeight="1" x14ac:dyDescent="0.45">
      <c r="B990" s="99"/>
      <c r="C990" s="42"/>
      <c r="D990" s="110"/>
      <c r="E990" s="47" t="s">
        <v>6</v>
      </c>
      <c r="F990" s="103">
        <v>1.1181332036947009</v>
      </c>
      <c r="G990" s="103">
        <v>4.0350024307243553</v>
      </c>
      <c r="H990" s="103">
        <v>15.653864851725816</v>
      </c>
      <c r="I990" s="103">
        <v>32.328633932912012</v>
      </c>
      <c r="J990" s="103">
        <v>21.050072921730674</v>
      </c>
      <c r="K990" s="103">
        <v>15.167719980554207</v>
      </c>
      <c r="L990" s="103">
        <v>7.9970831307729711</v>
      </c>
      <c r="M990" s="103">
        <v>1.7258142926592124</v>
      </c>
      <c r="N990" s="103">
        <v>0.85075352455031594</v>
      </c>
      <c r="O990" s="103">
        <v>7.292173067574137E-2</v>
      </c>
      <c r="P990" s="42"/>
      <c r="Q990" s="110"/>
      <c r="R990" s="46" t="s">
        <v>6</v>
      </c>
      <c r="S990" s="103">
        <v>0.73274199768607784</v>
      </c>
      <c r="T990" s="103">
        <v>2.8924026224450441</v>
      </c>
      <c r="U990" s="103">
        <v>11.878133436174314</v>
      </c>
      <c r="V990" s="103">
        <v>29.965291168530662</v>
      </c>
      <c r="W990" s="103">
        <v>22.599305823370614</v>
      </c>
      <c r="X990" s="103">
        <v>18.048592364057075</v>
      </c>
      <c r="Y990" s="103">
        <v>10.335518704203626</v>
      </c>
      <c r="Z990" s="103">
        <v>2.3139220979560355</v>
      </c>
      <c r="AA990" s="103">
        <v>1.1569610489780178</v>
      </c>
      <c r="AB990" s="103">
        <v>7.7130736598534519E-2</v>
      </c>
      <c r="AC990" s="42"/>
      <c r="AD990" s="110"/>
      <c r="AE990" s="46" t="s">
        <v>6</v>
      </c>
      <c r="AF990" s="103">
        <v>1.7751479289940828</v>
      </c>
      <c r="AG990" s="103">
        <v>5.982905982905983</v>
      </c>
      <c r="AH990" s="103">
        <v>22.090729783037474</v>
      </c>
      <c r="AI990" s="103">
        <v>36.357659434582516</v>
      </c>
      <c r="AJ990" s="103">
        <v>18.408941485864563</v>
      </c>
      <c r="AK990" s="103">
        <v>10.256410256410255</v>
      </c>
      <c r="AL990" s="103">
        <v>4.0105193951347795</v>
      </c>
      <c r="AM990" s="103">
        <v>0.72320841551610782</v>
      </c>
      <c r="AN990" s="103">
        <v>0.32873109796186722</v>
      </c>
      <c r="AO990" s="103">
        <v>6.5746219592373437E-2</v>
      </c>
      <c r="AP990" s="6"/>
      <c r="AQ990" s="110"/>
      <c r="AR990" s="46" t="s">
        <v>6</v>
      </c>
      <c r="AS990" s="103">
        <v>1.7494751574527641</v>
      </c>
      <c r="AT990" s="103">
        <v>5.4583624912526236</v>
      </c>
      <c r="AU990" s="103">
        <v>19.944016794961509</v>
      </c>
      <c r="AV990" s="103">
        <v>35.129461161651506</v>
      </c>
      <c r="AW990" s="103">
        <v>17.634709587123861</v>
      </c>
      <c r="AX990" s="103">
        <v>12.316305108467459</v>
      </c>
      <c r="AY990" s="103">
        <v>6.0181945416375084</v>
      </c>
      <c r="AZ990" s="103">
        <v>1.0496850944716585</v>
      </c>
      <c r="BA990" s="103">
        <v>0.62981105668299509</v>
      </c>
      <c r="BB990" s="103">
        <v>6.997900629811056E-2</v>
      </c>
      <c r="BC990" s="42"/>
      <c r="BD990" s="110"/>
      <c r="BE990" s="46" t="s">
        <v>6</v>
      </c>
      <c r="BF990" s="103">
        <v>0.78212290502793302</v>
      </c>
      <c r="BG990" s="103">
        <v>3.2774674115456239</v>
      </c>
      <c r="BH990" s="103">
        <v>13.370577281191807</v>
      </c>
      <c r="BI990" s="103">
        <v>30.837988826815643</v>
      </c>
      <c r="BJ990" s="103">
        <v>22.86778398510242</v>
      </c>
      <c r="BK990" s="103">
        <v>16.685288640595903</v>
      </c>
      <c r="BL990" s="103">
        <v>9.050279329608939</v>
      </c>
      <c r="BM990" s="103">
        <v>2.0856610800744879</v>
      </c>
      <c r="BN990" s="103">
        <v>0.96834264432029793</v>
      </c>
      <c r="BO990" s="103">
        <v>7.4487895716945987E-2</v>
      </c>
      <c r="BQ990" s="110"/>
      <c r="BR990" s="46" t="s">
        <v>6</v>
      </c>
      <c r="BS990" s="103">
        <v>1.7462165308498252</v>
      </c>
      <c r="BT990" s="103">
        <v>5.8207217694994178</v>
      </c>
      <c r="BU990" s="103">
        <v>21.303841676367867</v>
      </c>
      <c r="BV990" s="103">
        <v>35.739231664726425</v>
      </c>
      <c r="BW990" s="103">
        <v>18.044237485448196</v>
      </c>
      <c r="BX990" s="103">
        <v>9.4295692665890574</v>
      </c>
      <c r="BY990" s="103">
        <v>5.9371362048894065</v>
      </c>
      <c r="BZ990" s="103">
        <v>1.1641443538998837</v>
      </c>
      <c r="CA990" s="103">
        <v>0.58207217694994184</v>
      </c>
      <c r="CB990" s="103">
        <v>0.23282887077997672</v>
      </c>
      <c r="CC990" s="42"/>
      <c r="CD990" s="110"/>
      <c r="CE990" s="46" t="s">
        <v>6</v>
      </c>
      <c r="CF990" s="103">
        <v>0.95238095238095244</v>
      </c>
      <c r="CG990" s="103">
        <v>3.5637480798771124</v>
      </c>
      <c r="CH990" s="103">
        <v>14.162826420890937</v>
      </c>
      <c r="CI990" s="103">
        <v>31.428571428571427</v>
      </c>
      <c r="CJ990" s="103">
        <v>21.843317972350228</v>
      </c>
      <c r="CK990" s="103">
        <v>16.682027649769584</v>
      </c>
      <c r="CL990" s="103">
        <v>8.5407066052227343</v>
      </c>
      <c r="CM990" s="103">
        <v>1.8740399385560675</v>
      </c>
      <c r="CN990" s="103">
        <v>0.92165898617511521</v>
      </c>
      <c r="CO990" s="103">
        <v>3.0721966205837174E-2</v>
      </c>
      <c r="CQ990" s="110"/>
      <c r="CR990" s="46" t="s">
        <v>6</v>
      </c>
      <c r="CS990" s="103">
        <v>0.39138943248532287</v>
      </c>
      <c r="CT990" s="103">
        <v>4.5009784735812133</v>
      </c>
      <c r="CU990" s="103">
        <v>13.50293542074364</v>
      </c>
      <c r="CV990" s="103">
        <v>31.702544031311152</v>
      </c>
      <c r="CW990" s="103">
        <v>21.526418786692759</v>
      </c>
      <c r="CX990" s="103">
        <v>16.2426614481409</v>
      </c>
      <c r="CY990" s="103">
        <v>8.4148727984344411</v>
      </c>
      <c r="CZ990" s="103">
        <v>2.3483365949119372</v>
      </c>
      <c r="DA990" s="103">
        <v>1.3698630136986301</v>
      </c>
      <c r="DB990" s="103">
        <v>0</v>
      </c>
      <c r="DC990" s="42"/>
      <c r="DD990" s="110"/>
      <c r="DE990" s="46" t="s">
        <v>6</v>
      </c>
      <c r="DF990" s="103">
        <v>1.2212045517624202</v>
      </c>
      <c r="DG990" s="103">
        <v>3.9689147932278659</v>
      </c>
      <c r="DH990" s="103">
        <v>15.958923119622536</v>
      </c>
      <c r="DI990" s="103">
        <v>32.41742991951152</v>
      </c>
      <c r="DJ990" s="103">
        <v>20.982514571190674</v>
      </c>
      <c r="DK990" s="103">
        <v>15.015265056897032</v>
      </c>
      <c r="DL990" s="103">
        <v>7.9378295864557318</v>
      </c>
      <c r="DM990" s="103">
        <v>1.6375242853177909</v>
      </c>
      <c r="DN990" s="103">
        <v>0.77713016930335832</v>
      </c>
      <c r="DO990" s="103">
        <v>8.3263946711074108E-2</v>
      </c>
    </row>
    <row r="991" spans="2:119" ht="16.5" customHeight="1" x14ac:dyDescent="0.45">
      <c r="B991" s="99"/>
      <c r="C991" s="42"/>
      <c r="D991" s="110"/>
      <c r="E991" s="47" t="s">
        <v>7</v>
      </c>
      <c r="F991" s="103">
        <v>0.61086560956589553</v>
      </c>
      <c r="G991" s="103">
        <v>3.0153366259422927</v>
      </c>
      <c r="H991" s="103">
        <v>10.137769690668053</v>
      </c>
      <c r="I991" s="103">
        <v>28.255783727579932</v>
      </c>
      <c r="J991" s="103">
        <v>21.601247725500389</v>
      </c>
      <c r="K991" s="103">
        <v>18.845853912139329</v>
      </c>
      <c r="L991" s="103">
        <v>11.749415128671693</v>
      </c>
      <c r="M991" s="103">
        <v>4.0031193137509744</v>
      </c>
      <c r="N991" s="103">
        <v>1.4556797504548999</v>
      </c>
      <c r="O991" s="103">
        <v>0.32492851572654013</v>
      </c>
      <c r="P991" s="42"/>
      <c r="Q991" s="110"/>
      <c r="R991" s="46" t="s">
        <v>7</v>
      </c>
      <c r="S991" s="103">
        <v>0.34893267651888343</v>
      </c>
      <c r="T991" s="103">
        <v>1.4778325123152709</v>
      </c>
      <c r="U991" s="103">
        <v>6.958128078817734</v>
      </c>
      <c r="V991" s="103">
        <v>24.486863711001643</v>
      </c>
      <c r="W991" s="103">
        <v>21.736453201970445</v>
      </c>
      <c r="X991" s="103">
        <v>22.475369458128078</v>
      </c>
      <c r="Y991" s="103">
        <v>14.757799671592775</v>
      </c>
      <c r="Z991" s="103">
        <v>5.4392446633825946</v>
      </c>
      <c r="AA991" s="103">
        <v>1.8883415435139574</v>
      </c>
      <c r="AB991" s="103">
        <v>0.43103448275862066</v>
      </c>
      <c r="AC991" s="42"/>
      <c r="AD991" s="110"/>
      <c r="AE991" s="46" t="s">
        <v>7</v>
      </c>
      <c r="AF991" s="103">
        <v>1.0630758327427356</v>
      </c>
      <c r="AG991" s="103">
        <v>5.6697377746279232</v>
      </c>
      <c r="AH991" s="103">
        <v>15.627214741318213</v>
      </c>
      <c r="AI991" s="103">
        <v>34.762579730687456</v>
      </c>
      <c r="AJ991" s="103">
        <v>21.367824238128989</v>
      </c>
      <c r="AK991" s="103">
        <v>12.579730687455706</v>
      </c>
      <c r="AL991" s="103">
        <v>6.5556343019135364</v>
      </c>
      <c r="AM991" s="103">
        <v>1.5237420269312545</v>
      </c>
      <c r="AN991" s="103">
        <v>0.7087172218284904</v>
      </c>
      <c r="AO991" s="103">
        <v>0.14174344436569808</v>
      </c>
      <c r="AP991" s="6"/>
      <c r="AQ991" s="110"/>
      <c r="AR991" s="46" t="s">
        <v>7</v>
      </c>
      <c r="AS991" s="103">
        <v>1.0265183917878529</v>
      </c>
      <c r="AT991" s="103">
        <v>5.2181351582549187</v>
      </c>
      <c r="AU991" s="103">
        <v>13.77245508982036</v>
      </c>
      <c r="AV991" s="103">
        <v>32.335329341317362</v>
      </c>
      <c r="AW991" s="103">
        <v>20.273738237810093</v>
      </c>
      <c r="AX991" s="103">
        <v>16.124893071000855</v>
      </c>
      <c r="AY991" s="103">
        <v>8.2121471343028229</v>
      </c>
      <c r="AZ991" s="103">
        <v>2.1813515825491874</v>
      </c>
      <c r="BA991" s="103">
        <v>0.72711719418306242</v>
      </c>
      <c r="BB991" s="103">
        <v>0.12831479897348161</v>
      </c>
      <c r="BC991" s="42"/>
      <c r="BD991" s="110"/>
      <c r="BE991" s="46" t="s">
        <v>7</v>
      </c>
      <c r="BF991" s="103">
        <v>0.42942494398805081</v>
      </c>
      <c r="BG991" s="103">
        <v>2.0537714712471993</v>
      </c>
      <c r="BH991" s="103">
        <v>8.5511575802837942</v>
      </c>
      <c r="BI991" s="103">
        <v>26.47498132935026</v>
      </c>
      <c r="BJ991" s="103">
        <v>22.180731889469754</v>
      </c>
      <c r="BK991" s="103">
        <v>20.0336071695295</v>
      </c>
      <c r="BL991" s="103">
        <v>13.293502613890965</v>
      </c>
      <c r="BM991" s="103">
        <v>4.7983569828230026</v>
      </c>
      <c r="BN991" s="103">
        <v>1.7737117251680357</v>
      </c>
      <c r="BO991" s="103">
        <v>0.41075429424943988</v>
      </c>
      <c r="BQ991" s="110"/>
      <c r="BR991" s="46" t="s">
        <v>7</v>
      </c>
      <c r="BS991" s="103">
        <v>1.20817843866171</v>
      </c>
      <c r="BT991" s="103">
        <v>5.6691449814126393</v>
      </c>
      <c r="BU991" s="103">
        <v>14.49814126394052</v>
      </c>
      <c r="BV991" s="103">
        <v>32.62081784386617</v>
      </c>
      <c r="BW991" s="103">
        <v>21.375464684014869</v>
      </c>
      <c r="BX991" s="103">
        <v>12.639405204460965</v>
      </c>
      <c r="BY991" s="103">
        <v>8.7360594795539033</v>
      </c>
      <c r="BZ991" s="103">
        <v>2.1375464684014869</v>
      </c>
      <c r="CA991" s="103">
        <v>0.92936802973977695</v>
      </c>
      <c r="CB991" s="103">
        <v>0.18587360594795538</v>
      </c>
      <c r="CC991" s="42"/>
      <c r="CD991" s="110"/>
      <c r="CE991" s="46" t="s">
        <v>7</v>
      </c>
      <c r="CF991" s="103">
        <v>0.51375037775763066</v>
      </c>
      <c r="CG991" s="103">
        <v>2.5838621940163193</v>
      </c>
      <c r="CH991" s="103">
        <v>9.4288304623753394</v>
      </c>
      <c r="CI991" s="103">
        <v>27.546086430945905</v>
      </c>
      <c r="CJ991" s="103">
        <v>21.637957086733152</v>
      </c>
      <c r="CK991" s="103">
        <v>19.854941069809609</v>
      </c>
      <c r="CL991" s="103">
        <v>12.239347234814144</v>
      </c>
      <c r="CM991" s="103">
        <v>4.3064369900271986</v>
      </c>
      <c r="CN991" s="103">
        <v>1.5412511332728922</v>
      </c>
      <c r="CO991" s="103">
        <v>0.34753702024780903</v>
      </c>
      <c r="CQ991" s="110"/>
      <c r="CR991" s="46" t="s">
        <v>7</v>
      </c>
      <c r="CS991" s="103">
        <v>0.55991041433370659</v>
      </c>
      <c r="CT991" s="103">
        <v>3.0235162374020157</v>
      </c>
      <c r="CU991" s="103">
        <v>9.0705487122060475</v>
      </c>
      <c r="CV991" s="103">
        <v>28.219484882418811</v>
      </c>
      <c r="CW991" s="103">
        <v>21.052631578947366</v>
      </c>
      <c r="CX991" s="103">
        <v>19.372900335946248</v>
      </c>
      <c r="CY991" s="103">
        <v>12.877939529675253</v>
      </c>
      <c r="CZ991" s="103">
        <v>4.4792833146696527</v>
      </c>
      <c r="DA991" s="103">
        <v>0.89585666293393063</v>
      </c>
      <c r="DB991" s="103">
        <v>0.44792833146696531</v>
      </c>
      <c r="DC991" s="42"/>
      <c r="DD991" s="110"/>
      <c r="DE991" s="46" t="s">
        <v>7</v>
      </c>
      <c r="DF991" s="103">
        <v>0.61755624172915746</v>
      </c>
      <c r="DG991" s="103">
        <v>3.0142626084399353</v>
      </c>
      <c r="DH991" s="103">
        <v>10.27790030877812</v>
      </c>
      <c r="DI991" s="103">
        <v>28.260549919129542</v>
      </c>
      <c r="DJ991" s="103">
        <v>21.673283340685192</v>
      </c>
      <c r="DK991" s="103">
        <v>18.776650492574621</v>
      </c>
      <c r="DL991" s="103">
        <v>11.601235112483458</v>
      </c>
      <c r="DM991" s="103">
        <v>3.940596971033671</v>
      </c>
      <c r="DN991" s="103">
        <v>1.5291868842817233</v>
      </c>
      <c r="DO991" s="103">
        <v>0.30877812086457873</v>
      </c>
    </row>
    <row r="992" spans="2:119" ht="16.5" customHeight="1" x14ac:dyDescent="0.45">
      <c r="B992" s="99"/>
      <c r="C992" s="42"/>
      <c r="D992" s="110"/>
      <c r="E992" s="47" t="s">
        <v>8</v>
      </c>
      <c r="F992" s="103">
        <v>0.36482334869431643</v>
      </c>
      <c r="G992" s="103">
        <v>1.4016897081413209</v>
      </c>
      <c r="H992" s="103">
        <v>5.4915514592933947</v>
      </c>
      <c r="I992" s="103">
        <v>18.596390168970814</v>
      </c>
      <c r="J992" s="103">
        <v>19.546850998463903</v>
      </c>
      <c r="K992" s="103">
        <v>22.945468509984639</v>
      </c>
      <c r="L992" s="103">
        <v>19.287634408602152</v>
      </c>
      <c r="M992" s="103">
        <v>7.2676651305683571</v>
      </c>
      <c r="N992" s="103">
        <v>3.8594470046082949</v>
      </c>
      <c r="O992" s="103">
        <v>1.2384792626728112</v>
      </c>
      <c r="P992" s="42"/>
      <c r="Q992" s="110"/>
      <c r="R992" s="46" t="s">
        <v>8</v>
      </c>
      <c r="S992" s="103">
        <v>0.16098346260793209</v>
      </c>
      <c r="T992" s="103">
        <v>0.67320357090589777</v>
      </c>
      <c r="U992" s="103">
        <v>3.1464949509732181</v>
      </c>
      <c r="V992" s="103">
        <v>13.961656666178838</v>
      </c>
      <c r="W992" s="103">
        <v>18.308210156593006</v>
      </c>
      <c r="X992" s="103">
        <v>25.084150446363235</v>
      </c>
      <c r="Y992" s="103">
        <v>22.596224206058832</v>
      </c>
      <c r="Z992" s="103">
        <v>9.3077711107858931</v>
      </c>
      <c r="AA992" s="103">
        <v>5.1368359432167425</v>
      </c>
      <c r="AB992" s="103">
        <v>1.6244694863164058</v>
      </c>
      <c r="AC992" s="42"/>
      <c r="AD992" s="110"/>
      <c r="AE992" s="46" t="s">
        <v>8</v>
      </c>
      <c r="AF992" s="103">
        <v>0.75355847055540048</v>
      </c>
      <c r="AG992" s="103">
        <v>2.7909572983533351</v>
      </c>
      <c r="AH992" s="103">
        <v>9.9637175551214074</v>
      </c>
      <c r="AI992" s="103">
        <v>27.435110242813288</v>
      </c>
      <c r="AJ992" s="103">
        <v>21.90901479207368</v>
      </c>
      <c r="AK992" s="103">
        <v>18.866871336868545</v>
      </c>
      <c r="AL992" s="103">
        <v>12.977951437343007</v>
      </c>
      <c r="AM992" s="103">
        <v>3.3770583310075355</v>
      </c>
      <c r="AN992" s="103">
        <v>1.423388222160201</v>
      </c>
      <c r="AO992" s="103">
        <v>0.50237231370360036</v>
      </c>
      <c r="AP992" s="6"/>
      <c r="AQ992" s="110"/>
      <c r="AR992" s="46" t="s">
        <v>8</v>
      </c>
      <c r="AS992" s="103">
        <v>0.98447557743279057</v>
      </c>
      <c r="AT992" s="103">
        <v>2.9912911775842486</v>
      </c>
      <c r="AU992" s="103">
        <v>8.0272624006058315</v>
      </c>
      <c r="AV992" s="103">
        <v>24.233244982961001</v>
      </c>
      <c r="AW992" s="103">
        <v>20.181749337372207</v>
      </c>
      <c r="AX992" s="103">
        <v>21.279818250662625</v>
      </c>
      <c r="AY992" s="103">
        <v>14.729269216205982</v>
      </c>
      <c r="AZ992" s="103">
        <v>4.8087845513063234</v>
      </c>
      <c r="BA992" s="103">
        <v>2.3097311624384704</v>
      </c>
      <c r="BB992" s="103">
        <v>0.45437334343051877</v>
      </c>
      <c r="BC992" s="42"/>
      <c r="BD992" s="110"/>
      <c r="BE992" s="46" t="s">
        <v>8</v>
      </c>
      <c r="BF992" s="103">
        <v>0.15434083601286172</v>
      </c>
      <c r="BG992" s="103">
        <v>0.86173633440514463</v>
      </c>
      <c r="BH992" s="103">
        <v>4.630225080385852</v>
      </c>
      <c r="BI992" s="103">
        <v>16.681672025723472</v>
      </c>
      <c r="BJ992" s="103">
        <v>19.331189710610932</v>
      </c>
      <c r="BK992" s="103">
        <v>23.511254019292604</v>
      </c>
      <c r="BL992" s="103">
        <v>20.836012861736332</v>
      </c>
      <c r="BM992" s="103">
        <v>8.1028938906752419</v>
      </c>
      <c r="BN992" s="103">
        <v>4.385852090032154</v>
      </c>
      <c r="BO992" s="103">
        <v>1.5048231511254018</v>
      </c>
      <c r="BQ992" s="110"/>
      <c r="BR992" s="46" t="s">
        <v>8</v>
      </c>
      <c r="BS992" s="103">
        <v>0.85836909871244638</v>
      </c>
      <c r="BT992" s="103">
        <v>3.3261802575107295</v>
      </c>
      <c r="BU992" s="103">
        <v>11.480686695278971</v>
      </c>
      <c r="BV992" s="103">
        <v>25.643776824034337</v>
      </c>
      <c r="BW992" s="103">
        <v>21.351931330472105</v>
      </c>
      <c r="BX992" s="103">
        <v>18.991416309012877</v>
      </c>
      <c r="BY992" s="103">
        <v>11.480686695278971</v>
      </c>
      <c r="BZ992" s="103">
        <v>4.6137339055793998</v>
      </c>
      <c r="CA992" s="103">
        <v>1.9313304721030045</v>
      </c>
      <c r="CB992" s="103">
        <v>0.32188841201716739</v>
      </c>
      <c r="CC992" s="42"/>
      <c r="CD992" s="110"/>
      <c r="CE992" s="46" t="s">
        <v>8</v>
      </c>
      <c r="CF992" s="103">
        <v>0.31632222690847744</v>
      </c>
      <c r="CG992" s="103">
        <v>1.2125685364824967</v>
      </c>
      <c r="CH992" s="103">
        <v>4.9029945170814004</v>
      </c>
      <c r="CI992" s="103">
        <v>17.903838043019825</v>
      </c>
      <c r="CJ992" s="103">
        <v>19.369464361029102</v>
      </c>
      <c r="CK992" s="103">
        <v>23.334036271615354</v>
      </c>
      <c r="CL992" s="103">
        <v>20.05482918599747</v>
      </c>
      <c r="CM992" s="103">
        <v>7.5284690004217625</v>
      </c>
      <c r="CN992" s="103">
        <v>4.0489245044285109</v>
      </c>
      <c r="CO992" s="103">
        <v>1.3285533530156053</v>
      </c>
      <c r="CQ992" s="110"/>
      <c r="CR992" s="46" t="s">
        <v>8</v>
      </c>
      <c r="CS992" s="103">
        <v>0.19665683382497542</v>
      </c>
      <c r="CT992" s="103">
        <v>1.671583087512291</v>
      </c>
      <c r="CU992" s="103">
        <v>4.5231071779744347</v>
      </c>
      <c r="CV992" s="103">
        <v>21.435594886922321</v>
      </c>
      <c r="CW992" s="103">
        <v>20.845624385447394</v>
      </c>
      <c r="CX992" s="103">
        <v>20.15732546705998</v>
      </c>
      <c r="CY992" s="103">
        <v>20.058997050147493</v>
      </c>
      <c r="CZ992" s="103">
        <v>6.4896755162241888</v>
      </c>
      <c r="DA992" s="103">
        <v>3.9331366764995082</v>
      </c>
      <c r="DB992" s="103">
        <v>0.68829891838741397</v>
      </c>
      <c r="DC992" s="42"/>
      <c r="DD992" s="110"/>
      <c r="DE992" s="46" t="s">
        <v>8</v>
      </c>
      <c r="DF992" s="103">
        <v>0.38301947015639959</v>
      </c>
      <c r="DG992" s="103">
        <v>1.3724864347270986</v>
      </c>
      <c r="DH992" s="103">
        <v>5.5963400361740616</v>
      </c>
      <c r="DI992" s="103">
        <v>18.289179699968081</v>
      </c>
      <c r="DJ992" s="103">
        <v>19.406319821257583</v>
      </c>
      <c r="DK992" s="103">
        <v>23.247153952548143</v>
      </c>
      <c r="DL992" s="103">
        <v>19.204170656452817</v>
      </c>
      <c r="DM992" s="103">
        <v>7.3518459410575598</v>
      </c>
      <c r="DN992" s="103">
        <v>3.8514735610171296</v>
      </c>
      <c r="DO992" s="103">
        <v>1.2980104266411321</v>
      </c>
    </row>
    <row r="993" spans="2:119" ht="16.5" customHeight="1" x14ac:dyDescent="0.45">
      <c r="B993" s="99"/>
      <c r="C993" s="42"/>
      <c r="D993" s="110"/>
      <c r="E993" s="47" t="s">
        <v>9</v>
      </c>
      <c r="F993" s="103">
        <v>0.16536518144235185</v>
      </c>
      <c r="G993" s="103">
        <v>0.52365640790078094</v>
      </c>
      <c r="H993" s="103">
        <v>2.6642168121267797</v>
      </c>
      <c r="I993" s="103">
        <v>10.326136885622416</v>
      </c>
      <c r="J993" s="103">
        <v>14.680753330271015</v>
      </c>
      <c r="K993" s="103">
        <v>21.690399632521821</v>
      </c>
      <c r="L993" s="103">
        <v>24.85989894350023</v>
      </c>
      <c r="M993" s="103">
        <v>12.659623334864492</v>
      </c>
      <c r="N993" s="103">
        <v>8.5163068442811216</v>
      </c>
      <c r="O993" s="103">
        <v>3.9136426274689939</v>
      </c>
      <c r="P993" s="42"/>
      <c r="Q993" s="110"/>
      <c r="R993" s="46" t="s">
        <v>9</v>
      </c>
      <c r="S993" s="103">
        <v>0.12371134020618556</v>
      </c>
      <c r="T993" s="103">
        <v>0.28865979381443296</v>
      </c>
      <c r="U993" s="103">
        <v>1.2920962199312716</v>
      </c>
      <c r="V993" s="103">
        <v>6.9415807560137459</v>
      </c>
      <c r="W993" s="103">
        <v>12.316151202749142</v>
      </c>
      <c r="X993" s="103">
        <v>21.030927835051546</v>
      </c>
      <c r="Y993" s="103">
        <v>27.037800687285223</v>
      </c>
      <c r="Z993" s="103">
        <v>15.367697594501717</v>
      </c>
      <c r="AA993" s="103">
        <v>10.501718213058419</v>
      </c>
      <c r="AB993" s="103">
        <v>5.0996563573883167</v>
      </c>
      <c r="AC993" s="42"/>
      <c r="AD993" s="110"/>
      <c r="AE993" s="46" t="s">
        <v>9</v>
      </c>
      <c r="AF993" s="103">
        <v>0.24930747922437671</v>
      </c>
      <c r="AG993" s="103">
        <v>0.99722991689750684</v>
      </c>
      <c r="AH993" s="103">
        <v>5.4293628808864263</v>
      </c>
      <c r="AI993" s="103">
        <v>17.146814404432135</v>
      </c>
      <c r="AJ993" s="103">
        <v>19.445983379501385</v>
      </c>
      <c r="AK993" s="103">
        <v>23.019390581717452</v>
      </c>
      <c r="AL993" s="103">
        <v>20.470914127423821</v>
      </c>
      <c r="AM993" s="103">
        <v>7.202216066481995</v>
      </c>
      <c r="AN993" s="103">
        <v>4.5152354570637119</v>
      </c>
      <c r="AO993" s="103">
        <v>1.5235457063711912</v>
      </c>
      <c r="AP993" s="6"/>
      <c r="AQ993" s="110"/>
      <c r="AR993" s="46" t="s">
        <v>9</v>
      </c>
      <c r="AS993" s="103">
        <v>0.3948667324777887</v>
      </c>
      <c r="AT993" s="103">
        <v>1.3820335636722607</v>
      </c>
      <c r="AU993" s="103">
        <v>4.6890424481737414</v>
      </c>
      <c r="AV993" s="103">
        <v>15.794669299111549</v>
      </c>
      <c r="AW993" s="103">
        <v>17.670286278381049</v>
      </c>
      <c r="AX993" s="103">
        <v>22.754195459032577</v>
      </c>
      <c r="AY993" s="103">
        <v>21.026653504442251</v>
      </c>
      <c r="AZ993" s="103">
        <v>8.637709772951629</v>
      </c>
      <c r="BA993" s="103">
        <v>5.2319842053307006</v>
      </c>
      <c r="BB993" s="103">
        <v>2.4185587364264562</v>
      </c>
      <c r="BC993" s="42"/>
      <c r="BD993" s="110"/>
      <c r="BE993" s="46" t="s">
        <v>9</v>
      </c>
      <c r="BF993" s="103">
        <v>0.11287955751213455</v>
      </c>
      <c r="BG993" s="103">
        <v>0.32735071678519023</v>
      </c>
      <c r="BH993" s="103">
        <v>2.201151371486624</v>
      </c>
      <c r="BI993" s="103">
        <v>9.0755164239756194</v>
      </c>
      <c r="BJ993" s="103">
        <v>13.997065131504685</v>
      </c>
      <c r="BK993" s="103">
        <v>21.447115927305564</v>
      </c>
      <c r="BL993" s="103">
        <v>25.736539112766678</v>
      </c>
      <c r="BM993" s="103">
        <v>13.579410768709788</v>
      </c>
      <c r="BN993" s="103">
        <v>9.2674116717462471</v>
      </c>
      <c r="BO993" s="103">
        <v>4.2555593182074727</v>
      </c>
      <c r="BQ993" s="110"/>
      <c r="BR993" s="46" t="s">
        <v>9</v>
      </c>
      <c r="BS993" s="103">
        <v>0.78740157480314954</v>
      </c>
      <c r="BT993" s="103">
        <v>2.0472440944881889</v>
      </c>
      <c r="BU993" s="103">
        <v>5.6692913385826769</v>
      </c>
      <c r="BV993" s="103">
        <v>16.535433070866144</v>
      </c>
      <c r="BW993" s="103">
        <v>18.425196850393704</v>
      </c>
      <c r="BX993" s="103">
        <v>20.15748031496063</v>
      </c>
      <c r="BY993" s="103">
        <v>19.370078740157481</v>
      </c>
      <c r="BZ993" s="103">
        <v>9.6062992125984259</v>
      </c>
      <c r="CA993" s="103">
        <v>5.0393700787401574</v>
      </c>
      <c r="CB993" s="103">
        <v>2.3622047244094486</v>
      </c>
      <c r="CC993" s="42"/>
      <c r="CD993" s="110"/>
      <c r="CE993" s="46" t="s">
        <v>9</v>
      </c>
      <c r="CF993" s="103">
        <v>0.12682926829268293</v>
      </c>
      <c r="CG993" s="103">
        <v>0.42926829268292688</v>
      </c>
      <c r="CH993" s="103">
        <v>2.4780487804878049</v>
      </c>
      <c r="CI993" s="103">
        <v>9.9414634146341463</v>
      </c>
      <c r="CJ993" s="103">
        <v>14.448780487804877</v>
      </c>
      <c r="CK993" s="103">
        <v>21.785365853658536</v>
      </c>
      <c r="CL993" s="103">
        <v>25.2</v>
      </c>
      <c r="CM993" s="103">
        <v>12.848780487804879</v>
      </c>
      <c r="CN993" s="103">
        <v>8.7317073170731696</v>
      </c>
      <c r="CO993" s="103">
        <v>4.0097560975609756</v>
      </c>
      <c r="CQ993" s="110"/>
      <c r="CR993" s="46" t="s">
        <v>9</v>
      </c>
      <c r="CS993" s="103">
        <v>0.32467532467532467</v>
      </c>
      <c r="CT993" s="103">
        <v>0.97402597402597402</v>
      </c>
      <c r="CU993" s="103">
        <v>2.1645021645021645</v>
      </c>
      <c r="CV993" s="103">
        <v>11.038961038961039</v>
      </c>
      <c r="CW993" s="103">
        <v>13.961038961038961</v>
      </c>
      <c r="CX993" s="103">
        <v>22.402597402597401</v>
      </c>
      <c r="CY993" s="103">
        <v>27.164502164502164</v>
      </c>
      <c r="CZ993" s="103">
        <v>11.255411255411255</v>
      </c>
      <c r="DA993" s="103">
        <v>7.4675324675324672</v>
      </c>
      <c r="DB993" s="103">
        <v>3.2467532467532463</v>
      </c>
      <c r="DC993" s="42"/>
      <c r="DD993" s="110"/>
      <c r="DE993" s="46" t="s">
        <v>9</v>
      </c>
      <c r="DF993" s="103">
        <v>0.15058729043268748</v>
      </c>
      <c r="DG993" s="103">
        <v>0.48187932938459999</v>
      </c>
      <c r="DH993" s="103">
        <v>2.7105712277883747</v>
      </c>
      <c r="DI993" s="103">
        <v>10.260014054813773</v>
      </c>
      <c r="DJ993" s="103">
        <v>14.747515309707859</v>
      </c>
      <c r="DK993" s="103">
        <v>21.624334906133921</v>
      </c>
      <c r="DL993" s="103">
        <v>24.646119867483186</v>
      </c>
      <c r="DM993" s="103">
        <v>12.789880534082924</v>
      </c>
      <c r="DN993" s="103">
        <v>8.6135930127497229</v>
      </c>
      <c r="DO993" s="103">
        <v>3.9755044674229496</v>
      </c>
    </row>
    <row r="994" spans="2:119" ht="16.5" customHeight="1" x14ac:dyDescent="0.45">
      <c r="B994" s="99"/>
      <c r="C994" s="42"/>
      <c r="D994" s="110"/>
      <c r="E994" s="47" t="s">
        <v>10</v>
      </c>
      <c r="F994" s="103">
        <v>9.6071733561058928E-2</v>
      </c>
      <c r="G994" s="103">
        <v>0.34158838599487618</v>
      </c>
      <c r="H994" s="103">
        <v>0.86464560204953034</v>
      </c>
      <c r="I994" s="103">
        <v>5.305294619982921</v>
      </c>
      <c r="J994" s="103">
        <v>8.4756618274978663</v>
      </c>
      <c r="K994" s="103">
        <v>16.737830913748933</v>
      </c>
      <c r="L994" s="103">
        <v>25.683176771989753</v>
      </c>
      <c r="M994" s="103">
        <v>18.531169940222032</v>
      </c>
      <c r="N994" s="103">
        <v>14.901793339026472</v>
      </c>
      <c r="O994" s="103">
        <v>9.0627668659265588</v>
      </c>
      <c r="P994" s="42"/>
      <c r="Q994" s="110"/>
      <c r="R994" s="46" t="s">
        <v>10</v>
      </c>
      <c r="S994" s="103">
        <v>4.9277266754270695E-2</v>
      </c>
      <c r="T994" s="103">
        <v>0.11498028909329829</v>
      </c>
      <c r="U994" s="103">
        <v>0.37779237844940866</v>
      </c>
      <c r="V994" s="103">
        <v>2.8909329829172141</v>
      </c>
      <c r="W994" s="103">
        <v>5.7982917214191856</v>
      </c>
      <c r="X994" s="103">
        <v>14.799605781865965</v>
      </c>
      <c r="Y994" s="103">
        <v>25.722733245729302</v>
      </c>
      <c r="Z994" s="103">
        <v>20.92641261498029</v>
      </c>
      <c r="AA994" s="103">
        <v>17.805519053876477</v>
      </c>
      <c r="AB994" s="103">
        <v>11.514454664914586</v>
      </c>
      <c r="AC994" s="42"/>
      <c r="AD994" s="110"/>
      <c r="AE994" s="46" t="s">
        <v>10</v>
      </c>
      <c r="AF994" s="103">
        <v>0.18292682926829271</v>
      </c>
      <c r="AG994" s="103">
        <v>0.76219512195121952</v>
      </c>
      <c r="AH994" s="103">
        <v>1.7682926829268291</v>
      </c>
      <c r="AI994" s="103">
        <v>9.786585365853659</v>
      </c>
      <c r="AJ994" s="103">
        <v>13.445121951219512</v>
      </c>
      <c r="AK994" s="103">
        <v>20.335365853658534</v>
      </c>
      <c r="AL994" s="103">
        <v>25.609756097560975</v>
      </c>
      <c r="AM994" s="103">
        <v>14.085365853658535</v>
      </c>
      <c r="AN994" s="103">
        <v>9.5121951219512191</v>
      </c>
      <c r="AO994" s="103">
        <v>4.5121951219512191</v>
      </c>
      <c r="AP994" s="6"/>
      <c r="AQ994" s="110"/>
      <c r="AR994" s="46" t="s">
        <v>10</v>
      </c>
      <c r="AS994" s="103">
        <v>0.41493775933609961</v>
      </c>
      <c r="AT994" s="103">
        <v>0.99585062240663891</v>
      </c>
      <c r="AU994" s="103">
        <v>2.8215767634854774</v>
      </c>
      <c r="AV994" s="103">
        <v>10.290456431535269</v>
      </c>
      <c r="AW994" s="103">
        <v>11.20331950207469</v>
      </c>
      <c r="AX994" s="103">
        <v>20.8298755186722</v>
      </c>
      <c r="AY994" s="103">
        <v>24.149377593360995</v>
      </c>
      <c r="AZ994" s="103">
        <v>14.273858921161825</v>
      </c>
      <c r="BA994" s="103">
        <v>10.207468879668049</v>
      </c>
      <c r="BB994" s="103">
        <v>4.8132780082987559</v>
      </c>
      <c r="BC994" s="42"/>
      <c r="BD994" s="110"/>
      <c r="BE994" s="46" t="s">
        <v>10</v>
      </c>
      <c r="BF994" s="103">
        <v>4.9001592551757935E-2</v>
      </c>
      <c r="BG994" s="103">
        <v>0.24500796275878967</v>
      </c>
      <c r="BH994" s="103">
        <v>0.57576871248315564</v>
      </c>
      <c r="BI994" s="103">
        <v>4.5693985054514279</v>
      </c>
      <c r="BJ994" s="103">
        <v>8.0730123729021184</v>
      </c>
      <c r="BK994" s="103">
        <v>16.1337743476663</v>
      </c>
      <c r="BL994" s="103">
        <v>25.909592061742003</v>
      </c>
      <c r="BM994" s="103">
        <v>19.15962268773735</v>
      </c>
      <c r="BN994" s="103">
        <v>15.594756829596962</v>
      </c>
      <c r="BO994" s="103">
        <v>9.6900649271101322</v>
      </c>
      <c r="BQ994" s="110"/>
      <c r="BR994" s="46" t="s">
        <v>10</v>
      </c>
      <c r="BS994" s="103">
        <v>0</v>
      </c>
      <c r="BT994" s="103">
        <v>0.22831050228310501</v>
      </c>
      <c r="BU994" s="103">
        <v>2.5114155251141552</v>
      </c>
      <c r="BV994" s="103">
        <v>10.50228310502283</v>
      </c>
      <c r="BW994" s="103">
        <v>11.643835616438356</v>
      </c>
      <c r="BX994" s="103">
        <v>21.232876712328768</v>
      </c>
      <c r="BY994" s="103">
        <v>22.602739726027394</v>
      </c>
      <c r="BZ994" s="103">
        <v>14.611872146118721</v>
      </c>
      <c r="CA994" s="103">
        <v>10.273972602739725</v>
      </c>
      <c r="CB994" s="103">
        <v>6.3926940639269407</v>
      </c>
      <c r="CC994" s="42"/>
      <c r="CD994" s="110"/>
      <c r="CE994" s="46" t="s">
        <v>10</v>
      </c>
      <c r="CF994" s="103">
        <v>0.1007838745800672</v>
      </c>
      <c r="CG994" s="103">
        <v>0.3471444568868981</v>
      </c>
      <c r="CH994" s="103">
        <v>0.78387458006718924</v>
      </c>
      <c r="CI994" s="103">
        <v>5.0503919372900334</v>
      </c>
      <c r="CJ994" s="103">
        <v>8.32026875699888</v>
      </c>
      <c r="CK994" s="103">
        <v>16.517357222844346</v>
      </c>
      <c r="CL994" s="103">
        <v>25.834266517357225</v>
      </c>
      <c r="CM994" s="103">
        <v>18.723404255319149</v>
      </c>
      <c r="CN994" s="103">
        <v>15.128779395296752</v>
      </c>
      <c r="CO994" s="103">
        <v>9.1937290033594614</v>
      </c>
      <c r="CQ994" s="110"/>
      <c r="CR994" s="46" t="s">
        <v>10</v>
      </c>
      <c r="CS994" s="103">
        <v>0</v>
      </c>
      <c r="CT994" s="103">
        <v>0</v>
      </c>
      <c r="CU994" s="103">
        <v>1.1019283746556474</v>
      </c>
      <c r="CV994" s="103">
        <v>5.0964187327823689</v>
      </c>
      <c r="CW994" s="103">
        <v>9.9173553719008272</v>
      </c>
      <c r="CX994" s="103">
        <v>19.55922865013774</v>
      </c>
      <c r="CY994" s="103">
        <v>27.27272727272727</v>
      </c>
      <c r="CZ994" s="103">
        <v>15.977961432506888</v>
      </c>
      <c r="DA994" s="103">
        <v>12.534435261707987</v>
      </c>
      <c r="DB994" s="103">
        <v>8.5399449035812669</v>
      </c>
      <c r="DC994" s="42"/>
      <c r="DD994" s="110"/>
      <c r="DE994" s="46" t="s">
        <v>10</v>
      </c>
      <c r="DF994" s="103">
        <v>0.10414255959268687</v>
      </c>
      <c r="DG994" s="103">
        <v>0.37028465632955337</v>
      </c>
      <c r="DH994" s="103">
        <v>0.84471187225179356</v>
      </c>
      <c r="DI994" s="103">
        <v>5.3228419347373297</v>
      </c>
      <c r="DJ994" s="103">
        <v>8.3545475584355469</v>
      </c>
      <c r="DK994" s="103">
        <v>16.500809997685721</v>
      </c>
      <c r="DL994" s="103">
        <v>25.549641286739185</v>
      </c>
      <c r="DM994" s="103">
        <v>18.745660726683639</v>
      </c>
      <c r="DN994" s="103">
        <v>15.100671140939598</v>
      </c>
      <c r="DO994" s="103">
        <v>9.1066882666049516</v>
      </c>
    </row>
    <row r="995" spans="2:119" ht="16.5" customHeight="1" x14ac:dyDescent="0.45">
      <c r="B995" s="99"/>
      <c r="C995" s="42"/>
      <c r="D995" s="111"/>
      <c r="E995" s="47" t="s">
        <v>11</v>
      </c>
      <c r="F995" s="103">
        <v>4.4923629829290213E-2</v>
      </c>
      <c r="G995" s="103">
        <v>4.4923629829290213E-2</v>
      </c>
      <c r="H995" s="103">
        <v>0.22461814914645103</v>
      </c>
      <c r="I995" s="103">
        <v>1.3926325247079965</v>
      </c>
      <c r="J995" s="103">
        <v>3.054806828391734</v>
      </c>
      <c r="K995" s="103">
        <v>9.3441150044923642</v>
      </c>
      <c r="L995" s="103">
        <v>21.024258760107816</v>
      </c>
      <c r="M995" s="103">
        <v>21.51841868823001</v>
      </c>
      <c r="N995" s="103">
        <v>22.237196765498652</v>
      </c>
      <c r="O995" s="103">
        <v>21.114106019766396</v>
      </c>
      <c r="P995" s="42"/>
      <c r="Q995" s="111"/>
      <c r="R995" s="46" t="s">
        <v>11</v>
      </c>
      <c r="S995" s="103">
        <v>0</v>
      </c>
      <c r="T995" s="103">
        <v>6.6755674232309742E-2</v>
      </c>
      <c r="U995" s="103">
        <v>0.13351134846461948</v>
      </c>
      <c r="V995" s="103">
        <v>0.53404539385847793</v>
      </c>
      <c r="W995" s="103">
        <v>1.7356475300400533</v>
      </c>
      <c r="X995" s="103">
        <v>6.8090787716955941</v>
      </c>
      <c r="Y995" s="103">
        <v>18.357810413885183</v>
      </c>
      <c r="Z995" s="103">
        <v>22.763684913217624</v>
      </c>
      <c r="AA995" s="103">
        <v>24.699599465954606</v>
      </c>
      <c r="AB995" s="103">
        <v>24.899866488651533</v>
      </c>
      <c r="AC995" s="42"/>
      <c r="AD995" s="111"/>
      <c r="AE995" s="46" t="s">
        <v>11</v>
      </c>
      <c r="AF995" s="103">
        <v>0.13736263736263737</v>
      </c>
      <c r="AG995" s="103">
        <v>0</v>
      </c>
      <c r="AH995" s="103">
        <v>0.41208791208791212</v>
      </c>
      <c r="AI995" s="103">
        <v>3.1593406593406592</v>
      </c>
      <c r="AJ995" s="103">
        <v>5.7692307692307692</v>
      </c>
      <c r="AK995" s="103">
        <v>14.560439560439562</v>
      </c>
      <c r="AL995" s="103">
        <v>26.510989010989011</v>
      </c>
      <c r="AM995" s="103">
        <v>18.956043956043956</v>
      </c>
      <c r="AN995" s="103">
        <v>17.170329670329672</v>
      </c>
      <c r="AO995" s="103">
        <v>13.324175824175825</v>
      </c>
      <c r="AP995" s="6"/>
      <c r="AQ995" s="111"/>
      <c r="AR995" s="46" t="s">
        <v>11</v>
      </c>
      <c r="AS995" s="103">
        <v>0</v>
      </c>
      <c r="AT995" s="103">
        <v>0.55865921787709494</v>
      </c>
      <c r="AU995" s="103">
        <v>0.55865921787709494</v>
      </c>
      <c r="AV995" s="103">
        <v>5.027932960893855</v>
      </c>
      <c r="AW995" s="103">
        <v>5.5865921787709496</v>
      </c>
      <c r="AX995" s="103">
        <v>8.3798882681564244</v>
      </c>
      <c r="AY995" s="103">
        <v>27.374301675977652</v>
      </c>
      <c r="AZ995" s="103">
        <v>24.022346368715084</v>
      </c>
      <c r="BA995" s="103">
        <v>17.877094972067038</v>
      </c>
      <c r="BB995" s="103">
        <v>10.614525139664805</v>
      </c>
      <c r="BC995" s="42"/>
      <c r="BD995" s="111"/>
      <c r="BE995" s="46" t="s">
        <v>11</v>
      </c>
      <c r="BF995" s="103">
        <v>4.8851978505129456E-2</v>
      </c>
      <c r="BG995" s="103">
        <v>0</v>
      </c>
      <c r="BH995" s="103">
        <v>0.19540791402051783</v>
      </c>
      <c r="BI995" s="103">
        <v>1.074743527112848</v>
      </c>
      <c r="BJ995" s="103">
        <v>2.8334147532975082</v>
      </c>
      <c r="BK995" s="103">
        <v>9.4284318514899859</v>
      </c>
      <c r="BL995" s="103">
        <v>20.468978993649241</v>
      </c>
      <c r="BM995" s="103">
        <v>21.299462628236444</v>
      </c>
      <c r="BN995" s="103">
        <v>22.618466047874939</v>
      </c>
      <c r="BO995" s="103">
        <v>22.032242305813384</v>
      </c>
      <c r="BQ995" s="111"/>
      <c r="BR995" s="46" t="s">
        <v>11</v>
      </c>
      <c r="BS995" s="103">
        <v>1.2820512820512819</v>
      </c>
      <c r="BT995" s="103">
        <v>0</v>
      </c>
      <c r="BU995" s="103">
        <v>0</v>
      </c>
      <c r="BV995" s="103">
        <v>3.8461538461538463</v>
      </c>
      <c r="BW995" s="103">
        <v>5.1282051282051277</v>
      </c>
      <c r="BX995" s="103">
        <v>6.4102564102564097</v>
      </c>
      <c r="BY995" s="103">
        <v>23.076923076923077</v>
      </c>
      <c r="BZ995" s="103">
        <v>20.512820512820511</v>
      </c>
      <c r="CA995" s="103">
        <v>19.230769230769234</v>
      </c>
      <c r="CB995" s="103">
        <v>20.512820512820511</v>
      </c>
      <c r="CC995" s="42"/>
      <c r="CD995" s="111"/>
      <c r="CE995" s="46" t="s">
        <v>11</v>
      </c>
      <c r="CF995" s="103">
        <v>0</v>
      </c>
      <c r="CG995" s="103">
        <v>4.6554934823091247E-2</v>
      </c>
      <c r="CH995" s="103">
        <v>0.23277467411545624</v>
      </c>
      <c r="CI995" s="103">
        <v>1.3035381750465549</v>
      </c>
      <c r="CJ995" s="103">
        <v>2.9795158286778398</v>
      </c>
      <c r="CK995" s="103">
        <v>9.4506517690875231</v>
      </c>
      <c r="CL995" s="103">
        <v>20.949720670391063</v>
      </c>
      <c r="CM995" s="103">
        <v>21.554934823091248</v>
      </c>
      <c r="CN995" s="103">
        <v>22.346368715083798</v>
      </c>
      <c r="CO995" s="103">
        <v>21.135940409683425</v>
      </c>
      <c r="CQ995" s="111"/>
      <c r="CR995" s="46" t="s">
        <v>11</v>
      </c>
      <c r="CS995" s="103">
        <v>0</v>
      </c>
      <c r="CT995" s="103">
        <v>0</v>
      </c>
      <c r="CU995" s="103">
        <v>0</v>
      </c>
      <c r="CV995" s="103">
        <v>3.0120481927710845</v>
      </c>
      <c r="CW995" s="103">
        <v>1.8072289156626504</v>
      </c>
      <c r="CX995" s="103">
        <v>8.4337349397590362</v>
      </c>
      <c r="CY995" s="103">
        <v>22.891566265060241</v>
      </c>
      <c r="CZ995" s="103">
        <v>17.46987951807229</v>
      </c>
      <c r="DA995" s="103">
        <v>25.903614457831324</v>
      </c>
      <c r="DB995" s="103">
        <v>20.481927710843372</v>
      </c>
      <c r="DC995" s="42"/>
      <c r="DD995" s="111"/>
      <c r="DE995" s="46" t="s">
        <v>11</v>
      </c>
      <c r="DF995" s="103">
        <v>4.8543689320388349E-2</v>
      </c>
      <c r="DG995" s="103">
        <v>4.8543689320388349E-2</v>
      </c>
      <c r="DH995" s="103">
        <v>0.24271844660194172</v>
      </c>
      <c r="DI995" s="103">
        <v>1.262135922330097</v>
      </c>
      <c r="DJ995" s="103">
        <v>3.1553398058252426</v>
      </c>
      <c r="DK995" s="103">
        <v>9.4174757281553401</v>
      </c>
      <c r="DL995" s="103">
        <v>20.873786407766989</v>
      </c>
      <c r="DM995" s="103">
        <v>21.844660194174757</v>
      </c>
      <c r="DN995" s="103">
        <v>21.941747572815533</v>
      </c>
      <c r="DO995" s="103">
        <v>21.16504854368932</v>
      </c>
    </row>
    <row r="996" spans="2:119" x14ac:dyDescent="0.45">
      <c r="B996" s="99"/>
      <c r="C996" s="42"/>
      <c r="D996" s="42"/>
      <c r="E996" s="42"/>
      <c r="F996" s="42"/>
      <c r="G996" s="42"/>
      <c r="H996" s="42"/>
      <c r="I996" s="42"/>
      <c r="J996" s="42"/>
      <c r="K996" s="42"/>
      <c r="L996" s="42"/>
      <c r="M996" s="42"/>
      <c r="N996" s="42"/>
      <c r="O996" s="42"/>
      <c r="P996" s="42"/>
      <c r="Q996" s="42"/>
      <c r="R996" s="42"/>
      <c r="S996" s="42"/>
      <c r="T996" s="42"/>
      <c r="U996" s="42"/>
      <c r="V996" s="42"/>
      <c r="W996" s="42"/>
      <c r="X996" s="42"/>
      <c r="Y996" s="42"/>
      <c r="Z996" s="42"/>
      <c r="AA996" s="42"/>
      <c r="AB996" s="42"/>
      <c r="AC996" s="42"/>
      <c r="AD996" s="42"/>
      <c r="AE996" s="42"/>
      <c r="AF996" s="42"/>
      <c r="AG996" s="42"/>
      <c r="AH996" s="42"/>
      <c r="AI996" s="42"/>
      <c r="AJ996" s="42"/>
      <c r="AK996" s="42"/>
      <c r="AL996" s="42"/>
      <c r="AM996" s="42"/>
      <c r="AN996" s="42"/>
      <c r="AO996" s="42"/>
      <c r="AQ996" s="42"/>
      <c r="AR996" s="42"/>
      <c r="AS996" s="42"/>
      <c r="AT996" s="42"/>
      <c r="AU996" s="42"/>
      <c r="AV996" s="42"/>
      <c r="AW996" s="42"/>
      <c r="AX996" s="42"/>
      <c r="AY996" s="42"/>
      <c r="AZ996" s="42"/>
      <c r="BA996" s="42"/>
      <c r="BB996" s="42"/>
      <c r="BC996" s="42"/>
      <c r="BD996" s="42"/>
      <c r="BE996" s="42"/>
      <c r="BF996" s="42"/>
      <c r="BG996" s="42"/>
      <c r="BH996" s="42"/>
      <c r="BI996" s="42"/>
      <c r="BJ996" s="42"/>
      <c r="BK996" s="42"/>
      <c r="BL996" s="42"/>
      <c r="BM996" s="42"/>
      <c r="BN996" s="42"/>
      <c r="BO996" s="42"/>
      <c r="BQ996" s="42"/>
      <c r="BR996" s="42"/>
      <c r="BS996" s="42"/>
      <c r="BT996" s="42"/>
      <c r="BU996" s="42"/>
      <c r="BV996" s="42"/>
      <c r="BW996" s="42"/>
      <c r="BX996" s="42"/>
      <c r="BY996" s="42"/>
      <c r="BZ996" s="42"/>
      <c r="CA996" s="42"/>
      <c r="CB996" s="42"/>
      <c r="CC996" s="42"/>
      <c r="CD996" s="42"/>
      <c r="CE996" s="42"/>
      <c r="CF996" s="42"/>
      <c r="CG996" s="42"/>
      <c r="CH996" s="42"/>
      <c r="CI996" s="42"/>
      <c r="CJ996" s="42"/>
      <c r="CK996" s="42"/>
      <c r="CL996" s="42"/>
      <c r="CM996" s="42"/>
      <c r="CN996" s="42"/>
      <c r="CO996" s="42"/>
      <c r="CQ996" s="42"/>
      <c r="CR996" s="42"/>
      <c r="CS996" s="42"/>
      <c r="CT996" s="42"/>
      <c r="CU996" s="42"/>
      <c r="CV996" s="42"/>
      <c r="CW996" s="42"/>
      <c r="CX996" s="42"/>
      <c r="CY996" s="42"/>
      <c r="CZ996" s="42"/>
      <c r="DA996" s="42"/>
      <c r="DB996" s="42"/>
      <c r="DC996" s="42"/>
      <c r="DD996" s="42"/>
      <c r="DE996" s="42"/>
      <c r="DF996" s="42"/>
      <c r="DG996" s="42"/>
      <c r="DH996" s="42"/>
      <c r="DI996" s="42"/>
      <c r="DJ996" s="42"/>
      <c r="DK996" s="42"/>
      <c r="DL996" s="42"/>
      <c r="DM996" s="42"/>
      <c r="DN996" s="42"/>
      <c r="DO996" s="42"/>
    </row>
    <row r="997" spans="2:119" x14ac:dyDescent="0.45">
      <c r="B997" s="99"/>
      <c r="C997" s="42"/>
      <c r="D997" s="42"/>
      <c r="E997" s="42"/>
      <c r="F997" s="42"/>
      <c r="G997" s="42"/>
      <c r="H997" s="42"/>
      <c r="I997" s="42"/>
      <c r="J997" s="42"/>
      <c r="K997" s="42"/>
      <c r="L997" s="42"/>
      <c r="M997" s="42"/>
      <c r="N997" s="42"/>
      <c r="O997" s="42"/>
      <c r="P997" s="42"/>
      <c r="Q997" s="42"/>
      <c r="R997" s="42"/>
      <c r="S997" s="42"/>
      <c r="T997" s="42"/>
      <c r="U997" s="42"/>
      <c r="V997" s="42"/>
      <c r="W997" s="42"/>
      <c r="X997" s="42"/>
      <c r="Y997" s="42"/>
      <c r="Z997" s="42"/>
      <c r="AA997" s="42"/>
      <c r="AB997" s="42"/>
      <c r="AC997" s="42"/>
      <c r="AD997" s="42"/>
      <c r="AE997" s="42"/>
      <c r="AF997" s="42"/>
      <c r="AG997" s="42"/>
      <c r="AH997" s="42"/>
      <c r="AI997" s="42"/>
      <c r="AJ997" s="42"/>
      <c r="AK997" s="42"/>
      <c r="AL997" s="42"/>
      <c r="AM997" s="42"/>
      <c r="AN997" s="42"/>
      <c r="AO997" s="42"/>
      <c r="AQ997" s="42"/>
      <c r="AR997" s="42"/>
      <c r="AS997" s="42"/>
      <c r="AT997" s="42"/>
      <c r="AU997" s="42"/>
      <c r="AV997" s="42"/>
      <c r="AW997" s="42"/>
      <c r="AX997" s="42"/>
      <c r="AY997" s="42"/>
      <c r="AZ997" s="42"/>
      <c r="BA997" s="42"/>
      <c r="BB997" s="42"/>
      <c r="BC997" s="42"/>
      <c r="BD997" s="42"/>
      <c r="BE997" s="42"/>
      <c r="BF997" s="42"/>
      <c r="BG997" s="42"/>
      <c r="BH997" s="42"/>
      <c r="BI997" s="42"/>
      <c r="BJ997" s="42"/>
      <c r="BK997" s="42"/>
      <c r="BL997" s="42"/>
      <c r="BM997" s="42"/>
      <c r="BN997" s="42"/>
      <c r="BO997" s="42"/>
      <c r="BQ997" s="42"/>
      <c r="BR997" s="42"/>
      <c r="BS997" s="42"/>
      <c r="BT997" s="42"/>
      <c r="BU997" s="42"/>
      <c r="BV997" s="42"/>
      <c r="BW997" s="42"/>
      <c r="BX997" s="42"/>
      <c r="BY997" s="42"/>
      <c r="BZ997" s="42"/>
      <c r="CA997" s="42"/>
      <c r="CB997" s="42"/>
      <c r="CC997" s="42"/>
      <c r="CD997" s="42"/>
      <c r="CE997" s="42"/>
      <c r="CF997" s="42"/>
      <c r="CG997" s="42"/>
      <c r="CH997" s="42"/>
      <c r="CI997" s="42"/>
      <c r="CJ997" s="42"/>
      <c r="CK997" s="42"/>
      <c r="CL997" s="42"/>
      <c r="CM997" s="42"/>
      <c r="CN997" s="42"/>
      <c r="CO997" s="42"/>
      <c r="CQ997" s="42"/>
      <c r="CR997" s="42"/>
      <c r="CS997" s="42"/>
      <c r="CT997" s="42"/>
      <c r="CU997" s="42"/>
      <c r="CV997" s="42"/>
      <c r="CW997" s="42"/>
      <c r="CX997" s="42"/>
      <c r="CY997" s="42"/>
      <c r="CZ997" s="42"/>
      <c r="DA997" s="42"/>
      <c r="DB997" s="42"/>
      <c r="DC997" s="42"/>
      <c r="DD997" s="42"/>
      <c r="DE997" s="42"/>
      <c r="DF997" s="42"/>
      <c r="DG997" s="42"/>
      <c r="DH997" s="42"/>
      <c r="DI997" s="42"/>
      <c r="DJ997" s="42"/>
      <c r="DK997" s="42"/>
      <c r="DL997" s="42"/>
      <c r="DM997" s="42"/>
      <c r="DN997" s="42"/>
      <c r="DO997" s="42"/>
    </row>
    <row r="998" spans="2:119" ht="18.75" customHeight="1" x14ac:dyDescent="0.55000000000000004">
      <c r="B998" s="99"/>
      <c r="C998" s="42"/>
      <c r="D998" s="112" t="s">
        <v>24</v>
      </c>
      <c r="E998" s="112"/>
      <c r="F998" s="45"/>
      <c r="G998" s="45"/>
      <c r="H998" s="45"/>
      <c r="I998" s="45"/>
      <c r="J998" s="45"/>
      <c r="K998" s="45"/>
      <c r="L998" s="45"/>
      <c r="M998" s="45"/>
      <c r="N998" s="45"/>
      <c r="O998" s="45"/>
      <c r="P998" s="42"/>
      <c r="Q998" s="112" t="s">
        <v>24</v>
      </c>
      <c r="R998" s="112"/>
      <c r="S998" s="45"/>
      <c r="T998" s="45"/>
      <c r="U998" s="45"/>
      <c r="V998" s="45"/>
      <c r="W998" s="45"/>
      <c r="X998" s="45"/>
      <c r="Y998" s="45"/>
      <c r="Z998" s="45"/>
      <c r="AA998" s="45"/>
      <c r="AB998" s="45"/>
      <c r="AC998" s="42"/>
      <c r="AD998" s="112" t="s">
        <v>24</v>
      </c>
      <c r="AE998" s="112"/>
      <c r="AF998" s="45"/>
      <c r="AG998" s="45"/>
      <c r="AH998" s="45"/>
      <c r="AI998" s="45"/>
      <c r="AJ998" s="45"/>
      <c r="AK998" s="45"/>
      <c r="AL998" s="45"/>
      <c r="AM998" s="45"/>
      <c r="AN998" s="45"/>
      <c r="AO998" s="45"/>
      <c r="AP998" s="6"/>
      <c r="AQ998" s="112" t="s">
        <v>24</v>
      </c>
      <c r="AR998" s="112"/>
      <c r="AS998" s="45"/>
      <c r="AT998" s="45"/>
      <c r="AU998" s="45"/>
      <c r="AV998" s="45"/>
      <c r="AW998" s="45"/>
      <c r="AX998" s="45"/>
      <c r="AY998" s="45"/>
      <c r="AZ998" s="45"/>
      <c r="BA998" s="45"/>
      <c r="BB998" s="45"/>
      <c r="BC998" s="42"/>
      <c r="BD998" s="112" t="s">
        <v>24</v>
      </c>
      <c r="BE998" s="112"/>
      <c r="BF998" s="45"/>
      <c r="BG998" s="45"/>
      <c r="BH998" s="45"/>
      <c r="BI998" s="45"/>
      <c r="BJ998" s="45"/>
      <c r="BK998" s="45"/>
      <c r="BL998" s="45"/>
      <c r="BM998" s="45"/>
      <c r="BN998" s="45"/>
      <c r="BO998" s="45"/>
      <c r="BQ998" s="112" t="s">
        <v>24</v>
      </c>
      <c r="BR998" s="112"/>
      <c r="BS998" s="45"/>
      <c r="BT998" s="45"/>
      <c r="BU998" s="45"/>
      <c r="BV998" s="45"/>
      <c r="BW998" s="45"/>
      <c r="BX998" s="45"/>
      <c r="BY998" s="45"/>
      <c r="BZ998" s="45"/>
      <c r="CA998" s="45"/>
      <c r="CB998" s="45"/>
      <c r="CC998" s="42"/>
      <c r="CD998" s="112" t="s">
        <v>24</v>
      </c>
      <c r="CE998" s="112"/>
      <c r="CF998" s="45"/>
      <c r="CG998" s="45"/>
      <c r="CH998" s="45"/>
      <c r="CI998" s="45"/>
      <c r="CJ998" s="45"/>
      <c r="CK998" s="45"/>
      <c r="CL998" s="45"/>
      <c r="CM998" s="45"/>
      <c r="CN998" s="45"/>
      <c r="CO998" s="45"/>
      <c r="CQ998" s="112" t="s">
        <v>24</v>
      </c>
      <c r="CR998" s="112"/>
      <c r="CS998" s="45"/>
      <c r="CT998" s="45"/>
      <c r="CU998" s="45"/>
      <c r="CV998" s="45"/>
      <c r="CW998" s="45"/>
      <c r="CX998" s="45"/>
      <c r="CY998" s="45"/>
      <c r="CZ998" s="45"/>
      <c r="DA998" s="45"/>
      <c r="DB998" s="45"/>
      <c r="DC998" s="42"/>
      <c r="DD998" s="112" t="s">
        <v>24</v>
      </c>
      <c r="DE998" s="112"/>
      <c r="DF998" s="45"/>
      <c r="DG998" s="45"/>
      <c r="DH998" s="45"/>
      <c r="DI998" s="45"/>
      <c r="DJ998" s="45"/>
      <c r="DK998" s="45"/>
      <c r="DL998" s="45"/>
      <c r="DM998" s="45"/>
      <c r="DN998" s="45"/>
      <c r="DO998" s="45"/>
    </row>
    <row r="999" spans="2:119" ht="28.9" customHeight="1" x14ac:dyDescent="0.45">
      <c r="B999" s="99"/>
      <c r="C999" s="42"/>
      <c r="D999" s="112"/>
      <c r="E999" s="112"/>
      <c r="F999" s="108" t="s">
        <v>12</v>
      </c>
      <c r="G999" s="108"/>
      <c r="H999" s="108"/>
      <c r="I999" s="108"/>
      <c r="J999" s="108"/>
      <c r="K999" s="108"/>
      <c r="L999" s="108"/>
      <c r="M999" s="108"/>
      <c r="N999" s="108"/>
      <c r="O999" s="108"/>
      <c r="P999" s="42"/>
      <c r="Q999" s="112"/>
      <c r="R999" s="112"/>
      <c r="S999" s="108" t="s">
        <v>12</v>
      </c>
      <c r="T999" s="108"/>
      <c r="U999" s="108"/>
      <c r="V999" s="108"/>
      <c r="W999" s="108"/>
      <c r="X999" s="108"/>
      <c r="Y999" s="108"/>
      <c r="Z999" s="108"/>
      <c r="AA999" s="108"/>
      <c r="AB999" s="108"/>
      <c r="AC999" s="42"/>
      <c r="AD999" s="112"/>
      <c r="AE999" s="112"/>
      <c r="AF999" s="108" t="s">
        <v>12</v>
      </c>
      <c r="AG999" s="108"/>
      <c r="AH999" s="108"/>
      <c r="AI999" s="108"/>
      <c r="AJ999" s="108"/>
      <c r="AK999" s="108"/>
      <c r="AL999" s="108"/>
      <c r="AM999" s="108"/>
      <c r="AN999" s="108"/>
      <c r="AO999" s="108"/>
      <c r="AP999" s="6"/>
      <c r="AQ999" s="112"/>
      <c r="AR999" s="112"/>
      <c r="AS999" s="108" t="s">
        <v>12</v>
      </c>
      <c r="AT999" s="108"/>
      <c r="AU999" s="108"/>
      <c r="AV999" s="108"/>
      <c r="AW999" s="108"/>
      <c r="AX999" s="108"/>
      <c r="AY999" s="108"/>
      <c r="AZ999" s="108"/>
      <c r="BA999" s="108"/>
      <c r="BB999" s="108"/>
      <c r="BC999" s="42"/>
      <c r="BD999" s="112"/>
      <c r="BE999" s="112"/>
      <c r="BF999" s="108" t="s">
        <v>12</v>
      </c>
      <c r="BG999" s="108"/>
      <c r="BH999" s="108"/>
      <c r="BI999" s="108"/>
      <c r="BJ999" s="108"/>
      <c r="BK999" s="108"/>
      <c r="BL999" s="108"/>
      <c r="BM999" s="108"/>
      <c r="BN999" s="108"/>
      <c r="BO999" s="108"/>
      <c r="BQ999" s="112"/>
      <c r="BR999" s="112"/>
      <c r="BS999" s="108" t="s">
        <v>12</v>
      </c>
      <c r="BT999" s="108"/>
      <c r="BU999" s="108"/>
      <c r="BV999" s="108"/>
      <c r="BW999" s="108"/>
      <c r="BX999" s="108"/>
      <c r="BY999" s="108"/>
      <c r="BZ999" s="108"/>
      <c r="CA999" s="108"/>
      <c r="CB999" s="108"/>
      <c r="CC999" s="42"/>
      <c r="CD999" s="112"/>
      <c r="CE999" s="112"/>
      <c r="CF999" s="108" t="s">
        <v>12</v>
      </c>
      <c r="CG999" s="108"/>
      <c r="CH999" s="108"/>
      <c r="CI999" s="108"/>
      <c r="CJ999" s="108"/>
      <c r="CK999" s="108"/>
      <c r="CL999" s="108"/>
      <c r="CM999" s="108"/>
      <c r="CN999" s="108"/>
      <c r="CO999" s="108"/>
      <c r="CQ999" s="112"/>
      <c r="CR999" s="112"/>
      <c r="CS999" s="108" t="s">
        <v>12</v>
      </c>
      <c r="CT999" s="108"/>
      <c r="CU999" s="108"/>
      <c r="CV999" s="108"/>
      <c r="CW999" s="108"/>
      <c r="CX999" s="108"/>
      <c r="CY999" s="108"/>
      <c r="CZ999" s="108"/>
      <c r="DA999" s="108"/>
      <c r="DB999" s="108"/>
      <c r="DC999" s="42"/>
      <c r="DD999" s="112"/>
      <c r="DE999" s="112"/>
      <c r="DF999" s="108" t="s">
        <v>12</v>
      </c>
      <c r="DG999" s="108"/>
      <c r="DH999" s="108"/>
      <c r="DI999" s="108"/>
      <c r="DJ999" s="108"/>
      <c r="DK999" s="108"/>
      <c r="DL999" s="108"/>
      <c r="DM999" s="108"/>
      <c r="DN999" s="108"/>
      <c r="DO999" s="108"/>
    </row>
    <row r="1000" spans="2:119" ht="15" customHeight="1" x14ac:dyDescent="0.45">
      <c r="B1000" s="99"/>
      <c r="C1000" s="42"/>
      <c r="D1000" s="113"/>
      <c r="E1000" s="113"/>
      <c r="F1000" s="9" t="s">
        <v>0</v>
      </c>
      <c r="G1000" s="9">
        <v>1</v>
      </c>
      <c r="H1000" s="9">
        <v>2</v>
      </c>
      <c r="I1000" s="9">
        <v>3</v>
      </c>
      <c r="J1000" s="9">
        <v>4</v>
      </c>
      <c r="K1000" s="9">
        <v>5</v>
      </c>
      <c r="L1000" s="9">
        <v>6</v>
      </c>
      <c r="M1000" s="9">
        <v>7</v>
      </c>
      <c r="N1000" s="9">
        <v>8</v>
      </c>
      <c r="O1000" s="9">
        <v>9</v>
      </c>
      <c r="P1000" s="42"/>
      <c r="Q1000" s="113"/>
      <c r="R1000" s="113"/>
      <c r="S1000" s="9" t="s">
        <v>0</v>
      </c>
      <c r="T1000" s="9">
        <v>1</v>
      </c>
      <c r="U1000" s="9">
        <v>2</v>
      </c>
      <c r="V1000" s="9">
        <v>3</v>
      </c>
      <c r="W1000" s="9">
        <v>4</v>
      </c>
      <c r="X1000" s="9">
        <v>5</v>
      </c>
      <c r="Y1000" s="9">
        <v>6</v>
      </c>
      <c r="Z1000" s="9">
        <v>7</v>
      </c>
      <c r="AA1000" s="9">
        <v>8</v>
      </c>
      <c r="AB1000" s="9">
        <v>9</v>
      </c>
      <c r="AC1000" s="42"/>
      <c r="AD1000" s="113"/>
      <c r="AE1000" s="113"/>
      <c r="AF1000" s="9" t="s">
        <v>0</v>
      </c>
      <c r="AG1000" s="9">
        <v>1</v>
      </c>
      <c r="AH1000" s="9">
        <v>2</v>
      </c>
      <c r="AI1000" s="9">
        <v>3</v>
      </c>
      <c r="AJ1000" s="9">
        <v>4</v>
      </c>
      <c r="AK1000" s="9">
        <v>5</v>
      </c>
      <c r="AL1000" s="9">
        <v>6</v>
      </c>
      <c r="AM1000" s="9">
        <v>7</v>
      </c>
      <c r="AN1000" s="9">
        <v>8</v>
      </c>
      <c r="AO1000" s="9">
        <v>9</v>
      </c>
      <c r="AP1000" s="6"/>
      <c r="AQ1000" s="113"/>
      <c r="AR1000" s="113"/>
      <c r="AS1000" s="9" t="s">
        <v>0</v>
      </c>
      <c r="AT1000" s="9">
        <v>1</v>
      </c>
      <c r="AU1000" s="9">
        <v>2</v>
      </c>
      <c r="AV1000" s="9">
        <v>3</v>
      </c>
      <c r="AW1000" s="9">
        <v>4</v>
      </c>
      <c r="AX1000" s="9">
        <v>5</v>
      </c>
      <c r="AY1000" s="9">
        <v>6</v>
      </c>
      <c r="AZ1000" s="9">
        <v>7</v>
      </c>
      <c r="BA1000" s="9">
        <v>8</v>
      </c>
      <c r="BB1000" s="9">
        <v>9</v>
      </c>
      <c r="BC1000" s="42"/>
      <c r="BD1000" s="113"/>
      <c r="BE1000" s="113"/>
      <c r="BF1000" s="9" t="s">
        <v>0</v>
      </c>
      <c r="BG1000" s="9">
        <v>1</v>
      </c>
      <c r="BH1000" s="9">
        <v>2</v>
      </c>
      <c r="BI1000" s="9">
        <v>3</v>
      </c>
      <c r="BJ1000" s="9">
        <v>4</v>
      </c>
      <c r="BK1000" s="9">
        <v>5</v>
      </c>
      <c r="BL1000" s="9">
        <v>6</v>
      </c>
      <c r="BM1000" s="9">
        <v>7</v>
      </c>
      <c r="BN1000" s="9">
        <v>8</v>
      </c>
      <c r="BO1000" s="9">
        <v>9</v>
      </c>
      <c r="BQ1000" s="113"/>
      <c r="BR1000" s="113"/>
      <c r="BS1000" s="9" t="s">
        <v>0</v>
      </c>
      <c r="BT1000" s="9">
        <v>1</v>
      </c>
      <c r="BU1000" s="9">
        <v>2</v>
      </c>
      <c r="BV1000" s="9">
        <v>3</v>
      </c>
      <c r="BW1000" s="9">
        <v>4</v>
      </c>
      <c r="BX1000" s="9">
        <v>5</v>
      </c>
      <c r="BY1000" s="9">
        <v>6</v>
      </c>
      <c r="BZ1000" s="9">
        <v>7</v>
      </c>
      <c r="CA1000" s="9">
        <v>8</v>
      </c>
      <c r="CB1000" s="9">
        <v>9</v>
      </c>
      <c r="CC1000" s="42"/>
      <c r="CD1000" s="113"/>
      <c r="CE1000" s="113"/>
      <c r="CF1000" s="9" t="s">
        <v>0</v>
      </c>
      <c r="CG1000" s="9">
        <v>1</v>
      </c>
      <c r="CH1000" s="9">
        <v>2</v>
      </c>
      <c r="CI1000" s="9">
        <v>3</v>
      </c>
      <c r="CJ1000" s="9">
        <v>4</v>
      </c>
      <c r="CK1000" s="9">
        <v>5</v>
      </c>
      <c r="CL1000" s="9">
        <v>6</v>
      </c>
      <c r="CM1000" s="9">
        <v>7</v>
      </c>
      <c r="CN1000" s="9">
        <v>8</v>
      </c>
      <c r="CO1000" s="9">
        <v>9</v>
      </c>
      <c r="CQ1000" s="113"/>
      <c r="CR1000" s="113"/>
      <c r="CS1000" s="9" t="s">
        <v>0</v>
      </c>
      <c r="CT1000" s="9">
        <v>1</v>
      </c>
      <c r="CU1000" s="9">
        <v>2</v>
      </c>
      <c r="CV1000" s="9">
        <v>3</v>
      </c>
      <c r="CW1000" s="9">
        <v>4</v>
      </c>
      <c r="CX1000" s="9">
        <v>5</v>
      </c>
      <c r="CY1000" s="9">
        <v>6</v>
      </c>
      <c r="CZ1000" s="9">
        <v>7</v>
      </c>
      <c r="DA1000" s="9">
        <v>8</v>
      </c>
      <c r="DB1000" s="9">
        <v>9</v>
      </c>
      <c r="DC1000" s="42"/>
      <c r="DD1000" s="113"/>
      <c r="DE1000" s="113"/>
      <c r="DF1000" s="9" t="s">
        <v>0</v>
      </c>
      <c r="DG1000" s="9">
        <v>1</v>
      </c>
      <c r="DH1000" s="9">
        <v>2</v>
      </c>
      <c r="DI1000" s="9">
        <v>3</v>
      </c>
      <c r="DJ1000" s="9">
        <v>4</v>
      </c>
      <c r="DK1000" s="9">
        <v>5</v>
      </c>
      <c r="DL1000" s="9">
        <v>6</v>
      </c>
      <c r="DM1000" s="9">
        <v>7</v>
      </c>
      <c r="DN1000" s="9">
        <v>8</v>
      </c>
      <c r="DO1000" s="9">
        <v>9</v>
      </c>
    </row>
    <row r="1001" spans="2:119" ht="16.5" customHeight="1" x14ac:dyDescent="0.45">
      <c r="B1001" s="134" t="s">
        <v>50</v>
      </c>
      <c r="C1001" s="42"/>
      <c r="D1001" s="109" t="s">
        <v>13</v>
      </c>
      <c r="E1001" s="46" t="s">
        <v>1</v>
      </c>
      <c r="F1001" s="103">
        <v>0</v>
      </c>
      <c r="G1001" s="103">
        <v>0</v>
      </c>
      <c r="H1001" s="103">
        <v>2</v>
      </c>
      <c r="I1001" s="103">
        <v>4</v>
      </c>
      <c r="J1001" s="103">
        <v>0</v>
      </c>
      <c r="K1001" s="103">
        <v>1</v>
      </c>
      <c r="L1001" s="103">
        <v>0</v>
      </c>
      <c r="M1001" s="103">
        <v>0</v>
      </c>
      <c r="N1001" s="103">
        <v>0</v>
      </c>
      <c r="O1001" s="17">
        <v>0</v>
      </c>
      <c r="P1001" s="42"/>
      <c r="Q1001" s="109" t="s">
        <v>13</v>
      </c>
      <c r="R1001" s="46" t="s">
        <v>1</v>
      </c>
      <c r="S1001" s="103">
        <v>0</v>
      </c>
      <c r="T1001" s="103">
        <v>0</v>
      </c>
      <c r="U1001" s="103">
        <v>0</v>
      </c>
      <c r="V1001" s="103">
        <v>0</v>
      </c>
      <c r="W1001" s="103">
        <v>0</v>
      </c>
      <c r="X1001" s="103">
        <v>1</v>
      </c>
      <c r="Y1001" s="103">
        <v>0</v>
      </c>
      <c r="Z1001" s="103">
        <v>0</v>
      </c>
      <c r="AA1001" s="103">
        <v>0</v>
      </c>
      <c r="AB1001" s="17">
        <v>0</v>
      </c>
      <c r="AC1001" s="42"/>
      <c r="AD1001" s="109" t="s">
        <v>13</v>
      </c>
      <c r="AE1001" s="46" t="s">
        <v>1</v>
      </c>
      <c r="AF1001" s="103">
        <v>0</v>
      </c>
      <c r="AG1001" s="103">
        <v>0</v>
      </c>
      <c r="AH1001" s="103">
        <v>2</v>
      </c>
      <c r="AI1001" s="103">
        <v>4</v>
      </c>
      <c r="AJ1001" s="103">
        <v>0</v>
      </c>
      <c r="AK1001" s="103">
        <v>0</v>
      </c>
      <c r="AL1001" s="103">
        <v>0</v>
      </c>
      <c r="AM1001" s="103">
        <v>0</v>
      </c>
      <c r="AN1001" s="103">
        <v>0</v>
      </c>
      <c r="AO1001" s="17">
        <v>0</v>
      </c>
      <c r="AP1001" s="6"/>
      <c r="AQ1001" s="109" t="s">
        <v>13</v>
      </c>
      <c r="AR1001" s="46" t="s">
        <v>1</v>
      </c>
      <c r="AS1001" s="103">
        <v>0</v>
      </c>
      <c r="AT1001" s="103">
        <v>0</v>
      </c>
      <c r="AU1001" s="103">
        <v>1</v>
      </c>
      <c r="AV1001" s="103">
        <v>3</v>
      </c>
      <c r="AW1001" s="103">
        <v>0</v>
      </c>
      <c r="AX1001" s="103">
        <v>0</v>
      </c>
      <c r="AY1001" s="103">
        <v>0</v>
      </c>
      <c r="AZ1001" s="103">
        <v>0</v>
      </c>
      <c r="BA1001" s="103">
        <v>0</v>
      </c>
      <c r="BB1001" s="17">
        <v>0</v>
      </c>
      <c r="BC1001" s="42"/>
      <c r="BD1001" s="109" t="s">
        <v>13</v>
      </c>
      <c r="BE1001" s="46" t="s">
        <v>1</v>
      </c>
      <c r="BF1001" s="103">
        <v>0</v>
      </c>
      <c r="BG1001" s="103">
        <v>0</v>
      </c>
      <c r="BH1001" s="103">
        <v>1</v>
      </c>
      <c r="BI1001" s="103">
        <v>1</v>
      </c>
      <c r="BJ1001" s="103">
        <v>0</v>
      </c>
      <c r="BK1001" s="103">
        <v>1</v>
      </c>
      <c r="BL1001" s="103">
        <v>0</v>
      </c>
      <c r="BM1001" s="103">
        <v>0</v>
      </c>
      <c r="BN1001" s="103">
        <v>0</v>
      </c>
      <c r="BO1001" s="17">
        <v>0</v>
      </c>
      <c r="BQ1001" s="109" t="s">
        <v>13</v>
      </c>
      <c r="BR1001" s="46" t="s">
        <v>1</v>
      </c>
      <c r="BS1001" s="103">
        <v>0</v>
      </c>
      <c r="BT1001" s="103">
        <v>0</v>
      </c>
      <c r="BU1001" s="103">
        <v>1</v>
      </c>
      <c r="BV1001" s="103">
        <v>2</v>
      </c>
      <c r="BW1001" s="103">
        <v>0</v>
      </c>
      <c r="BX1001" s="103">
        <v>0</v>
      </c>
      <c r="BY1001" s="103">
        <v>0</v>
      </c>
      <c r="BZ1001" s="103">
        <v>0</v>
      </c>
      <c r="CA1001" s="103">
        <v>0</v>
      </c>
      <c r="CB1001" s="17">
        <v>0</v>
      </c>
      <c r="CC1001" s="42"/>
      <c r="CD1001" s="109" t="s">
        <v>13</v>
      </c>
      <c r="CE1001" s="46" t="s">
        <v>1</v>
      </c>
      <c r="CF1001" s="103">
        <v>0</v>
      </c>
      <c r="CG1001" s="103">
        <v>0</v>
      </c>
      <c r="CH1001" s="103">
        <v>1</v>
      </c>
      <c r="CI1001" s="103">
        <v>2</v>
      </c>
      <c r="CJ1001" s="103">
        <v>0</v>
      </c>
      <c r="CK1001" s="103">
        <v>1</v>
      </c>
      <c r="CL1001" s="103">
        <v>0</v>
      </c>
      <c r="CM1001" s="103">
        <v>0</v>
      </c>
      <c r="CN1001" s="103">
        <v>0</v>
      </c>
      <c r="CO1001" s="17">
        <v>0</v>
      </c>
      <c r="CQ1001" s="109" t="s">
        <v>13</v>
      </c>
      <c r="CR1001" s="46" t="s">
        <v>1</v>
      </c>
      <c r="CS1001" s="103">
        <v>0</v>
      </c>
      <c r="CT1001" s="103">
        <v>0</v>
      </c>
      <c r="CU1001" s="103">
        <v>2</v>
      </c>
      <c r="CV1001" s="103">
        <v>3</v>
      </c>
      <c r="CW1001" s="103">
        <v>0</v>
      </c>
      <c r="CX1001" s="103">
        <v>1</v>
      </c>
      <c r="CY1001" s="103">
        <v>0</v>
      </c>
      <c r="CZ1001" s="103">
        <v>0</v>
      </c>
      <c r="DA1001" s="103">
        <v>0</v>
      </c>
      <c r="DB1001" s="17">
        <v>0</v>
      </c>
      <c r="DC1001" s="42"/>
      <c r="DD1001" s="109" t="s">
        <v>13</v>
      </c>
      <c r="DE1001" s="46" t="s">
        <v>1</v>
      </c>
      <c r="DF1001" s="103">
        <v>0</v>
      </c>
      <c r="DG1001" s="103">
        <v>0</v>
      </c>
      <c r="DH1001" s="103">
        <v>0</v>
      </c>
      <c r="DI1001" s="103">
        <v>1</v>
      </c>
      <c r="DJ1001" s="103">
        <v>0</v>
      </c>
      <c r="DK1001" s="103">
        <v>0</v>
      </c>
      <c r="DL1001" s="103">
        <v>0</v>
      </c>
      <c r="DM1001" s="103">
        <v>0</v>
      </c>
      <c r="DN1001" s="103">
        <v>0</v>
      </c>
      <c r="DO1001" s="17">
        <v>0</v>
      </c>
    </row>
    <row r="1002" spans="2:119" ht="16.5" customHeight="1" x14ac:dyDescent="0.45">
      <c r="B1002" s="134"/>
      <c r="C1002" s="42"/>
      <c r="D1002" s="110"/>
      <c r="E1002" s="46">
        <v>1</v>
      </c>
      <c r="F1002" s="103">
        <v>0</v>
      </c>
      <c r="G1002" s="103">
        <v>2</v>
      </c>
      <c r="H1002" s="103">
        <v>6</v>
      </c>
      <c r="I1002" s="103">
        <v>10</v>
      </c>
      <c r="J1002" s="103">
        <v>3</v>
      </c>
      <c r="K1002" s="103">
        <v>2</v>
      </c>
      <c r="L1002" s="103">
        <v>1</v>
      </c>
      <c r="M1002" s="103">
        <v>0</v>
      </c>
      <c r="N1002" s="103">
        <v>1</v>
      </c>
      <c r="O1002" s="103">
        <v>0</v>
      </c>
      <c r="P1002" s="42"/>
      <c r="Q1002" s="110"/>
      <c r="R1002" s="46">
        <v>1</v>
      </c>
      <c r="S1002" s="103">
        <v>0</v>
      </c>
      <c r="T1002" s="103">
        <v>0</v>
      </c>
      <c r="U1002" s="103">
        <v>2</v>
      </c>
      <c r="V1002" s="103">
        <v>7</v>
      </c>
      <c r="W1002" s="103">
        <v>2</v>
      </c>
      <c r="X1002" s="103">
        <v>0</v>
      </c>
      <c r="Y1002" s="103">
        <v>0</v>
      </c>
      <c r="Z1002" s="103">
        <v>0</v>
      </c>
      <c r="AA1002" s="103">
        <v>0</v>
      </c>
      <c r="AB1002" s="103">
        <v>0</v>
      </c>
      <c r="AC1002" s="42"/>
      <c r="AD1002" s="110"/>
      <c r="AE1002" s="46">
        <v>1</v>
      </c>
      <c r="AF1002" s="103">
        <v>0</v>
      </c>
      <c r="AG1002" s="103">
        <v>2</v>
      </c>
      <c r="AH1002" s="103">
        <v>4</v>
      </c>
      <c r="AI1002" s="103">
        <v>3</v>
      </c>
      <c r="AJ1002" s="103">
        <v>1</v>
      </c>
      <c r="AK1002" s="103">
        <v>2</v>
      </c>
      <c r="AL1002" s="103">
        <v>1</v>
      </c>
      <c r="AM1002" s="103">
        <v>0</v>
      </c>
      <c r="AN1002" s="103">
        <v>1</v>
      </c>
      <c r="AO1002" s="103">
        <v>0</v>
      </c>
      <c r="AP1002" s="6"/>
      <c r="AQ1002" s="110"/>
      <c r="AR1002" s="46">
        <v>1</v>
      </c>
      <c r="AS1002" s="103">
        <v>0</v>
      </c>
      <c r="AT1002" s="103">
        <v>0</v>
      </c>
      <c r="AU1002" s="103">
        <v>2</v>
      </c>
      <c r="AV1002" s="103">
        <v>5</v>
      </c>
      <c r="AW1002" s="103">
        <v>2</v>
      </c>
      <c r="AX1002" s="103">
        <v>1</v>
      </c>
      <c r="AY1002" s="103">
        <v>0</v>
      </c>
      <c r="AZ1002" s="103">
        <v>0</v>
      </c>
      <c r="BA1002" s="103">
        <v>0</v>
      </c>
      <c r="BB1002" s="103">
        <v>0</v>
      </c>
      <c r="BC1002" s="42"/>
      <c r="BD1002" s="110"/>
      <c r="BE1002" s="46">
        <v>1</v>
      </c>
      <c r="BF1002" s="103">
        <v>0</v>
      </c>
      <c r="BG1002" s="103">
        <v>2</v>
      </c>
      <c r="BH1002" s="103">
        <v>4</v>
      </c>
      <c r="BI1002" s="103">
        <v>5</v>
      </c>
      <c r="BJ1002" s="103">
        <v>1</v>
      </c>
      <c r="BK1002" s="103">
        <v>1</v>
      </c>
      <c r="BL1002" s="103">
        <v>1</v>
      </c>
      <c r="BM1002" s="103">
        <v>0</v>
      </c>
      <c r="BN1002" s="103">
        <v>1</v>
      </c>
      <c r="BO1002" s="103">
        <v>0</v>
      </c>
      <c r="BQ1002" s="110"/>
      <c r="BR1002" s="46">
        <v>1</v>
      </c>
      <c r="BS1002" s="103">
        <v>0</v>
      </c>
      <c r="BT1002" s="103">
        <v>2</v>
      </c>
      <c r="BU1002" s="103">
        <v>5</v>
      </c>
      <c r="BV1002" s="103">
        <v>6</v>
      </c>
      <c r="BW1002" s="103">
        <v>3</v>
      </c>
      <c r="BX1002" s="103">
        <v>1</v>
      </c>
      <c r="BY1002" s="103">
        <v>0</v>
      </c>
      <c r="BZ1002" s="103">
        <v>0</v>
      </c>
      <c r="CA1002" s="103">
        <v>0</v>
      </c>
      <c r="CB1002" s="103">
        <v>0</v>
      </c>
      <c r="CC1002" s="42"/>
      <c r="CD1002" s="110"/>
      <c r="CE1002" s="46">
        <v>1</v>
      </c>
      <c r="CF1002" s="103">
        <v>0</v>
      </c>
      <c r="CG1002" s="103">
        <v>0</v>
      </c>
      <c r="CH1002" s="103">
        <v>1</v>
      </c>
      <c r="CI1002" s="103">
        <v>4</v>
      </c>
      <c r="CJ1002" s="103">
        <v>0</v>
      </c>
      <c r="CK1002" s="103">
        <v>1</v>
      </c>
      <c r="CL1002" s="103">
        <v>1</v>
      </c>
      <c r="CM1002" s="103">
        <v>0</v>
      </c>
      <c r="CN1002" s="103">
        <v>1</v>
      </c>
      <c r="CO1002" s="103">
        <v>0</v>
      </c>
      <c r="CQ1002" s="110"/>
      <c r="CR1002" s="46">
        <v>1</v>
      </c>
      <c r="CS1002" s="103">
        <v>0</v>
      </c>
      <c r="CT1002" s="103">
        <v>0</v>
      </c>
      <c r="CU1002" s="103">
        <v>3</v>
      </c>
      <c r="CV1002" s="103">
        <v>6</v>
      </c>
      <c r="CW1002" s="103">
        <v>2</v>
      </c>
      <c r="CX1002" s="103">
        <v>1</v>
      </c>
      <c r="CY1002" s="103">
        <v>1</v>
      </c>
      <c r="CZ1002" s="103">
        <v>0</v>
      </c>
      <c r="DA1002" s="103">
        <v>1</v>
      </c>
      <c r="DB1002" s="103">
        <v>0</v>
      </c>
      <c r="DC1002" s="42"/>
      <c r="DD1002" s="110"/>
      <c r="DE1002" s="46">
        <v>1</v>
      </c>
      <c r="DF1002" s="103">
        <v>0</v>
      </c>
      <c r="DG1002" s="103">
        <v>2</v>
      </c>
      <c r="DH1002" s="103">
        <v>3</v>
      </c>
      <c r="DI1002" s="103">
        <v>4</v>
      </c>
      <c r="DJ1002" s="103">
        <v>1</v>
      </c>
      <c r="DK1002" s="103">
        <v>1</v>
      </c>
      <c r="DL1002" s="103">
        <v>0</v>
      </c>
      <c r="DM1002" s="103">
        <v>0</v>
      </c>
      <c r="DN1002" s="103">
        <v>0</v>
      </c>
      <c r="DO1002" s="103">
        <v>0</v>
      </c>
    </row>
    <row r="1003" spans="2:119" ht="16.5" customHeight="1" x14ac:dyDescent="0.45">
      <c r="B1003" s="134"/>
      <c r="C1003" s="42"/>
      <c r="D1003" s="110"/>
      <c r="E1003" s="46" t="s">
        <v>2</v>
      </c>
      <c r="F1003" s="103">
        <v>10</v>
      </c>
      <c r="G1003" s="103">
        <v>49</v>
      </c>
      <c r="H1003" s="103">
        <v>145</v>
      </c>
      <c r="I1003" s="103">
        <v>265</v>
      </c>
      <c r="J1003" s="103">
        <v>224</v>
      </c>
      <c r="K1003" s="103">
        <v>127</v>
      </c>
      <c r="L1003" s="103">
        <v>62</v>
      </c>
      <c r="M1003" s="103">
        <v>23</v>
      </c>
      <c r="N1003" s="103">
        <v>4</v>
      </c>
      <c r="O1003" s="103">
        <v>1</v>
      </c>
      <c r="P1003" s="42"/>
      <c r="Q1003" s="110"/>
      <c r="R1003" s="46" t="s">
        <v>2</v>
      </c>
      <c r="S1003" s="103">
        <v>2</v>
      </c>
      <c r="T1003" s="103">
        <v>19</v>
      </c>
      <c r="U1003" s="103">
        <v>66</v>
      </c>
      <c r="V1003" s="103">
        <v>118</v>
      </c>
      <c r="W1003" s="103">
        <v>125</v>
      </c>
      <c r="X1003" s="103">
        <v>69</v>
      </c>
      <c r="Y1003" s="103">
        <v>40</v>
      </c>
      <c r="Z1003" s="103">
        <v>17</v>
      </c>
      <c r="AA1003" s="103">
        <v>3</v>
      </c>
      <c r="AB1003" s="103">
        <v>1</v>
      </c>
      <c r="AC1003" s="42"/>
      <c r="AD1003" s="110"/>
      <c r="AE1003" s="46" t="s">
        <v>2</v>
      </c>
      <c r="AF1003" s="103">
        <v>8</v>
      </c>
      <c r="AG1003" s="103">
        <v>30</v>
      </c>
      <c r="AH1003" s="103">
        <v>79</v>
      </c>
      <c r="AI1003" s="103">
        <v>147</v>
      </c>
      <c r="AJ1003" s="103">
        <v>99</v>
      </c>
      <c r="AK1003" s="103">
        <v>58</v>
      </c>
      <c r="AL1003" s="103">
        <v>22</v>
      </c>
      <c r="AM1003" s="103">
        <v>6</v>
      </c>
      <c r="AN1003" s="103">
        <v>1</v>
      </c>
      <c r="AO1003" s="103">
        <v>0</v>
      </c>
      <c r="AP1003" s="6"/>
      <c r="AQ1003" s="110"/>
      <c r="AR1003" s="46" t="s">
        <v>2</v>
      </c>
      <c r="AS1003" s="103">
        <v>5</v>
      </c>
      <c r="AT1003" s="103">
        <v>31</v>
      </c>
      <c r="AU1003" s="103">
        <v>82</v>
      </c>
      <c r="AV1003" s="103">
        <v>120</v>
      </c>
      <c r="AW1003" s="103">
        <v>112</v>
      </c>
      <c r="AX1003" s="103">
        <v>63</v>
      </c>
      <c r="AY1003" s="103">
        <v>28</v>
      </c>
      <c r="AZ1003" s="103">
        <v>6</v>
      </c>
      <c r="BA1003" s="103">
        <v>1</v>
      </c>
      <c r="BB1003" s="103">
        <v>1</v>
      </c>
      <c r="BC1003" s="42"/>
      <c r="BD1003" s="110"/>
      <c r="BE1003" s="46" t="s">
        <v>2</v>
      </c>
      <c r="BF1003" s="103">
        <v>5</v>
      </c>
      <c r="BG1003" s="103">
        <v>18</v>
      </c>
      <c r="BH1003" s="103">
        <v>63</v>
      </c>
      <c r="BI1003" s="103">
        <v>145</v>
      </c>
      <c r="BJ1003" s="103">
        <v>112</v>
      </c>
      <c r="BK1003" s="103">
        <v>64</v>
      </c>
      <c r="BL1003" s="103">
        <v>34</v>
      </c>
      <c r="BM1003" s="103">
        <v>17</v>
      </c>
      <c r="BN1003" s="103">
        <v>3</v>
      </c>
      <c r="BO1003" s="103">
        <v>0</v>
      </c>
      <c r="BQ1003" s="110"/>
      <c r="BR1003" s="46" t="s">
        <v>2</v>
      </c>
      <c r="BS1003" s="103">
        <v>8</v>
      </c>
      <c r="BT1003" s="103">
        <v>37</v>
      </c>
      <c r="BU1003" s="103">
        <v>114</v>
      </c>
      <c r="BV1003" s="103">
        <v>191</v>
      </c>
      <c r="BW1003" s="103">
        <v>166</v>
      </c>
      <c r="BX1003" s="103">
        <v>87</v>
      </c>
      <c r="BY1003" s="103">
        <v>43</v>
      </c>
      <c r="BZ1003" s="103">
        <v>12</v>
      </c>
      <c r="CA1003" s="103">
        <v>2</v>
      </c>
      <c r="CB1003" s="103">
        <v>0</v>
      </c>
      <c r="CC1003" s="42"/>
      <c r="CD1003" s="110"/>
      <c r="CE1003" s="46" t="s">
        <v>2</v>
      </c>
      <c r="CF1003" s="103">
        <v>2</v>
      </c>
      <c r="CG1003" s="103">
        <v>12</v>
      </c>
      <c r="CH1003" s="103">
        <v>31</v>
      </c>
      <c r="CI1003" s="103">
        <v>74</v>
      </c>
      <c r="CJ1003" s="103">
        <v>58</v>
      </c>
      <c r="CK1003" s="103">
        <v>40</v>
      </c>
      <c r="CL1003" s="103">
        <v>19</v>
      </c>
      <c r="CM1003" s="103">
        <v>11</v>
      </c>
      <c r="CN1003" s="103">
        <v>2</v>
      </c>
      <c r="CO1003" s="103">
        <v>1</v>
      </c>
      <c r="CQ1003" s="110"/>
      <c r="CR1003" s="46" t="s">
        <v>2</v>
      </c>
      <c r="CS1003" s="103">
        <v>5</v>
      </c>
      <c r="CT1003" s="103">
        <v>13</v>
      </c>
      <c r="CU1003" s="103">
        <v>30</v>
      </c>
      <c r="CV1003" s="103">
        <v>61</v>
      </c>
      <c r="CW1003" s="103">
        <v>44</v>
      </c>
      <c r="CX1003" s="103">
        <v>31</v>
      </c>
      <c r="CY1003" s="103">
        <v>22</v>
      </c>
      <c r="CZ1003" s="103">
        <v>8</v>
      </c>
      <c r="DA1003" s="103">
        <v>3</v>
      </c>
      <c r="DB1003" s="103">
        <v>1</v>
      </c>
      <c r="DC1003" s="42"/>
      <c r="DD1003" s="110"/>
      <c r="DE1003" s="46" t="s">
        <v>2</v>
      </c>
      <c r="DF1003" s="103">
        <v>5</v>
      </c>
      <c r="DG1003" s="103">
        <v>36</v>
      </c>
      <c r="DH1003" s="103">
        <v>115</v>
      </c>
      <c r="DI1003" s="103">
        <v>204</v>
      </c>
      <c r="DJ1003" s="103">
        <v>180</v>
      </c>
      <c r="DK1003" s="103">
        <v>96</v>
      </c>
      <c r="DL1003" s="103">
        <v>40</v>
      </c>
      <c r="DM1003" s="103">
        <v>15</v>
      </c>
      <c r="DN1003" s="103">
        <v>1</v>
      </c>
      <c r="DO1003" s="103">
        <v>0</v>
      </c>
    </row>
    <row r="1004" spans="2:119" ht="16.5" customHeight="1" x14ac:dyDescent="0.45">
      <c r="B1004" s="134"/>
      <c r="C1004" s="42"/>
      <c r="D1004" s="110"/>
      <c r="E1004" s="46" t="s">
        <v>3</v>
      </c>
      <c r="F1004" s="103">
        <v>5</v>
      </c>
      <c r="G1004" s="103">
        <v>32</v>
      </c>
      <c r="H1004" s="103">
        <v>81</v>
      </c>
      <c r="I1004" s="103">
        <v>157</v>
      </c>
      <c r="J1004" s="103">
        <v>151</v>
      </c>
      <c r="K1004" s="103">
        <v>109</v>
      </c>
      <c r="L1004" s="103">
        <v>58</v>
      </c>
      <c r="M1004" s="103">
        <v>11</v>
      </c>
      <c r="N1004" s="103">
        <v>7</v>
      </c>
      <c r="O1004" s="103">
        <v>1</v>
      </c>
      <c r="P1004" s="42"/>
      <c r="Q1004" s="110"/>
      <c r="R1004" s="46" t="s">
        <v>3</v>
      </c>
      <c r="S1004" s="103">
        <v>3</v>
      </c>
      <c r="T1004" s="103">
        <v>11</v>
      </c>
      <c r="U1004" s="103">
        <v>33</v>
      </c>
      <c r="V1004" s="103">
        <v>88</v>
      </c>
      <c r="W1004" s="103">
        <v>78</v>
      </c>
      <c r="X1004" s="103">
        <v>66</v>
      </c>
      <c r="Y1004" s="103">
        <v>34</v>
      </c>
      <c r="Z1004" s="103">
        <v>7</v>
      </c>
      <c r="AA1004" s="103">
        <v>6</v>
      </c>
      <c r="AB1004" s="103">
        <v>1</v>
      </c>
      <c r="AC1004" s="42"/>
      <c r="AD1004" s="110"/>
      <c r="AE1004" s="46" t="s">
        <v>3</v>
      </c>
      <c r="AF1004" s="103">
        <v>2</v>
      </c>
      <c r="AG1004" s="103">
        <v>21</v>
      </c>
      <c r="AH1004" s="103">
        <v>48</v>
      </c>
      <c r="AI1004" s="103">
        <v>69</v>
      </c>
      <c r="AJ1004" s="103">
        <v>73</v>
      </c>
      <c r="AK1004" s="103">
        <v>43</v>
      </c>
      <c r="AL1004" s="103">
        <v>24</v>
      </c>
      <c r="AM1004" s="103">
        <v>4</v>
      </c>
      <c r="AN1004" s="103">
        <v>1</v>
      </c>
      <c r="AO1004" s="103">
        <v>0</v>
      </c>
      <c r="AP1004" s="6"/>
      <c r="AQ1004" s="110"/>
      <c r="AR1004" s="46" t="s">
        <v>3</v>
      </c>
      <c r="AS1004" s="103">
        <v>2</v>
      </c>
      <c r="AT1004" s="103">
        <v>17</v>
      </c>
      <c r="AU1004" s="103">
        <v>41</v>
      </c>
      <c r="AV1004" s="103">
        <v>88</v>
      </c>
      <c r="AW1004" s="103">
        <v>63</v>
      </c>
      <c r="AX1004" s="103">
        <v>53</v>
      </c>
      <c r="AY1004" s="103">
        <v>19</v>
      </c>
      <c r="AZ1004" s="103">
        <v>5</v>
      </c>
      <c r="BA1004" s="103">
        <v>0</v>
      </c>
      <c r="BB1004" s="103">
        <v>0</v>
      </c>
      <c r="BC1004" s="42"/>
      <c r="BD1004" s="110"/>
      <c r="BE1004" s="46" t="s">
        <v>3</v>
      </c>
      <c r="BF1004" s="103">
        <v>3</v>
      </c>
      <c r="BG1004" s="103">
        <v>15</v>
      </c>
      <c r="BH1004" s="103">
        <v>40</v>
      </c>
      <c r="BI1004" s="103">
        <v>69</v>
      </c>
      <c r="BJ1004" s="103">
        <v>88</v>
      </c>
      <c r="BK1004" s="103">
        <v>56</v>
      </c>
      <c r="BL1004" s="103">
        <v>39</v>
      </c>
      <c r="BM1004" s="103">
        <v>6</v>
      </c>
      <c r="BN1004" s="103">
        <v>7</v>
      </c>
      <c r="BO1004" s="103">
        <v>1</v>
      </c>
      <c r="BQ1004" s="110"/>
      <c r="BR1004" s="46" t="s">
        <v>3</v>
      </c>
      <c r="BS1004" s="103">
        <v>4</v>
      </c>
      <c r="BT1004" s="103">
        <v>19</v>
      </c>
      <c r="BU1004" s="103">
        <v>45</v>
      </c>
      <c r="BV1004" s="103">
        <v>82</v>
      </c>
      <c r="BW1004" s="103">
        <v>89</v>
      </c>
      <c r="BX1004" s="103">
        <v>68</v>
      </c>
      <c r="BY1004" s="103">
        <v>29</v>
      </c>
      <c r="BZ1004" s="103">
        <v>4</v>
      </c>
      <c r="CA1004" s="103">
        <v>2</v>
      </c>
      <c r="CB1004" s="103">
        <v>1</v>
      </c>
      <c r="CC1004" s="42"/>
      <c r="CD1004" s="110"/>
      <c r="CE1004" s="46" t="s">
        <v>3</v>
      </c>
      <c r="CF1004" s="103">
        <v>1</v>
      </c>
      <c r="CG1004" s="103">
        <v>13</v>
      </c>
      <c r="CH1004" s="103">
        <v>36</v>
      </c>
      <c r="CI1004" s="103">
        <v>75</v>
      </c>
      <c r="CJ1004" s="103">
        <v>62</v>
      </c>
      <c r="CK1004" s="103">
        <v>41</v>
      </c>
      <c r="CL1004" s="103">
        <v>29</v>
      </c>
      <c r="CM1004" s="103">
        <v>7</v>
      </c>
      <c r="CN1004" s="103">
        <v>5</v>
      </c>
      <c r="CO1004" s="103">
        <v>0</v>
      </c>
      <c r="CQ1004" s="110"/>
      <c r="CR1004" s="46" t="s">
        <v>3</v>
      </c>
      <c r="CS1004" s="103">
        <v>1</v>
      </c>
      <c r="CT1004" s="103">
        <v>7</v>
      </c>
      <c r="CU1004" s="103">
        <v>12</v>
      </c>
      <c r="CV1004" s="103">
        <v>23</v>
      </c>
      <c r="CW1004" s="103">
        <v>14</v>
      </c>
      <c r="CX1004" s="103">
        <v>14</v>
      </c>
      <c r="CY1004" s="103">
        <v>18</v>
      </c>
      <c r="CZ1004" s="103">
        <v>5</v>
      </c>
      <c r="DA1004" s="103">
        <v>4</v>
      </c>
      <c r="DB1004" s="103">
        <v>0</v>
      </c>
      <c r="DC1004" s="42"/>
      <c r="DD1004" s="110"/>
      <c r="DE1004" s="46" t="s">
        <v>3</v>
      </c>
      <c r="DF1004" s="103">
        <v>4</v>
      </c>
      <c r="DG1004" s="103">
        <v>25</v>
      </c>
      <c r="DH1004" s="103">
        <v>69</v>
      </c>
      <c r="DI1004" s="103">
        <v>134</v>
      </c>
      <c r="DJ1004" s="103">
        <v>137</v>
      </c>
      <c r="DK1004" s="103">
        <v>95</v>
      </c>
      <c r="DL1004" s="103">
        <v>40</v>
      </c>
      <c r="DM1004" s="103">
        <v>6</v>
      </c>
      <c r="DN1004" s="103">
        <v>3</v>
      </c>
      <c r="DO1004" s="103">
        <v>1</v>
      </c>
    </row>
    <row r="1005" spans="2:119" ht="16.5" customHeight="1" x14ac:dyDescent="0.45">
      <c r="B1005" s="134"/>
      <c r="C1005" s="42"/>
      <c r="D1005" s="110"/>
      <c r="E1005" s="46" t="s">
        <v>4</v>
      </c>
      <c r="F1005" s="103">
        <v>4</v>
      </c>
      <c r="G1005" s="103">
        <v>46</v>
      </c>
      <c r="H1005" s="103">
        <v>99</v>
      </c>
      <c r="I1005" s="103">
        <v>203</v>
      </c>
      <c r="J1005" s="103">
        <v>256</v>
      </c>
      <c r="K1005" s="103">
        <v>172</v>
      </c>
      <c r="L1005" s="103">
        <v>95</v>
      </c>
      <c r="M1005" s="103">
        <v>36</v>
      </c>
      <c r="N1005" s="103">
        <v>14</v>
      </c>
      <c r="O1005" s="103">
        <v>3</v>
      </c>
      <c r="P1005" s="42"/>
      <c r="Q1005" s="110"/>
      <c r="R1005" s="46" t="s">
        <v>4</v>
      </c>
      <c r="S1005" s="103">
        <v>2</v>
      </c>
      <c r="T1005" s="103">
        <v>21</v>
      </c>
      <c r="U1005" s="103">
        <v>32</v>
      </c>
      <c r="V1005" s="103">
        <v>95</v>
      </c>
      <c r="W1005" s="103">
        <v>140</v>
      </c>
      <c r="X1005" s="103">
        <v>112</v>
      </c>
      <c r="Y1005" s="103">
        <v>68</v>
      </c>
      <c r="Z1005" s="103">
        <v>23</v>
      </c>
      <c r="AA1005" s="103">
        <v>9</v>
      </c>
      <c r="AB1005" s="103">
        <v>3</v>
      </c>
      <c r="AC1005" s="42"/>
      <c r="AD1005" s="110"/>
      <c r="AE1005" s="46" t="s">
        <v>4</v>
      </c>
      <c r="AF1005" s="103">
        <v>2</v>
      </c>
      <c r="AG1005" s="103">
        <v>25</v>
      </c>
      <c r="AH1005" s="103">
        <v>67</v>
      </c>
      <c r="AI1005" s="103">
        <v>108</v>
      </c>
      <c r="AJ1005" s="103">
        <v>116</v>
      </c>
      <c r="AK1005" s="103">
        <v>60</v>
      </c>
      <c r="AL1005" s="103">
        <v>27</v>
      </c>
      <c r="AM1005" s="103">
        <v>13</v>
      </c>
      <c r="AN1005" s="103">
        <v>5</v>
      </c>
      <c r="AO1005" s="103">
        <v>0</v>
      </c>
      <c r="AP1005" s="6"/>
      <c r="AQ1005" s="110"/>
      <c r="AR1005" s="46" t="s">
        <v>4</v>
      </c>
      <c r="AS1005" s="103">
        <v>1</v>
      </c>
      <c r="AT1005" s="103">
        <v>26</v>
      </c>
      <c r="AU1005" s="103">
        <v>51</v>
      </c>
      <c r="AV1005" s="103">
        <v>94</v>
      </c>
      <c r="AW1005" s="103">
        <v>124</v>
      </c>
      <c r="AX1005" s="103">
        <v>73</v>
      </c>
      <c r="AY1005" s="103">
        <v>39</v>
      </c>
      <c r="AZ1005" s="103">
        <v>12</v>
      </c>
      <c r="BA1005" s="103">
        <v>3</v>
      </c>
      <c r="BB1005" s="103">
        <v>0</v>
      </c>
      <c r="BC1005" s="42"/>
      <c r="BD1005" s="110"/>
      <c r="BE1005" s="46" t="s">
        <v>4</v>
      </c>
      <c r="BF1005" s="103">
        <v>3</v>
      </c>
      <c r="BG1005" s="103">
        <v>20</v>
      </c>
      <c r="BH1005" s="103">
        <v>48</v>
      </c>
      <c r="BI1005" s="103">
        <v>109</v>
      </c>
      <c r="BJ1005" s="103">
        <v>132</v>
      </c>
      <c r="BK1005" s="103">
        <v>99</v>
      </c>
      <c r="BL1005" s="103">
        <v>56</v>
      </c>
      <c r="BM1005" s="103">
        <v>24</v>
      </c>
      <c r="BN1005" s="103">
        <v>11</v>
      </c>
      <c r="BO1005" s="103">
        <v>3</v>
      </c>
      <c r="BQ1005" s="110"/>
      <c r="BR1005" s="46" t="s">
        <v>4</v>
      </c>
      <c r="BS1005" s="103">
        <v>4</v>
      </c>
      <c r="BT1005" s="103">
        <v>24</v>
      </c>
      <c r="BU1005" s="103">
        <v>45</v>
      </c>
      <c r="BV1005" s="103">
        <v>105</v>
      </c>
      <c r="BW1005" s="103">
        <v>112</v>
      </c>
      <c r="BX1005" s="103">
        <v>65</v>
      </c>
      <c r="BY1005" s="103">
        <v>44</v>
      </c>
      <c r="BZ1005" s="103">
        <v>19</v>
      </c>
      <c r="CA1005" s="103">
        <v>5</v>
      </c>
      <c r="CB1005" s="103">
        <v>1</v>
      </c>
      <c r="CC1005" s="42"/>
      <c r="CD1005" s="110"/>
      <c r="CE1005" s="46" t="s">
        <v>4</v>
      </c>
      <c r="CF1005" s="103">
        <v>0</v>
      </c>
      <c r="CG1005" s="103">
        <v>22</v>
      </c>
      <c r="CH1005" s="103">
        <v>54</v>
      </c>
      <c r="CI1005" s="103">
        <v>98</v>
      </c>
      <c r="CJ1005" s="103">
        <v>144</v>
      </c>
      <c r="CK1005" s="103">
        <v>107</v>
      </c>
      <c r="CL1005" s="103">
        <v>51</v>
      </c>
      <c r="CM1005" s="103">
        <v>17</v>
      </c>
      <c r="CN1005" s="103">
        <v>9</v>
      </c>
      <c r="CO1005" s="103">
        <v>2</v>
      </c>
      <c r="CQ1005" s="110"/>
      <c r="CR1005" s="46" t="s">
        <v>4</v>
      </c>
      <c r="CS1005" s="103">
        <v>0</v>
      </c>
      <c r="CT1005" s="103">
        <v>4</v>
      </c>
      <c r="CU1005" s="103">
        <v>9</v>
      </c>
      <c r="CV1005" s="103">
        <v>27</v>
      </c>
      <c r="CW1005" s="103">
        <v>28</v>
      </c>
      <c r="CX1005" s="103">
        <v>30</v>
      </c>
      <c r="CY1005" s="103">
        <v>19</v>
      </c>
      <c r="CZ1005" s="103">
        <v>10</v>
      </c>
      <c r="DA1005" s="103">
        <v>2</v>
      </c>
      <c r="DB1005" s="103">
        <v>1</v>
      </c>
      <c r="DC1005" s="42"/>
      <c r="DD1005" s="110"/>
      <c r="DE1005" s="46" t="s">
        <v>4</v>
      </c>
      <c r="DF1005" s="103">
        <v>4</v>
      </c>
      <c r="DG1005" s="103">
        <v>42</v>
      </c>
      <c r="DH1005" s="103">
        <v>90</v>
      </c>
      <c r="DI1005" s="103">
        <v>176</v>
      </c>
      <c r="DJ1005" s="103">
        <v>228</v>
      </c>
      <c r="DK1005" s="103">
        <v>142</v>
      </c>
      <c r="DL1005" s="103">
        <v>76</v>
      </c>
      <c r="DM1005" s="103">
        <v>26</v>
      </c>
      <c r="DN1005" s="103">
        <v>12</v>
      </c>
      <c r="DO1005" s="103">
        <v>2</v>
      </c>
    </row>
    <row r="1006" spans="2:119" ht="16.5" customHeight="1" x14ac:dyDescent="0.45">
      <c r="B1006" s="134"/>
      <c r="C1006" s="42"/>
      <c r="D1006" s="110"/>
      <c r="E1006" s="46" t="s">
        <v>5</v>
      </c>
      <c r="F1006" s="103">
        <v>15</v>
      </c>
      <c r="G1006" s="103">
        <v>67</v>
      </c>
      <c r="H1006" s="103">
        <v>196</v>
      </c>
      <c r="I1006" s="103">
        <v>393</v>
      </c>
      <c r="J1006" s="103">
        <v>422</v>
      </c>
      <c r="K1006" s="103">
        <v>364</v>
      </c>
      <c r="L1006" s="103">
        <v>185</v>
      </c>
      <c r="M1006" s="103">
        <v>67</v>
      </c>
      <c r="N1006" s="103">
        <v>27</v>
      </c>
      <c r="O1006" s="103">
        <v>20</v>
      </c>
      <c r="P1006" s="42"/>
      <c r="Q1006" s="110"/>
      <c r="R1006" s="46" t="s">
        <v>5</v>
      </c>
      <c r="S1006" s="103">
        <v>3</v>
      </c>
      <c r="T1006" s="103">
        <v>23</v>
      </c>
      <c r="U1006" s="103">
        <v>98</v>
      </c>
      <c r="V1006" s="103">
        <v>209</v>
      </c>
      <c r="W1006" s="103">
        <v>263</v>
      </c>
      <c r="X1006" s="103">
        <v>248</v>
      </c>
      <c r="Y1006" s="103">
        <v>142</v>
      </c>
      <c r="Z1006" s="103">
        <v>45</v>
      </c>
      <c r="AA1006" s="103">
        <v>16</v>
      </c>
      <c r="AB1006" s="103">
        <v>16</v>
      </c>
      <c r="AC1006" s="42"/>
      <c r="AD1006" s="110"/>
      <c r="AE1006" s="46" t="s">
        <v>5</v>
      </c>
      <c r="AF1006" s="103">
        <v>12</v>
      </c>
      <c r="AG1006" s="103">
        <v>44</v>
      </c>
      <c r="AH1006" s="103">
        <v>98</v>
      </c>
      <c r="AI1006" s="103">
        <v>184</v>
      </c>
      <c r="AJ1006" s="103">
        <v>159</v>
      </c>
      <c r="AK1006" s="103">
        <v>116</v>
      </c>
      <c r="AL1006" s="103">
        <v>43</v>
      </c>
      <c r="AM1006" s="103">
        <v>22</v>
      </c>
      <c r="AN1006" s="103">
        <v>11</v>
      </c>
      <c r="AO1006" s="103">
        <v>4</v>
      </c>
      <c r="AP1006" s="6"/>
      <c r="AQ1006" s="110"/>
      <c r="AR1006" s="46" t="s">
        <v>5</v>
      </c>
      <c r="AS1006" s="103">
        <v>10</v>
      </c>
      <c r="AT1006" s="103">
        <v>32</v>
      </c>
      <c r="AU1006" s="103">
        <v>87</v>
      </c>
      <c r="AV1006" s="103">
        <v>155</v>
      </c>
      <c r="AW1006" s="103">
        <v>177</v>
      </c>
      <c r="AX1006" s="103">
        <v>126</v>
      </c>
      <c r="AY1006" s="103">
        <v>48</v>
      </c>
      <c r="AZ1006" s="103">
        <v>19</v>
      </c>
      <c r="BA1006" s="103">
        <v>9</v>
      </c>
      <c r="BB1006" s="103">
        <v>7</v>
      </c>
      <c r="BC1006" s="42"/>
      <c r="BD1006" s="110"/>
      <c r="BE1006" s="46" t="s">
        <v>5</v>
      </c>
      <c r="BF1006" s="103">
        <v>5</v>
      </c>
      <c r="BG1006" s="103">
        <v>35</v>
      </c>
      <c r="BH1006" s="103">
        <v>109</v>
      </c>
      <c r="BI1006" s="103">
        <v>238</v>
      </c>
      <c r="BJ1006" s="103">
        <v>245</v>
      </c>
      <c r="BK1006" s="103">
        <v>238</v>
      </c>
      <c r="BL1006" s="103">
        <v>137</v>
      </c>
      <c r="BM1006" s="103">
        <v>48</v>
      </c>
      <c r="BN1006" s="103">
        <v>18</v>
      </c>
      <c r="BO1006" s="103">
        <v>13</v>
      </c>
      <c r="BQ1006" s="110"/>
      <c r="BR1006" s="46" t="s">
        <v>5</v>
      </c>
      <c r="BS1006" s="103">
        <v>8</v>
      </c>
      <c r="BT1006" s="103">
        <v>22</v>
      </c>
      <c r="BU1006" s="103">
        <v>67</v>
      </c>
      <c r="BV1006" s="103">
        <v>130</v>
      </c>
      <c r="BW1006" s="103">
        <v>124</v>
      </c>
      <c r="BX1006" s="103">
        <v>100</v>
      </c>
      <c r="BY1006" s="103">
        <v>45</v>
      </c>
      <c r="BZ1006" s="103">
        <v>17</v>
      </c>
      <c r="CA1006" s="103">
        <v>12</v>
      </c>
      <c r="CB1006" s="103">
        <v>6</v>
      </c>
      <c r="CC1006" s="42"/>
      <c r="CD1006" s="110"/>
      <c r="CE1006" s="46" t="s">
        <v>5</v>
      </c>
      <c r="CF1006" s="103">
        <v>7</v>
      </c>
      <c r="CG1006" s="103">
        <v>45</v>
      </c>
      <c r="CH1006" s="103">
        <v>129</v>
      </c>
      <c r="CI1006" s="103">
        <v>263</v>
      </c>
      <c r="CJ1006" s="103">
        <v>298</v>
      </c>
      <c r="CK1006" s="103">
        <v>264</v>
      </c>
      <c r="CL1006" s="103">
        <v>140</v>
      </c>
      <c r="CM1006" s="103">
        <v>50</v>
      </c>
      <c r="CN1006" s="103">
        <v>15</v>
      </c>
      <c r="CO1006" s="103">
        <v>14</v>
      </c>
      <c r="CQ1006" s="110"/>
      <c r="CR1006" s="46" t="s">
        <v>5</v>
      </c>
      <c r="CS1006" s="103">
        <v>1</v>
      </c>
      <c r="CT1006" s="103">
        <v>4</v>
      </c>
      <c r="CU1006" s="103">
        <v>23</v>
      </c>
      <c r="CV1006" s="103">
        <v>44</v>
      </c>
      <c r="CW1006" s="103">
        <v>43</v>
      </c>
      <c r="CX1006" s="103">
        <v>46</v>
      </c>
      <c r="CY1006" s="103">
        <v>29</v>
      </c>
      <c r="CZ1006" s="103">
        <v>14</v>
      </c>
      <c r="DA1006" s="103">
        <v>6</v>
      </c>
      <c r="DB1006" s="103">
        <v>2</v>
      </c>
      <c r="DC1006" s="42"/>
      <c r="DD1006" s="110"/>
      <c r="DE1006" s="46" t="s">
        <v>5</v>
      </c>
      <c r="DF1006" s="103">
        <v>14</v>
      </c>
      <c r="DG1006" s="103">
        <v>63</v>
      </c>
      <c r="DH1006" s="103">
        <v>173</v>
      </c>
      <c r="DI1006" s="103">
        <v>349</v>
      </c>
      <c r="DJ1006" s="103">
        <v>379</v>
      </c>
      <c r="DK1006" s="103">
        <v>318</v>
      </c>
      <c r="DL1006" s="103">
        <v>156</v>
      </c>
      <c r="DM1006" s="103">
        <v>53</v>
      </c>
      <c r="DN1006" s="103">
        <v>21</v>
      </c>
      <c r="DO1006" s="103">
        <v>18</v>
      </c>
    </row>
    <row r="1007" spans="2:119" ht="16.5" customHeight="1" x14ac:dyDescent="0.45">
      <c r="B1007" s="134"/>
      <c r="C1007" s="42"/>
      <c r="D1007" s="110"/>
      <c r="E1007" s="46" t="s">
        <v>6</v>
      </c>
      <c r="F1007" s="103">
        <v>27</v>
      </c>
      <c r="G1007" s="103">
        <v>111</v>
      </c>
      <c r="H1007" s="103">
        <v>249</v>
      </c>
      <c r="I1007" s="103">
        <v>663</v>
      </c>
      <c r="J1007" s="103">
        <v>789</v>
      </c>
      <c r="K1007" s="103">
        <v>741</v>
      </c>
      <c r="L1007" s="103">
        <v>470</v>
      </c>
      <c r="M1007" s="103">
        <v>185</v>
      </c>
      <c r="N1007" s="103">
        <v>59</v>
      </c>
      <c r="O1007" s="103">
        <v>26</v>
      </c>
      <c r="P1007" s="42"/>
      <c r="Q1007" s="110"/>
      <c r="R1007" s="46" t="s">
        <v>6</v>
      </c>
      <c r="S1007" s="103">
        <v>12</v>
      </c>
      <c r="T1007" s="103">
        <v>39</v>
      </c>
      <c r="U1007" s="103">
        <v>101</v>
      </c>
      <c r="V1007" s="103">
        <v>312</v>
      </c>
      <c r="W1007" s="103">
        <v>486</v>
      </c>
      <c r="X1007" s="103">
        <v>467</v>
      </c>
      <c r="Y1007" s="103">
        <v>326</v>
      </c>
      <c r="Z1007" s="103">
        <v>139</v>
      </c>
      <c r="AA1007" s="103">
        <v>50</v>
      </c>
      <c r="AB1007" s="103">
        <v>18</v>
      </c>
      <c r="AC1007" s="42"/>
      <c r="AD1007" s="110"/>
      <c r="AE1007" s="46" t="s">
        <v>6</v>
      </c>
      <c r="AF1007" s="103">
        <v>15</v>
      </c>
      <c r="AG1007" s="103">
        <v>72</v>
      </c>
      <c r="AH1007" s="103">
        <v>148</v>
      </c>
      <c r="AI1007" s="103">
        <v>351</v>
      </c>
      <c r="AJ1007" s="103">
        <v>303</v>
      </c>
      <c r="AK1007" s="103">
        <v>274</v>
      </c>
      <c r="AL1007" s="103">
        <v>144</v>
      </c>
      <c r="AM1007" s="103">
        <v>46</v>
      </c>
      <c r="AN1007" s="103">
        <v>9</v>
      </c>
      <c r="AO1007" s="103">
        <v>8</v>
      </c>
      <c r="AP1007" s="6"/>
      <c r="AQ1007" s="110"/>
      <c r="AR1007" s="46" t="s">
        <v>6</v>
      </c>
      <c r="AS1007" s="103">
        <v>15</v>
      </c>
      <c r="AT1007" s="103">
        <v>66</v>
      </c>
      <c r="AU1007" s="103">
        <v>115</v>
      </c>
      <c r="AV1007" s="103">
        <v>266</v>
      </c>
      <c r="AW1007" s="103">
        <v>314</v>
      </c>
      <c r="AX1007" s="103">
        <v>264</v>
      </c>
      <c r="AY1007" s="103">
        <v>132</v>
      </c>
      <c r="AZ1007" s="103">
        <v>51</v>
      </c>
      <c r="BA1007" s="103">
        <v>13</v>
      </c>
      <c r="BB1007" s="103">
        <v>8</v>
      </c>
      <c r="BC1007" s="42"/>
      <c r="BD1007" s="110"/>
      <c r="BE1007" s="46" t="s">
        <v>6</v>
      </c>
      <c r="BF1007" s="103">
        <v>12</v>
      </c>
      <c r="BG1007" s="103">
        <v>45</v>
      </c>
      <c r="BH1007" s="103">
        <v>134</v>
      </c>
      <c r="BI1007" s="103">
        <v>397</v>
      </c>
      <c r="BJ1007" s="103">
        <v>475</v>
      </c>
      <c r="BK1007" s="103">
        <v>477</v>
      </c>
      <c r="BL1007" s="103">
        <v>338</v>
      </c>
      <c r="BM1007" s="103">
        <v>134</v>
      </c>
      <c r="BN1007" s="103">
        <v>46</v>
      </c>
      <c r="BO1007" s="103">
        <v>18</v>
      </c>
      <c r="BQ1007" s="110"/>
      <c r="BR1007" s="46" t="s">
        <v>6</v>
      </c>
      <c r="BS1007" s="103">
        <v>8</v>
      </c>
      <c r="BT1007" s="103">
        <v>33</v>
      </c>
      <c r="BU1007" s="103">
        <v>59</v>
      </c>
      <c r="BV1007" s="103">
        <v>185</v>
      </c>
      <c r="BW1007" s="103">
        <v>153</v>
      </c>
      <c r="BX1007" s="103">
        <v>149</v>
      </c>
      <c r="BY1007" s="103">
        <v>81</v>
      </c>
      <c r="BZ1007" s="103">
        <v>23</v>
      </c>
      <c r="CA1007" s="103">
        <v>8</v>
      </c>
      <c r="CB1007" s="103">
        <v>2</v>
      </c>
      <c r="CC1007" s="42"/>
      <c r="CD1007" s="110"/>
      <c r="CE1007" s="46" t="s">
        <v>6</v>
      </c>
      <c r="CF1007" s="103">
        <v>19</v>
      </c>
      <c r="CG1007" s="103">
        <v>78</v>
      </c>
      <c r="CH1007" s="103">
        <v>190</v>
      </c>
      <c r="CI1007" s="103">
        <v>478</v>
      </c>
      <c r="CJ1007" s="103">
        <v>636</v>
      </c>
      <c r="CK1007" s="103">
        <v>592</v>
      </c>
      <c r="CL1007" s="103">
        <v>389</v>
      </c>
      <c r="CM1007" s="103">
        <v>162</v>
      </c>
      <c r="CN1007" s="103">
        <v>51</v>
      </c>
      <c r="CO1007" s="103">
        <v>24</v>
      </c>
      <c r="CQ1007" s="110"/>
      <c r="CR1007" s="46" t="s">
        <v>6</v>
      </c>
      <c r="CS1007" s="103">
        <v>4</v>
      </c>
      <c r="CT1007" s="103">
        <v>13</v>
      </c>
      <c r="CU1007" s="103">
        <v>22</v>
      </c>
      <c r="CV1007" s="103">
        <v>53</v>
      </c>
      <c r="CW1007" s="103">
        <v>85</v>
      </c>
      <c r="CX1007" s="103">
        <v>86</v>
      </c>
      <c r="CY1007" s="103">
        <v>63</v>
      </c>
      <c r="CZ1007" s="103">
        <v>32</v>
      </c>
      <c r="DA1007" s="103">
        <v>7</v>
      </c>
      <c r="DB1007" s="103">
        <v>5</v>
      </c>
      <c r="DC1007" s="42"/>
      <c r="DD1007" s="110"/>
      <c r="DE1007" s="46" t="s">
        <v>6</v>
      </c>
      <c r="DF1007" s="103">
        <v>23</v>
      </c>
      <c r="DG1007" s="103">
        <v>98</v>
      </c>
      <c r="DH1007" s="103">
        <v>227</v>
      </c>
      <c r="DI1007" s="103">
        <v>610</v>
      </c>
      <c r="DJ1007" s="103">
        <v>704</v>
      </c>
      <c r="DK1007" s="103">
        <v>655</v>
      </c>
      <c r="DL1007" s="103">
        <v>407</v>
      </c>
      <c r="DM1007" s="103">
        <v>153</v>
      </c>
      <c r="DN1007" s="103">
        <v>52</v>
      </c>
      <c r="DO1007" s="103">
        <v>21</v>
      </c>
    </row>
    <row r="1008" spans="2:119" ht="16.5" customHeight="1" x14ac:dyDescent="0.45">
      <c r="B1008" s="134"/>
      <c r="C1008" s="42"/>
      <c r="D1008" s="110"/>
      <c r="E1008" s="46" t="s">
        <v>7</v>
      </c>
      <c r="F1008" s="103">
        <v>27</v>
      </c>
      <c r="G1008" s="103">
        <v>119</v>
      </c>
      <c r="H1008" s="103">
        <v>348</v>
      </c>
      <c r="I1008" s="103">
        <v>878</v>
      </c>
      <c r="J1008" s="103">
        <v>1138</v>
      </c>
      <c r="K1008" s="103">
        <v>1226</v>
      </c>
      <c r="L1008" s="103">
        <v>925</v>
      </c>
      <c r="M1008" s="103">
        <v>405</v>
      </c>
      <c r="N1008" s="103">
        <v>190</v>
      </c>
      <c r="O1008" s="103">
        <v>99</v>
      </c>
      <c r="P1008" s="42"/>
      <c r="Q1008" s="110"/>
      <c r="R1008" s="46" t="s">
        <v>7</v>
      </c>
      <c r="S1008" s="103">
        <v>11</v>
      </c>
      <c r="T1008" s="103">
        <v>46</v>
      </c>
      <c r="U1008" s="103">
        <v>151</v>
      </c>
      <c r="V1008" s="103">
        <v>422</v>
      </c>
      <c r="W1008" s="103">
        <v>640</v>
      </c>
      <c r="X1008" s="103">
        <v>810</v>
      </c>
      <c r="Y1008" s="103">
        <v>670</v>
      </c>
      <c r="Z1008" s="103">
        <v>332</v>
      </c>
      <c r="AA1008" s="103">
        <v>155</v>
      </c>
      <c r="AB1008" s="103">
        <v>79</v>
      </c>
      <c r="AC1008" s="42"/>
      <c r="AD1008" s="110"/>
      <c r="AE1008" s="46" t="s">
        <v>7</v>
      </c>
      <c r="AF1008" s="103">
        <v>16</v>
      </c>
      <c r="AG1008" s="103">
        <v>73</v>
      </c>
      <c r="AH1008" s="103">
        <v>197</v>
      </c>
      <c r="AI1008" s="103">
        <v>456</v>
      </c>
      <c r="AJ1008" s="103">
        <v>498</v>
      </c>
      <c r="AK1008" s="103">
        <v>416</v>
      </c>
      <c r="AL1008" s="103">
        <v>255</v>
      </c>
      <c r="AM1008" s="103">
        <v>73</v>
      </c>
      <c r="AN1008" s="103">
        <v>35</v>
      </c>
      <c r="AO1008" s="103">
        <v>20</v>
      </c>
      <c r="AP1008" s="6"/>
      <c r="AQ1008" s="110"/>
      <c r="AR1008" s="46" t="s">
        <v>7</v>
      </c>
      <c r="AS1008" s="103">
        <v>13</v>
      </c>
      <c r="AT1008" s="103">
        <v>59</v>
      </c>
      <c r="AU1008" s="103">
        <v>147</v>
      </c>
      <c r="AV1008" s="103">
        <v>343</v>
      </c>
      <c r="AW1008" s="103">
        <v>412</v>
      </c>
      <c r="AX1008" s="103">
        <v>381</v>
      </c>
      <c r="AY1008" s="103">
        <v>257</v>
      </c>
      <c r="AZ1008" s="103">
        <v>94</v>
      </c>
      <c r="BA1008" s="103">
        <v>38</v>
      </c>
      <c r="BB1008" s="103">
        <v>19</v>
      </c>
      <c r="BC1008" s="42"/>
      <c r="BD1008" s="110"/>
      <c r="BE1008" s="46" t="s">
        <v>7</v>
      </c>
      <c r="BF1008" s="103">
        <v>14</v>
      </c>
      <c r="BG1008" s="103">
        <v>60</v>
      </c>
      <c r="BH1008" s="103">
        <v>201</v>
      </c>
      <c r="BI1008" s="103">
        <v>535</v>
      </c>
      <c r="BJ1008" s="103">
        <v>726</v>
      </c>
      <c r="BK1008" s="103">
        <v>845</v>
      </c>
      <c r="BL1008" s="103">
        <v>668</v>
      </c>
      <c r="BM1008" s="103">
        <v>311</v>
      </c>
      <c r="BN1008" s="103">
        <v>152</v>
      </c>
      <c r="BO1008" s="103">
        <v>80</v>
      </c>
      <c r="BQ1008" s="110"/>
      <c r="BR1008" s="46" t="s">
        <v>7</v>
      </c>
      <c r="BS1008" s="103">
        <v>9</v>
      </c>
      <c r="BT1008" s="103">
        <v>26</v>
      </c>
      <c r="BU1008" s="103">
        <v>71</v>
      </c>
      <c r="BV1008" s="103">
        <v>176</v>
      </c>
      <c r="BW1008" s="103">
        <v>174</v>
      </c>
      <c r="BX1008" s="103">
        <v>129</v>
      </c>
      <c r="BY1008" s="103">
        <v>107</v>
      </c>
      <c r="BZ1008" s="103">
        <v>25</v>
      </c>
      <c r="CA1008" s="103">
        <v>15</v>
      </c>
      <c r="CB1008" s="103">
        <v>14</v>
      </c>
      <c r="CC1008" s="42"/>
      <c r="CD1008" s="110"/>
      <c r="CE1008" s="46" t="s">
        <v>7</v>
      </c>
      <c r="CF1008" s="103">
        <v>18</v>
      </c>
      <c r="CG1008" s="103">
        <v>93</v>
      </c>
      <c r="CH1008" s="103">
        <v>277</v>
      </c>
      <c r="CI1008" s="103">
        <v>702</v>
      </c>
      <c r="CJ1008" s="103">
        <v>964</v>
      </c>
      <c r="CK1008" s="103">
        <v>1097</v>
      </c>
      <c r="CL1008" s="103">
        <v>818</v>
      </c>
      <c r="CM1008" s="103">
        <v>380</v>
      </c>
      <c r="CN1008" s="103">
        <v>175</v>
      </c>
      <c r="CO1008" s="103">
        <v>85</v>
      </c>
      <c r="CQ1008" s="110"/>
      <c r="CR1008" s="46" t="s">
        <v>7</v>
      </c>
      <c r="CS1008" s="103">
        <v>1</v>
      </c>
      <c r="CT1008" s="103">
        <v>9</v>
      </c>
      <c r="CU1008" s="103">
        <v>35</v>
      </c>
      <c r="CV1008" s="103">
        <v>97</v>
      </c>
      <c r="CW1008" s="103">
        <v>97</v>
      </c>
      <c r="CX1008" s="103">
        <v>122</v>
      </c>
      <c r="CY1008" s="103">
        <v>106</v>
      </c>
      <c r="CZ1008" s="103">
        <v>50</v>
      </c>
      <c r="DA1008" s="103">
        <v>23</v>
      </c>
      <c r="DB1008" s="103">
        <v>5</v>
      </c>
      <c r="DC1008" s="42"/>
      <c r="DD1008" s="110"/>
      <c r="DE1008" s="46" t="s">
        <v>7</v>
      </c>
      <c r="DF1008" s="103">
        <v>26</v>
      </c>
      <c r="DG1008" s="103">
        <v>110</v>
      </c>
      <c r="DH1008" s="103">
        <v>313</v>
      </c>
      <c r="DI1008" s="103">
        <v>781</v>
      </c>
      <c r="DJ1008" s="103">
        <v>1041</v>
      </c>
      <c r="DK1008" s="103">
        <v>1104</v>
      </c>
      <c r="DL1008" s="103">
        <v>819</v>
      </c>
      <c r="DM1008" s="103">
        <v>355</v>
      </c>
      <c r="DN1008" s="103">
        <v>167</v>
      </c>
      <c r="DO1008" s="103">
        <v>94</v>
      </c>
    </row>
    <row r="1009" spans="2:119" ht="16.5" customHeight="1" x14ac:dyDescent="0.45">
      <c r="B1009" s="134"/>
      <c r="C1009" s="42"/>
      <c r="D1009" s="110"/>
      <c r="E1009" s="46" t="s">
        <v>8</v>
      </c>
      <c r="F1009" s="103">
        <v>22</v>
      </c>
      <c r="G1009" s="103">
        <v>107</v>
      </c>
      <c r="H1009" s="103">
        <v>293</v>
      </c>
      <c r="I1009" s="103">
        <v>774</v>
      </c>
      <c r="J1009" s="103">
        <v>1220</v>
      </c>
      <c r="K1009" s="103">
        <v>1411</v>
      </c>
      <c r="L1009" s="103">
        <v>1338</v>
      </c>
      <c r="M1009" s="103">
        <v>705</v>
      </c>
      <c r="N1009" s="103">
        <v>328</v>
      </c>
      <c r="O1009" s="103">
        <v>174</v>
      </c>
      <c r="P1009" s="42"/>
      <c r="Q1009" s="110"/>
      <c r="R1009" s="46" t="s">
        <v>8</v>
      </c>
      <c r="S1009" s="103">
        <v>7</v>
      </c>
      <c r="T1009" s="103">
        <v>36</v>
      </c>
      <c r="U1009" s="103">
        <v>110</v>
      </c>
      <c r="V1009" s="103">
        <v>340</v>
      </c>
      <c r="W1009" s="103">
        <v>629</v>
      </c>
      <c r="X1009" s="103">
        <v>888</v>
      </c>
      <c r="Y1009" s="103">
        <v>964</v>
      </c>
      <c r="Z1009" s="103">
        <v>537</v>
      </c>
      <c r="AA1009" s="103">
        <v>257</v>
      </c>
      <c r="AB1009" s="103">
        <v>149</v>
      </c>
      <c r="AC1009" s="42"/>
      <c r="AD1009" s="110"/>
      <c r="AE1009" s="46" t="s">
        <v>8</v>
      </c>
      <c r="AF1009" s="103">
        <v>15</v>
      </c>
      <c r="AG1009" s="103">
        <v>71</v>
      </c>
      <c r="AH1009" s="103">
        <v>183</v>
      </c>
      <c r="AI1009" s="103">
        <v>434</v>
      </c>
      <c r="AJ1009" s="103">
        <v>591</v>
      </c>
      <c r="AK1009" s="103">
        <v>523</v>
      </c>
      <c r="AL1009" s="103">
        <v>374</v>
      </c>
      <c r="AM1009" s="103">
        <v>168</v>
      </c>
      <c r="AN1009" s="103">
        <v>71</v>
      </c>
      <c r="AO1009" s="103">
        <v>25</v>
      </c>
      <c r="AP1009" s="6"/>
      <c r="AQ1009" s="110"/>
      <c r="AR1009" s="46" t="s">
        <v>8</v>
      </c>
      <c r="AS1009" s="103">
        <v>13</v>
      </c>
      <c r="AT1009" s="103">
        <v>55</v>
      </c>
      <c r="AU1009" s="103">
        <v>116</v>
      </c>
      <c r="AV1009" s="103">
        <v>269</v>
      </c>
      <c r="AW1009" s="103">
        <v>405</v>
      </c>
      <c r="AX1009" s="103">
        <v>390</v>
      </c>
      <c r="AY1009" s="103">
        <v>319</v>
      </c>
      <c r="AZ1009" s="103">
        <v>148</v>
      </c>
      <c r="BA1009" s="103">
        <v>62</v>
      </c>
      <c r="BB1009" s="103">
        <v>22</v>
      </c>
      <c r="BC1009" s="42"/>
      <c r="BD1009" s="110"/>
      <c r="BE1009" s="46" t="s">
        <v>8</v>
      </c>
      <c r="BF1009" s="103">
        <v>9</v>
      </c>
      <c r="BG1009" s="103">
        <v>52</v>
      </c>
      <c r="BH1009" s="103">
        <v>177</v>
      </c>
      <c r="BI1009" s="103">
        <v>505</v>
      </c>
      <c r="BJ1009" s="103">
        <v>815</v>
      </c>
      <c r="BK1009" s="103">
        <v>1021</v>
      </c>
      <c r="BL1009" s="103">
        <v>1019</v>
      </c>
      <c r="BM1009" s="103">
        <v>557</v>
      </c>
      <c r="BN1009" s="103">
        <v>266</v>
      </c>
      <c r="BO1009" s="103">
        <v>152</v>
      </c>
      <c r="BQ1009" s="110"/>
      <c r="BR1009" s="46" t="s">
        <v>8</v>
      </c>
      <c r="BS1009" s="103">
        <v>6</v>
      </c>
      <c r="BT1009" s="103">
        <v>26</v>
      </c>
      <c r="BU1009" s="103">
        <v>46</v>
      </c>
      <c r="BV1009" s="103">
        <v>109</v>
      </c>
      <c r="BW1009" s="103">
        <v>147</v>
      </c>
      <c r="BX1009" s="103">
        <v>133</v>
      </c>
      <c r="BY1009" s="103">
        <v>95</v>
      </c>
      <c r="BZ1009" s="103">
        <v>37</v>
      </c>
      <c r="CA1009" s="103">
        <v>18</v>
      </c>
      <c r="CB1009" s="103">
        <v>12</v>
      </c>
      <c r="CC1009" s="42"/>
      <c r="CD1009" s="110"/>
      <c r="CE1009" s="46" t="s">
        <v>8</v>
      </c>
      <c r="CF1009" s="103">
        <v>16</v>
      </c>
      <c r="CG1009" s="103">
        <v>81</v>
      </c>
      <c r="CH1009" s="103">
        <v>247</v>
      </c>
      <c r="CI1009" s="103">
        <v>665</v>
      </c>
      <c r="CJ1009" s="103">
        <v>1073</v>
      </c>
      <c r="CK1009" s="103">
        <v>1278</v>
      </c>
      <c r="CL1009" s="103">
        <v>1243</v>
      </c>
      <c r="CM1009" s="103">
        <v>668</v>
      </c>
      <c r="CN1009" s="103">
        <v>310</v>
      </c>
      <c r="CO1009" s="103">
        <v>162</v>
      </c>
      <c r="CQ1009" s="110"/>
      <c r="CR1009" s="46" t="s">
        <v>8</v>
      </c>
      <c r="CS1009" s="103">
        <v>0</v>
      </c>
      <c r="CT1009" s="103">
        <v>12</v>
      </c>
      <c r="CU1009" s="103">
        <v>33</v>
      </c>
      <c r="CV1009" s="103">
        <v>60</v>
      </c>
      <c r="CW1009" s="103">
        <v>96</v>
      </c>
      <c r="CX1009" s="103">
        <v>125</v>
      </c>
      <c r="CY1009" s="103">
        <v>127</v>
      </c>
      <c r="CZ1009" s="103">
        <v>56</v>
      </c>
      <c r="DA1009" s="103">
        <v>27</v>
      </c>
      <c r="DB1009" s="103">
        <v>8</v>
      </c>
      <c r="DC1009" s="42"/>
      <c r="DD1009" s="110"/>
      <c r="DE1009" s="46" t="s">
        <v>8</v>
      </c>
      <c r="DF1009" s="103">
        <v>22</v>
      </c>
      <c r="DG1009" s="103">
        <v>95</v>
      </c>
      <c r="DH1009" s="103">
        <v>260</v>
      </c>
      <c r="DI1009" s="103">
        <v>714</v>
      </c>
      <c r="DJ1009" s="103">
        <v>1124</v>
      </c>
      <c r="DK1009" s="103">
        <v>1286</v>
      </c>
      <c r="DL1009" s="103">
        <v>1211</v>
      </c>
      <c r="DM1009" s="103">
        <v>649</v>
      </c>
      <c r="DN1009" s="103">
        <v>301</v>
      </c>
      <c r="DO1009" s="103">
        <v>166</v>
      </c>
    </row>
    <row r="1010" spans="2:119" ht="16.5" customHeight="1" x14ac:dyDescent="0.45">
      <c r="B1010" s="134"/>
      <c r="C1010" s="42"/>
      <c r="D1010" s="110"/>
      <c r="E1010" s="46" t="s">
        <v>9</v>
      </c>
      <c r="F1010" s="103">
        <v>17</v>
      </c>
      <c r="G1010" s="103">
        <v>41</v>
      </c>
      <c r="H1010" s="103">
        <v>171</v>
      </c>
      <c r="I1010" s="103">
        <v>481</v>
      </c>
      <c r="J1010" s="103">
        <v>703</v>
      </c>
      <c r="K1010" s="103">
        <v>1048</v>
      </c>
      <c r="L1010" s="103">
        <v>1212</v>
      </c>
      <c r="M1010" s="103">
        <v>807</v>
      </c>
      <c r="N1010" s="103">
        <v>448</v>
      </c>
      <c r="O1010" s="103">
        <v>245</v>
      </c>
      <c r="P1010" s="42"/>
      <c r="Q1010" s="110"/>
      <c r="R1010" s="46" t="s">
        <v>9</v>
      </c>
      <c r="S1010" s="103">
        <v>5</v>
      </c>
      <c r="T1010" s="103">
        <v>15</v>
      </c>
      <c r="U1010" s="103">
        <v>63</v>
      </c>
      <c r="V1010" s="103">
        <v>186</v>
      </c>
      <c r="W1010" s="103">
        <v>329</v>
      </c>
      <c r="X1010" s="103">
        <v>611</v>
      </c>
      <c r="Y1010" s="103">
        <v>833</v>
      </c>
      <c r="Z1010" s="103">
        <v>601</v>
      </c>
      <c r="AA1010" s="103">
        <v>373</v>
      </c>
      <c r="AB1010" s="103">
        <v>203</v>
      </c>
      <c r="AC1010" s="42"/>
      <c r="AD1010" s="110"/>
      <c r="AE1010" s="46" t="s">
        <v>9</v>
      </c>
      <c r="AF1010" s="103">
        <v>12</v>
      </c>
      <c r="AG1010" s="103">
        <v>26</v>
      </c>
      <c r="AH1010" s="103">
        <v>108</v>
      </c>
      <c r="AI1010" s="103">
        <v>295</v>
      </c>
      <c r="AJ1010" s="103">
        <v>374</v>
      </c>
      <c r="AK1010" s="103">
        <v>437</v>
      </c>
      <c r="AL1010" s="103">
        <v>379</v>
      </c>
      <c r="AM1010" s="103">
        <v>206</v>
      </c>
      <c r="AN1010" s="103">
        <v>75</v>
      </c>
      <c r="AO1010" s="103">
        <v>42</v>
      </c>
      <c r="AP1010" s="6"/>
      <c r="AQ1010" s="110"/>
      <c r="AR1010" s="46" t="s">
        <v>9</v>
      </c>
      <c r="AS1010" s="103">
        <v>6</v>
      </c>
      <c r="AT1010" s="103">
        <v>17</v>
      </c>
      <c r="AU1010" s="103">
        <v>59</v>
      </c>
      <c r="AV1010" s="103">
        <v>164</v>
      </c>
      <c r="AW1010" s="103">
        <v>198</v>
      </c>
      <c r="AX1010" s="103">
        <v>236</v>
      </c>
      <c r="AY1010" s="103">
        <v>242</v>
      </c>
      <c r="AZ1010" s="103">
        <v>143</v>
      </c>
      <c r="BA1010" s="103">
        <v>67</v>
      </c>
      <c r="BB1010" s="103">
        <v>25</v>
      </c>
      <c r="BC1010" s="42"/>
      <c r="BD1010" s="110"/>
      <c r="BE1010" s="46" t="s">
        <v>9</v>
      </c>
      <c r="BF1010" s="103">
        <v>11</v>
      </c>
      <c r="BG1010" s="103">
        <v>24</v>
      </c>
      <c r="BH1010" s="103">
        <v>112</v>
      </c>
      <c r="BI1010" s="103">
        <v>317</v>
      </c>
      <c r="BJ1010" s="103">
        <v>505</v>
      </c>
      <c r="BK1010" s="103">
        <v>812</v>
      </c>
      <c r="BL1010" s="103">
        <v>970</v>
      </c>
      <c r="BM1010" s="103">
        <v>664</v>
      </c>
      <c r="BN1010" s="103">
        <v>381</v>
      </c>
      <c r="BO1010" s="103">
        <v>220</v>
      </c>
      <c r="BQ1010" s="110"/>
      <c r="BR1010" s="46" t="s">
        <v>9</v>
      </c>
      <c r="BS1010" s="103">
        <v>2</v>
      </c>
      <c r="BT1010" s="103">
        <v>5</v>
      </c>
      <c r="BU1010" s="103">
        <v>18</v>
      </c>
      <c r="BV1010" s="103">
        <v>45</v>
      </c>
      <c r="BW1010" s="103">
        <v>62</v>
      </c>
      <c r="BX1010" s="103">
        <v>66</v>
      </c>
      <c r="BY1010" s="103">
        <v>65</v>
      </c>
      <c r="BZ1010" s="103">
        <v>35</v>
      </c>
      <c r="CA1010" s="103">
        <v>19</v>
      </c>
      <c r="CB1010" s="103">
        <v>6</v>
      </c>
      <c r="CC1010" s="42"/>
      <c r="CD1010" s="110"/>
      <c r="CE1010" s="46" t="s">
        <v>9</v>
      </c>
      <c r="CF1010" s="103">
        <v>15</v>
      </c>
      <c r="CG1010" s="103">
        <v>36</v>
      </c>
      <c r="CH1010" s="103">
        <v>153</v>
      </c>
      <c r="CI1010" s="103">
        <v>436</v>
      </c>
      <c r="CJ1010" s="103">
        <v>641</v>
      </c>
      <c r="CK1010" s="103">
        <v>982</v>
      </c>
      <c r="CL1010" s="103">
        <v>1147</v>
      </c>
      <c r="CM1010" s="103">
        <v>772</v>
      </c>
      <c r="CN1010" s="103">
        <v>429</v>
      </c>
      <c r="CO1010" s="103">
        <v>239</v>
      </c>
      <c r="CQ1010" s="110"/>
      <c r="CR1010" s="46" t="s">
        <v>9</v>
      </c>
      <c r="CS1010" s="103">
        <v>1</v>
      </c>
      <c r="CT1010" s="103">
        <v>3</v>
      </c>
      <c r="CU1010" s="103">
        <v>6</v>
      </c>
      <c r="CV1010" s="103">
        <v>47</v>
      </c>
      <c r="CW1010" s="103">
        <v>38</v>
      </c>
      <c r="CX1010" s="103">
        <v>72</v>
      </c>
      <c r="CY1010" s="103">
        <v>101</v>
      </c>
      <c r="CZ1010" s="103">
        <v>66</v>
      </c>
      <c r="DA1010" s="103">
        <v>31</v>
      </c>
      <c r="DB1010" s="103">
        <v>10</v>
      </c>
      <c r="DC1010" s="42"/>
      <c r="DD1010" s="110"/>
      <c r="DE1010" s="46" t="s">
        <v>9</v>
      </c>
      <c r="DF1010" s="103">
        <v>16</v>
      </c>
      <c r="DG1010" s="103">
        <v>38</v>
      </c>
      <c r="DH1010" s="103">
        <v>165</v>
      </c>
      <c r="DI1010" s="103">
        <v>434</v>
      </c>
      <c r="DJ1010" s="103">
        <v>665</v>
      </c>
      <c r="DK1010" s="103">
        <v>976</v>
      </c>
      <c r="DL1010" s="103">
        <v>1111</v>
      </c>
      <c r="DM1010" s="103">
        <v>741</v>
      </c>
      <c r="DN1010" s="103">
        <v>417</v>
      </c>
      <c r="DO1010" s="103">
        <v>235</v>
      </c>
    </row>
    <row r="1011" spans="2:119" ht="16.5" customHeight="1" x14ac:dyDescent="0.45">
      <c r="B1011" s="134"/>
      <c r="C1011" s="42"/>
      <c r="D1011" s="110"/>
      <c r="E1011" s="46" t="s">
        <v>10</v>
      </c>
      <c r="F1011" s="103">
        <v>10</v>
      </c>
      <c r="G1011" s="103">
        <v>21</v>
      </c>
      <c r="H1011" s="103">
        <v>70</v>
      </c>
      <c r="I1011" s="103">
        <v>188</v>
      </c>
      <c r="J1011" s="103">
        <v>287</v>
      </c>
      <c r="K1011" s="103">
        <v>506</v>
      </c>
      <c r="L1011" s="103">
        <v>711</v>
      </c>
      <c r="M1011" s="103">
        <v>617</v>
      </c>
      <c r="N1011" s="103">
        <v>452</v>
      </c>
      <c r="O1011" s="103">
        <v>308</v>
      </c>
      <c r="P1011" s="42"/>
      <c r="Q1011" s="110"/>
      <c r="R1011" s="46" t="s">
        <v>10</v>
      </c>
      <c r="S1011" s="103">
        <v>2</v>
      </c>
      <c r="T1011" s="103">
        <v>7</v>
      </c>
      <c r="U1011" s="103">
        <v>17</v>
      </c>
      <c r="V1011" s="103">
        <v>66</v>
      </c>
      <c r="W1011" s="103">
        <v>123</v>
      </c>
      <c r="X1011" s="103">
        <v>252</v>
      </c>
      <c r="Y1011" s="103">
        <v>463</v>
      </c>
      <c r="Z1011" s="103">
        <v>456</v>
      </c>
      <c r="AA1011" s="103">
        <v>355</v>
      </c>
      <c r="AB1011" s="103">
        <v>242</v>
      </c>
      <c r="AC1011" s="42"/>
      <c r="AD1011" s="110"/>
      <c r="AE1011" s="46" t="s">
        <v>10</v>
      </c>
      <c r="AF1011" s="103">
        <v>8</v>
      </c>
      <c r="AG1011" s="103">
        <v>14</v>
      </c>
      <c r="AH1011" s="103">
        <v>53</v>
      </c>
      <c r="AI1011" s="103">
        <v>122</v>
      </c>
      <c r="AJ1011" s="103">
        <v>164</v>
      </c>
      <c r="AK1011" s="103">
        <v>254</v>
      </c>
      <c r="AL1011" s="103">
        <v>248</v>
      </c>
      <c r="AM1011" s="103">
        <v>161</v>
      </c>
      <c r="AN1011" s="103">
        <v>97</v>
      </c>
      <c r="AO1011" s="103">
        <v>66</v>
      </c>
      <c r="AP1011" s="6"/>
      <c r="AQ1011" s="110"/>
      <c r="AR1011" s="46" t="s">
        <v>10</v>
      </c>
      <c r="AS1011" s="103">
        <v>6</v>
      </c>
      <c r="AT1011" s="103">
        <v>8</v>
      </c>
      <c r="AU1011" s="103">
        <v>29</v>
      </c>
      <c r="AV1011" s="103">
        <v>47</v>
      </c>
      <c r="AW1011" s="103">
        <v>73</v>
      </c>
      <c r="AX1011" s="103">
        <v>102</v>
      </c>
      <c r="AY1011" s="103">
        <v>116</v>
      </c>
      <c r="AZ1011" s="103">
        <v>76</v>
      </c>
      <c r="BA1011" s="103">
        <v>53</v>
      </c>
      <c r="BB1011" s="103">
        <v>27</v>
      </c>
      <c r="BC1011" s="42"/>
      <c r="BD1011" s="110"/>
      <c r="BE1011" s="46" t="s">
        <v>10</v>
      </c>
      <c r="BF1011" s="103">
        <v>4</v>
      </c>
      <c r="BG1011" s="103">
        <v>13</v>
      </c>
      <c r="BH1011" s="103">
        <v>41</v>
      </c>
      <c r="BI1011" s="103">
        <v>141</v>
      </c>
      <c r="BJ1011" s="103">
        <v>214</v>
      </c>
      <c r="BK1011" s="103">
        <v>404</v>
      </c>
      <c r="BL1011" s="103">
        <v>595</v>
      </c>
      <c r="BM1011" s="103">
        <v>541</v>
      </c>
      <c r="BN1011" s="103">
        <v>399</v>
      </c>
      <c r="BO1011" s="103">
        <v>281</v>
      </c>
      <c r="BQ1011" s="110"/>
      <c r="BR1011" s="46" t="s">
        <v>10</v>
      </c>
      <c r="BS1011" s="103">
        <v>4</v>
      </c>
      <c r="BT1011" s="103">
        <v>3</v>
      </c>
      <c r="BU1011" s="103">
        <v>5</v>
      </c>
      <c r="BV1011" s="103">
        <v>13</v>
      </c>
      <c r="BW1011" s="103">
        <v>14</v>
      </c>
      <c r="BX1011" s="103">
        <v>22</v>
      </c>
      <c r="BY1011" s="103">
        <v>30</v>
      </c>
      <c r="BZ1011" s="103">
        <v>15</v>
      </c>
      <c r="CA1011" s="103">
        <v>12</v>
      </c>
      <c r="CB1011" s="103">
        <v>7</v>
      </c>
      <c r="CC1011" s="42"/>
      <c r="CD1011" s="110"/>
      <c r="CE1011" s="46" t="s">
        <v>10</v>
      </c>
      <c r="CF1011" s="103">
        <v>6</v>
      </c>
      <c r="CG1011" s="103">
        <v>18</v>
      </c>
      <c r="CH1011" s="103">
        <v>65</v>
      </c>
      <c r="CI1011" s="103">
        <v>175</v>
      </c>
      <c r="CJ1011" s="103">
        <v>273</v>
      </c>
      <c r="CK1011" s="103">
        <v>484</v>
      </c>
      <c r="CL1011" s="103">
        <v>681</v>
      </c>
      <c r="CM1011" s="103">
        <v>602</v>
      </c>
      <c r="CN1011" s="103">
        <v>440</v>
      </c>
      <c r="CO1011" s="103">
        <v>301</v>
      </c>
      <c r="CQ1011" s="110"/>
      <c r="CR1011" s="46" t="s">
        <v>10</v>
      </c>
      <c r="CS1011" s="103">
        <v>1</v>
      </c>
      <c r="CT1011" s="103">
        <v>0</v>
      </c>
      <c r="CU1011" s="103">
        <v>3</v>
      </c>
      <c r="CV1011" s="103">
        <v>12</v>
      </c>
      <c r="CW1011" s="103">
        <v>16</v>
      </c>
      <c r="CX1011" s="103">
        <v>32</v>
      </c>
      <c r="CY1011" s="103">
        <v>54</v>
      </c>
      <c r="CZ1011" s="103">
        <v>50</v>
      </c>
      <c r="DA1011" s="103">
        <v>30</v>
      </c>
      <c r="DB1011" s="103">
        <v>15</v>
      </c>
      <c r="DC1011" s="42"/>
      <c r="DD1011" s="110"/>
      <c r="DE1011" s="46" t="s">
        <v>10</v>
      </c>
      <c r="DF1011" s="103">
        <v>9</v>
      </c>
      <c r="DG1011" s="103">
        <v>21</v>
      </c>
      <c r="DH1011" s="103">
        <v>67</v>
      </c>
      <c r="DI1011" s="103">
        <v>176</v>
      </c>
      <c r="DJ1011" s="103">
        <v>271</v>
      </c>
      <c r="DK1011" s="103">
        <v>474</v>
      </c>
      <c r="DL1011" s="103">
        <v>657</v>
      </c>
      <c r="DM1011" s="103">
        <v>567</v>
      </c>
      <c r="DN1011" s="103">
        <v>422</v>
      </c>
      <c r="DO1011" s="103">
        <v>293</v>
      </c>
    </row>
    <row r="1012" spans="2:119" ht="16.5" customHeight="1" x14ac:dyDescent="0.45">
      <c r="B1012" s="134"/>
      <c r="C1012" s="42"/>
      <c r="D1012" s="111"/>
      <c r="E1012" s="46" t="s">
        <v>11</v>
      </c>
      <c r="F1012" s="103">
        <v>2</v>
      </c>
      <c r="G1012" s="103">
        <v>2</v>
      </c>
      <c r="H1012" s="103">
        <v>5</v>
      </c>
      <c r="I1012" s="103">
        <v>18</v>
      </c>
      <c r="J1012" s="103">
        <v>14</v>
      </c>
      <c r="K1012" s="103">
        <v>52</v>
      </c>
      <c r="L1012" s="103">
        <v>84</v>
      </c>
      <c r="M1012" s="103">
        <v>106</v>
      </c>
      <c r="N1012" s="103">
        <v>107</v>
      </c>
      <c r="O1012" s="103">
        <v>88</v>
      </c>
      <c r="P1012" s="42"/>
      <c r="Q1012" s="111"/>
      <c r="R1012" s="46" t="s">
        <v>11</v>
      </c>
      <c r="S1012" s="103">
        <v>0</v>
      </c>
      <c r="T1012" s="103">
        <v>0</v>
      </c>
      <c r="U1012" s="103">
        <v>1</v>
      </c>
      <c r="V1012" s="103">
        <v>6</v>
      </c>
      <c r="W1012" s="103">
        <v>4</v>
      </c>
      <c r="X1012" s="103">
        <v>18</v>
      </c>
      <c r="Y1012" s="103">
        <v>48</v>
      </c>
      <c r="Z1012" s="103">
        <v>72</v>
      </c>
      <c r="AA1012" s="103">
        <v>75</v>
      </c>
      <c r="AB1012" s="103">
        <v>67</v>
      </c>
      <c r="AC1012" s="42"/>
      <c r="AD1012" s="111"/>
      <c r="AE1012" s="46" t="s">
        <v>11</v>
      </c>
      <c r="AF1012" s="103">
        <v>2</v>
      </c>
      <c r="AG1012" s="103">
        <v>2</v>
      </c>
      <c r="AH1012" s="103">
        <v>4</v>
      </c>
      <c r="AI1012" s="103">
        <v>12</v>
      </c>
      <c r="AJ1012" s="103">
        <v>10</v>
      </c>
      <c r="AK1012" s="103">
        <v>34</v>
      </c>
      <c r="AL1012" s="103">
        <v>36</v>
      </c>
      <c r="AM1012" s="103">
        <v>34</v>
      </c>
      <c r="AN1012" s="103">
        <v>32</v>
      </c>
      <c r="AO1012" s="103">
        <v>21</v>
      </c>
      <c r="AP1012" s="6"/>
      <c r="AQ1012" s="111"/>
      <c r="AR1012" s="46" t="s">
        <v>11</v>
      </c>
      <c r="AS1012" s="103">
        <v>1</v>
      </c>
      <c r="AT1012" s="103">
        <v>1</v>
      </c>
      <c r="AU1012" s="103">
        <v>1</v>
      </c>
      <c r="AV1012" s="103">
        <v>3</v>
      </c>
      <c r="AW1012" s="103">
        <v>2</v>
      </c>
      <c r="AX1012" s="103">
        <v>7</v>
      </c>
      <c r="AY1012" s="103">
        <v>16</v>
      </c>
      <c r="AZ1012" s="103">
        <v>10</v>
      </c>
      <c r="BA1012" s="103">
        <v>7</v>
      </c>
      <c r="BB1012" s="103">
        <v>5</v>
      </c>
      <c r="BC1012" s="42"/>
      <c r="BD1012" s="111"/>
      <c r="BE1012" s="46" t="s">
        <v>11</v>
      </c>
      <c r="BF1012" s="103">
        <v>1</v>
      </c>
      <c r="BG1012" s="103">
        <v>1</v>
      </c>
      <c r="BH1012" s="103">
        <v>4</v>
      </c>
      <c r="BI1012" s="103">
        <v>15</v>
      </c>
      <c r="BJ1012" s="103">
        <v>12</v>
      </c>
      <c r="BK1012" s="103">
        <v>45</v>
      </c>
      <c r="BL1012" s="103">
        <v>68</v>
      </c>
      <c r="BM1012" s="103">
        <v>96</v>
      </c>
      <c r="BN1012" s="103">
        <v>100</v>
      </c>
      <c r="BO1012" s="103">
        <v>83</v>
      </c>
      <c r="BQ1012" s="111"/>
      <c r="BR1012" s="46" t="s">
        <v>11</v>
      </c>
      <c r="BS1012" s="103">
        <v>0</v>
      </c>
      <c r="BT1012" s="103">
        <v>0</v>
      </c>
      <c r="BU1012" s="103">
        <v>2</v>
      </c>
      <c r="BV1012" s="103">
        <v>1</v>
      </c>
      <c r="BW1012" s="103">
        <v>0</v>
      </c>
      <c r="BX1012" s="103">
        <v>4</v>
      </c>
      <c r="BY1012" s="103">
        <v>6</v>
      </c>
      <c r="BZ1012" s="103">
        <v>3</v>
      </c>
      <c r="CA1012" s="103">
        <v>3</v>
      </c>
      <c r="CB1012" s="103">
        <v>3</v>
      </c>
      <c r="CC1012" s="42"/>
      <c r="CD1012" s="111"/>
      <c r="CE1012" s="46" t="s">
        <v>11</v>
      </c>
      <c r="CF1012" s="103">
        <v>2</v>
      </c>
      <c r="CG1012" s="103">
        <v>2</v>
      </c>
      <c r="CH1012" s="103">
        <v>3</v>
      </c>
      <c r="CI1012" s="103">
        <v>17</v>
      </c>
      <c r="CJ1012" s="103">
        <v>14</v>
      </c>
      <c r="CK1012" s="103">
        <v>48</v>
      </c>
      <c r="CL1012" s="103">
        <v>78</v>
      </c>
      <c r="CM1012" s="103">
        <v>103</v>
      </c>
      <c r="CN1012" s="103">
        <v>104</v>
      </c>
      <c r="CO1012" s="103">
        <v>85</v>
      </c>
      <c r="CQ1012" s="111"/>
      <c r="CR1012" s="46" t="s">
        <v>11</v>
      </c>
      <c r="CS1012" s="103">
        <v>0</v>
      </c>
      <c r="CT1012" s="103">
        <v>0</v>
      </c>
      <c r="CU1012" s="103">
        <v>1</v>
      </c>
      <c r="CV1012" s="103">
        <v>1</v>
      </c>
      <c r="CW1012" s="103">
        <v>1</v>
      </c>
      <c r="CX1012" s="103">
        <v>3</v>
      </c>
      <c r="CY1012" s="103">
        <v>6</v>
      </c>
      <c r="CZ1012" s="103">
        <v>10</v>
      </c>
      <c r="DA1012" s="103">
        <v>8</v>
      </c>
      <c r="DB1012" s="103">
        <v>4</v>
      </c>
      <c r="DC1012" s="42"/>
      <c r="DD1012" s="111"/>
      <c r="DE1012" s="46" t="s">
        <v>11</v>
      </c>
      <c r="DF1012" s="103">
        <v>2</v>
      </c>
      <c r="DG1012" s="103">
        <v>2</v>
      </c>
      <c r="DH1012" s="103">
        <v>4</v>
      </c>
      <c r="DI1012" s="103">
        <v>17</v>
      </c>
      <c r="DJ1012" s="103">
        <v>13</v>
      </c>
      <c r="DK1012" s="103">
        <v>49</v>
      </c>
      <c r="DL1012" s="103">
        <v>78</v>
      </c>
      <c r="DM1012" s="103">
        <v>96</v>
      </c>
      <c r="DN1012" s="103">
        <v>99</v>
      </c>
      <c r="DO1012" s="103">
        <v>84</v>
      </c>
    </row>
    <row r="1013" spans="2:119" ht="16.5" customHeight="1" x14ac:dyDescent="0.45">
      <c r="B1013" s="99"/>
      <c r="C1013" s="42"/>
      <c r="D1013" s="42"/>
      <c r="E1013" s="42"/>
      <c r="F1013" s="42"/>
      <c r="G1013" s="42"/>
      <c r="H1013" s="42"/>
      <c r="I1013" s="42"/>
      <c r="J1013" s="42"/>
      <c r="K1013" s="42"/>
      <c r="L1013" s="42"/>
      <c r="M1013" s="42"/>
      <c r="N1013" s="42"/>
      <c r="O1013" s="42"/>
      <c r="P1013" s="42"/>
      <c r="Q1013" s="42"/>
      <c r="R1013" s="42"/>
      <c r="S1013" s="42"/>
      <c r="T1013" s="42"/>
      <c r="U1013" s="42"/>
      <c r="V1013" s="42"/>
      <c r="W1013" s="42"/>
      <c r="X1013" s="42"/>
      <c r="Y1013" s="42"/>
      <c r="Z1013" s="42"/>
      <c r="AA1013" s="42"/>
      <c r="AB1013" s="42"/>
      <c r="AC1013" s="42"/>
      <c r="AD1013" s="42"/>
      <c r="AE1013" s="42"/>
      <c r="AF1013" s="42"/>
      <c r="AG1013" s="42"/>
      <c r="AH1013" s="42"/>
      <c r="AI1013" s="42"/>
      <c r="AJ1013" s="42"/>
      <c r="AK1013" s="42"/>
      <c r="AL1013" s="42"/>
      <c r="AM1013" s="42"/>
      <c r="AN1013" s="42"/>
      <c r="AO1013" s="42"/>
      <c r="AP1013" s="6"/>
      <c r="AQ1013" s="42"/>
      <c r="AR1013" s="42"/>
      <c r="AS1013" s="42"/>
      <c r="AT1013" s="42"/>
      <c r="AU1013" s="42"/>
      <c r="AV1013" s="42"/>
      <c r="AW1013" s="42"/>
      <c r="AX1013" s="42"/>
      <c r="AY1013" s="42"/>
      <c r="AZ1013" s="42"/>
      <c r="BA1013" s="42"/>
      <c r="BB1013" s="42"/>
      <c r="BC1013" s="42"/>
      <c r="BD1013" s="42"/>
      <c r="BE1013" s="42"/>
      <c r="BF1013" s="42"/>
      <c r="BG1013" s="42"/>
      <c r="BH1013" s="42"/>
      <c r="BI1013" s="42"/>
      <c r="BJ1013" s="42"/>
      <c r="BK1013" s="42"/>
      <c r="BL1013" s="42"/>
      <c r="BM1013" s="42"/>
      <c r="BN1013" s="42"/>
      <c r="BO1013" s="42"/>
      <c r="BQ1013" s="42"/>
      <c r="BR1013" s="42"/>
      <c r="BS1013" s="42"/>
      <c r="BT1013" s="42"/>
      <c r="BU1013" s="42"/>
      <c r="BV1013" s="42"/>
      <c r="BW1013" s="42"/>
      <c r="BX1013" s="42"/>
      <c r="BY1013" s="42"/>
      <c r="BZ1013" s="42"/>
      <c r="CA1013" s="42"/>
      <c r="CB1013" s="42"/>
      <c r="CC1013" s="42"/>
      <c r="CD1013" s="42"/>
      <c r="CE1013" s="42"/>
      <c r="CF1013" s="42"/>
      <c r="CG1013" s="42"/>
      <c r="CH1013" s="42"/>
      <c r="CI1013" s="42"/>
      <c r="CJ1013" s="42"/>
      <c r="CK1013" s="42"/>
      <c r="CL1013" s="42"/>
      <c r="CM1013" s="42"/>
      <c r="CN1013" s="42"/>
      <c r="CO1013" s="42"/>
      <c r="CQ1013" s="42"/>
      <c r="CR1013" s="42"/>
      <c r="CS1013" s="42"/>
      <c r="CT1013" s="42"/>
      <c r="CU1013" s="42"/>
      <c r="CV1013" s="42"/>
      <c r="CW1013" s="42"/>
      <c r="CX1013" s="42"/>
      <c r="CY1013" s="42"/>
      <c r="CZ1013" s="42"/>
      <c r="DA1013" s="42"/>
      <c r="DB1013" s="42"/>
      <c r="DC1013" s="42"/>
      <c r="DD1013" s="42"/>
      <c r="DE1013" s="42"/>
      <c r="DF1013" s="42"/>
      <c r="DG1013" s="42"/>
      <c r="DH1013" s="42"/>
      <c r="DI1013" s="42"/>
      <c r="DJ1013" s="42"/>
      <c r="DK1013" s="42"/>
      <c r="DL1013" s="42"/>
      <c r="DM1013" s="42"/>
      <c r="DN1013" s="42"/>
      <c r="DO1013" s="42"/>
    </row>
    <row r="1014" spans="2:119" ht="16.5" customHeight="1" x14ac:dyDescent="0.55000000000000004">
      <c r="B1014" s="99"/>
      <c r="C1014" s="42"/>
      <c r="D1014" s="112" t="s">
        <v>16</v>
      </c>
      <c r="E1014" s="112"/>
      <c r="F1014" s="45"/>
      <c r="G1014" s="45"/>
      <c r="H1014" s="45"/>
      <c r="I1014" s="45"/>
      <c r="J1014" s="45"/>
      <c r="K1014" s="45"/>
      <c r="L1014" s="45"/>
      <c r="M1014" s="45"/>
      <c r="N1014" s="45"/>
      <c r="O1014" s="45"/>
      <c r="P1014" s="42"/>
      <c r="Q1014" s="112" t="s">
        <v>16</v>
      </c>
      <c r="R1014" s="112"/>
      <c r="S1014" s="45"/>
      <c r="T1014" s="45"/>
      <c r="U1014" s="45"/>
      <c r="V1014" s="45"/>
      <c r="W1014" s="45"/>
      <c r="X1014" s="45"/>
      <c r="Y1014" s="45"/>
      <c r="Z1014" s="45"/>
      <c r="AA1014" s="45"/>
      <c r="AB1014" s="45"/>
      <c r="AC1014" s="42"/>
      <c r="AD1014" s="112" t="s">
        <v>16</v>
      </c>
      <c r="AE1014" s="112"/>
      <c r="AF1014" s="45"/>
      <c r="AG1014" s="45"/>
      <c r="AH1014" s="45"/>
      <c r="AI1014" s="45"/>
      <c r="AJ1014" s="45"/>
      <c r="AK1014" s="45"/>
      <c r="AL1014" s="45"/>
      <c r="AM1014" s="45"/>
      <c r="AN1014" s="45"/>
      <c r="AO1014" s="45"/>
      <c r="AP1014" s="6"/>
      <c r="AQ1014" s="112" t="s">
        <v>16</v>
      </c>
      <c r="AR1014" s="112"/>
      <c r="AS1014" s="45"/>
      <c r="AT1014" s="45"/>
      <c r="AU1014" s="45"/>
      <c r="AV1014" s="45"/>
      <c r="AW1014" s="45"/>
      <c r="AX1014" s="45"/>
      <c r="AY1014" s="45"/>
      <c r="AZ1014" s="45"/>
      <c r="BA1014" s="45"/>
      <c r="BB1014" s="45"/>
      <c r="BC1014" s="42"/>
      <c r="BD1014" s="112" t="s">
        <v>16</v>
      </c>
      <c r="BE1014" s="112"/>
      <c r="BF1014" s="45"/>
      <c r="BG1014" s="45"/>
      <c r="BH1014" s="45"/>
      <c r="BI1014" s="45"/>
      <c r="BJ1014" s="45"/>
      <c r="BK1014" s="45"/>
      <c r="BL1014" s="45"/>
      <c r="BM1014" s="45"/>
      <c r="BN1014" s="45"/>
      <c r="BO1014" s="45"/>
      <c r="BQ1014" s="112" t="s">
        <v>16</v>
      </c>
      <c r="BR1014" s="112"/>
      <c r="BS1014" s="45"/>
      <c r="BT1014" s="45"/>
      <c r="BU1014" s="45"/>
      <c r="BV1014" s="45"/>
      <c r="BW1014" s="45"/>
      <c r="BX1014" s="45"/>
      <c r="BY1014" s="45"/>
      <c r="BZ1014" s="45"/>
      <c r="CA1014" s="45"/>
      <c r="CB1014" s="45"/>
      <c r="CC1014" s="42"/>
      <c r="CD1014" s="112" t="s">
        <v>16</v>
      </c>
      <c r="CE1014" s="112"/>
      <c r="CF1014" s="45"/>
      <c r="CG1014" s="45"/>
      <c r="CH1014" s="45"/>
      <c r="CI1014" s="45"/>
      <c r="CJ1014" s="45"/>
      <c r="CK1014" s="45"/>
      <c r="CL1014" s="45"/>
      <c r="CM1014" s="45"/>
      <c r="CN1014" s="45"/>
      <c r="CO1014" s="45"/>
      <c r="CQ1014" s="112" t="s">
        <v>16</v>
      </c>
      <c r="CR1014" s="112"/>
      <c r="CS1014" s="45"/>
      <c r="CT1014" s="45"/>
      <c r="CU1014" s="45"/>
      <c r="CV1014" s="45"/>
      <c r="CW1014" s="45"/>
      <c r="CX1014" s="45"/>
      <c r="CY1014" s="45"/>
      <c r="CZ1014" s="45"/>
      <c r="DA1014" s="45"/>
      <c r="DB1014" s="45"/>
      <c r="DC1014" s="42"/>
      <c r="DD1014" s="112" t="s">
        <v>16</v>
      </c>
      <c r="DE1014" s="112"/>
      <c r="DF1014" s="45"/>
      <c r="DG1014" s="45"/>
      <c r="DH1014" s="45"/>
      <c r="DI1014" s="45"/>
      <c r="DJ1014" s="45"/>
      <c r="DK1014" s="45"/>
      <c r="DL1014" s="45"/>
      <c r="DM1014" s="45"/>
      <c r="DN1014" s="45"/>
      <c r="DO1014" s="45"/>
    </row>
    <row r="1015" spans="2:119" ht="28.9" customHeight="1" x14ac:dyDescent="0.45">
      <c r="B1015" s="99"/>
      <c r="C1015" s="42"/>
      <c r="D1015" s="112"/>
      <c r="E1015" s="112"/>
      <c r="F1015" s="108" t="s">
        <v>12</v>
      </c>
      <c r="G1015" s="108"/>
      <c r="H1015" s="108"/>
      <c r="I1015" s="108"/>
      <c r="J1015" s="108"/>
      <c r="K1015" s="108"/>
      <c r="L1015" s="108"/>
      <c r="M1015" s="108"/>
      <c r="N1015" s="108"/>
      <c r="O1015" s="108"/>
      <c r="P1015" s="42"/>
      <c r="Q1015" s="112"/>
      <c r="R1015" s="112"/>
      <c r="S1015" s="108" t="s">
        <v>12</v>
      </c>
      <c r="T1015" s="108"/>
      <c r="U1015" s="108"/>
      <c r="V1015" s="108"/>
      <c r="W1015" s="108"/>
      <c r="X1015" s="108"/>
      <c r="Y1015" s="108"/>
      <c r="Z1015" s="108"/>
      <c r="AA1015" s="108"/>
      <c r="AB1015" s="108"/>
      <c r="AC1015" s="42"/>
      <c r="AD1015" s="112"/>
      <c r="AE1015" s="112"/>
      <c r="AF1015" s="131" t="s">
        <v>12</v>
      </c>
      <c r="AG1015" s="132"/>
      <c r="AH1015" s="132"/>
      <c r="AI1015" s="132"/>
      <c r="AJ1015" s="132"/>
      <c r="AK1015" s="132"/>
      <c r="AL1015" s="132"/>
      <c r="AM1015" s="132"/>
      <c r="AN1015" s="132"/>
      <c r="AO1015" s="133"/>
      <c r="AP1015" s="6"/>
      <c r="AQ1015" s="112"/>
      <c r="AR1015" s="112"/>
      <c r="AS1015" s="108" t="s">
        <v>12</v>
      </c>
      <c r="AT1015" s="108"/>
      <c r="AU1015" s="108"/>
      <c r="AV1015" s="108"/>
      <c r="AW1015" s="108"/>
      <c r="AX1015" s="108"/>
      <c r="AY1015" s="108"/>
      <c r="AZ1015" s="108"/>
      <c r="BA1015" s="108"/>
      <c r="BB1015" s="108"/>
      <c r="BC1015" s="42"/>
      <c r="BD1015" s="112"/>
      <c r="BE1015" s="112"/>
      <c r="BF1015" s="108" t="s">
        <v>12</v>
      </c>
      <c r="BG1015" s="108"/>
      <c r="BH1015" s="108"/>
      <c r="BI1015" s="108"/>
      <c r="BJ1015" s="108"/>
      <c r="BK1015" s="108"/>
      <c r="BL1015" s="108"/>
      <c r="BM1015" s="108"/>
      <c r="BN1015" s="108"/>
      <c r="BO1015" s="108"/>
      <c r="BQ1015" s="112"/>
      <c r="BR1015" s="112"/>
      <c r="BS1015" s="108" t="s">
        <v>12</v>
      </c>
      <c r="BT1015" s="108"/>
      <c r="BU1015" s="108"/>
      <c r="BV1015" s="108"/>
      <c r="BW1015" s="108"/>
      <c r="BX1015" s="108"/>
      <c r="BY1015" s="108"/>
      <c r="BZ1015" s="108"/>
      <c r="CA1015" s="108"/>
      <c r="CB1015" s="108"/>
      <c r="CC1015" s="42"/>
      <c r="CD1015" s="112"/>
      <c r="CE1015" s="112"/>
      <c r="CF1015" s="108" t="s">
        <v>12</v>
      </c>
      <c r="CG1015" s="108"/>
      <c r="CH1015" s="108"/>
      <c r="CI1015" s="108"/>
      <c r="CJ1015" s="108"/>
      <c r="CK1015" s="108"/>
      <c r="CL1015" s="108"/>
      <c r="CM1015" s="108"/>
      <c r="CN1015" s="108"/>
      <c r="CO1015" s="108"/>
      <c r="CQ1015" s="112"/>
      <c r="CR1015" s="112"/>
      <c r="CS1015" s="108" t="s">
        <v>12</v>
      </c>
      <c r="CT1015" s="108"/>
      <c r="CU1015" s="108"/>
      <c r="CV1015" s="108"/>
      <c r="CW1015" s="108"/>
      <c r="CX1015" s="108"/>
      <c r="CY1015" s="108"/>
      <c r="CZ1015" s="108"/>
      <c r="DA1015" s="108"/>
      <c r="DB1015" s="108"/>
      <c r="DC1015" s="42"/>
      <c r="DD1015" s="112"/>
      <c r="DE1015" s="112"/>
      <c r="DF1015" s="108" t="s">
        <v>12</v>
      </c>
      <c r="DG1015" s="108"/>
      <c r="DH1015" s="108"/>
      <c r="DI1015" s="108"/>
      <c r="DJ1015" s="108"/>
      <c r="DK1015" s="108"/>
      <c r="DL1015" s="108"/>
      <c r="DM1015" s="108"/>
      <c r="DN1015" s="108"/>
      <c r="DO1015" s="108"/>
    </row>
    <row r="1016" spans="2:119" ht="15" customHeight="1" x14ac:dyDescent="0.45">
      <c r="B1016" s="99"/>
      <c r="C1016" s="42"/>
      <c r="D1016" s="113"/>
      <c r="E1016" s="113"/>
      <c r="F1016" s="9" t="s">
        <v>0</v>
      </c>
      <c r="G1016" s="9">
        <v>1</v>
      </c>
      <c r="H1016" s="9">
        <v>2</v>
      </c>
      <c r="I1016" s="9">
        <v>3</v>
      </c>
      <c r="J1016" s="9">
        <v>4</v>
      </c>
      <c r="K1016" s="9">
        <v>5</v>
      </c>
      <c r="L1016" s="9">
        <v>6</v>
      </c>
      <c r="M1016" s="9">
        <v>7</v>
      </c>
      <c r="N1016" s="9">
        <v>8</v>
      </c>
      <c r="O1016" s="9">
        <v>9</v>
      </c>
      <c r="P1016" s="42"/>
      <c r="Q1016" s="113"/>
      <c r="R1016" s="113"/>
      <c r="S1016" s="9" t="s">
        <v>0</v>
      </c>
      <c r="T1016" s="9">
        <v>1</v>
      </c>
      <c r="U1016" s="9">
        <v>2</v>
      </c>
      <c r="V1016" s="9">
        <v>3</v>
      </c>
      <c r="W1016" s="9">
        <v>4</v>
      </c>
      <c r="X1016" s="9">
        <v>5</v>
      </c>
      <c r="Y1016" s="9">
        <v>6</v>
      </c>
      <c r="Z1016" s="9">
        <v>7</v>
      </c>
      <c r="AA1016" s="9">
        <v>8</v>
      </c>
      <c r="AB1016" s="9">
        <v>9</v>
      </c>
      <c r="AC1016" s="42"/>
      <c r="AD1016" s="113"/>
      <c r="AE1016" s="113"/>
      <c r="AF1016" s="9" t="s">
        <v>0</v>
      </c>
      <c r="AG1016" s="9">
        <v>1</v>
      </c>
      <c r="AH1016" s="9">
        <v>2</v>
      </c>
      <c r="AI1016" s="9">
        <v>3</v>
      </c>
      <c r="AJ1016" s="9">
        <v>4</v>
      </c>
      <c r="AK1016" s="9">
        <v>5</v>
      </c>
      <c r="AL1016" s="9">
        <v>6</v>
      </c>
      <c r="AM1016" s="9">
        <v>7</v>
      </c>
      <c r="AN1016" s="9">
        <v>8</v>
      </c>
      <c r="AO1016" s="9">
        <v>9</v>
      </c>
      <c r="AP1016" s="6"/>
      <c r="AQ1016" s="113"/>
      <c r="AR1016" s="113"/>
      <c r="AS1016" s="9" t="s">
        <v>0</v>
      </c>
      <c r="AT1016" s="9">
        <v>1</v>
      </c>
      <c r="AU1016" s="9">
        <v>2</v>
      </c>
      <c r="AV1016" s="9">
        <v>3</v>
      </c>
      <c r="AW1016" s="9">
        <v>4</v>
      </c>
      <c r="AX1016" s="9">
        <v>5</v>
      </c>
      <c r="AY1016" s="9">
        <v>6</v>
      </c>
      <c r="AZ1016" s="9">
        <v>7</v>
      </c>
      <c r="BA1016" s="9">
        <v>8</v>
      </c>
      <c r="BB1016" s="9">
        <v>9</v>
      </c>
      <c r="BC1016" s="42"/>
      <c r="BD1016" s="113"/>
      <c r="BE1016" s="113"/>
      <c r="BF1016" s="9" t="s">
        <v>0</v>
      </c>
      <c r="BG1016" s="9">
        <v>1</v>
      </c>
      <c r="BH1016" s="9">
        <v>2</v>
      </c>
      <c r="BI1016" s="9">
        <v>3</v>
      </c>
      <c r="BJ1016" s="9">
        <v>4</v>
      </c>
      <c r="BK1016" s="9">
        <v>5</v>
      </c>
      <c r="BL1016" s="9">
        <v>6</v>
      </c>
      <c r="BM1016" s="9">
        <v>7</v>
      </c>
      <c r="BN1016" s="9">
        <v>8</v>
      </c>
      <c r="BO1016" s="9">
        <v>9</v>
      </c>
      <c r="BQ1016" s="113"/>
      <c r="BR1016" s="113"/>
      <c r="BS1016" s="9" t="s">
        <v>0</v>
      </c>
      <c r="BT1016" s="9">
        <v>1</v>
      </c>
      <c r="BU1016" s="9">
        <v>2</v>
      </c>
      <c r="BV1016" s="9">
        <v>3</v>
      </c>
      <c r="BW1016" s="9">
        <v>4</v>
      </c>
      <c r="BX1016" s="9">
        <v>5</v>
      </c>
      <c r="BY1016" s="9">
        <v>6</v>
      </c>
      <c r="BZ1016" s="9">
        <v>7</v>
      </c>
      <c r="CA1016" s="9">
        <v>8</v>
      </c>
      <c r="CB1016" s="9">
        <v>9</v>
      </c>
      <c r="CC1016" s="42"/>
      <c r="CD1016" s="113"/>
      <c r="CE1016" s="113"/>
      <c r="CF1016" s="9" t="s">
        <v>0</v>
      </c>
      <c r="CG1016" s="9">
        <v>1</v>
      </c>
      <c r="CH1016" s="9">
        <v>2</v>
      </c>
      <c r="CI1016" s="9">
        <v>3</v>
      </c>
      <c r="CJ1016" s="9">
        <v>4</v>
      </c>
      <c r="CK1016" s="9">
        <v>5</v>
      </c>
      <c r="CL1016" s="9">
        <v>6</v>
      </c>
      <c r="CM1016" s="9">
        <v>7</v>
      </c>
      <c r="CN1016" s="9">
        <v>8</v>
      </c>
      <c r="CO1016" s="9">
        <v>9</v>
      </c>
      <c r="CQ1016" s="113"/>
      <c r="CR1016" s="113"/>
      <c r="CS1016" s="9" t="s">
        <v>0</v>
      </c>
      <c r="CT1016" s="9">
        <v>1</v>
      </c>
      <c r="CU1016" s="9">
        <v>2</v>
      </c>
      <c r="CV1016" s="9">
        <v>3</v>
      </c>
      <c r="CW1016" s="9">
        <v>4</v>
      </c>
      <c r="CX1016" s="9">
        <v>5</v>
      </c>
      <c r="CY1016" s="9">
        <v>6</v>
      </c>
      <c r="CZ1016" s="9">
        <v>7</v>
      </c>
      <c r="DA1016" s="9">
        <v>8</v>
      </c>
      <c r="DB1016" s="9">
        <v>9</v>
      </c>
      <c r="DC1016" s="42"/>
      <c r="DD1016" s="113"/>
      <c r="DE1016" s="113"/>
      <c r="DF1016" s="9" t="s">
        <v>0</v>
      </c>
      <c r="DG1016" s="9">
        <v>1</v>
      </c>
      <c r="DH1016" s="9">
        <v>2</v>
      </c>
      <c r="DI1016" s="9">
        <v>3</v>
      </c>
      <c r="DJ1016" s="9">
        <v>4</v>
      </c>
      <c r="DK1016" s="9">
        <v>5</v>
      </c>
      <c r="DL1016" s="9">
        <v>6</v>
      </c>
      <c r="DM1016" s="9">
        <v>7</v>
      </c>
      <c r="DN1016" s="9">
        <v>8</v>
      </c>
      <c r="DO1016" s="9">
        <v>9</v>
      </c>
    </row>
    <row r="1017" spans="2:119" ht="16.5" customHeight="1" x14ac:dyDescent="0.45">
      <c r="B1017" s="99"/>
      <c r="C1017" s="42"/>
      <c r="D1017" s="109" t="s">
        <v>13</v>
      </c>
      <c r="E1017" s="47" t="s">
        <v>1</v>
      </c>
      <c r="F1017" s="103">
        <v>0</v>
      </c>
      <c r="G1017" s="103">
        <v>0</v>
      </c>
      <c r="H1017" s="103">
        <v>28.571428571428569</v>
      </c>
      <c r="I1017" s="103">
        <v>57.142857142857139</v>
      </c>
      <c r="J1017" s="103">
        <v>0</v>
      </c>
      <c r="K1017" s="103">
        <v>14.285714285714285</v>
      </c>
      <c r="L1017" s="103">
        <v>0</v>
      </c>
      <c r="M1017" s="103">
        <v>0</v>
      </c>
      <c r="N1017" s="103">
        <v>0</v>
      </c>
      <c r="O1017" s="17">
        <v>0</v>
      </c>
      <c r="P1017" s="42"/>
      <c r="Q1017" s="109" t="s">
        <v>13</v>
      </c>
      <c r="R1017" s="46" t="s">
        <v>1</v>
      </c>
      <c r="S1017" s="103">
        <v>0</v>
      </c>
      <c r="T1017" s="103">
        <v>0</v>
      </c>
      <c r="U1017" s="103">
        <v>0</v>
      </c>
      <c r="V1017" s="103">
        <v>0</v>
      </c>
      <c r="W1017" s="103">
        <v>0</v>
      </c>
      <c r="X1017" s="103">
        <v>100</v>
      </c>
      <c r="Y1017" s="103">
        <v>0</v>
      </c>
      <c r="Z1017" s="103">
        <v>0</v>
      </c>
      <c r="AA1017" s="103">
        <v>0</v>
      </c>
      <c r="AB1017" s="17">
        <v>0</v>
      </c>
      <c r="AC1017" s="42"/>
      <c r="AD1017" s="109" t="s">
        <v>13</v>
      </c>
      <c r="AE1017" s="46" t="s">
        <v>1</v>
      </c>
      <c r="AF1017" s="103">
        <v>0</v>
      </c>
      <c r="AG1017" s="103">
        <v>0</v>
      </c>
      <c r="AH1017" s="103">
        <v>33.333333333333329</v>
      </c>
      <c r="AI1017" s="103">
        <v>66.666666666666657</v>
      </c>
      <c r="AJ1017" s="103">
        <v>0</v>
      </c>
      <c r="AK1017" s="103">
        <v>0</v>
      </c>
      <c r="AL1017" s="103">
        <v>0</v>
      </c>
      <c r="AM1017" s="103">
        <v>0</v>
      </c>
      <c r="AN1017" s="103">
        <v>0</v>
      </c>
      <c r="AO1017" s="17">
        <v>0</v>
      </c>
      <c r="AP1017" s="6"/>
      <c r="AQ1017" s="109" t="s">
        <v>13</v>
      </c>
      <c r="AR1017" s="46" t="s">
        <v>1</v>
      </c>
      <c r="AS1017" s="103">
        <v>0</v>
      </c>
      <c r="AT1017" s="103">
        <v>0</v>
      </c>
      <c r="AU1017" s="103">
        <v>25</v>
      </c>
      <c r="AV1017" s="103">
        <v>75</v>
      </c>
      <c r="AW1017" s="103">
        <v>0</v>
      </c>
      <c r="AX1017" s="103">
        <v>0</v>
      </c>
      <c r="AY1017" s="103">
        <v>0</v>
      </c>
      <c r="AZ1017" s="103">
        <v>0</v>
      </c>
      <c r="BA1017" s="103">
        <v>0</v>
      </c>
      <c r="BB1017" s="17">
        <v>0</v>
      </c>
      <c r="BC1017" s="42"/>
      <c r="BD1017" s="109" t="s">
        <v>13</v>
      </c>
      <c r="BE1017" s="46" t="s">
        <v>1</v>
      </c>
      <c r="BF1017" s="103">
        <v>0</v>
      </c>
      <c r="BG1017" s="103">
        <v>0</v>
      </c>
      <c r="BH1017" s="103">
        <v>33.333333333333329</v>
      </c>
      <c r="BI1017" s="103">
        <v>33.333333333333329</v>
      </c>
      <c r="BJ1017" s="103">
        <v>0</v>
      </c>
      <c r="BK1017" s="103">
        <v>33.333333333333329</v>
      </c>
      <c r="BL1017" s="103">
        <v>0</v>
      </c>
      <c r="BM1017" s="103">
        <v>0</v>
      </c>
      <c r="BN1017" s="103">
        <v>0</v>
      </c>
      <c r="BO1017" s="17">
        <v>0</v>
      </c>
      <c r="BQ1017" s="109" t="s">
        <v>13</v>
      </c>
      <c r="BR1017" s="46" t="s">
        <v>1</v>
      </c>
      <c r="BS1017" s="103">
        <v>0</v>
      </c>
      <c r="BT1017" s="103">
        <v>0</v>
      </c>
      <c r="BU1017" s="103">
        <v>33.333333333333329</v>
      </c>
      <c r="BV1017" s="103">
        <v>66.666666666666657</v>
      </c>
      <c r="BW1017" s="103">
        <v>0</v>
      </c>
      <c r="BX1017" s="103">
        <v>0</v>
      </c>
      <c r="BY1017" s="103">
        <v>0</v>
      </c>
      <c r="BZ1017" s="103">
        <v>0</v>
      </c>
      <c r="CA1017" s="103">
        <v>0</v>
      </c>
      <c r="CB1017" s="17">
        <v>0</v>
      </c>
      <c r="CC1017" s="42"/>
      <c r="CD1017" s="109" t="s">
        <v>13</v>
      </c>
      <c r="CE1017" s="46" t="s">
        <v>1</v>
      </c>
      <c r="CF1017" s="103">
        <v>0</v>
      </c>
      <c r="CG1017" s="103">
        <v>0</v>
      </c>
      <c r="CH1017" s="103">
        <v>25</v>
      </c>
      <c r="CI1017" s="103">
        <v>50</v>
      </c>
      <c r="CJ1017" s="103">
        <v>0</v>
      </c>
      <c r="CK1017" s="103">
        <v>25</v>
      </c>
      <c r="CL1017" s="103">
        <v>0</v>
      </c>
      <c r="CM1017" s="103">
        <v>0</v>
      </c>
      <c r="CN1017" s="103">
        <v>0</v>
      </c>
      <c r="CO1017" s="17">
        <v>0</v>
      </c>
      <c r="CQ1017" s="109" t="s">
        <v>13</v>
      </c>
      <c r="CR1017" s="46" t="s">
        <v>1</v>
      </c>
      <c r="CS1017" s="103">
        <v>0</v>
      </c>
      <c r="CT1017" s="103">
        <v>0</v>
      </c>
      <c r="CU1017" s="103">
        <v>33.333333333333329</v>
      </c>
      <c r="CV1017" s="103">
        <v>50</v>
      </c>
      <c r="CW1017" s="103">
        <v>0</v>
      </c>
      <c r="CX1017" s="103">
        <v>16.666666666666664</v>
      </c>
      <c r="CY1017" s="103">
        <v>0</v>
      </c>
      <c r="CZ1017" s="103">
        <v>0</v>
      </c>
      <c r="DA1017" s="103">
        <v>0</v>
      </c>
      <c r="DB1017" s="17">
        <v>0</v>
      </c>
      <c r="DC1017" s="42"/>
      <c r="DD1017" s="109" t="s">
        <v>13</v>
      </c>
      <c r="DE1017" s="46" t="s">
        <v>1</v>
      </c>
      <c r="DF1017" s="103">
        <v>0</v>
      </c>
      <c r="DG1017" s="103">
        <v>0</v>
      </c>
      <c r="DH1017" s="103">
        <v>0</v>
      </c>
      <c r="DI1017" s="103">
        <v>100</v>
      </c>
      <c r="DJ1017" s="103">
        <v>0</v>
      </c>
      <c r="DK1017" s="103">
        <v>0</v>
      </c>
      <c r="DL1017" s="103">
        <v>0</v>
      </c>
      <c r="DM1017" s="103">
        <v>0</v>
      </c>
      <c r="DN1017" s="103">
        <v>0</v>
      </c>
      <c r="DO1017" s="17">
        <v>0</v>
      </c>
    </row>
    <row r="1018" spans="2:119" ht="16.5" customHeight="1" x14ac:dyDescent="0.45">
      <c r="B1018" s="99"/>
      <c r="C1018" s="42"/>
      <c r="D1018" s="110"/>
      <c r="E1018" s="47">
        <v>1</v>
      </c>
      <c r="F1018" s="103">
        <v>0</v>
      </c>
      <c r="G1018" s="103">
        <v>8</v>
      </c>
      <c r="H1018" s="103">
        <v>24</v>
      </c>
      <c r="I1018" s="103">
        <v>40</v>
      </c>
      <c r="J1018" s="103">
        <v>12</v>
      </c>
      <c r="K1018" s="103">
        <v>8</v>
      </c>
      <c r="L1018" s="103">
        <v>4</v>
      </c>
      <c r="M1018" s="103">
        <v>0</v>
      </c>
      <c r="N1018" s="103">
        <v>4</v>
      </c>
      <c r="O1018" s="103">
        <v>0</v>
      </c>
      <c r="P1018" s="42"/>
      <c r="Q1018" s="110"/>
      <c r="R1018" s="46">
        <v>1</v>
      </c>
      <c r="S1018" s="103">
        <v>0</v>
      </c>
      <c r="T1018" s="103">
        <v>0</v>
      </c>
      <c r="U1018" s="103">
        <v>18.181818181818183</v>
      </c>
      <c r="V1018" s="103">
        <v>63.636363636363633</v>
      </c>
      <c r="W1018" s="103">
        <v>18.181818181818183</v>
      </c>
      <c r="X1018" s="103">
        <v>0</v>
      </c>
      <c r="Y1018" s="103">
        <v>0</v>
      </c>
      <c r="Z1018" s="103">
        <v>0</v>
      </c>
      <c r="AA1018" s="103">
        <v>0</v>
      </c>
      <c r="AB1018" s="103">
        <v>0</v>
      </c>
      <c r="AC1018" s="42"/>
      <c r="AD1018" s="110"/>
      <c r="AE1018" s="46">
        <v>1</v>
      </c>
      <c r="AF1018" s="103">
        <v>0</v>
      </c>
      <c r="AG1018" s="103">
        <v>14.285714285714285</v>
      </c>
      <c r="AH1018" s="103">
        <v>28.571428571428569</v>
      </c>
      <c r="AI1018" s="103">
        <v>21.428571428571427</v>
      </c>
      <c r="AJ1018" s="103">
        <v>7.1428571428571423</v>
      </c>
      <c r="AK1018" s="103">
        <v>14.285714285714285</v>
      </c>
      <c r="AL1018" s="103">
        <v>7.1428571428571423</v>
      </c>
      <c r="AM1018" s="103">
        <v>0</v>
      </c>
      <c r="AN1018" s="103">
        <v>7.1428571428571423</v>
      </c>
      <c r="AO1018" s="103">
        <v>0</v>
      </c>
      <c r="AP1018" s="6"/>
      <c r="AQ1018" s="110"/>
      <c r="AR1018" s="46">
        <v>1</v>
      </c>
      <c r="AS1018" s="103">
        <v>0</v>
      </c>
      <c r="AT1018" s="103">
        <v>0</v>
      </c>
      <c r="AU1018" s="103">
        <v>20</v>
      </c>
      <c r="AV1018" s="103">
        <v>50</v>
      </c>
      <c r="AW1018" s="103">
        <v>20</v>
      </c>
      <c r="AX1018" s="103">
        <v>10</v>
      </c>
      <c r="AY1018" s="103">
        <v>0</v>
      </c>
      <c r="AZ1018" s="103">
        <v>0</v>
      </c>
      <c r="BA1018" s="103">
        <v>0</v>
      </c>
      <c r="BB1018" s="103">
        <v>0</v>
      </c>
      <c r="BC1018" s="42"/>
      <c r="BD1018" s="110"/>
      <c r="BE1018" s="46">
        <v>1</v>
      </c>
      <c r="BF1018" s="103">
        <v>0</v>
      </c>
      <c r="BG1018" s="103">
        <v>13.333333333333334</v>
      </c>
      <c r="BH1018" s="103">
        <v>26.666666666666668</v>
      </c>
      <c r="BI1018" s="103">
        <v>33.333333333333329</v>
      </c>
      <c r="BJ1018" s="103">
        <v>6.666666666666667</v>
      </c>
      <c r="BK1018" s="103">
        <v>6.666666666666667</v>
      </c>
      <c r="BL1018" s="103">
        <v>6.666666666666667</v>
      </c>
      <c r="BM1018" s="103">
        <v>0</v>
      </c>
      <c r="BN1018" s="103">
        <v>6.666666666666667</v>
      </c>
      <c r="BO1018" s="103">
        <v>0</v>
      </c>
      <c r="BQ1018" s="110"/>
      <c r="BR1018" s="46">
        <v>1</v>
      </c>
      <c r="BS1018" s="103">
        <v>0</v>
      </c>
      <c r="BT1018" s="103">
        <v>11.76470588235294</v>
      </c>
      <c r="BU1018" s="103">
        <v>29.411764705882355</v>
      </c>
      <c r="BV1018" s="103">
        <v>35.294117647058826</v>
      </c>
      <c r="BW1018" s="103">
        <v>17.647058823529413</v>
      </c>
      <c r="BX1018" s="103">
        <v>5.8823529411764701</v>
      </c>
      <c r="BY1018" s="103">
        <v>0</v>
      </c>
      <c r="BZ1018" s="103">
        <v>0</v>
      </c>
      <c r="CA1018" s="103">
        <v>0</v>
      </c>
      <c r="CB1018" s="103">
        <v>0</v>
      </c>
      <c r="CC1018" s="42"/>
      <c r="CD1018" s="110"/>
      <c r="CE1018" s="46">
        <v>1</v>
      </c>
      <c r="CF1018" s="103">
        <v>0</v>
      </c>
      <c r="CG1018" s="103">
        <v>0</v>
      </c>
      <c r="CH1018" s="103">
        <v>12.5</v>
      </c>
      <c r="CI1018" s="103">
        <v>50</v>
      </c>
      <c r="CJ1018" s="103">
        <v>0</v>
      </c>
      <c r="CK1018" s="103">
        <v>12.5</v>
      </c>
      <c r="CL1018" s="103">
        <v>12.5</v>
      </c>
      <c r="CM1018" s="103">
        <v>0</v>
      </c>
      <c r="CN1018" s="103">
        <v>12.5</v>
      </c>
      <c r="CO1018" s="103">
        <v>0</v>
      </c>
      <c r="CQ1018" s="110"/>
      <c r="CR1018" s="46">
        <v>1</v>
      </c>
      <c r="CS1018" s="103">
        <v>0</v>
      </c>
      <c r="CT1018" s="103">
        <v>0</v>
      </c>
      <c r="CU1018" s="103">
        <v>21.428571428571427</v>
      </c>
      <c r="CV1018" s="103">
        <v>42.857142857142854</v>
      </c>
      <c r="CW1018" s="103">
        <v>14.285714285714285</v>
      </c>
      <c r="CX1018" s="103">
        <v>7.1428571428571423</v>
      </c>
      <c r="CY1018" s="103">
        <v>7.1428571428571423</v>
      </c>
      <c r="CZ1018" s="103">
        <v>0</v>
      </c>
      <c r="DA1018" s="103">
        <v>7.1428571428571423</v>
      </c>
      <c r="DB1018" s="103">
        <v>0</v>
      </c>
      <c r="DC1018" s="42"/>
      <c r="DD1018" s="110"/>
      <c r="DE1018" s="46">
        <v>1</v>
      </c>
      <c r="DF1018" s="103">
        <v>0</v>
      </c>
      <c r="DG1018" s="103">
        <v>18.181818181818183</v>
      </c>
      <c r="DH1018" s="103">
        <v>27.27272727272727</v>
      </c>
      <c r="DI1018" s="103">
        <v>36.363636363636367</v>
      </c>
      <c r="DJ1018" s="103">
        <v>9.0909090909090917</v>
      </c>
      <c r="DK1018" s="103">
        <v>9.0909090909090917</v>
      </c>
      <c r="DL1018" s="103">
        <v>0</v>
      </c>
      <c r="DM1018" s="103">
        <v>0</v>
      </c>
      <c r="DN1018" s="103">
        <v>0</v>
      </c>
      <c r="DO1018" s="103">
        <v>0</v>
      </c>
    </row>
    <row r="1019" spans="2:119" ht="16.5" customHeight="1" x14ac:dyDescent="0.45">
      <c r="B1019" s="99"/>
      <c r="C1019" s="42"/>
      <c r="D1019" s="110"/>
      <c r="E1019" s="47" t="s">
        <v>2</v>
      </c>
      <c r="F1019" s="103">
        <v>1.098901098901099</v>
      </c>
      <c r="G1019" s="103">
        <v>5.384615384615385</v>
      </c>
      <c r="H1019" s="103">
        <v>15.934065934065933</v>
      </c>
      <c r="I1019" s="103">
        <v>29.120879120879124</v>
      </c>
      <c r="J1019" s="103">
        <v>24.615384615384617</v>
      </c>
      <c r="K1019" s="103">
        <v>13.956043956043956</v>
      </c>
      <c r="L1019" s="103">
        <v>6.813186813186813</v>
      </c>
      <c r="M1019" s="103">
        <v>2.5274725274725274</v>
      </c>
      <c r="N1019" s="103">
        <v>0.43956043956043955</v>
      </c>
      <c r="O1019" s="103">
        <v>0.10989010989010989</v>
      </c>
      <c r="P1019" s="42"/>
      <c r="Q1019" s="110"/>
      <c r="R1019" s="46" t="s">
        <v>2</v>
      </c>
      <c r="S1019" s="103">
        <v>0.43478260869565216</v>
      </c>
      <c r="T1019" s="103">
        <v>4.1304347826086953</v>
      </c>
      <c r="U1019" s="103">
        <v>14.347826086956522</v>
      </c>
      <c r="V1019" s="103">
        <v>25.65217391304348</v>
      </c>
      <c r="W1019" s="103">
        <v>27.173913043478258</v>
      </c>
      <c r="X1019" s="103">
        <v>15</v>
      </c>
      <c r="Y1019" s="103">
        <v>8.695652173913043</v>
      </c>
      <c r="Z1019" s="103">
        <v>3.6956521739130435</v>
      </c>
      <c r="AA1019" s="103">
        <v>0.65217391304347827</v>
      </c>
      <c r="AB1019" s="103">
        <v>0.21739130434782608</v>
      </c>
      <c r="AC1019" s="42"/>
      <c r="AD1019" s="110"/>
      <c r="AE1019" s="46" t="s">
        <v>2</v>
      </c>
      <c r="AF1019" s="103">
        <v>1.7777777777777777</v>
      </c>
      <c r="AG1019" s="103">
        <v>6.666666666666667</v>
      </c>
      <c r="AH1019" s="103">
        <v>17.555555555555554</v>
      </c>
      <c r="AI1019" s="103">
        <v>32.666666666666664</v>
      </c>
      <c r="AJ1019" s="103">
        <v>22</v>
      </c>
      <c r="AK1019" s="103">
        <v>12.888888888888889</v>
      </c>
      <c r="AL1019" s="103">
        <v>4.8888888888888893</v>
      </c>
      <c r="AM1019" s="103">
        <v>1.3333333333333335</v>
      </c>
      <c r="AN1019" s="103">
        <v>0.22222222222222221</v>
      </c>
      <c r="AO1019" s="103">
        <v>0</v>
      </c>
      <c r="AP1019" s="6"/>
      <c r="AQ1019" s="110"/>
      <c r="AR1019" s="46" t="s">
        <v>2</v>
      </c>
      <c r="AS1019" s="103">
        <v>1.1135857461024499</v>
      </c>
      <c r="AT1019" s="103">
        <v>6.9042316258351892</v>
      </c>
      <c r="AU1019" s="103">
        <v>18.262806236080177</v>
      </c>
      <c r="AV1019" s="103">
        <v>26.726057906458799</v>
      </c>
      <c r="AW1019" s="103">
        <v>24.944320712694878</v>
      </c>
      <c r="AX1019" s="103">
        <v>14.03118040089087</v>
      </c>
      <c r="AY1019" s="103">
        <v>6.2360801781737196</v>
      </c>
      <c r="AZ1019" s="103">
        <v>1.3363028953229399</v>
      </c>
      <c r="BA1019" s="103">
        <v>0.22271714922048996</v>
      </c>
      <c r="BB1019" s="103">
        <v>0.22271714922048996</v>
      </c>
      <c r="BC1019" s="42"/>
      <c r="BD1019" s="110"/>
      <c r="BE1019" s="46" t="s">
        <v>2</v>
      </c>
      <c r="BF1019" s="103">
        <v>1.0845986984815619</v>
      </c>
      <c r="BG1019" s="103">
        <v>3.9045553145336225</v>
      </c>
      <c r="BH1019" s="103">
        <v>13.665943600867678</v>
      </c>
      <c r="BI1019" s="103">
        <v>31.453362255965295</v>
      </c>
      <c r="BJ1019" s="103">
        <v>24.295010845986983</v>
      </c>
      <c r="BK1019" s="103">
        <v>13.882863340563992</v>
      </c>
      <c r="BL1019" s="103">
        <v>7.3752711496746199</v>
      </c>
      <c r="BM1019" s="103">
        <v>3.68763557483731</v>
      </c>
      <c r="BN1019" s="103">
        <v>0.65075921908893708</v>
      </c>
      <c r="BO1019" s="103">
        <v>0</v>
      </c>
      <c r="BQ1019" s="110"/>
      <c r="BR1019" s="46" t="s">
        <v>2</v>
      </c>
      <c r="BS1019" s="103">
        <v>1.2121212121212122</v>
      </c>
      <c r="BT1019" s="103">
        <v>5.6060606060606064</v>
      </c>
      <c r="BU1019" s="103">
        <v>17.272727272727273</v>
      </c>
      <c r="BV1019" s="103">
        <v>28.939393939393938</v>
      </c>
      <c r="BW1019" s="103">
        <v>25.151515151515152</v>
      </c>
      <c r="BX1019" s="103">
        <v>13.18181818181818</v>
      </c>
      <c r="BY1019" s="103">
        <v>6.5151515151515156</v>
      </c>
      <c r="BZ1019" s="103">
        <v>1.8181818181818181</v>
      </c>
      <c r="CA1019" s="103">
        <v>0.30303030303030304</v>
      </c>
      <c r="CB1019" s="103">
        <v>0</v>
      </c>
      <c r="CC1019" s="42"/>
      <c r="CD1019" s="110"/>
      <c r="CE1019" s="46" t="s">
        <v>2</v>
      </c>
      <c r="CF1019" s="103">
        <v>0.8</v>
      </c>
      <c r="CG1019" s="103">
        <v>4.8</v>
      </c>
      <c r="CH1019" s="103">
        <v>12.4</v>
      </c>
      <c r="CI1019" s="103">
        <v>29.599999999999998</v>
      </c>
      <c r="CJ1019" s="103">
        <v>23.200000000000003</v>
      </c>
      <c r="CK1019" s="103">
        <v>16</v>
      </c>
      <c r="CL1019" s="103">
        <v>7.6</v>
      </c>
      <c r="CM1019" s="103">
        <v>4.3999999999999995</v>
      </c>
      <c r="CN1019" s="103">
        <v>0.8</v>
      </c>
      <c r="CO1019" s="103">
        <v>0.4</v>
      </c>
      <c r="CQ1019" s="110"/>
      <c r="CR1019" s="46" t="s">
        <v>2</v>
      </c>
      <c r="CS1019" s="103">
        <v>2.2935779816513762</v>
      </c>
      <c r="CT1019" s="103">
        <v>5.9633027522935782</v>
      </c>
      <c r="CU1019" s="103">
        <v>13.761467889908257</v>
      </c>
      <c r="CV1019" s="103">
        <v>27.981651376146786</v>
      </c>
      <c r="CW1019" s="103">
        <v>20.183486238532112</v>
      </c>
      <c r="CX1019" s="103">
        <v>14.220183486238533</v>
      </c>
      <c r="CY1019" s="103">
        <v>10.091743119266056</v>
      </c>
      <c r="CZ1019" s="103">
        <v>3.669724770642202</v>
      </c>
      <c r="DA1019" s="103">
        <v>1.3761467889908259</v>
      </c>
      <c r="DB1019" s="103">
        <v>0.45871559633027525</v>
      </c>
      <c r="DC1019" s="42"/>
      <c r="DD1019" s="110"/>
      <c r="DE1019" s="46" t="s">
        <v>2</v>
      </c>
      <c r="DF1019" s="103">
        <v>0.7225433526011561</v>
      </c>
      <c r="DG1019" s="103">
        <v>5.202312138728324</v>
      </c>
      <c r="DH1019" s="103">
        <v>16.618497109826588</v>
      </c>
      <c r="DI1019" s="103">
        <v>29.47976878612717</v>
      </c>
      <c r="DJ1019" s="103">
        <v>26.011560693641616</v>
      </c>
      <c r="DK1019" s="103">
        <v>13.872832369942195</v>
      </c>
      <c r="DL1019" s="103">
        <v>5.7803468208092488</v>
      </c>
      <c r="DM1019" s="103">
        <v>2.1676300578034682</v>
      </c>
      <c r="DN1019" s="103">
        <v>0.1445086705202312</v>
      </c>
      <c r="DO1019" s="103">
        <v>0</v>
      </c>
    </row>
    <row r="1020" spans="2:119" ht="16.5" customHeight="1" x14ac:dyDescent="0.45">
      <c r="B1020" s="99"/>
      <c r="C1020" s="42"/>
      <c r="D1020" s="110"/>
      <c r="E1020" s="47" t="s">
        <v>3</v>
      </c>
      <c r="F1020" s="103">
        <v>0.81699346405228768</v>
      </c>
      <c r="G1020" s="103">
        <v>5.2287581699346406</v>
      </c>
      <c r="H1020" s="103">
        <v>13.23529411764706</v>
      </c>
      <c r="I1020" s="103">
        <v>25.653594771241828</v>
      </c>
      <c r="J1020" s="103">
        <v>24.673202614379086</v>
      </c>
      <c r="K1020" s="103">
        <v>17.81045751633987</v>
      </c>
      <c r="L1020" s="103">
        <v>9.477124183006536</v>
      </c>
      <c r="M1020" s="103">
        <v>1.7973856209150325</v>
      </c>
      <c r="N1020" s="103">
        <v>1.1437908496732025</v>
      </c>
      <c r="O1020" s="103">
        <v>0.16339869281045752</v>
      </c>
      <c r="P1020" s="42"/>
      <c r="Q1020" s="110"/>
      <c r="R1020" s="46" t="s">
        <v>3</v>
      </c>
      <c r="S1020" s="103">
        <v>0.91743119266055051</v>
      </c>
      <c r="T1020" s="103">
        <v>3.3639143730886847</v>
      </c>
      <c r="U1020" s="103">
        <v>10.091743119266056</v>
      </c>
      <c r="V1020" s="103">
        <v>26.911314984709477</v>
      </c>
      <c r="W1020" s="103">
        <v>23.853211009174313</v>
      </c>
      <c r="X1020" s="103">
        <v>20.183486238532112</v>
      </c>
      <c r="Y1020" s="103">
        <v>10.397553516819572</v>
      </c>
      <c r="Z1020" s="103">
        <v>2.1406727828746175</v>
      </c>
      <c r="AA1020" s="103">
        <v>1.834862385321101</v>
      </c>
      <c r="AB1020" s="103">
        <v>0.3058103975535168</v>
      </c>
      <c r="AC1020" s="42"/>
      <c r="AD1020" s="110"/>
      <c r="AE1020" s="46" t="s">
        <v>3</v>
      </c>
      <c r="AF1020" s="103">
        <v>0.70175438596491224</v>
      </c>
      <c r="AG1020" s="103">
        <v>7.3684210526315779</v>
      </c>
      <c r="AH1020" s="103">
        <v>16.842105263157894</v>
      </c>
      <c r="AI1020" s="103">
        <v>24.210526315789473</v>
      </c>
      <c r="AJ1020" s="103">
        <v>25.614035087719301</v>
      </c>
      <c r="AK1020" s="103">
        <v>15.087719298245613</v>
      </c>
      <c r="AL1020" s="103">
        <v>8.4210526315789469</v>
      </c>
      <c r="AM1020" s="103">
        <v>1.4035087719298245</v>
      </c>
      <c r="AN1020" s="103">
        <v>0.35087719298245612</v>
      </c>
      <c r="AO1020" s="103">
        <v>0</v>
      </c>
      <c r="AP1020" s="6"/>
      <c r="AQ1020" s="110"/>
      <c r="AR1020" s="46" t="s">
        <v>3</v>
      </c>
      <c r="AS1020" s="103">
        <v>0.69444444444444442</v>
      </c>
      <c r="AT1020" s="103">
        <v>5.9027777777777777</v>
      </c>
      <c r="AU1020" s="103">
        <v>14.236111111111111</v>
      </c>
      <c r="AV1020" s="103">
        <v>30.555555555555557</v>
      </c>
      <c r="AW1020" s="103">
        <v>21.875</v>
      </c>
      <c r="AX1020" s="103">
        <v>18.402777777777779</v>
      </c>
      <c r="AY1020" s="103">
        <v>6.5972222222222223</v>
      </c>
      <c r="AZ1020" s="103">
        <v>1.7361111111111112</v>
      </c>
      <c r="BA1020" s="103">
        <v>0</v>
      </c>
      <c r="BB1020" s="103">
        <v>0</v>
      </c>
      <c r="BC1020" s="42"/>
      <c r="BD1020" s="110"/>
      <c r="BE1020" s="46" t="s">
        <v>3</v>
      </c>
      <c r="BF1020" s="103">
        <v>0.92592592592592582</v>
      </c>
      <c r="BG1020" s="103">
        <v>4.6296296296296298</v>
      </c>
      <c r="BH1020" s="103">
        <v>12.345679012345679</v>
      </c>
      <c r="BI1020" s="103">
        <v>21.296296296296298</v>
      </c>
      <c r="BJ1020" s="103">
        <v>27.160493827160494</v>
      </c>
      <c r="BK1020" s="103">
        <v>17.283950617283949</v>
      </c>
      <c r="BL1020" s="103">
        <v>12.037037037037036</v>
      </c>
      <c r="BM1020" s="103">
        <v>1.8518518518518516</v>
      </c>
      <c r="BN1020" s="103">
        <v>2.1604938271604937</v>
      </c>
      <c r="BO1020" s="103">
        <v>0.30864197530864196</v>
      </c>
      <c r="BQ1020" s="110"/>
      <c r="BR1020" s="46" t="s">
        <v>3</v>
      </c>
      <c r="BS1020" s="103">
        <v>1.1661807580174928</v>
      </c>
      <c r="BT1020" s="103">
        <v>5.5393586005830908</v>
      </c>
      <c r="BU1020" s="103">
        <v>13.119533527696792</v>
      </c>
      <c r="BV1020" s="103">
        <v>23.906705539358601</v>
      </c>
      <c r="BW1020" s="103">
        <v>25.947521865889211</v>
      </c>
      <c r="BX1020" s="103">
        <v>19.825072886297377</v>
      </c>
      <c r="BY1020" s="103">
        <v>8.4548104956268215</v>
      </c>
      <c r="BZ1020" s="103">
        <v>1.1661807580174928</v>
      </c>
      <c r="CA1020" s="103">
        <v>0.58309037900874638</v>
      </c>
      <c r="CB1020" s="103">
        <v>0.29154518950437319</v>
      </c>
      <c r="CC1020" s="42"/>
      <c r="CD1020" s="110"/>
      <c r="CE1020" s="46" t="s">
        <v>3</v>
      </c>
      <c r="CF1020" s="103">
        <v>0.37174721189591076</v>
      </c>
      <c r="CG1020" s="103">
        <v>4.8327137546468402</v>
      </c>
      <c r="CH1020" s="103">
        <v>13.382899628252787</v>
      </c>
      <c r="CI1020" s="103">
        <v>27.881040892193308</v>
      </c>
      <c r="CJ1020" s="103">
        <v>23.048327137546469</v>
      </c>
      <c r="CK1020" s="103">
        <v>15.241635687732341</v>
      </c>
      <c r="CL1020" s="103">
        <v>10.780669144981413</v>
      </c>
      <c r="CM1020" s="103">
        <v>2.6022304832713754</v>
      </c>
      <c r="CN1020" s="103">
        <v>1.8587360594795539</v>
      </c>
      <c r="CO1020" s="103">
        <v>0</v>
      </c>
      <c r="CQ1020" s="110"/>
      <c r="CR1020" s="46" t="s">
        <v>3</v>
      </c>
      <c r="CS1020" s="103">
        <v>1.0204081632653061</v>
      </c>
      <c r="CT1020" s="103">
        <v>7.1428571428571423</v>
      </c>
      <c r="CU1020" s="103">
        <v>12.244897959183673</v>
      </c>
      <c r="CV1020" s="103">
        <v>23.469387755102041</v>
      </c>
      <c r="CW1020" s="103">
        <v>14.285714285714285</v>
      </c>
      <c r="CX1020" s="103">
        <v>14.285714285714285</v>
      </c>
      <c r="CY1020" s="103">
        <v>18.367346938775512</v>
      </c>
      <c r="CZ1020" s="103">
        <v>5.1020408163265305</v>
      </c>
      <c r="DA1020" s="103">
        <v>4.0816326530612246</v>
      </c>
      <c r="DB1020" s="103">
        <v>0</v>
      </c>
      <c r="DC1020" s="42"/>
      <c r="DD1020" s="110"/>
      <c r="DE1020" s="46" t="s">
        <v>3</v>
      </c>
      <c r="DF1020" s="103">
        <v>0.77821011673151752</v>
      </c>
      <c r="DG1020" s="103">
        <v>4.8638132295719849</v>
      </c>
      <c r="DH1020" s="103">
        <v>13.424124513618677</v>
      </c>
      <c r="DI1020" s="103">
        <v>26.07003891050584</v>
      </c>
      <c r="DJ1020" s="103">
        <v>26.653696498054476</v>
      </c>
      <c r="DK1020" s="103">
        <v>18.482490272373543</v>
      </c>
      <c r="DL1020" s="103">
        <v>7.782101167315175</v>
      </c>
      <c r="DM1020" s="103">
        <v>1.1673151750972763</v>
      </c>
      <c r="DN1020" s="103">
        <v>0.58365758754863817</v>
      </c>
      <c r="DO1020" s="103">
        <v>0.19455252918287938</v>
      </c>
    </row>
    <row r="1021" spans="2:119" ht="16.5" customHeight="1" x14ac:dyDescent="0.45">
      <c r="B1021" s="99"/>
      <c r="C1021" s="42"/>
      <c r="D1021" s="110"/>
      <c r="E1021" s="47" t="s">
        <v>4</v>
      </c>
      <c r="F1021" s="103">
        <v>0.43103448275862066</v>
      </c>
      <c r="G1021" s="103">
        <v>4.9568965517241379</v>
      </c>
      <c r="H1021" s="103">
        <v>10.668103448275861</v>
      </c>
      <c r="I1021" s="103">
        <v>21.875</v>
      </c>
      <c r="J1021" s="103">
        <v>27.586206896551722</v>
      </c>
      <c r="K1021" s="103">
        <v>18.53448275862069</v>
      </c>
      <c r="L1021" s="103">
        <v>10.237068965517242</v>
      </c>
      <c r="M1021" s="103">
        <v>3.8793103448275863</v>
      </c>
      <c r="N1021" s="103">
        <v>1.5086206896551724</v>
      </c>
      <c r="O1021" s="103">
        <v>0.32327586206896552</v>
      </c>
      <c r="P1021" s="42"/>
      <c r="Q1021" s="110"/>
      <c r="R1021" s="46" t="s">
        <v>4</v>
      </c>
      <c r="S1021" s="103">
        <v>0.39603960396039606</v>
      </c>
      <c r="T1021" s="103">
        <v>4.1584158415841586</v>
      </c>
      <c r="U1021" s="103">
        <v>6.3366336633663369</v>
      </c>
      <c r="V1021" s="103">
        <v>18.811881188118811</v>
      </c>
      <c r="W1021" s="103">
        <v>27.722772277227726</v>
      </c>
      <c r="X1021" s="103">
        <v>22.17821782178218</v>
      </c>
      <c r="Y1021" s="103">
        <v>13.465346534653467</v>
      </c>
      <c r="Z1021" s="103">
        <v>4.5544554455445541</v>
      </c>
      <c r="AA1021" s="103">
        <v>1.782178217821782</v>
      </c>
      <c r="AB1021" s="103">
        <v>0.59405940594059403</v>
      </c>
      <c r="AC1021" s="42"/>
      <c r="AD1021" s="110"/>
      <c r="AE1021" s="46" t="s">
        <v>4</v>
      </c>
      <c r="AF1021" s="103">
        <v>0.4728132387706856</v>
      </c>
      <c r="AG1021" s="103">
        <v>5.9101654846335698</v>
      </c>
      <c r="AH1021" s="103">
        <v>15.839243498817968</v>
      </c>
      <c r="AI1021" s="103">
        <v>25.531914893617021</v>
      </c>
      <c r="AJ1021" s="103">
        <v>27.423167848699766</v>
      </c>
      <c r="AK1021" s="103">
        <v>14.184397163120568</v>
      </c>
      <c r="AL1021" s="103">
        <v>6.3829787234042552</v>
      </c>
      <c r="AM1021" s="103">
        <v>3.0732860520094563</v>
      </c>
      <c r="AN1021" s="103">
        <v>1.1820330969267139</v>
      </c>
      <c r="AO1021" s="103">
        <v>0</v>
      </c>
      <c r="AP1021" s="6"/>
      <c r="AQ1021" s="110"/>
      <c r="AR1021" s="46" t="s">
        <v>4</v>
      </c>
      <c r="AS1021" s="103">
        <v>0.2364066193853428</v>
      </c>
      <c r="AT1021" s="103">
        <v>6.1465721040189125</v>
      </c>
      <c r="AU1021" s="103">
        <v>12.056737588652481</v>
      </c>
      <c r="AV1021" s="103">
        <v>22.222222222222221</v>
      </c>
      <c r="AW1021" s="103">
        <v>29.314420803782504</v>
      </c>
      <c r="AX1021" s="103">
        <v>17.257683215130022</v>
      </c>
      <c r="AY1021" s="103">
        <v>9.2198581560283674</v>
      </c>
      <c r="AZ1021" s="103">
        <v>2.8368794326241136</v>
      </c>
      <c r="BA1021" s="103">
        <v>0.70921985815602839</v>
      </c>
      <c r="BB1021" s="103">
        <v>0</v>
      </c>
      <c r="BC1021" s="42"/>
      <c r="BD1021" s="110"/>
      <c r="BE1021" s="46" t="s">
        <v>4</v>
      </c>
      <c r="BF1021" s="103">
        <v>0.59405940594059403</v>
      </c>
      <c r="BG1021" s="103">
        <v>3.9603960396039604</v>
      </c>
      <c r="BH1021" s="103">
        <v>9.5049504950495045</v>
      </c>
      <c r="BI1021" s="103">
        <v>21.584158415841586</v>
      </c>
      <c r="BJ1021" s="103">
        <v>26.138613861386141</v>
      </c>
      <c r="BK1021" s="103">
        <v>19.603960396039604</v>
      </c>
      <c r="BL1021" s="103">
        <v>11.08910891089109</v>
      </c>
      <c r="BM1021" s="103">
        <v>4.7524752475247523</v>
      </c>
      <c r="BN1021" s="103">
        <v>2.1782178217821779</v>
      </c>
      <c r="BO1021" s="103">
        <v>0.59405940594059403</v>
      </c>
      <c r="BQ1021" s="110"/>
      <c r="BR1021" s="46" t="s">
        <v>4</v>
      </c>
      <c r="BS1021" s="103">
        <v>0.94339622641509435</v>
      </c>
      <c r="BT1021" s="103">
        <v>5.6603773584905666</v>
      </c>
      <c r="BU1021" s="103">
        <v>10.613207547169811</v>
      </c>
      <c r="BV1021" s="103">
        <v>24.764150943396228</v>
      </c>
      <c r="BW1021" s="103">
        <v>26.415094339622641</v>
      </c>
      <c r="BX1021" s="103">
        <v>15.330188679245282</v>
      </c>
      <c r="BY1021" s="103">
        <v>10.377358490566039</v>
      </c>
      <c r="BZ1021" s="103">
        <v>4.4811320754716979</v>
      </c>
      <c r="CA1021" s="103">
        <v>1.179245283018868</v>
      </c>
      <c r="CB1021" s="103">
        <v>0.23584905660377359</v>
      </c>
      <c r="CC1021" s="42"/>
      <c r="CD1021" s="110"/>
      <c r="CE1021" s="46" t="s">
        <v>4</v>
      </c>
      <c r="CF1021" s="103">
        <v>0</v>
      </c>
      <c r="CG1021" s="103">
        <v>4.3650793650793647</v>
      </c>
      <c r="CH1021" s="103">
        <v>10.714285714285714</v>
      </c>
      <c r="CI1021" s="103">
        <v>19.444444444444446</v>
      </c>
      <c r="CJ1021" s="103">
        <v>28.571428571428569</v>
      </c>
      <c r="CK1021" s="103">
        <v>21.230158730158731</v>
      </c>
      <c r="CL1021" s="103">
        <v>10.119047619047619</v>
      </c>
      <c r="CM1021" s="103">
        <v>3.373015873015873</v>
      </c>
      <c r="CN1021" s="103">
        <v>1.7857142857142856</v>
      </c>
      <c r="CO1021" s="103">
        <v>0.3968253968253968</v>
      </c>
      <c r="CQ1021" s="110"/>
      <c r="CR1021" s="46" t="s">
        <v>4</v>
      </c>
      <c r="CS1021" s="103">
        <v>0</v>
      </c>
      <c r="CT1021" s="103">
        <v>3.0769230769230771</v>
      </c>
      <c r="CU1021" s="103">
        <v>6.9230769230769234</v>
      </c>
      <c r="CV1021" s="103">
        <v>20.76923076923077</v>
      </c>
      <c r="CW1021" s="103">
        <v>21.53846153846154</v>
      </c>
      <c r="CX1021" s="103">
        <v>23.076923076923077</v>
      </c>
      <c r="CY1021" s="103">
        <v>14.615384615384617</v>
      </c>
      <c r="CZ1021" s="103">
        <v>7.6923076923076925</v>
      </c>
      <c r="DA1021" s="103">
        <v>1.5384615384615385</v>
      </c>
      <c r="DB1021" s="103">
        <v>0.76923076923076927</v>
      </c>
      <c r="DC1021" s="42"/>
      <c r="DD1021" s="110"/>
      <c r="DE1021" s="46" t="s">
        <v>4</v>
      </c>
      <c r="DF1021" s="103">
        <v>0.50125313283208017</v>
      </c>
      <c r="DG1021" s="103">
        <v>5.2631578947368416</v>
      </c>
      <c r="DH1021" s="103">
        <v>11.278195488721805</v>
      </c>
      <c r="DI1021" s="103">
        <v>22.055137844611529</v>
      </c>
      <c r="DJ1021" s="103">
        <v>28.571428571428569</v>
      </c>
      <c r="DK1021" s="103">
        <v>17.794486215538846</v>
      </c>
      <c r="DL1021" s="103">
        <v>9.5238095238095237</v>
      </c>
      <c r="DM1021" s="103">
        <v>3.2581453634085209</v>
      </c>
      <c r="DN1021" s="103">
        <v>1.5037593984962405</v>
      </c>
      <c r="DO1021" s="103">
        <v>0.25062656641604009</v>
      </c>
    </row>
    <row r="1022" spans="2:119" ht="16.5" customHeight="1" x14ac:dyDescent="0.45">
      <c r="B1022" s="99"/>
      <c r="C1022" s="42"/>
      <c r="D1022" s="110"/>
      <c r="E1022" s="47" t="s">
        <v>5</v>
      </c>
      <c r="F1022" s="103">
        <v>0.85421412300683375</v>
      </c>
      <c r="G1022" s="103">
        <v>3.8154897494305238</v>
      </c>
      <c r="H1022" s="103">
        <v>11.161731207289293</v>
      </c>
      <c r="I1022" s="103">
        <v>22.380410022779042</v>
      </c>
      <c r="J1022" s="103">
        <v>24.031890660592257</v>
      </c>
      <c r="K1022" s="103">
        <v>20.728929384965831</v>
      </c>
      <c r="L1022" s="103">
        <v>10.535307517084282</v>
      </c>
      <c r="M1022" s="103">
        <v>3.8154897494305238</v>
      </c>
      <c r="N1022" s="103">
        <v>1.5375854214123008</v>
      </c>
      <c r="O1022" s="103">
        <v>1.1389521640091116</v>
      </c>
      <c r="P1022" s="42"/>
      <c r="Q1022" s="110"/>
      <c r="R1022" s="46" t="s">
        <v>5</v>
      </c>
      <c r="S1022" s="103">
        <v>0.28222013170272814</v>
      </c>
      <c r="T1022" s="103">
        <v>2.1636876763875823</v>
      </c>
      <c r="U1022" s="103">
        <v>9.219190968955786</v>
      </c>
      <c r="V1022" s="103">
        <v>19.661335841956724</v>
      </c>
      <c r="W1022" s="103">
        <v>24.741298212605834</v>
      </c>
      <c r="X1022" s="103">
        <v>23.330197554092191</v>
      </c>
      <c r="Y1022" s="103">
        <v>13.358419567262464</v>
      </c>
      <c r="Z1022" s="103">
        <v>4.2333019755409218</v>
      </c>
      <c r="AA1022" s="103">
        <v>1.5051740357478833</v>
      </c>
      <c r="AB1022" s="103">
        <v>1.5051740357478833</v>
      </c>
      <c r="AC1022" s="42"/>
      <c r="AD1022" s="110"/>
      <c r="AE1022" s="46" t="s">
        <v>5</v>
      </c>
      <c r="AF1022" s="103">
        <v>1.7316017316017316</v>
      </c>
      <c r="AG1022" s="103">
        <v>6.3492063492063489</v>
      </c>
      <c r="AH1022" s="103">
        <v>14.14141414141414</v>
      </c>
      <c r="AI1022" s="103">
        <v>26.551226551226552</v>
      </c>
      <c r="AJ1022" s="103">
        <v>22.943722943722943</v>
      </c>
      <c r="AK1022" s="103">
        <v>16.738816738816737</v>
      </c>
      <c r="AL1022" s="103">
        <v>6.2049062049062051</v>
      </c>
      <c r="AM1022" s="103">
        <v>3.1746031746031744</v>
      </c>
      <c r="AN1022" s="103">
        <v>1.5873015873015872</v>
      </c>
      <c r="AO1022" s="103">
        <v>0.57720057720057716</v>
      </c>
      <c r="AP1022" s="6"/>
      <c r="AQ1022" s="110"/>
      <c r="AR1022" s="46" t="s">
        <v>5</v>
      </c>
      <c r="AS1022" s="103">
        <v>1.4925373134328357</v>
      </c>
      <c r="AT1022" s="103">
        <v>4.7761194029850751</v>
      </c>
      <c r="AU1022" s="103">
        <v>12.985074626865673</v>
      </c>
      <c r="AV1022" s="103">
        <v>23.134328358208954</v>
      </c>
      <c r="AW1022" s="103">
        <v>26.417910447761194</v>
      </c>
      <c r="AX1022" s="103">
        <v>18.805970149253731</v>
      </c>
      <c r="AY1022" s="103">
        <v>7.1641791044776122</v>
      </c>
      <c r="AZ1022" s="103">
        <v>2.8358208955223883</v>
      </c>
      <c r="BA1022" s="103">
        <v>1.3432835820895521</v>
      </c>
      <c r="BB1022" s="103">
        <v>1.0447761194029852</v>
      </c>
      <c r="BC1022" s="42"/>
      <c r="BD1022" s="110"/>
      <c r="BE1022" s="46" t="s">
        <v>5</v>
      </c>
      <c r="BF1022" s="103">
        <v>0.46040515653775327</v>
      </c>
      <c r="BG1022" s="103">
        <v>3.2228360957642725</v>
      </c>
      <c r="BH1022" s="103">
        <v>10.036832412523019</v>
      </c>
      <c r="BI1022" s="103">
        <v>21.915285451197054</v>
      </c>
      <c r="BJ1022" s="103">
        <v>22.559852670349908</v>
      </c>
      <c r="BK1022" s="103">
        <v>21.915285451197054</v>
      </c>
      <c r="BL1022" s="103">
        <v>12.61510128913444</v>
      </c>
      <c r="BM1022" s="103">
        <v>4.4198895027624303</v>
      </c>
      <c r="BN1022" s="103">
        <v>1.6574585635359116</v>
      </c>
      <c r="BO1022" s="103">
        <v>1.1970534069981584</v>
      </c>
      <c r="BQ1022" s="110"/>
      <c r="BR1022" s="46" t="s">
        <v>5</v>
      </c>
      <c r="BS1022" s="103">
        <v>1.5065913370998116</v>
      </c>
      <c r="BT1022" s="103">
        <v>4.1431261770244827</v>
      </c>
      <c r="BU1022" s="103">
        <v>12.617702448210924</v>
      </c>
      <c r="BV1022" s="103">
        <v>24.482109227871941</v>
      </c>
      <c r="BW1022" s="103">
        <v>23.35216572504708</v>
      </c>
      <c r="BX1022" s="103">
        <v>18.832391713747647</v>
      </c>
      <c r="BY1022" s="103">
        <v>8.4745762711864394</v>
      </c>
      <c r="BZ1022" s="103">
        <v>3.2015065913370999</v>
      </c>
      <c r="CA1022" s="103">
        <v>2.2598870056497176</v>
      </c>
      <c r="CB1022" s="103">
        <v>1.1299435028248588</v>
      </c>
      <c r="CC1022" s="42"/>
      <c r="CD1022" s="110"/>
      <c r="CE1022" s="46" t="s">
        <v>5</v>
      </c>
      <c r="CF1022" s="103">
        <v>0.5714285714285714</v>
      </c>
      <c r="CG1022" s="103">
        <v>3.6734693877551026</v>
      </c>
      <c r="CH1022" s="103">
        <v>10.530612244897959</v>
      </c>
      <c r="CI1022" s="103">
        <v>21.469387755102041</v>
      </c>
      <c r="CJ1022" s="103">
        <v>24.326530612244898</v>
      </c>
      <c r="CK1022" s="103">
        <v>21.551020408163264</v>
      </c>
      <c r="CL1022" s="103">
        <v>11.428571428571429</v>
      </c>
      <c r="CM1022" s="103">
        <v>4.0816326530612246</v>
      </c>
      <c r="CN1022" s="103">
        <v>1.2244897959183674</v>
      </c>
      <c r="CO1022" s="103">
        <v>1.1428571428571428</v>
      </c>
      <c r="CQ1022" s="110"/>
      <c r="CR1022" s="46" t="s">
        <v>5</v>
      </c>
      <c r="CS1022" s="103">
        <v>0.47169811320754718</v>
      </c>
      <c r="CT1022" s="103">
        <v>1.8867924528301887</v>
      </c>
      <c r="CU1022" s="103">
        <v>10.849056603773585</v>
      </c>
      <c r="CV1022" s="103">
        <v>20.754716981132077</v>
      </c>
      <c r="CW1022" s="103">
        <v>20.283018867924529</v>
      </c>
      <c r="CX1022" s="103">
        <v>21.69811320754717</v>
      </c>
      <c r="CY1022" s="103">
        <v>13.679245283018867</v>
      </c>
      <c r="CZ1022" s="103">
        <v>6.6037735849056602</v>
      </c>
      <c r="DA1022" s="103">
        <v>2.8301886792452833</v>
      </c>
      <c r="DB1022" s="103">
        <v>0.94339622641509435</v>
      </c>
      <c r="DC1022" s="42"/>
      <c r="DD1022" s="110"/>
      <c r="DE1022" s="46" t="s">
        <v>5</v>
      </c>
      <c r="DF1022" s="103">
        <v>0.90673575129533668</v>
      </c>
      <c r="DG1022" s="103">
        <v>4.0803108808290158</v>
      </c>
      <c r="DH1022" s="103">
        <v>11.204663212435232</v>
      </c>
      <c r="DI1022" s="103">
        <v>22.603626943005182</v>
      </c>
      <c r="DJ1022" s="103">
        <v>24.546632124352332</v>
      </c>
      <c r="DK1022" s="103">
        <v>20.595854922279795</v>
      </c>
      <c r="DL1022" s="103">
        <v>10.103626943005182</v>
      </c>
      <c r="DM1022" s="103">
        <v>3.4326424870466319</v>
      </c>
      <c r="DN1022" s="103">
        <v>1.3601036269430051</v>
      </c>
      <c r="DO1022" s="103">
        <v>1.1658031088082901</v>
      </c>
    </row>
    <row r="1023" spans="2:119" ht="16.5" customHeight="1" x14ac:dyDescent="0.45">
      <c r="B1023" s="99"/>
      <c r="C1023" s="42"/>
      <c r="D1023" s="110"/>
      <c r="E1023" s="47" t="s">
        <v>6</v>
      </c>
      <c r="F1023" s="103">
        <v>0.81325301204819267</v>
      </c>
      <c r="G1023" s="103">
        <v>3.3433734939759034</v>
      </c>
      <c r="H1023" s="103">
        <v>7.5</v>
      </c>
      <c r="I1023" s="103">
        <v>19.96987951807229</v>
      </c>
      <c r="J1023" s="103">
        <v>23.765060240963855</v>
      </c>
      <c r="K1023" s="103">
        <v>22.319277108433734</v>
      </c>
      <c r="L1023" s="103">
        <v>14.156626506024098</v>
      </c>
      <c r="M1023" s="103">
        <v>5.572289156626506</v>
      </c>
      <c r="N1023" s="103">
        <v>1.7771084337349399</v>
      </c>
      <c r="O1023" s="103">
        <v>0.78313253012048201</v>
      </c>
      <c r="P1023" s="42"/>
      <c r="Q1023" s="110"/>
      <c r="R1023" s="46" t="s">
        <v>6</v>
      </c>
      <c r="S1023" s="103">
        <v>0.61538461538461542</v>
      </c>
      <c r="T1023" s="103">
        <v>2</v>
      </c>
      <c r="U1023" s="103">
        <v>5.1794871794871788</v>
      </c>
      <c r="V1023" s="103">
        <v>16</v>
      </c>
      <c r="W1023" s="103">
        <v>24.923076923076923</v>
      </c>
      <c r="X1023" s="103">
        <v>23.948717948717949</v>
      </c>
      <c r="Y1023" s="103">
        <v>16.717948717948719</v>
      </c>
      <c r="Z1023" s="103">
        <v>7.1282051282051286</v>
      </c>
      <c r="AA1023" s="103">
        <v>2.5641025641025639</v>
      </c>
      <c r="AB1023" s="103">
        <v>0.92307692307692313</v>
      </c>
      <c r="AC1023" s="42"/>
      <c r="AD1023" s="110"/>
      <c r="AE1023" s="46" t="s">
        <v>6</v>
      </c>
      <c r="AF1023" s="103">
        <v>1.0948905109489051</v>
      </c>
      <c r="AG1023" s="103">
        <v>5.2554744525547443</v>
      </c>
      <c r="AH1023" s="103">
        <v>10.802919708029197</v>
      </c>
      <c r="AI1023" s="103">
        <v>25.620437956204377</v>
      </c>
      <c r="AJ1023" s="103">
        <v>22.116788321167881</v>
      </c>
      <c r="AK1023" s="103">
        <v>20</v>
      </c>
      <c r="AL1023" s="103">
        <v>10.510948905109489</v>
      </c>
      <c r="AM1023" s="103">
        <v>3.3576642335766427</v>
      </c>
      <c r="AN1023" s="103">
        <v>0.65693430656934304</v>
      </c>
      <c r="AO1023" s="103">
        <v>0.58394160583941601</v>
      </c>
      <c r="AP1023" s="6"/>
      <c r="AQ1023" s="110"/>
      <c r="AR1023" s="46" t="s">
        <v>6</v>
      </c>
      <c r="AS1023" s="103">
        <v>1.2057877813504823</v>
      </c>
      <c r="AT1023" s="103">
        <v>5.305466237942122</v>
      </c>
      <c r="AU1023" s="103">
        <v>9.244372990353698</v>
      </c>
      <c r="AV1023" s="103">
        <v>21.382636655948552</v>
      </c>
      <c r="AW1023" s="103">
        <v>25.241157556270092</v>
      </c>
      <c r="AX1023" s="103">
        <v>21.221864951768488</v>
      </c>
      <c r="AY1023" s="103">
        <v>10.610932475884244</v>
      </c>
      <c r="AZ1023" s="103">
        <v>4.09967845659164</v>
      </c>
      <c r="BA1023" s="103">
        <v>1.045016077170418</v>
      </c>
      <c r="BB1023" s="103">
        <v>0.64308681672025725</v>
      </c>
      <c r="BC1023" s="42"/>
      <c r="BD1023" s="110"/>
      <c r="BE1023" s="46" t="s">
        <v>6</v>
      </c>
      <c r="BF1023" s="103">
        <v>0.57803468208092479</v>
      </c>
      <c r="BG1023" s="103">
        <v>2.1676300578034682</v>
      </c>
      <c r="BH1023" s="103">
        <v>6.4547206165703281</v>
      </c>
      <c r="BI1023" s="103">
        <v>19.123314065510595</v>
      </c>
      <c r="BJ1023" s="103">
        <v>22.880539499036608</v>
      </c>
      <c r="BK1023" s="103">
        <v>22.976878612716764</v>
      </c>
      <c r="BL1023" s="103">
        <v>16.28131021194605</v>
      </c>
      <c r="BM1023" s="103">
        <v>6.4547206165703281</v>
      </c>
      <c r="BN1023" s="103">
        <v>2.2157996146435455</v>
      </c>
      <c r="BO1023" s="103">
        <v>0.86705202312138718</v>
      </c>
      <c r="BQ1023" s="110"/>
      <c r="BR1023" s="46" t="s">
        <v>6</v>
      </c>
      <c r="BS1023" s="103">
        <v>1.1412268188302426</v>
      </c>
      <c r="BT1023" s="103">
        <v>4.7075606276747504</v>
      </c>
      <c r="BU1023" s="103">
        <v>8.4165477888730376</v>
      </c>
      <c r="BV1023" s="103">
        <v>26.390870185449355</v>
      </c>
      <c r="BW1023" s="103">
        <v>21.825962910128389</v>
      </c>
      <c r="BX1023" s="103">
        <v>21.255349500713265</v>
      </c>
      <c r="BY1023" s="103">
        <v>11.554921540656206</v>
      </c>
      <c r="BZ1023" s="103">
        <v>3.2810271041369474</v>
      </c>
      <c r="CA1023" s="103">
        <v>1.1412268188302426</v>
      </c>
      <c r="CB1023" s="103">
        <v>0.28530670470756064</v>
      </c>
      <c r="CC1023" s="42"/>
      <c r="CD1023" s="110"/>
      <c r="CE1023" s="46" t="s">
        <v>6</v>
      </c>
      <c r="CF1023" s="103">
        <v>0.72546773577701407</v>
      </c>
      <c r="CG1023" s="103">
        <v>2.9782359679266892</v>
      </c>
      <c r="CH1023" s="103">
        <v>7.2546773577701407</v>
      </c>
      <c r="CI1023" s="103">
        <v>18.251240931653303</v>
      </c>
      <c r="CJ1023" s="103">
        <v>24.284077892325314</v>
      </c>
      <c r="CK1023" s="103">
        <v>22.604047346315387</v>
      </c>
      <c r="CL1023" s="103">
        <v>14.852997327224132</v>
      </c>
      <c r="CM1023" s="103">
        <v>6.1855670103092786</v>
      </c>
      <c r="CN1023" s="103">
        <v>1.9473081328751431</v>
      </c>
      <c r="CO1023" s="103">
        <v>0.91638029782359687</v>
      </c>
      <c r="CQ1023" s="110"/>
      <c r="CR1023" s="46" t="s">
        <v>6</v>
      </c>
      <c r="CS1023" s="103">
        <v>1.0810810810810811</v>
      </c>
      <c r="CT1023" s="103">
        <v>3.5135135135135136</v>
      </c>
      <c r="CU1023" s="103">
        <v>5.9459459459459465</v>
      </c>
      <c r="CV1023" s="103">
        <v>14.324324324324325</v>
      </c>
      <c r="CW1023" s="103">
        <v>22.972972972972975</v>
      </c>
      <c r="CX1023" s="103">
        <v>23.243243243243246</v>
      </c>
      <c r="CY1023" s="103">
        <v>17.027027027027028</v>
      </c>
      <c r="CZ1023" s="103">
        <v>8.6486486486486491</v>
      </c>
      <c r="DA1023" s="103">
        <v>1.8918918918918921</v>
      </c>
      <c r="DB1023" s="103">
        <v>1.3513513513513513</v>
      </c>
      <c r="DC1023" s="42"/>
      <c r="DD1023" s="110"/>
      <c r="DE1023" s="46" t="s">
        <v>6</v>
      </c>
      <c r="DF1023" s="103">
        <v>0.77966101694915257</v>
      </c>
      <c r="DG1023" s="103">
        <v>3.3220338983050843</v>
      </c>
      <c r="DH1023" s="103">
        <v>7.6949152542372872</v>
      </c>
      <c r="DI1023" s="103">
        <v>20.677966101694913</v>
      </c>
      <c r="DJ1023" s="103">
        <v>23.864406779661017</v>
      </c>
      <c r="DK1023" s="103">
        <v>22.203389830508474</v>
      </c>
      <c r="DL1023" s="103">
        <v>13.796610169491524</v>
      </c>
      <c r="DM1023" s="103">
        <v>5.1864406779661021</v>
      </c>
      <c r="DN1023" s="103">
        <v>1.7627118644067796</v>
      </c>
      <c r="DO1023" s="103">
        <v>0.71186440677966101</v>
      </c>
    </row>
    <row r="1024" spans="2:119" ht="16.5" customHeight="1" x14ac:dyDescent="0.45">
      <c r="B1024" s="99"/>
      <c r="C1024" s="42"/>
      <c r="D1024" s="110"/>
      <c r="E1024" s="47" t="s">
        <v>7</v>
      </c>
      <c r="F1024" s="103">
        <v>0.50420168067226889</v>
      </c>
      <c r="G1024" s="103">
        <v>2.2222222222222223</v>
      </c>
      <c r="H1024" s="103">
        <v>6.4985994397759113</v>
      </c>
      <c r="I1024" s="103">
        <v>16.395891690009336</v>
      </c>
      <c r="J1024" s="103">
        <v>21.251167133520074</v>
      </c>
      <c r="K1024" s="103">
        <v>22.894491129785248</v>
      </c>
      <c r="L1024" s="103">
        <v>17.273576097105508</v>
      </c>
      <c r="M1024" s="103">
        <v>7.5630252100840334</v>
      </c>
      <c r="N1024" s="103">
        <v>3.5480859010270773</v>
      </c>
      <c r="O1024" s="103">
        <v>1.8487394957983194</v>
      </c>
      <c r="P1024" s="42"/>
      <c r="Q1024" s="110"/>
      <c r="R1024" s="46" t="s">
        <v>7</v>
      </c>
      <c r="S1024" s="103">
        <v>0.33172496984318456</v>
      </c>
      <c r="T1024" s="103">
        <v>1.3872135102533172</v>
      </c>
      <c r="U1024" s="103">
        <v>4.5536791314837153</v>
      </c>
      <c r="V1024" s="103">
        <v>12.72617611580217</v>
      </c>
      <c r="W1024" s="103">
        <v>19.300361881785282</v>
      </c>
      <c r="X1024" s="103">
        <v>24.427020506634499</v>
      </c>
      <c r="Y1024" s="103">
        <v>20.20506634499397</v>
      </c>
      <c r="Z1024" s="103">
        <v>10.012062726176115</v>
      </c>
      <c r="AA1024" s="103">
        <v>4.6743063932448727</v>
      </c>
      <c r="AB1024" s="103">
        <v>2.3823884197828709</v>
      </c>
      <c r="AC1024" s="42"/>
      <c r="AD1024" s="110"/>
      <c r="AE1024" s="46" t="s">
        <v>7</v>
      </c>
      <c r="AF1024" s="103">
        <v>0.78469838155958804</v>
      </c>
      <c r="AG1024" s="103">
        <v>3.5801863658656203</v>
      </c>
      <c r="AH1024" s="103">
        <v>9.6615988229524277</v>
      </c>
      <c r="AI1024" s="103">
        <v>22.363903874448258</v>
      </c>
      <c r="AJ1024" s="103">
        <v>24.423737126042177</v>
      </c>
      <c r="AK1024" s="103">
        <v>20.402157920549289</v>
      </c>
      <c r="AL1024" s="103">
        <v>12.506130456105936</v>
      </c>
      <c r="AM1024" s="103">
        <v>3.5801863658656203</v>
      </c>
      <c r="AN1024" s="103">
        <v>1.716527709661599</v>
      </c>
      <c r="AO1024" s="103">
        <v>0.98087297694948505</v>
      </c>
      <c r="AP1024" s="6"/>
      <c r="AQ1024" s="110"/>
      <c r="AR1024" s="46" t="s">
        <v>7</v>
      </c>
      <c r="AS1024" s="103">
        <v>0.73737946681792399</v>
      </c>
      <c r="AT1024" s="103">
        <v>3.3465683494044245</v>
      </c>
      <c r="AU1024" s="103">
        <v>8.3380601247872939</v>
      </c>
      <c r="AV1024" s="103">
        <v>19.455473624503686</v>
      </c>
      <c r="AW1024" s="103">
        <v>23.369256948383438</v>
      </c>
      <c r="AX1024" s="103">
        <v>21.610890527509927</v>
      </c>
      <c r="AY1024" s="103">
        <v>14.577424844015882</v>
      </c>
      <c r="AZ1024" s="103">
        <v>5.3318207600680658</v>
      </c>
      <c r="BA1024" s="103">
        <v>2.1554169030062393</v>
      </c>
      <c r="BB1024" s="103">
        <v>1.0777084515031197</v>
      </c>
      <c r="BC1024" s="42"/>
      <c r="BD1024" s="110"/>
      <c r="BE1024" s="46" t="s">
        <v>7</v>
      </c>
      <c r="BF1024" s="103">
        <v>0.38975501113585748</v>
      </c>
      <c r="BG1024" s="103">
        <v>1.6703786191536749</v>
      </c>
      <c r="BH1024" s="103">
        <v>5.5957683741648108</v>
      </c>
      <c r="BI1024" s="103">
        <v>14.894209354120266</v>
      </c>
      <c r="BJ1024" s="103">
        <v>20.211581291759465</v>
      </c>
      <c r="BK1024" s="103">
        <v>23.524498886414253</v>
      </c>
      <c r="BL1024" s="103">
        <v>18.596881959910913</v>
      </c>
      <c r="BM1024" s="103">
        <v>8.6581291759465486</v>
      </c>
      <c r="BN1024" s="103">
        <v>4.231625835189309</v>
      </c>
      <c r="BO1024" s="103">
        <v>2.2271714922048997</v>
      </c>
      <c r="BQ1024" s="110"/>
      <c r="BR1024" s="46" t="s">
        <v>7</v>
      </c>
      <c r="BS1024" s="103">
        <v>1.2064343163538873</v>
      </c>
      <c r="BT1024" s="103">
        <v>3.4852546916890081</v>
      </c>
      <c r="BU1024" s="103">
        <v>9.5174262734584438</v>
      </c>
      <c r="BV1024" s="103">
        <v>23.592493297587129</v>
      </c>
      <c r="BW1024" s="103">
        <v>23.324396782841823</v>
      </c>
      <c r="BX1024" s="103">
        <v>17.292225201072387</v>
      </c>
      <c r="BY1024" s="103">
        <v>14.343163538873997</v>
      </c>
      <c r="BZ1024" s="103">
        <v>3.3512064343163539</v>
      </c>
      <c r="CA1024" s="103">
        <v>2.0107238605898123</v>
      </c>
      <c r="CB1024" s="103">
        <v>1.8766756032171581</v>
      </c>
      <c r="CC1024" s="42"/>
      <c r="CD1024" s="110"/>
      <c r="CE1024" s="46" t="s">
        <v>7</v>
      </c>
      <c r="CF1024" s="103">
        <v>0.39054024734215664</v>
      </c>
      <c r="CG1024" s="103">
        <v>2.0177912779344762</v>
      </c>
      <c r="CH1024" s="103">
        <v>6.0099804729876327</v>
      </c>
      <c r="CI1024" s="103">
        <v>15.231069646344109</v>
      </c>
      <c r="CJ1024" s="103">
        <v>20.915599913213278</v>
      </c>
      <c r="CK1024" s="103">
        <v>23.801258407463656</v>
      </c>
      <c r="CL1024" s="103">
        <v>17.74788457366023</v>
      </c>
      <c r="CM1024" s="103">
        <v>8.244738555001085</v>
      </c>
      <c r="CN1024" s="103">
        <v>3.7969190713820788</v>
      </c>
      <c r="CO1024" s="103">
        <v>1.8442178346712954</v>
      </c>
      <c r="CQ1024" s="110"/>
      <c r="CR1024" s="46" t="s">
        <v>7</v>
      </c>
      <c r="CS1024" s="103">
        <v>0.1834862385321101</v>
      </c>
      <c r="CT1024" s="103">
        <v>1.6513761467889909</v>
      </c>
      <c r="CU1024" s="103">
        <v>6.4220183486238538</v>
      </c>
      <c r="CV1024" s="103">
        <v>17.798165137614681</v>
      </c>
      <c r="CW1024" s="103">
        <v>17.798165137614681</v>
      </c>
      <c r="CX1024" s="103">
        <v>22.385321100917434</v>
      </c>
      <c r="CY1024" s="103">
        <v>19.449541284403672</v>
      </c>
      <c r="CZ1024" s="103">
        <v>9.1743119266055047</v>
      </c>
      <c r="DA1024" s="103">
        <v>4.2201834862385326</v>
      </c>
      <c r="DB1024" s="103">
        <v>0.91743119266055051</v>
      </c>
      <c r="DC1024" s="42"/>
      <c r="DD1024" s="110"/>
      <c r="DE1024" s="46" t="s">
        <v>7</v>
      </c>
      <c r="DF1024" s="103">
        <v>0.54054054054054057</v>
      </c>
      <c r="DG1024" s="103">
        <v>2.2869022869022873</v>
      </c>
      <c r="DH1024" s="103">
        <v>6.507276507276508</v>
      </c>
      <c r="DI1024" s="103">
        <v>16.237006237006238</v>
      </c>
      <c r="DJ1024" s="103">
        <v>21.642411642411645</v>
      </c>
      <c r="DK1024" s="103">
        <v>22.952182952182952</v>
      </c>
      <c r="DL1024" s="103">
        <v>17.027027027027028</v>
      </c>
      <c r="DM1024" s="103">
        <v>7.380457380457381</v>
      </c>
      <c r="DN1024" s="103">
        <v>3.4719334719334722</v>
      </c>
      <c r="DO1024" s="103">
        <v>1.9542619542619544</v>
      </c>
    </row>
    <row r="1025" spans="2:119" ht="16.5" customHeight="1" x14ac:dyDescent="0.45">
      <c r="B1025" s="99"/>
      <c r="C1025" s="42"/>
      <c r="D1025" s="110"/>
      <c r="E1025" s="47" t="s">
        <v>8</v>
      </c>
      <c r="F1025" s="103">
        <v>0.34526051475204017</v>
      </c>
      <c r="G1025" s="103">
        <v>1.6792215944758315</v>
      </c>
      <c r="H1025" s="103">
        <v>4.5982423101067171</v>
      </c>
      <c r="I1025" s="103">
        <v>12.146892655367232</v>
      </c>
      <c r="J1025" s="103">
        <v>19.146264908976775</v>
      </c>
      <c r="K1025" s="103">
        <v>22.143753923414941</v>
      </c>
      <c r="L1025" s="103">
        <v>20.998116760828626</v>
      </c>
      <c r="M1025" s="103">
        <v>11.064030131826742</v>
      </c>
      <c r="N1025" s="103">
        <v>5.1475204017576903</v>
      </c>
      <c r="O1025" s="103">
        <v>2.7306967984934087</v>
      </c>
      <c r="P1025" s="42"/>
      <c r="Q1025" s="110"/>
      <c r="R1025" s="46" t="s">
        <v>8</v>
      </c>
      <c r="S1025" s="103">
        <v>0.17870819504723004</v>
      </c>
      <c r="T1025" s="103">
        <v>0.91907071738575441</v>
      </c>
      <c r="U1025" s="103">
        <v>2.8082716364564719</v>
      </c>
      <c r="V1025" s="103">
        <v>8.6801123308654589</v>
      </c>
      <c r="W1025" s="103">
        <v>16.058207812101095</v>
      </c>
      <c r="X1025" s="103">
        <v>22.670411028848608</v>
      </c>
      <c r="Y1025" s="103">
        <v>24.610671432218535</v>
      </c>
      <c r="Z1025" s="103">
        <v>13.709471534337503</v>
      </c>
      <c r="AA1025" s="103">
        <v>6.5611437324483015</v>
      </c>
      <c r="AB1025" s="103">
        <v>3.8039315802910387</v>
      </c>
      <c r="AC1025" s="42"/>
      <c r="AD1025" s="110"/>
      <c r="AE1025" s="46" t="s">
        <v>8</v>
      </c>
      <c r="AF1025" s="103">
        <v>0.61099796334012213</v>
      </c>
      <c r="AG1025" s="103">
        <v>2.8920570264765786</v>
      </c>
      <c r="AH1025" s="103">
        <v>7.4541751527494915</v>
      </c>
      <c r="AI1025" s="103">
        <v>17.678207739307535</v>
      </c>
      <c r="AJ1025" s="103">
        <v>24.073319755600814</v>
      </c>
      <c r="AK1025" s="103">
        <v>21.30346232179226</v>
      </c>
      <c r="AL1025" s="103">
        <v>15.234215885947048</v>
      </c>
      <c r="AM1025" s="103">
        <v>6.8431771894093689</v>
      </c>
      <c r="AN1025" s="103">
        <v>2.8920570264765786</v>
      </c>
      <c r="AO1025" s="103">
        <v>1.0183299389002036</v>
      </c>
      <c r="AP1025" s="6"/>
      <c r="AQ1025" s="110"/>
      <c r="AR1025" s="46" t="s">
        <v>8</v>
      </c>
      <c r="AS1025" s="103">
        <v>0.72262367982212339</v>
      </c>
      <c r="AT1025" s="103">
        <v>3.0572540300166757</v>
      </c>
      <c r="AU1025" s="103">
        <v>6.4480266814897176</v>
      </c>
      <c r="AV1025" s="103">
        <v>14.952751528627015</v>
      </c>
      <c r="AW1025" s="103">
        <v>22.512506948304615</v>
      </c>
      <c r="AX1025" s="103">
        <v>21.678710394663703</v>
      </c>
      <c r="AY1025" s="103">
        <v>17.732073374096721</v>
      </c>
      <c r="AZ1025" s="103">
        <v>8.2267926625903272</v>
      </c>
      <c r="BA1025" s="103">
        <v>3.4463590883824349</v>
      </c>
      <c r="BB1025" s="103">
        <v>1.2229016120066705</v>
      </c>
      <c r="BC1025" s="42"/>
      <c r="BD1025" s="110"/>
      <c r="BE1025" s="46" t="s">
        <v>8</v>
      </c>
      <c r="BF1025" s="103">
        <v>0.19680734747430573</v>
      </c>
      <c r="BG1025" s="103">
        <v>1.137109118740433</v>
      </c>
      <c r="BH1025" s="103">
        <v>3.8705445003280126</v>
      </c>
      <c r="BI1025" s="103">
        <v>11.043078941613821</v>
      </c>
      <c r="BJ1025" s="103">
        <v>17.821998687951016</v>
      </c>
      <c r="BK1025" s="103">
        <v>22.326700196807348</v>
      </c>
      <c r="BL1025" s="103">
        <v>22.282965230701947</v>
      </c>
      <c r="BM1025" s="103">
        <v>12.180188060354254</v>
      </c>
      <c r="BN1025" s="103">
        <v>5.816750492018369</v>
      </c>
      <c r="BO1025" s="103">
        <v>3.3238574240104963</v>
      </c>
      <c r="BQ1025" s="110"/>
      <c r="BR1025" s="46" t="s">
        <v>8</v>
      </c>
      <c r="BS1025" s="103">
        <v>0.95389507154213027</v>
      </c>
      <c r="BT1025" s="103">
        <v>4.1335453100158981</v>
      </c>
      <c r="BU1025" s="103">
        <v>7.3131955484896665</v>
      </c>
      <c r="BV1025" s="103">
        <v>17.329093799682035</v>
      </c>
      <c r="BW1025" s="103">
        <v>23.370429252782195</v>
      </c>
      <c r="BX1025" s="103">
        <v>21.144674085850557</v>
      </c>
      <c r="BY1025" s="103">
        <v>15.103338632750399</v>
      </c>
      <c r="BZ1025" s="103">
        <v>5.8823529411764701</v>
      </c>
      <c r="CA1025" s="103">
        <v>2.8616852146263914</v>
      </c>
      <c r="CB1025" s="103">
        <v>1.9077901430842605</v>
      </c>
      <c r="CC1025" s="42"/>
      <c r="CD1025" s="110"/>
      <c r="CE1025" s="46" t="s">
        <v>8</v>
      </c>
      <c r="CF1025" s="103">
        <v>0.27860003482500439</v>
      </c>
      <c r="CG1025" s="103">
        <v>1.4104126763015845</v>
      </c>
      <c r="CH1025" s="103">
        <v>4.3008880376110046</v>
      </c>
      <c r="CI1025" s="103">
        <v>11.579313947414244</v>
      </c>
      <c r="CJ1025" s="103">
        <v>18.683614835451852</v>
      </c>
      <c r="CK1025" s="103">
        <v>22.253177781647224</v>
      </c>
      <c r="CL1025" s="103">
        <v>21.643740205467527</v>
      </c>
      <c r="CM1025" s="103">
        <v>11.631551453943931</v>
      </c>
      <c r="CN1025" s="103">
        <v>5.3978756747344594</v>
      </c>
      <c r="CO1025" s="103">
        <v>2.820825352603169</v>
      </c>
      <c r="CQ1025" s="110"/>
      <c r="CR1025" s="46" t="s">
        <v>8</v>
      </c>
      <c r="CS1025" s="103">
        <v>0</v>
      </c>
      <c r="CT1025" s="103">
        <v>2.2058823529411766</v>
      </c>
      <c r="CU1025" s="103">
        <v>6.0661764705882355</v>
      </c>
      <c r="CV1025" s="103">
        <v>11.029411764705882</v>
      </c>
      <c r="CW1025" s="103">
        <v>17.647058823529413</v>
      </c>
      <c r="CX1025" s="103">
        <v>22.977941176470587</v>
      </c>
      <c r="CY1025" s="103">
        <v>23.34558823529412</v>
      </c>
      <c r="CZ1025" s="103">
        <v>10.294117647058822</v>
      </c>
      <c r="DA1025" s="103">
        <v>4.9632352941176467</v>
      </c>
      <c r="DB1025" s="103">
        <v>1.4705882352941175</v>
      </c>
      <c r="DC1025" s="42"/>
      <c r="DD1025" s="110"/>
      <c r="DE1025" s="46" t="s">
        <v>8</v>
      </c>
      <c r="DF1025" s="103">
        <v>0.3774879890185312</v>
      </c>
      <c r="DG1025" s="103">
        <v>1.6300617707618394</v>
      </c>
      <c r="DH1025" s="103">
        <v>4.4612216884008236</v>
      </c>
      <c r="DI1025" s="103">
        <v>12.251201098146877</v>
      </c>
      <c r="DJ1025" s="103">
        <v>19.286204529855869</v>
      </c>
      <c r="DK1025" s="103">
        <v>22.065888812628689</v>
      </c>
      <c r="DL1025" s="103">
        <v>20.778997940974605</v>
      </c>
      <c r="DM1025" s="103">
        <v>11.135895676046671</v>
      </c>
      <c r="DN1025" s="103">
        <v>5.1647220315717224</v>
      </c>
      <c r="DO1025" s="103">
        <v>2.848318462594372</v>
      </c>
    </row>
    <row r="1026" spans="2:119" ht="16.5" customHeight="1" x14ac:dyDescent="0.45">
      <c r="B1026" s="99"/>
      <c r="C1026" s="42"/>
      <c r="D1026" s="110"/>
      <c r="E1026" s="47" t="s">
        <v>9</v>
      </c>
      <c r="F1026" s="103">
        <v>0.3286294219988401</v>
      </c>
      <c r="G1026" s="103">
        <v>0.79257684129132033</v>
      </c>
      <c r="H1026" s="103">
        <v>3.3056253624589216</v>
      </c>
      <c r="I1026" s="103">
        <v>9.2982795283201227</v>
      </c>
      <c r="J1026" s="103">
        <v>13.589793156775565</v>
      </c>
      <c r="K1026" s="103">
        <v>20.259037309104968</v>
      </c>
      <c r="L1026" s="103">
        <v>23.429344674270251</v>
      </c>
      <c r="M1026" s="103">
        <v>15.600231973709647</v>
      </c>
      <c r="N1026" s="103">
        <v>8.6603518267929633</v>
      </c>
      <c r="O1026" s="103">
        <v>4.7361299052774015</v>
      </c>
      <c r="P1026" s="42"/>
      <c r="Q1026" s="110"/>
      <c r="R1026" s="46" t="s">
        <v>9</v>
      </c>
      <c r="S1026" s="103">
        <v>0.15532774153463808</v>
      </c>
      <c r="T1026" s="103">
        <v>0.46598322460391423</v>
      </c>
      <c r="U1026" s="103">
        <v>1.95712954333644</v>
      </c>
      <c r="V1026" s="103">
        <v>5.7781919850885366</v>
      </c>
      <c r="W1026" s="103">
        <v>10.220565392979186</v>
      </c>
      <c r="X1026" s="103">
        <v>18.981050015532773</v>
      </c>
      <c r="Y1026" s="103">
        <v>25.877601739670702</v>
      </c>
      <c r="Z1026" s="103">
        <v>18.670394532463497</v>
      </c>
      <c r="AA1026" s="103">
        <v>11.587449518484002</v>
      </c>
      <c r="AB1026" s="103">
        <v>6.3063063063063058</v>
      </c>
      <c r="AC1026" s="42"/>
      <c r="AD1026" s="110"/>
      <c r="AE1026" s="46" t="s">
        <v>9</v>
      </c>
      <c r="AF1026" s="103">
        <v>0.61412487205731825</v>
      </c>
      <c r="AG1026" s="103">
        <v>1.3306038894575232</v>
      </c>
      <c r="AH1026" s="103">
        <v>5.5271238485158651</v>
      </c>
      <c r="AI1026" s="103">
        <v>15.097236438075742</v>
      </c>
      <c r="AJ1026" s="103">
        <v>19.140225179119756</v>
      </c>
      <c r="AK1026" s="103">
        <v>22.364380757420676</v>
      </c>
      <c r="AL1026" s="103">
        <v>19.396110542476972</v>
      </c>
      <c r="AM1026" s="103">
        <v>10.542476970317297</v>
      </c>
      <c r="AN1026" s="103">
        <v>3.8382804503582397</v>
      </c>
      <c r="AO1026" s="103">
        <v>2.1494370522006143</v>
      </c>
      <c r="AP1026" s="6"/>
      <c r="AQ1026" s="110"/>
      <c r="AR1026" s="46" t="s">
        <v>9</v>
      </c>
      <c r="AS1026" s="103">
        <v>0.51858254105445112</v>
      </c>
      <c r="AT1026" s="103">
        <v>1.4693171996542784</v>
      </c>
      <c r="AU1026" s="103">
        <v>5.0993949870354358</v>
      </c>
      <c r="AV1026" s="103">
        <v>14.174589455488332</v>
      </c>
      <c r="AW1026" s="103">
        <v>17.113223854796889</v>
      </c>
      <c r="AX1026" s="103">
        <v>20.397579948141743</v>
      </c>
      <c r="AY1026" s="103">
        <v>20.916162489196196</v>
      </c>
      <c r="AZ1026" s="103">
        <v>12.359550561797752</v>
      </c>
      <c r="BA1026" s="103">
        <v>5.7908383751080379</v>
      </c>
      <c r="BB1026" s="103">
        <v>2.1607605877268798</v>
      </c>
      <c r="BC1026" s="42"/>
      <c r="BD1026" s="110"/>
      <c r="BE1026" s="46" t="s">
        <v>9</v>
      </c>
      <c r="BF1026" s="103">
        <v>0.27390438247011956</v>
      </c>
      <c r="BG1026" s="103">
        <v>0.59760956175298807</v>
      </c>
      <c r="BH1026" s="103">
        <v>2.788844621513944</v>
      </c>
      <c r="BI1026" s="103">
        <v>7.893426294820717</v>
      </c>
      <c r="BJ1026" s="103">
        <v>12.574701195219124</v>
      </c>
      <c r="BK1026" s="103">
        <v>20.219123505976093</v>
      </c>
      <c r="BL1026" s="103">
        <v>24.153386454183266</v>
      </c>
      <c r="BM1026" s="103">
        <v>16.533864541832667</v>
      </c>
      <c r="BN1026" s="103">
        <v>9.4870517928286855</v>
      </c>
      <c r="BO1026" s="103">
        <v>5.47808764940239</v>
      </c>
      <c r="BQ1026" s="110"/>
      <c r="BR1026" s="46" t="s">
        <v>9</v>
      </c>
      <c r="BS1026" s="103">
        <v>0.61919504643962853</v>
      </c>
      <c r="BT1026" s="103">
        <v>1.5479876160990713</v>
      </c>
      <c r="BU1026" s="103">
        <v>5.5727554179566559</v>
      </c>
      <c r="BV1026" s="103">
        <v>13.93188854489164</v>
      </c>
      <c r="BW1026" s="103">
        <v>19.195046439628484</v>
      </c>
      <c r="BX1026" s="103">
        <v>20.433436532507741</v>
      </c>
      <c r="BY1026" s="103">
        <v>20.123839009287924</v>
      </c>
      <c r="BZ1026" s="103">
        <v>10.835913312693499</v>
      </c>
      <c r="CA1026" s="103">
        <v>5.8823529411764701</v>
      </c>
      <c r="CB1026" s="103">
        <v>1.8575851393188854</v>
      </c>
      <c r="CC1026" s="42"/>
      <c r="CD1026" s="110"/>
      <c r="CE1026" s="46" t="s">
        <v>9</v>
      </c>
      <c r="CF1026" s="103">
        <v>0.30927835051546393</v>
      </c>
      <c r="CG1026" s="103">
        <v>0.74226804123711343</v>
      </c>
      <c r="CH1026" s="103">
        <v>3.1546391752577319</v>
      </c>
      <c r="CI1026" s="103">
        <v>8.9896907216494846</v>
      </c>
      <c r="CJ1026" s="103">
        <v>13.216494845360824</v>
      </c>
      <c r="CK1026" s="103">
        <v>20.24742268041237</v>
      </c>
      <c r="CL1026" s="103">
        <v>23.649484536082475</v>
      </c>
      <c r="CM1026" s="103">
        <v>15.917525773195877</v>
      </c>
      <c r="CN1026" s="103">
        <v>8.8453608247422686</v>
      </c>
      <c r="CO1026" s="103">
        <v>4.927835051546392</v>
      </c>
      <c r="CQ1026" s="110"/>
      <c r="CR1026" s="46" t="s">
        <v>9</v>
      </c>
      <c r="CS1026" s="103">
        <v>0.26666666666666666</v>
      </c>
      <c r="CT1026" s="103">
        <v>0.8</v>
      </c>
      <c r="CU1026" s="103">
        <v>1.6</v>
      </c>
      <c r="CV1026" s="103">
        <v>12.533333333333333</v>
      </c>
      <c r="CW1026" s="103">
        <v>10.133333333333333</v>
      </c>
      <c r="CX1026" s="103">
        <v>19.2</v>
      </c>
      <c r="CY1026" s="103">
        <v>26.93333333333333</v>
      </c>
      <c r="CZ1026" s="103">
        <v>17.599999999999998</v>
      </c>
      <c r="DA1026" s="103">
        <v>8.2666666666666657</v>
      </c>
      <c r="DB1026" s="103">
        <v>2.666666666666667</v>
      </c>
      <c r="DC1026" s="42"/>
      <c r="DD1026" s="110"/>
      <c r="DE1026" s="46" t="s">
        <v>9</v>
      </c>
      <c r="DF1026" s="103">
        <v>0.33347228011671531</v>
      </c>
      <c r="DG1026" s="103">
        <v>0.79199666527719881</v>
      </c>
      <c r="DH1026" s="103">
        <v>3.4389328887036266</v>
      </c>
      <c r="DI1026" s="103">
        <v>9.045435598165902</v>
      </c>
      <c r="DJ1026" s="103">
        <v>13.859941642350979</v>
      </c>
      <c r="DK1026" s="103">
        <v>20.341809087119632</v>
      </c>
      <c r="DL1026" s="103">
        <v>23.155481450604416</v>
      </c>
      <c r="DM1026" s="103">
        <v>15.443934972905376</v>
      </c>
      <c r="DN1026" s="103">
        <v>8.6911213005418926</v>
      </c>
      <c r="DO1026" s="103">
        <v>4.8978741142142557</v>
      </c>
    </row>
    <row r="1027" spans="2:119" ht="16.5" customHeight="1" x14ac:dyDescent="0.45">
      <c r="B1027" s="99"/>
      <c r="C1027" s="42"/>
      <c r="D1027" s="110"/>
      <c r="E1027" s="47" t="s">
        <v>10</v>
      </c>
      <c r="F1027" s="103">
        <v>0.31545741324921134</v>
      </c>
      <c r="G1027" s="103">
        <v>0.66246056782334384</v>
      </c>
      <c r="H1027" s="103">
        <v>2.2082018927444795</v>
      </c>
      <c r="I1027" s="103">
        <v>5.9305993690851739</v>
      </c>
      <c r="J1027" s="103">
        <v>9.0536277602523647</v>
      </c>
      <c r="K1027" s="103">
        <v>15.962145110410095</v>
      </c>
      <c r="L1027" s="103">
        <v>22.429022082018925</v>
      </c>
      <c r="M1027" s="103">
        <v>19.463722397476342</v>
      </c>
      <c r="N1027" s="103">
        <v>14.258675078864352</v>
      </c>
      <c r="O1027" s="103">
        <v>9.7160883280757098</v>
      </c>
      <c r="P1027" s="42"/>
      <c r="Q1027" s="110"/>
      <c r="R1027" s="46" t="s">
        <v>10</v>
      </c>
      <c r="S1027" s="103">
        <v>0.10085728693898136</v>
      </c>
      <c r="T1027" s="103">
        <v>0.3530005042864347</v>
      </c>
      <c r="U1027" s="103">
        <v>0.85728693898134145</v>
      </c>
      <c r="V1027" s="103">
        <v>3.3282904689863844</v>
      </c>
      <c r="W1027" s="103">
        <v>6.2027231467473527</v>
      </c>
      <c r="X1027" s="103">
        <v>12.708018154311649</v>
      </c>
      <c r="Y1027" s="103">
        <v>23.348461926374181</v>
      </c>
      <c r="Z1027" s="103">
        <v>22.995461422087747</v>
      </c>
      <c r="AA1027" s="103">
        <v>17.902168431669189</v>
      </c>
      <c r="AB1027" s="103">
        <v>12.203731719616743</v>
      </c>
      <c r="AC1027" s="42"/>
      <c r="AD1027" s="110"/>
      <c r="AE1027" s="46" t="s">
        <v>10</v>
      </c>
      <c r="AF1027" s="103">
        <v>0.67396798652064027</v>
      </c>
      <c r="AG1027" s="103">
        <v>1.1794439764111204</v>
      </c>
      <c r="AH1027" s="103">
        <v>4.4650379106992419</v>
      </c>
      <c r="AI1027" s="103">
        <v>10.278011794439765</v>
      </c>
      <c r="AJ1027" s="103">
        <v>13.816343723673125</v>
      </c>
      <c r="AK1027" s="103">
        <v>21.398483572030326</v>
      </c>
      <c r="AL1027" s="103">
        <v>20.893007582139848</v>
      </c>
      <c r="AM1027" s="103">
        <v>13.563605728727884</v>
      </c>
      <c r="AN1027" s="103">
        <v>8.1718618365627638</v>
      </c>
      <c r="AO1027" s="103">
        <v>5.5602358887952823</v>
      </c>
      <c r="AP1027" s="6"/>
      <c r="AQ1027" s="110"/>
      <c r="AR1027" s="46" t="s">
        <v>10</v>
      </c>
      <c r="AS1027" s="103">
        <v>1.1173184357541899</v>
      </c>
      <c r="AT1027" s="103">
        <v>1.4897579143389199</v>
      </c>
      <c r="AU1027" s="103">
        <v>5.4003724394785841</v>
      </c>
      <c r="AV1027" s="103">
        <v>8.7523277467411553</v>
      </c>
      <c r="AW1027" s="103">
        <v>13.594040968342643</v>
      </c>
      <c r="AX1027" s="103">
        <v>18.994413407821227</v>
      </c>
      <c r="AY1027" s="103">
        <v>21.601489757914337</v>
      </c>
      <c r="AZ1027" s="103">
        <v>14.152700186219738</v>
      </c>
      <c r="BA1027" s="103">
        <v>9.8696461824953445</v>
      </c>
      <c r="BB1027" s="103">
        <v>5.027932960893855</v>
      </c>
      <c r="BC1027" s="42"/>
      <c r="BD1027" s="110"/>
      <c r="BE1027" s="46" t="s">
        <v>10</v>
      </c>
      <c r="BF1027" s="103">
        <v>0.1519179642992784</v>
      </c>
      <c r="BG1027" s="103">
        <v>0.49373338397265476</v>
      </c>
      <c r="BH1027" s="103">
        <v>1.5571591340676034</v>
      </c>
      <c r="BI1027" s="103">
        <v>5.355108241549563</v>
      </c>
      <c r="BJ1027" s="103">
        <v>8.1276110900113938</v>
      </c>
      <c r="BK1027" s="103">
        <v>15.343714394227117</v>
      </c>
      <c r="BL1027" s="103">
        <v>22.59779718951766</v>
      </c>
      <c r="BM1027" s="103">
        <v>20.546904671477403</v>
      </c>
      <c r="BN1027" s="103">
        <v>15.153816938853018</v>
      </c>
      <c r="BO1027" s="103">
        <v>10.672236992024308</v>
      </c>
      <c r="BQ1027" s="110"/>
      <c r="BR1027" s="46" t="s">
        <v>10</v>
      </c>
      <c r="BS1027" s="103">
        <v>3.2</v>
      </c>
      <c r="BT1027" s="103">
        <v>2.4</v>
      </c>
      <c r="BU1027" s="103">
        <v>4</v>
      </c>
      <c r="BV1027" s="103">
        <v>10.4</v>
      </c>
      <c r="BW1027" s="103">
        <v>11.200000000000001</v>
      </c>
      <c r="BX1027" s="103">
        <v>17.599999999999998</v>
      </c>
      <c r="BY1027" s="103">
        <v>24</v>
      </c>
      <c r="BZ1027" s="103">
        <v>12</v>
      </c>
      <c r="CA1027" s="103">
        <v>9.6</v>
      </c>
      <c r="CB1027" s="103">
        <v>5.6000000000000005</v>
      </c>
      <c r="CC1027" s="42"/>
      <c r="CD1027" s="110"/>
      <c r="CE1027" s="46" t="s">
        <v>10</v>
      </c>
      <c r="CF1027" s="103">
        <v>0.19704433497536944</v>
      </c>
      <c r="CG1027" s="103">
        <v>0.59113300492610843</v>
      </c>
      <c r="CH1027" s="103">
        <v>2.1346469622331692</v>
      </c>
      <c r="CI1027" s="103">
        <v>5.7471264367816088</v>
      </c>
      <c r="CJ1027" s="103">
        <v>8.9655172413793096</v>
      </c>
      <c r="CK1027" s="103">
        <v>15.894909688013136</v>
      </c>
      <c r="CL1027" s="103">
        <v>22.364532019704434</v>
      </c>
      <c r="CM1027" s="103">
        <v>19.770114942528735</v>
      </c>
      <c r="CN1027" s="103">
        <v>14.449917898193759</v>
      </c>
      <c r="CO1027" s="103">
        <v>9.8850574712643677</v>
      </c>
      <c r="CQ1027" s="110"/>
      <c r="CR1027" s="46" t="s">
        <v>10</v>
      </c>
      <c r="CS1027" s="103">
        <v>0.46948356807511737</v>
      </c>
      <c r="CT1027" s="103">
        <v>0</v>
      </c>
      <c r="CU1027" s="103">
        <v>1.4084507042253522</v>
      </c>
      <c r="CV1027" s="103">
        <v>5.6338028169014089</v>
      </c>
      <c r="CW1027" s="103">
        <v>7.511737089201878</v>
      </c>
      <c r="CX1027" s="103">
        <v>15.023474178403756</v>
      </c>
      <c r="CY1027" s="103">
        <v>25.352112676056336</v>
      </c>
      <c r="CZ1027" s="103">
        <v>23.474178403755868</v>
      </c>
      <c r="DA1027" s="103">
        <v>14.084507042253522</v>
      </c>
      <c r="DB1027" s="103">
        <v>7.042253521126761</v>
      </c>
      <c r="DC1027" s="42"/>
      <c r="DD1027" s="110"/>
      <c r="DE1027" s="46" t="s">
        <v>10</v>
      </c>
      <c r="DF1027" s="103">
        <v>0.30436252959080151</v>
      </c>
      <c r="DG1027" s="103">
        <v>0.71017923571187014</v>
      </c>
      <c r="DH1027" s="103">
        <v>2.2658099425092999</v>
      </c>
      <c r="DI1027" s="103">
        <v>5.9519783564423401</v>
      </c>
      <c r="DJ1027" s="103">
        <v>9.1646939465674677</v>
      </c>
      <c r="DK1027" s="103">
        <v>16.029759891782209</v>
      </c>
      <c r="DL1027" s="103">
        <v>22.218464660128507</v>
      </c>
      <c r="DM1027" s="103">
        <v>19.174839364220496</v>
      </c>
      <c r="DN1027" s="103">
        <v>14.271220831924246</v>
      </c>
      <c r="DO1027" s="103">
        <v>9.9086912411227601</v>
      </c>
    </row>
    <row r="1028" spans="2:119" ht="16.5" customHeight="1" x14ac:dyDescent="0.45">
      <c r="B1028" s="99"/>
      <c r="C1028" s="42"/>
      <c r="D1028" s="111"/>
      <c r="E1028" s="47" t="s">
        <v>11</v>
      </c>
      <c r="F1028" s="103">
        <v>0.41841004184100417</v>
      </c>
      <c r="G1028" s="103">
        <v>0.41841004184100417</v>
      </c>
      <c r="H1028" s="103">
        <v>1.0460251046025104</v>
      </c>
      <c r="I1028" s="103">
        <v>3.7656903765690379</v>
      </c>
      <c r="J1028" s="103">
        <v>2.9288702928870292</v>
      </c>
      <c r="K1028" s="103">
        <v>10.87866108786611</v>
      </c>
      <c r="L1028" s="103">
        <v>17.573221757322173</v>
      </c>
      <c r="M1028" s="103">
        <v>22.17573221757322</v>
      </c>
      <c r="N1028" s="103">
        <v>22.384937238493723</v>
      </c>
      <c r="O1028" s="103">
        <v>18.410041841004183</v>
      </c>
      <c r="P1028" s="42"/>
      <c r="Q1028" s="111"/>
      <c r="R1028" s="46" t="s">
        <v>11</v>
      </c>
      <c r="S1028" s="103">
        <v>0</v>
      </c>
      <c r="T1028" s="103">
        <v>0</v>
      </c>
      <c r="U1028" s="103">
        <v>0.3436426116838488</v>
      </c>
      <c r="V1028" s="103">
        <v>2.0618556701030926</v>
      </c>
      <c r="W1028" s="103">
        <v>1.3745704467353952</v>
      </c>
      <c r="X1028" s="103">
        <v>6.1855670103092786</v>
      </c>
      <c r="Y1028" s="103">
        <v>16.494845360824741</v>
      </c>
      <c r="Z1028" s="103">
        <v>24.742268041237114</v>
      </c>
      <c r="AA1028" s="103">
        <v>25.773195876288657</v>
      </c>
      <c r="AB1028" s="103">
        <v>23.024054982817869</v>
      </c>
      <c r="AC1028" s="42"/>
      <c r="AD1028" s="111"/>
      <c r="AE1028" s="46" t="s">
        <v>11</v>
      </c>
      <c r="AF1028" s="103">
        <v>1.0695187165775399</v>
      </c>
      <c r="AG1028" s="103">
        <v>1.0695187165775399</v>
      </c>
      <c r="AH1028" s="103">
        <v>2.1390374331550799</v>
      </c>
      <c r="AI1028" s="103">
        <v>6.4171122994652414</v>
      </c>
      <c r="AJ1028" s="103">
        <v>5.3475935828877006</v>
      </c>
      <c r="AK1028" s="103">
        <v>18.181818181818183</v>
      </c>
      <c r="AL1028" s="103">
        <v>19.251336898395721</v>
      </c>
      <c r="AM1028" s="103">
        <v>18.181818181818183</v>
      </c>
      <c r="AN1028" s="103">
        <v>17.112299465240639</v>
      </c>
      <c r="AO1028" s="103">
        <v>11.229946524064172</v>
      </c>
      <c r="AP1028" s="6"/>
      <c r="AQ1028" s="111"/>
      <c r="AR1028" s="46" t="s">
        <v>11</v>
      </c>
      <c r="AS1028" s="103">
        <v>1.8867924528301887</v>
      </c>
      <c r="AT1028" s="103">
        <v>1.8867924528301887</v>
      </c>
      <c r="AU1028" s="103">
        <v>1.8867924528301887</v>
      </c>
      <c r="AV1028" s="103">
        <v>5.6603773584905666</v>
      </c>
      <c r="AW1028" s="103">
        <v>3.7735849056603774</v>
      </c>
      <c r="AX1028" s="103">
        <v>13.20754716981132</v>
      </c>
      <c r="AY1028" s="103">
        <v>30.188679245283019</v>
      </c>
      <c r="AZ1028" s="103">
        <v>18.867924528301888</v>
      </c>
      <c r="BA1028" s="103">
        <v>13.20754716981132</v>
      </c>
      <c r="BB1028" s="103">
        <v>9.433962264150944</v>
      </c>
      <c r="BC1028" s="42"/>
      <c r="BD1028" s="111"/>
      <c r="BE1028" s="46" t="s">
        <v>11</v>
      </c>
      <c r="BF1028" s="103">
        <v>0.23529411764705879</v>
      </c>
      <c r="BG1028" s="103">
        <v>0.23529411764705879</v>
      </c>
      <c r="BH1028" s="103">
        <v>0.94117647058823517</v>
      </c>
      <c r="BI1028" s="103">
        <v>3.5294117647058822</v>
      </c>
      <c r="BJ1028" s="103">
        <v>2.8235294117647061</v>
      </c>
      <c r="BK1028" s="103">
        <v>10.588235294117647</v>
      </c>
      <c r="BL1028" s="103">
        <v>16</v>
      </c>
      <c r="BM1028" s="103">
        <v>22.588235294117649</v>
      </c>
      <c r="BN1028" s="103">
        <v>23.52941176470588</v>
      </c>
      <c r="BO1028" s="103">
        <v>19.52941176470588</v>
      </c>
      <c r="BQ1028" s="111"/>
      <c r="BR1028" s="46" t="s">
        <v>11</v>
      </c>
      <c r="BS1028" s="103">
        <v>0</v>
      </c>
      <c r="BT1028" s="103">
        <v>0</v>
      </c>
      <c r="BU1028" s="103">
        <v>9.0909090909090917</v>
      </c>
      <c r="BV1028" s="103">
        <v>4.5454545454545459</v>
      </c>
      <c r="BW1028" s="103">
        <v>0</v>
      </c>
      <c r="BX1028" s="103">
        <v>18.181818181818183</v>
      </c>
      <c r="BY1028" s="103">
        <v>27.27272727272727</v>
      </c>
      <c r="BZ1028" s="103">
        <v>13.636363636363635</v>
      </c>
      <c r="CA1028" s="103">
        <v>13.636363636363635</v>
      </c>
      <c r="CB1028" s="103">
        <v>13.636363636363635</v>
      </c>
      <c r="CC1028" s="42"/>
      <c r="CD1028" s="111"/>
      <c r="CE1028" s="46" t="s">
        <v>11</v>
      </c>
      <c r="CF1028" s="103">
        <v>0.43859649122807015</v>
      </c>
      <c r="CG1028" s="103">
        <v>0.43859649122807015</v>
      </c>
      <c r="CH1028" s="103">
        <v>0.6578947368421052</v>
      </c>
      <c r="CI1028" s="103">
        <v>3.7280701754385963</v>
      </c>
      <c r="CJ1028" s="103">
        <v>3.070175438596491</v>
      </c>
      <c r="CK1028" s="103">
        <v>10.526315789473683</v>
      </c>
      <c r="CL1028" s="103">
        <v>17.105263157894736</v>
      </c>
      <c r="CM1028" s="103">
        <v>22.587719298245617</v>
      </c>
      <c r="CN1028" s="103">
        <v>22.807017543859647</v>
      </c>
      <c r="CO1028" s="103">
        <v>18.640350877192983</v>
      </c>
      <c r="CQ1028" s="111"/>
      <c r="CR1028" s="46" t="s">
        <v>11</v>
      </c>
      <c r="CS1028" s="103">
        <v>0</v>
      </c>
      <c r="CT1028" s="103">
        <v>0</v>
      </c>
      <c r="CU1028" s="103">
        <v>2.9411764705882351</v>
      </c>
      <c r="CV1028" s="103">
        <v>2.9411764705882351</v>
      </c>
      <c r="CW1028" s="103">
        <v>2.9411764705882351</v>
      </c>
      <c r="CX1028" s="103">
        <v>8.8235294117647065</v>
      </c>
      <c r="CY1028" s="103">
        <v>17.647058823529413</v>
      </c>
      <c r="CZ1028" s="103">
        <v>29.411764705882355</v>
      </c>
      <c r="DA1028" s="103">
        <v>23.52941176470588</v>
      </c>
      <c r="DB1028" s="103">
        <v>11.76470588235294</v>
      </c>
      <c r="DC1028" s="42"/>
      <c r="DD1028" s="111"/>
      <c r="DE1028" s="46" t="s">
        <v>11</v>
      </c>
      <c r="DF1028" s="103">
        <v>0.45045045045045046</v>
      </c>
      <c r="DG1028" s="103">
        <v>0.45045045045045046</v>
      </c>
      <c r="DH1028" s="103">
        <v>0.90090090090090091</v>
      </c>
      <c r="DI1028" s="103">
        <v>3.8288288288288284</v>
      </c>
      <c r="DJ1028" s="103">
        <v>2.9279279279279278</v>
      </c>
      <c r="DK1028" s="103">
        <v>11.036036036036036</v>
      </c>
      <c r="DL1028" s="103">
        <v>17.567567567567568</v>
      </c>
      <c r="DM1028" s="103">
        <v>21.621621621621621</v>
      </c>
      <c r="DN1028" s="103">
        <v>22.297297297297298</v>
      </c>
      <c r="DO1028" s="103">
        <v>18.918918918918919</v>
      </c>
    </row>
    <row r="1029" spans="2:119" x14ac:dyDescent="0.45">
      <c r="B1029" s="99"/>
      <c r="C1029" s="42"/>
      <c r="D1029" s="42"/>
      <c r="E1029" s="42"/>
      <c r="F1029" s="42"/>
      <c r="G1029" s="42"/>
      <c r="H1029" s="42"/>
      <c r="I1029" s="42"/>
      <c r="J1029" s="42"/>
      <c r="K1029" s="42"/>
      <c r="L1029" s="42"/>
      <c r="M1029" s="42"/>
      <c r="N1029" s="42"/>
      <c r="O1029" s="42"/>
      <c r="P1029" s="42"/>
      <c r="Q1029" s="42"/>
      <c r="R1029" s="42"/>
      <c r="S1029" s="42"/>
      <c r="T1029" s="42"/>
      <c r="U1029" s="42"/>
      <c r="V1029" s="42"/>
      <c r="W1029" s="42"/>
      <c r="X1029" s="42"/>
      <c r="Y1029" s="42"/>
      <c r="Z1029" s="42"/>
      <c r="AA1029" s="42"/>
      <c r="AB1029" s="42"/>
      <c r="AC1029" s="42"/>
      <c r="AD1029" s="42"/>
      <c r="AE1029" s="42"/>
      <c r="AF1029" s="42"/>
      <c r="AG1029" s="42"/>
      <c r="AH1029" s="42"/>
      <c r="AI1029" s="42"/>
      <c r="AJ1029" s="42"/>
      <c r="AK1029" s="42"/>
      <c r="AL1029" s="42"/>
      <c r="AM1029" s="42"/>
      <c r="AN1029" s="42"/>
      <c r="AO1029" s="42"/>
      <c r="AQ1029" s="42"/>
      <c r="AR1029" s="42"/>
      <c r="AS1029" s="42"/>
      <c r="AT1029" s="42"/>
      <c r="AU1029" s="42"/>
      <c r="AV1029" s="42"/>
      <c r="AW1029" s="42"/>
      <c r="AX1029" s="42"/>
      <c r="AY1029" s="42"/>
      <c r="AZ1029" s="42"/>
      <c r="BA1029" s="42"/>
      <c r="BB1029" s="42"/>
      <c r="BC1029" s="42"/>
      <c r="BD1029" s="42"/>
      <c r="BE1029" s="42"/>
      <c r="BF1029" s="42"/>
      <c r="BG1029" s="42"/>
      <c r="BH1029" s="42"/>
      <c r="BI1029" s="42"/>
      <c r="BJ1029" s="42"/>
      <c r="BK1029" s="42"/>
      <c r="BL1029" s="42"/>
      <c r="BM1029" s="42"/>
      <c r="BN1029" s="42"/>
      <c r="BO1029" s="42"/>
      <c r="BQ1029" s="42"/>
      <c r="BR1029" s="42"/>
      <c r="BS1029" s="42"/>
      <c r="BT1029" s="42"/>
      <c r="BU1029" s="42"/>
      <c r="BV1029" s="42"/>
      <c r="BW1029" s="42"/>
      <c r="BX1029" s="42"/>
      <c r="BY1029" s="42"/>
      <c r="BZ1029" s="42"/>
      <c r="CA1029" s="42"/>
      <c r="CB1029" s="42"/>
      <c r="CC1029" s="42"/>
      <c r="CD1029" s="42"/>
      <c r="CE1029" s="42"/>
      <c r="CF1029" s="42"/>
      <c r="CG1029" s="42"/>
      <c r="CH1029" s="42"/>
      <c r="CI1029" s="42"/>
      <c r="CJ1029" s="42"/>
      <c r="CK1029" s="42"/>
      <c r="CL1029" s="42"/>
      <c r="CM1029" s="42"/>
      <c r="CN1029" s="42"/>
      <c r="CO1029" s="42"/>
      <c r="CQ1029" s="42"/>
      <c r="CR1029" s="42"/>
      <c r="CS1029" s="42"/>
      <c r="CT1029" s="42"/>
      <c r="CU1029" s="42"/>
      <c r="CV1029" s="42"/>
      <c r="CW1029" s="42"/>
      <c r="CX1029" s="42"/>
      <c r="CY1029" s="42"/>
      <c r="CZ1029" s="42"/>
      <c r="DA1029" s="42"/>
      <c r="DB1029" s="42"/>
      <c r="DC1029" s="42"/>
      <c r="DD1029" s="42"/>
      <c r="DE1029" s="42"/>
      <c r="DF1029" s="42"/>
      <c r="DG1029" s="42"/>
      <c r="DH1029" s="42"/>
      <c r="DI1029" s="42"/>
      <c r="DJ1029" s="42"/>
      <c r="DK1029" s="42"/>
      <c r="DL1029" s="42"/>
      <c r="DM1029" s="42"/>
      <c r="DN1029" s="42"/>
      <c r="DO1029" s="42"/>
    </row>
    <row r="1030" spans="2:119" x14ac:dyDescent="0.45">
      <c r="B1030" s="99"/>
      <c r="C1030" s="42"/>
      <c r="D1030" s="42"/>
      <c r="E1030" s="42"/>
      <c r="F1030" s="42"/>
      <c r="G1030" s="42"/>
      <c r="H1030" s="42"/>
      <c r="I1030" s="42"/>
      <c r="J1030" s="42"/>
      <c r="K1030" s="42"/>
      <c r="L1030" s="42"/>
      <c r="M1030" s="42"/>
      <c r="N1030" s="42"/>
      <c r="O1030" s="42"/>
      <c r="P1030" s="42"/>
      <c r="Q1030" s="42"/>
      <c r="R1030" s="42"/>
      <c r="S1030" s="42"/>
      <c r="T1030" s="42"/>
      <c r="U1030" s="42"/>
      <c r="V1030" s="42"/>
      <c r="W1030" s="42"/>
      <c r="X1030" s="42"/>
      <c r="Y1030" s="42"/>
      <c r="Z1030" s="42"/>
      <c r="AA1030" s="42"/>
      <c r="AB1030" s="42"/>
      <c r="AC1030" s="42"/>
      <c r="AD1030" s="42"/>
      <c r="AE1030" s="42"/>
      <c r="AF1030" s="42"/>
      <c r="AG1030" s="42"/>
      <c r="AH1030" s="42"/>
      <c r="AI1030" s="42"/>
      <c r="AJ1030" s="42"/>
      <c r="AK1030" s="42"/>
      <c r="AL1030" s="42"/>
      <c r="AM1030" s="42"/>
      <c r="AN1030" s="42"/>
      <c r="AO1030" s="42"/>
      <c r="AQ1030" s="42"/>
      <c r="AR1030" s="42"/>
      <c r="AS1030" s="42"/>
      <c r="AT1030" s="42"/>
      <c r="AU1030" s="42"/>
      <c r="AV1030" s="42"/>
      <c r="AW1030" s="42"/>
      <c r="AX1030" s="42"/>
      <c r="AY1030" s="42"/>
      <c r="AZ1030" s="42"/>
      <c r="BA1030" s="42"/>
      <c r="BB1030" s="42"/>
      <c r="BC1030" s="42"/>
      <c r="BD1030" s="42"/>
      <c r="BE1030" s="42"/>
      <c r="BF1030" s="42"/>
      <c r="BG1030" s="42"/>
      <c r="BH1030" s="42"/>
      <c r="BI1030" s="42"/>
      <c r="BJ1030" s="42"/>
      <c r="BK1030" s="42"/>
      <c r="BL1030" s="42"/>
      <c r="BM1030" s="42"/>
      <c r="BN1030" s="42"/>
      <c r="BO1030" s="42"/>
      <c r="BQ1030" s="42"/>
      <c r="BR1030" s="42"/>
      <c r="BS1030" s="42"/>
      <c r="BT1030" s="42"/>
      <c r="BU1030" s="42"/>
      <c r="BV1030" s="42"/>
      <c r="BW1030" s="42"/>
      <c r="BX1030" s="42"/>
      <c r="BY1030" s="42"/>
      <c r="BZ1030" s="42"/>
      <c r="CA1030" s="42"/>
      <c r="CB1030" s="42"/>
      <c r="CC1030" s="42"/>
      <c r="CD1030" s="42"/>
      <c r="CE1030" s="42"/>
      <c r="CF1030" s="42"/>
      <c r="CG1030" s="42"/>
      <c r="CH1030" s="42"/>
      <c r="CI1030" s="42"/>
      <c r="CJ1030" s="42"/>
      <c r="CK1030" s="42"/>
      <c r="CL1030" s="42"/>
      <c r="CM1030" s="42"/>
      <c r="CN1030" s="42"/>
      <c r="CO1030" s="42"/>
      <c r="CQ1030" s="42"/>
      <c r="CR1030" s="42"/>
      <c r="CS1030" s="42"/>
      <c r="CT1030" s="42"/>
      <c r="CU1030" s="42"/>
      <c r="CV1030" s="42"/>
      <c r="CW1030" s="42"/>
      <c r="CX1030" s="42"/>
      <c r="CY1030" s="42"/>
      <c r="CZ1030" s="42"/>
      <c r="DA1030" s="42"/>
      <c r="DB1030" s="42"/>
      <c r="DC1030" s="42"/>
      <c r="DD1030" s="42"/>
      <c r="DE1030" s="42"/>
      <c r="DF1030" s="42"/>
      <c r="DG1030" s="42"/>
      <c r="DH1030" s="42"/>
      <c r="DI1030" s="42"/>
      <c r="DJ1030" s="42"/>
      <c r="DK1030" s="42"/>
      <c r="DL1030" s="42"/>
      <c r="DM1030" s="42"/>
      <c r="DN1030" s="42"/>
      <c r="DO1030" s="42"/>
    </row>
    <row r="1031" spans="2:119" ht="18.75" customHeight="1" x14ac:dyDescent="0.55000000000000004">
      <c r="B1031" s="99"/>
      <c r="C1031" s="42"/>
      <c r="D1031" s="112" t="s">
        <v>24</v>
      </c>
      <c r="E1031" s="112"/>
      <c r="F1031" s="45"/>
      <c r="G1031" s="45"/>
      <c r="H1031" s="45"/>
      <c r="I1031" s="45"/>
      <c r="J1031" s="45"/>
      <c r="K1031" s="45"/>
      <c r="L1031" s="45"/>
      <c r="M1031" s="45"/>
      <c r="N1031" s="45"/>
      <c r="O1031" s="45"/>
      <c r="P1031" s="42"/>
      <c r="Q1031" s="112" t="s">
        <v>24</v>
      </c>
      <c r="R1031" s="112"/>
      <c r="S1031" s="45"/>
      <c r="T1031" s="45"/>
      <c r="U1031" s="45"/>
      <c r="V1031" s="45"/>
      <c r="W1031" s="45"/>
      <c r="X1031" s="45"/>
      <c r="Y1031" s="45"/>
      <c r="Z1031" s="45"/>
      <c r="AA1031" s="45"/>
      <c r="AB1031" s="45"/>
      <c r="AC1031" s="42"/>
      <c r="AD1031" s="112" t="s">
        <v>24</v>
      </c>
      <c r="AE1031" s="112"/>
      <c r="AF1031" s="45"/>
      <c r="AG1031" s="45"/>
      <c r="AH1031" s="45"/>
      <c r="AI1031" s="45"/>
      <c r="AJ1031" s="45"/>
      <c r="AK1031" s="45"/>
      <c r="AL1031" s="45"/>
      <c r="AM1031" s="45"/>
      <c r="AN1031" s="45"/>
      <c r="AO1031" s="45"/>
      <c r="AP1031" s="6"/>
      <c r="AQ1031" s="112" t="s">
        <v>24</v>
      </c>
      <c r="AR1031" s="112"/>
      <c r="AS1031" s="45"/>
      <c r="AT1031" s="45"/>
      <c r="AU1031" s="45"/>
      <c r="AV1031" s="45"/>
      <c r="AW1031" s="45"/>
      <c r="AX1031" s="45"/>
      <c r="AY1031" s="45"/>
      <c r="AZ1031" s="45"/>
      <c r="BA1031" s="45"/>
      <c r="BB1031" s="45"/>
      <c r="BC1031" s="42"/>
      <c r="BD1031" s="112" t="s">
        <v>24</v>
      </c>
      <c r="BE1031" s="112"/>
      <c r="BF1031" s="45"/>
      <c r="BG1031" s="45"/>
      <c r="BH1031" s="45"/>
      <c r="BI1031" s="45"/>
      <c r="BJ1031" s="45"/>
      <c r="BK1031" s="45"/>
      <c r="BL1031" s="45"/>
      <c r="BM1031" s="45"/>
      <c r="BN1031" s="45"/>
      <c r="BO1031" s="45"/>
      <c r="BQ1031" s="112" t="s">
        <v>24</v>
      </c>
      <c r="BR1031" s="112"/>
      <c r="BS1031" s="45"/>
      <c r="BT1031" s="45"/>
      <c r="BU1031" s="45"/>
      <c r="BV1031" s="45"/>
      <c r="BW1031" s="45"/>
      <c r="BX1031" s="45"/>
      <c r="BY1031" s="45"/>
      <c r="BZ1031" s="45"/>
      <c r="CA1031" s="45"/>
      <c r="CB1031" s="45"/>
      <c r="CC1031" s="42"/>
      <c r="CD1031" s="112" t="s">
        <v>24</v>
      </c>
      <c r="CE1031" s="112"/>
      <c r="CF1031" s="45"/>
      <c r="CG1031" s="45"/>
      <c r="CH1031" s="45"/>
      <c r="CI1031" s="45"/>
      <c r="CJ1031" s="45"/>
      <c r="CK1031" s="45"/>
      <c r="CL1031" s="45"/>
      <c r="CM1031" s="45"/>
      <c r="CN1031" s="45"/>
      <c r="CO1031" s="45"/>
      <c r="CQ1031" s="112" t="s">
        <v>24</v>
      </c>
      <c r="CR1031" s="112"/>
      <c r="CS1031" s="45"/>
      <c r="CT1031" s="45"/>
      <c r="CU1031" s="45"/>
      <c r="CV1031" s="45"/>
      <c r="CW1031" s="45"/>
      <c r="CX1031" s="45"/>
      <c r="CY1031" s="45"/>
      <c r="CZ1031" s="45"/>
      <c r="DA1031" s="45"/>
      <c r="DB1031" s="45"/>
      <c r="DC1031" s="42"/>
      <c r="DD1031" s="112" t="s">
        <v>24</v>
      </c>
      <c r="DE1031" s="112"/>
      <c r="DF1031" s="45"/>
      <c r="DG1031" s="45"/>
      <c r="DH1031" s="45"/>
      <c r="DI1031" s="45"/>
      <c r="DJ1031" s="45"/>
      <c r="DK1031" s="45"/>
      <c r="DL1031" s="45"/>
      <c r="DM1031" s="45"/>
      <c r="DN1031" s="45"/>
      <c r="DO1031" s="45"/>
    </row>
    <row r="1032" spans="2:119" ht="28.9" customHeight="1" x14ac:dyDescent="0.45">
      <c r="B1032" s="99"/>
      <c r="C1032" s="42"/>
      <c r="D1032" s="112"/>
      <c r="E1032" s="112"/>
      <c r="F1032" s="108" t="s">
        <v>12</v>
      </c>
      <c r="G1032" s="108"/>
      <c r="H1032" s="108"/>
      <c r="I1032" s="108"/>
      <c r="J1032" s="108"/>
      <c r="K1032" s="108"/>
      <c r="L1032" s="108"/>
      <c r="M1032" s="108"/>
      <c r="N1032" s="108"/>
      <c r="O1032" s="108"/>
      <c r="P1032" s="42"/>
      <c r="Q1032" s="112"/>
      <c r="R1032" s="112"/>
      <c r="S1032" s="108" t="s">
        <v>12</v>
      </c>
      <c r="T1032" s="108"/>
      <c r="U1032" s="108"/>
      <c r="V1032" s="108"/>
      <c r="W1032" s="108"/>
      <c r="X1032" s="108"/>
      <c r="Y1032" s="108"/>
      <c r="Z1032" s="108"/>
      <c r="AA1032" s="108"/>
      <c r="AB1032" s="108"/>
      <c r="AC1032" s="42"/>
      <c r="AD1032" s="112"/>
      <c r="AE1032" s="112"/>
      <c r="AF1032" s="108" t="s">
        <v>12</v>
      </c>
      <c r="AG1032" s="108"/>
      <c r="AH1032" s="108"/>
      <c r="AI1032" s="108"/>
      <c r="AJ1032" s="108"/>
      <c r="AK1032" s="108"/>
      <c r="AL1032" s="108"/>
      <c r="AM1032" s="108"/>
      <c r="AN1032" s="108"/>
      <c r="AO1032" s="108"/>
      <c r="AP1032" s="6"/>
      <c r="AQ1032" s="112"/>
      <c r="AR1032" s="112"/>
      <c r="AS1032" s="108" t="s">
        <v>12</v>
      </c>
      <c r="AT1032" s="108"/>
      <c r="AU1032" s="108"/>
      <c r="AV1032" s="108"/>
      <c r="AW1032" s="108"/>
      <c r="AX1032" s="108"/>
      <c r="AY1032" s="108"/>
      <c r="AZ1032" s="108"/>
      <c r="BA1032" s="108"/>
      <c r="BB1032" s="108"/>
      <c r="BC1032" s="42"/>
      <c r="BD1032" s="112"/>
      <c r="BE1032" s="112"/>
      <c r="BF1032" s="108" t="s">
        <v>12</v>
      </c>
      <c r="BG1032" s="108"/>
      <c r="BH1032" s="108"/>
      <c r="BI1032" s="108"/>
      <c r="BJ1032" s="108"/>
      <c r="BK1032" s="108"/>
      <c r="BL1032" s="108"/>
      <c r="BM1032" s="108"/>
      <c r="BN1032" s="108"/>
      <c r="BO1032" s="108"/>
      <c r="BQ1032" s="112"/>
      <c r="BR1032" s="112"/>
      <c r="BS1032" s="108" t="s">
        <v>12</v>
      </c>
      <c r="BT1032" s="108"/>
      <c r="BU1032" s="108"/>
      <c r="BV1032" s="108"/>
      <c r="BW1032" s="108"/>
      <c r="BX1032" s="108"/>
      <c r="BY1032" s="108"/>
      <c r="BZ1032" s="108"/>
      <c r="CA1032" s="108"/>
      <c r="CB1032" s="108"/>
      <c r="CC1032" s="42"/>
      <c r="CD1032" s="112"/>
      <c r="CE1032" s="112"/>
      <c r="CF1032" s="108" t="s">
        <v>12</v>
      </c>
      <c r="CG1032" s="108"/>
      <c r="CH1032" s="108"/>
      <c r="CI1032" s="108"/>
      <c r="CJ1032" s="108"/>
      <c r="CK1032" s="108"/>
      <c r="CL1032" s="108"/>
      <c r="CM1032" s="108"/>
      <c r="CN1032" s="108"/>
      <c r="CO1032" s="108"/>
      <c r="CQ1032" s="112"/>
      <c r="CR1032" s="112"/>
      <c r="CS1032" s="108" t="s">
        <v>12</v>
      </c>
      <c r="CT1032" s="108"/>
      <c r="CU1032" s="108"/>
      <c r="CV1032" s="108"/>
      <c r="CW1032" s="108"/>
      <c r="CX1032" s="108"/>
      <c r="CY1032" s="108"/>
      <c r="CZ1032" s="108"/>
      <c r="DA1032" s="108"/>
      <c r="DB1032" s="108"/>
      <c r="DC1032" s="42"/>
      <c r="DD1032" s="112"/>
      <c r="DE1032" s="112"/>
      <c r="DF1032" s="108" t="s">
        <v>12</v>
      </c>
      <c r="DG1032" s="108"/>
      <c r="DH1032" s="108"/>
      <c r="DI1032" s="108"/>
      <c r="DJ1032" s="108"/>
      <c r="DK1032" s="108"/>
      <c r="DL1032" s="108"/>
      <c r="DM1032" s="108"/>
      <c r="DN1032" s="108"/>
      <c r="DO1032" s="108"/>
    </row>
    <row r="1033" spans="2:119" ht="15" customHeight="1" x14ac:dyDescent="0.45">
      <c r="B1033" s="99"/>
      <c r="C1033" s="42"/>
      <c r="D1033" s="113"/>
      <c r="E1033" s="113"/>
      <c r="F1033" s="9" t="s">
        <v>0</v>
      </c>
      <c r="G1033" s="9">
        <v>1</v>
      </c>
      <c r="H1033" s="9">
        <v>2</v>
      </c>
      <c r="I1033" s="9">
        <v>3</v>
      </c>
      <c r="J1033" s="9">
        <v>4</v>
      </c>
      <c r="K1033" s="9">
        <v>5</v>
      </c>
      <c r="L1033" s="9">
        <v>6</v>
      </c>
      <c r="M1033" s="9">
        <v>7</v>
      </c>
      <c r="N1033" s="9">
        <v>8</v>
      </c>
      <c r="O1033" s="9">
        <v>9</v>
      </c>
      <c r="P1033" s="42"/>
      <c r="Q1033" s="113"/>
      <c r="R1033" s="113"/>
      <c r="S1033" s="9" t="s">
        <v>0</v>
      </c>
      <c r="T1033" s="9">
        <v>1</v>
      </c>
      <c r="U1033" s="9">
        <v>2</v>
      </c>
      <c r="V1033" s="9">
        <v>3</v>
      </c>
      <c r="W1033" s="9">
        <v>4</v>
      </c>
      <c r="X1033" s="9">
        <v>5</v>
      </c>
      <c r="Y1033" s="9">
        <v>6</v>
      </c>
      <c r="Z1033" s="9">
        <v>7</v>
      </c>
      <c r="AA1033" s="9">
        <v>8</v>
      </c>
      <c r="AB1033" s="9">
        <v>9</v>
      </c>
      <c r="AC1033" s="42"/>
      <c r="AD1033" s="113"/>
      <c r="AE1033" s="113"/>
      <c r="AF1033" s="9" t="s">
        <v>0</v>
      </c>
      <c r="AG1033" s="9">
        <v>1</v>
      </c>
      <c r="AH1033" s="9">
        <v>2</v>
      </c>
      <c r="AI1033" s="9">
        <v>3</v>
      </c>
      <c r="AJ1033" s="9">
        <v>4</v>
      </c>
      <c r="AK1033" s="9">
        <v>5</v>
      </c>
      <c r="AL1033" s="9">
        <v>6</v>
      </c>
      <c r="AM1033" s="9">
        <v>7</v>
      </c>
      <c r="AN1033" s="9">
        <v>8</v>
      </c>
      <c r="AO1033" s="9">
        <v>9</v>
      </c>
      <c r="AP1033" s="6"/>
      <c r="AQ1033" s="113"/>
      <c r="AR1033" s="113"/>
      <c r="AS1033" s="9" t="s">
        <v>0</v>
      </c>
      <c r="AT1033" s="9">
        <v>1</v>
      </c>
      <c r="AU1033" s="9">
        <v>2</v>
      </c>
      <c r="AV1033" s="9">
        <v>3</v>
      </c>
      <c r="AW1033" s="9">
        <v>4</v>
      </c>
      <c r="AX1033" s="9">
        <v>5</v>
      </c>
      <c r="AY1033" s="9">
        <v>6</v>
      </c>
      <c r="AZ1033" s="9">
        <v>7</v>
      </c>
      <c r="BA1033" s="9">
        <v>8</v>
      </c>
      <c r="BB1033" s="9">
        <v>9</v>
      </c>
      <c r="BC1033" s="42"/>
      <c r="BD1033" s="113"/>
      <c r="BE1033" s="113"/>
      <c r="BF1033" s="9" t="s">
        <v>0</v>
      </c>
      <c r="BG1033" s="9">
        <v>1</v>
      </c>
      <c r="BH1033" s="9">
        <v>2</v>
      </c>
      <c r="BI1033" s="9">
        <v>3</v>
      </c>
      <c r="BJ1033" s="9">
        <v>4</v>
      </c>
      <c r="BK1033" s="9">
        <v>5</v>
      </c>
      <c r="BL1033" s="9">
        <v>6</v>
      </c>
      <c r="BM1033" s="9">
        <v>7</v>
      </c>
      <c r="BN1033" s="9">
        <v>8</v>
      </c>
      <c r="BO1033" s="9">
        <v>9</v>
      </c>
      <c r="BQ1033" s="113"/>
      <c r="BR1033" s="113"/>
      <c r="BS1033" s="9" t="s">
        <v>0</v>
      </c>
      <c r="BT1033" s="9">
        <v>1</v>
      </c>
      <c r="BU1033" s="9">
        <v>2</v>
      </c>
      <c r="BV1033" s="9">
        <v>3</v>
      </c>
      <c r="BW1033" s="9">
        <v>4</v>
      </c>
      <c r="BX1033" s="9">
        <v>5</v>
      </c>
      <c r="BY1033" s="9">
        <v>6</v>
      </c>
      <c r="BZ1033" s="9">
        <v>7</v>
      </c>
      <c r="CA1033" s="9">
        <v>8</v>
      </c>
      <c r="CB1033" s="9">
        <v>9</v>
      </c>
      <c r="CC1033" s="42"/>
      <c r="CD1033" s="113"/>
      <c r="CE1033" s="113"/>
      <c r="CF1033" s="9" t="s">
        <v>0</v>
      </c>
      <c r="CG1033" s="9">
        <v>1</v>
      </c>
      <c r="CH1033" s="9">
        <v>2</v>
      </c>
      <c r="CI1033" s="9">
        <v>3</v>
      </c>
      <c r="CJ1033" s="9">
        <v>4</v>
      </c>
      <c r="CK1033" s="9">
        <v>5</v>
      </c>
      <c r="CL1033" s="9">
        <v>6</v>
      </c>
      <c r="CM1033" s="9">
        <v>7</v>
      </c>
      <c r="CN1033" s="9">
        <v>8</v>
      </c>
      <c r="CO1033" s="9">
        <v>9</v>
      </c>
      <c r="CQ1033" s="113"/>
      <c r="CR1033" s="113"/>
      <c r="CS1033" s="9" t="s">
        <v>0</v>
      </c>
      <c r="CT1033" s="9">
        <v>1</v>
      </c>
      <c r="CU1033" s="9">
        <v>2</v>
      </c>
      <c r="CV1033" s="9">
        <v>3</v>
      </c>
      <c r="CW1033" s="9">
        <v>4</v>
      </c>
      <c r="CX1033" s="9">
        <v>5</v>
      </c>
      <c r="CY1033" s="9">
        <v>6</v>
      </c>
      <c r="CZ1033" s="9">
        <v>7</v>
      </c>
      <c r="DA1033" s="9">
        <v>8</v>
      </c>
      <c r="DB1033" s="9">
        <v>9</v>
      </c>
      <c r="DC1033" s="42"/>
      <c r="DD1033" s="113"/>
      <c r="DE1033" s="113"/>
      <c r="DF1033" s="9" t="s">
        <v>0</v>
      </c>
      <c r="DG1033" s="9">
        <v>1</v>
      </c>
      <c r="DH1033" s="9">
        <v>2</v>
      </c>
      <c r="DI1033" s="9">
        <v>3</v>
      </c>
      <c r="DJ1033" s="9">
        <v>4</v>
      </c>
      <c r="DK1033" s="9">
        <v>5</v>
      </c>
      <c r="DL1033" s="9">
        <v>6</v>
      </c>
      <c r="DM1033" s="9">
        <v>7</v>
      </c>
      <c r="DN1033" s="9">
        <v>8</v>
      </c>
      <c r="DO1033" s="9">
        <v>9</v>
      </c>
    </row>
    <row r="1034" spans="2:119" ht="16.5" customHeight="1" x14ac:dyDescent="0.45">
      <c r="B1034" s="134" t="s">
        <v>45</v>
      </c>
      <c r="C1034" s="42"/>
      <c r="D1034" s="109" t="s">
        <v>13</v>
      </c>
      <c r="E1034" s="46" t="s">
        <v>1</v>
      </c>
      <c r="F1034" s="103">
        <v>1</v>
      </c>
      <c r="G1034" s="103">
        <v>0</v>
      </c>
      <c r="H1034" s="103">
        <v>1</v>
      </c>
      <c r="I1034" s="103">
        <v>1</v>
      </c>
      <c r="J1034" s="103">
        <v>0</v>
      </c>
      <c r="K1034" s="103">
        <v>0</v>
      </c>
      <c r="L1034" s="103">
        <v>0</v>
      </c>
      <c r="M1034" s="103">
        <v>0</v>
      </c>
      <c r="N1034" s="103">
        <v>0</v>
      </c>
      <c r="O1034" s="17">
        <v>0</v>
      </c>
      <c r="P1034" s="42"/>
      <c r="Q1034" s="109" t="s">
        <v>13</v>
      </c>
      <c r="R1034" s="46" t="s">
        <v>1</v>
      </c>
      <c r="S1034" s="103">
        <v>0</v>
      </c>
      <c r="T1034" s="103">
        <v>0</v>
      </c>
      <c r="U1034" s="103">
        <v>1</v>
      </c>
      <c r="V1034" s="103">
        <v>0</v>
      </c>
      <c r="W1034" s="103">
        <v>0</v>
      </c>
      <c r="X1034" s="103">
        <v>0</v>
      </c>
      <c r="Y1034" s="103">
        <v>0</v>
      </c>
      <c r="Z1034" s="103">
        <v>0</v>
      </c>
      <c r="AA1034" s="103">
        <v>0</v>
      </c>
      <c r="AB1034" s="17">
        <v>0</v>
      </c>
      <c r="AC1034" s="42"/>
      <c r="AD1034" s="109" t="s">
        <v>13</v>
      </c>
      <c r="AE1034" s="46" t="s">
        <v>1</v>
      </c>
      <c r="AF1034" s="103">
        <v>1</v>
      </c>
      <c r="AG1034" s="103">
        <v>0</v>
      </c>
      <c r="AH1034" s="103">
        <v>0</v>
      </c>
      <c r="AI1034" s="103">
        <v>1</v>
      </c>
      <c r="AJ1034" s="103">
        <v>0</v>
      </c>
      <c r="AK1034" s="103">
        <v>0</v>
      </c>
      <c r="AL1034" s="103">
        <v>0</v>
      </c>
      <c r="AM1034" s="103">
        <v>0</v>
      </c>
      <c r="AN1034" s="103">
        <v>0</v>
      </c>
      <c r="AO1034" s="17">
        <v>0</v>
      </c>
      <c r="AP1034" s="6"/>
      <c r="AQ1034" s="109" t="s">
        <v>13</v>
      </c>
      <c r="AR1034" s="46" t="s">
        <v>1</v>
      </c>
      <c r="AS1034" s="103">
        <v>0</v>
      </c>
      <c r="AT1034" s="103">
        <v>0</v>
      </c>
      <c r="AU1034" s="103">
        <v>1</v>
      </c>
      <c r="AV1034" s="103">
        <v>1</v>
      </c>
      <c r="AW1034" s="103">
        <v>0</v>
      </c>
      <c r="AX1034" s="103">
        <v>0</v>
      </c>
      <c r="AY1034" s="103">
        <v>0</v>
      </c>
      <c r="AZ1034" s="103">
        <v>0</v>
      </c>
      <c r="BA1034" s="103">
        <v>0</v>
      </c>
      <c r="BB1034" s="17">
        <v>0</v>
      </c>
      <c r="BC1034" s="42"/>
      <c r="BD1034" s="109" t="s">
        <v>13</v>
      </c>
      <c r="BE1034" s="46" t="s">
        <v>1</v>
      </c>
      <c r="BF1034" s="103">
        <v>1</v>
      </c>
      <c r="BG1034" s="103">
        <v>0</v>
      </c>
      <c r="BH1034" s="103">
        <v>0</v>
      </c>
      <c r="BI1034" s="103">
        <v>0</v>
      </c>
      <c r="BJ1034" s="103">
        <v>0</v>
      </c>
      <c r="BK1034" s="103">
        <v>0</v>
      </c>
      <c r="BL1034" s="103">
        <v>0</v>
      </c>
      <c r="BM1034" s="103">
        <v>0</v>
      </c>
      <c r="BN1034" s="103">
        <v>0</v>
      </c>
      <c r="BO1034" s="17">
        <v>0</v>
      </c>
      <c r="BQ1034" s="109" t="s">
        <v>13</v>
      </c>
      <c r="BR1034" s="46" t="s">
        <v>1</v>
      </c>
      <c r="BS1034" s="103">
        <v>1</v>
      </c>
      <c r="BT1034" s="103">
        <v>0</v>
      </c>
      <c r="BU1034" s="103">
        <v>0</v>
      </c>
      <c r="BV1034" s="103">
        <v>0</v>
      </c>
      <c r="BW1034" s="103">
        <v>0</v>
      </c>
      <c r="BX1034" s="103">
        <v>0</v>
      </c>
      <c r="BY1034" s="103">
        <v>0</v>
      </c>
      <c r="BZ1034" s="103">
        <v>0</v>
      </c>
      <c r="CA1034" s="103">
        <v>0</v>
      </c>
      <c r="CB1034" s="17">
        <v>0</v>
      </c>
      <c r="CC1034" s="42"/>
      <c r="CD1034" s="109" t="s">
        <v>13</v>
      </c>
      <c r="CE1034" s="46" t="s">
        <v>1</v>
      </c>
      <c r="CF1034" s="103">
        <v>0</v>
      </c>
      <c r="CG1034" s="103">
        <v>0</v>
      </c>
      <c r="CH1034" s="103">
        <v>1</v>
      </c>
      <c r="CI1034" s="103">
        <v>1</v>
      </c>
      <c r="CJ1034" s="103">
        <v>0</v>
      </c>
      <c r="CK1034" s="103">
        <v>0</v>
      </c>
      <c r="CL1034" s="103">
        <v>0</v>
      </c>
      <c r="CM1034" s="103">
        <v>0</v>
      </c>
      <c r="CN1034" s="103">
        <v>0</v>
      </c>
      <c r="CO1034" s="17">
        <v>0</v>
      </c>
      <c r="CQ1034" s="109" t="s">
        <v>13</v>
      </c>
      <c r="CR1034" s="46" t="s">
        <v>1</v>
      </c>
      <c r="CS1034" s="103">
        <v>1</v>
      </c>
      <c r="CT1034" s="103">
        <v>0</v>
      </c>
      <c r="CU1034" s="103">
        <v>1</v>
      </c>
      <c r="CV1034" s="103">
        <v>1</v>
      </c>
      <c r="CW1034" s="103">
        <v>0</v>
      </c>
      <c r="CX1034" s="103">
        <v>0</v>
      </c>
      <c r="CY1034" s="103">
        <v>0</v>
      </c>
      <c r="CZ1034" s="103">
        <v>0</v>
      </c>
      <c r="DA1034" s="103">
        <v>0</v>
      </c>
      <c r="DB1034" s="17">
        <v>0</v>
      </c>
      <c r="DC1034" s="42"/>
      <c r="DD1034" s="109" t="s">
        <v>13</v>
      </c>
      <c r="DE1034" s="46" t="s">
        <v>1</v>
      </c>
      <c r="DF1034" s="103">
        <v>0</v>
      </c>
      <c r="DG1034" s="103">
        <v>0</v>
      </c>
      <c r="DH1034" s="103">
        <v>0</v>
      </c>
      <c r="DI1034" s="103">
        <v>0</v>
      </c>
      <c r="DJ1034" s="103">
        <v>0</v>
      </c>
      <c r="DK1034" s="103">
        <v>0</v>
      </c>
      <c r="DL1034" s="103">
        <v>0</v>
      </c>
      <c r="DM1034" s="103">
        <v>0</v>
      </c>
      <c r="DN1034" s="103">
        <v>0</v>
      </c>
      <c r="DO1034" s="17">
        <v>0</v>
      </c>
    </row>
    <row r="1035" spans="2:119" ht="16.5" customHeight="1" x14ac:dyDescent="0.45">
      <c r="B1035" s="134"/>
      <c r="C1035" s="42"/>
      <c r="D1035" s="110"/>
      <c r="E1035" s="46">
        <v>1</v>
      </c>
      <c r="F1035" s="103">
        <v>1</v>
      </c>
      <c r="G1035" s="103">
        <v>2</v>
      </c>
      <c r="H1035" s="103">
        <v>3</v>
      </c>
      <c r="I1035" s="103">
        <v>3</v>
      </c>
      <c r="J1035" s="103">
        <v>1</v>
      </c>
      <c r="K1035" s="103">
        <v>2</v>
      </c>
      <c r="L1035" s="103">
        <v>0</v>
      </c>
      <c r="M1035" s="103">
        <v>0</v>
      </c>
      <c r="N1035" s="103">
        <v>0</v>
      </c>
      <c r="O1035" s="103">
        <v>0</v>
      </c>
      <c r="P1035" s="42"/>
      <c r="Q1035" s="110"/>
      <c r="R1035" s="46">
        <v>1</v>
      </c>
      <c r="S1035" s="103">
        <v>1</v>
      </c>
      <c r="T1035" s="103">
        <v>0</v>
      </c>
      <c r="U1035" s="103">
        <v>0</v>
      </c>
      <c r="V1035" s="103">
        <v>1</v>
      </c>
      <c r="W1035" s="103">
        <v>1</v>
      </c>
      <c r="X1035" s="103">
        <v>1</v>
      </c>
      <c r="Y1035" s="103">
        <v>0</v>
      </c>
      <c r="Z1035" s="103">
        <v>0</v>
      </c>
      <c r="AA1035" s="103">
        <v>0</v>
      </c>
      <c r="AB1035" s="103">
        <v>0</v>
      </c>
      <c r="AC1035" s="42"/>
      <c r="AD1035" s="110"/>
      <c r="AE1035" s="46">
        <v>1</v>
      </c>
      <c r="AF1035" s="103">
        <v>0</v>
      </c>
      <c r="AG1035" s="103">
        <v>2</v>
      </c>
      <c r="AH1035" s="103">
        <v>3</v>
      </c>
      <c r="AI1035" s="103">
        <v>2</v>
      </c>
      <c r="AJ1035" s="103">
        <v>0</v>
      </c>
      <c r="AK1035" s="103">
        <v>1</v>
      </c>
      <c r="AL1035" s="103">
        <v>0</v>
      </c>
      <c r="AM1035" s="103">
        <v>0</v>
      </c>
      <c r="AN1035" s="103">
        <v>0</v>
      </c>
      <c r="AO1035" s="103">
        <v>0</v>
      </c>
      <c r="AP1035" s="6"/>
      <c r="AQ1035" s="110"/>
      <c r="AR1035" s="46">
        <v>1</v>
      </c>
      <c r="AS1035" s="103">
        <v>1</v>
      </c>
      <c r="AT1035" s="103">
        <v>1</v>
      </c>
      <c r="AU1035" s="103">
        <v>3</v>
      </c>
      <c r="AV1035" s="103">
        <v>1</v>
      </c>
      <c r="AW1035" s="103">
        <v>0</v>
      </c>
      <c r="AX1035" s="103">
        <v>0</v>
      </c>
      <c r="AY1035" s="103">
        <v>0</v>
      </c>
      <c r="AZ1035" s="103">
        <v>0</v>
      </c>
      <c r="BA1035" s="103">
        <v>0</v>
      </c>
      <c r="BB1035" s="103">
        <v>0</v>
      </c>
      <c r="BC1035" s="42"/>
      <c r="BD1035" s="110"/>
      <c r="BE1035" s="46">
        <v>1</v>
      </c>
      <c r="BF1035" s="103">
        <v>0</v>
      </c>
      <c r="BG1035" s="103">
        <v>1</v>
      </c>
      <c r="BH1035" s="103">
        <v>0</v>
      </c>
      <c r="BI1035" s="103">
        <v>2</v>
      </c>
      <c r="BJ1035" s="103">
        <v>1</v>
      </c>
      <c r="BK1035" s="103">
        <v>2</v>
      </c>
      <c r="BL1035" s="103">
        <v>0</v>
      </c>
      <c r="BM1035" s="103">
        <v>0</v>
      </c>
      <c r="BN1035" s="103">
        <v>0</v>
      </c>
      <c r="BO1035" s="103">
        <v>0</v>
      </c>
      <c r="BQ1035" s="110"/>
      <c r="BR1035" s="46">
        <v>1</v>
      </c>
      <c r="BS1035" s="103">
        <v>0</v>
      </c>
      <c r="BT1035" s="103">
        <v>2</v>
      </c>
      <c r="BU1035" s="103">
        <v>3</v>
      </c>
      <c r="BV1035" s="103">
        <v>0</v>
      </c>
      <c r="BW1035" s="103">
        <v>0</v>
      </c>
      <c r="BX1035" s="103">
        <v>0</v>
      </c>
      <c r="BY1035" s="103">
        <v>0</v>
      </c>
      <c r="BZ1035" s="103">
        <v>0</v>
      </c>
      <c r="CA1035" s="103">
        <v>0</v>
      </c>
      <c r="CB1035" s="103">
        <v>0</v>
      </c>
      <c r="CC1035" s="42"/>
      <c r="CD1035" s="110"/>
      <c r="CE1035" s="46">
        <v>1</v>
      </c>
      <c r="CF1035" s="103">
        <v>1</v>
      </c>
      <c r="CG1035" s="103">
        <v>0</v>
      </c>
      <c r="CH1035" s="103">
        <v>0</v>
      </c>
      <c r="CI1035" s="103">
        <v>3</v>
      </c>
      <c r="CJ1035" s="103">
        <v>1</v>
      </c>
      <c r="CK1035" s="103">
        <v>2</v>
      </c>
      <c r="CL1035" s="103">
        <v>0</v>
      </c>
      <c r="CM1035" s="103">
        <v>0</v>
      </c>
      <c r="CN1035" s="103">
        <v>0</v>
      </c>
      <c r="CO1035" s="103">
        <v>0</v>
      </c>
      <c r="CQ1035" s="110"/>
      <c r="CR1035" s="46">
        <v>1</v>
      </c>
      <c r="CS1035" s="103">
        <v>0</v>
      </c>
      <c r="CT1035" s="103">
        <v>1</v>
      </c>
      <c r="CU1035" s="103">
        <v>2</v>
      </c>
      <c r="CV1035" s="103">
        <v>3</v>
      </c>
      <c r="CW1035" s="103">
        <v>1</v>
      </c>
      <c r="CX1035" s="103">
        <v>2</v>
      </c>
      <c r="CY1035" s="103">
        <v>0</v>
      </c>
      <c r="CZ1035" s="103">
        <v>0</v>
      </c>
      <c r="DA1035" s="103">
        <v>0</v>
      </c>
      <c r="DB1035" s="103">
        <v>0</v>
      </c>
      <c r="DC1035" s="42"/>
      <c r="DD1035" s="110"/>
      <c r="DE1035" s="46">
        <v>1</v>
      </c>
      <c r="DF1035" s="103">
        <v>1</v>
      </c>
      <c r="DG1035" s="103">
        <v>1</v>
      </c>
      <c r="DH1035" s="103">
        <v>1</v>
      </c>
      <c r="DI1035" s="103">
        <v>0</v>
      </c>
      <c r="DJ1035" s="103">
        <v>0</v>
      </c>
      <c r="DK1035" s="103">
        <v>0</v>
      </c>
      <c r="DL1035" s="103">
        <v>0</v>
      </c>
      <c r="DM1035" s="103">
        <v>0</v>
      </c>
      <c r="DN1035" s="103">
        <v>0</v>
      </c>
      <c r="DO1035" s="103">
        <v>0</v>
      </c>
    </row>
    <row r="1036" spans="2:119" ht="16.5" customHeight="1" x14ac:dyDescent="0.45">
      <c r="B1036" s="134"/>
      <c r="C1036" s="42"/>
      <c r="D1036" s="110"/>
      <c r="E1036" s="46" t="s">
        <v>2</v>
      </c>
      <c r="F1036" s="103">
        <v>20</v>
      </c>
      <c r="G1036" s="103">
        <v>150</v>
      </c>
      <c r="H1036" s="103">
        <v>194</v>
      </c>
      <c r="I1036" s="103">
        <v>104</v>
      </c>
      <c r="J1036" s="103">
        <v>19</v>
      </c>
      <c r="K1036" s="103">
        <v>11</v>
      </c>
      <c r="L1036" s="103">
        <v>4</v>
      </c>
      <c r="M1036" s="103">
        <v>2</v>
      </c>
      <c r="N1036" s="103">
        <v>0</v>
      </c>
      <c r="O1036" s="103">
        <v>0</v>
      </c>
      <c r="P1036" s="42"/>
      <c r="Q1036" s="110"/>
      <c r="R1036" s="46" t="s">
        <v>2</v>
      </c>
      <c r="S1036" s="103">
        <v>5</v>
      </c>
      <c r="T1036" s="103">
        <v>41</v>
      </c>
      <c r="U1036" s="103">
        <v>37</v>
      </c>
      <c r="V1036" s="103">
        <v>26</v>
      </c>
      <c r="W1036" s="103">
        <v>3</v>
      </c>
      <c r="X1036" s="103">
        <v>2</v>
      </c>
      <c r="Y1036" s="103">
        <v>2</v>
      </c>
      <c r="Z1036" s="103">
        <v>1</v>
      </c>
      <c r="AA1036" s="103">
        <v>0</v>
      </c>
      <c r="AB1036" s="103">
        <v>0</v>
      </c>
      <c r="AC1036" s="42"/>
      <c r="AD1036" s="110"/>
      <c r="AE1036" s="46" t="s">
        <v>2</v>
      </c>
      <c r="AF1036" s="103">
        <v>15</v>
      </c>
      <c r="AG1036" s="103">
        <v>109</v>
      </c>
      <c r="AH1036" s="103">
        <v>157</v>
      </c>
      <c r="AI1036" s="103">
        <v>78</v>
      </c>
      <c r="AJ1036" s="103">
        <v>16</v>
      </c>
      <c r="AK1036" s="103">
        <v>9</v>
      </c>
      <c r="AL1036" s="103">
        <v>2</v>
      </c>
      <c r="AM1036" s="103">
        <v>1</v>
      </c>
      <c r="AN1036" s="103">
        <v>0</v>
      </c>
      <c r="AO1036" s="103">
        <v>0</v>
      </c>
      <c r="AP1036" s="6"/>
      <c r="AQ1036" s="110"/>
      <c r="AR1036" s="46" t="s">
        <v>2</v>
      </c>
      <c r="AS1036" s="103">
        <v>11</v>
      </c>
      <c r="AT1036" s="103">
        <v>70</v>
      </c>
      <c r="AU1036" s="103">
        <v>83</v>
      </c>
      <c r="AV1036" s="103">
        <v>38</v>
      </c>
      <c r="AW1036" s="103">
        <v>4</v>
      </c>
      <c r="AX1036" s="103">
        <v>3</v>
      </c>
      <c r="AY1036" s="103">
        <v>1</v>
      </c>
      <c r="AZ1036" s="103">
        <v>0</v>
      </c>
      <c r="BA1036" s="103">
        <v>0</v>
      </c>
      <c r="BB1036" s="103">
        <v>0</v>
      </c>
      <c r="BC1036" s="42"/>
      <c r="BD1036" s="110"/>
      <c r="BE1036" s="46" t="s">
        <v>2</v>
      </c>
      <c r="BF1036" s="103">
        <v>9</v>
      </c>
      <c r="BG1036" s="103">
        <v>80</v>
      </c>
      <c r="BH1036" s="103">
        <v>111</v>
      </c>
      <c r="BI1036" s="103">
        <v>66</v>
      </c>
      <c r="BJ1036" s="103">
        <v>15</v>
      </c>
      <c r="BK1036" s="103">
        <v>8</v>
      </c>
      <c r="BL1036" s="103">
        <v>3</v>
      </c>
      <c r="BM1036" s="103">
        <v>2</v>
      </c>
      <c r="BN1036" s="103">
        <v>0</v>
      </c>
      <c r="BO1036" s="103">
        <v>0</v>
      </c>
      <c r="BQ1036" s="110"/>
      <c r="BR1036" s="46" t="s">
        <v>2</v>
      </c>
      <c r="BS1036" s="103">
        <v>14</v>
      </c>
      <c r="BT1036" s="103">
        <v>109</v>
      </c>
      <c r="BU1036" s="103">
        <v>128</v>
      </c>
      <c r="BV1036" s="103">
        <v>62</v>
      </c>
      <c r="BW1036" s="103">
        <v>6</v>
      </c>
      <c r="BX1036" s="103">
        <v>5</v>
      </c>
      <c r="BY1036" s="103">
        <v>2</v>
      </c>
      <c r="BZ1036" s="103">
        <v>1</v>
      </c>
      <c r="CA1036" s="103">
        <v>0</v>
      </c>
      <c r="CB1036" s="103">
        <v>0</v>
      </c>
      <c r="CC1036" s="42"/>
      <c r="CD1036" s="110"/>
      <c r="CE1036" s="46" t="s">
        <v>2</v>
      </c>
      <c r="CF1036" s="103">
        <v>6</v>
      </c>
      <c r="CG1036" s="103">
        <v>41</v>
      </c>
      <c r="CH1036" s="103">
        <v>66</v>
      </c>
      <c r="CI1036" s="103">
        <v>42</v>
      </c>
      <c r="CJ1036" s="103">
        <v>13</v>
      </c>
      <c r="CK1036" s="103">
        <v>6</v>
      </c>
      <c r="CL1036" s="103">
        <v>2</v>
      </c>
      <c r="CM1036" s="103">
        <v>1</v>
      </c>
      <c r="CN1036" s="103">
        <v>0</v>
      </c>
      <c r="CO1036" s="103">
        <v>0</v>
      </c>
      <c r="CQ1036" s="110"/>
      <c r="CR1036" s="46" t="s">
        <v>2</v>
      </c>
      <c r="CS1036" s="103">
        <v>6</v>
      </c>
      <c r="CT1036" s="103">
        <v>36</v>
      </c>
      <c r="CU1036" s="103">
        <v>50</v>
      </c>
      <c r="CV1036" s="103">
        <v>32</v>
      </c>
      <c r="CW1036" s="103">
        <v>10</v>
      </c>
      <c r="CX1036" s="103">
        <v>6</v>
      </c>
      <c r="CY1036" s="103">
        <v>2</v>
      </c>
      <c r="CZ1036" s="103">
        <v>1</v>
      </c>
      <c r="DA1036" s="103">
        <v>0</v>
      </c>
      <c r="DB1036" s="103">
        <v>0</v>
      </c>
      <c r="DC1036" s="42"/>
      <c r="DD1036" s="110"/>
      <c r="DE1036" s="46" t="s">
        <v>2</v>
      </c>
      <c r="DF1036" s="103">
        <v>14</v>
      </c>
      <c r="DG1036" s="103">
        <v>114</v>
      </c>
      <c r="DH1036" s="103">
        <v>144</v>
      </c>
      <c r="DI1036" s="103">
        <v>72</v>
      </c>
      <c r="DJ1036" s="103">
        <v>9</v>
      </c>
      <c r="DK1036" s="103">
        <v>5</v>
      </c>
      <c r="DL1036" s="103">
        <v>2</v>
      </c>
      <c r="DM1036" s="103">
        <v>1</v>
      </c>
      <c r="DN1036" s="103">
        <v>0</v>
      </c>
      <c r="DO1036" s="103">
        <v>0</v>
      </c>
    </row>
    <row r="1037" spans="2:119" ht="16.5" customHeight="1" x14ac:dyDescent="0.45">
      <c r="B1037" s="134"/>
      <c r="C1037" s="42"/>
      <c r="D1037" s="110"/>
      <c r="E1037" s="46" t="s">
        <v>3</v>
      </c>
      <c r="F1037" s="103">
        <v>16</v>
      </c>
      <c r="G1037" s="103">
        <v>82</v>
      </c>
      <c r="H1037" s="103">
        <v>200</v>
      </c>
      <c r="I1037" s="103">
        <v>107</v>
      </c>
      <c r="J1037" s="103">
        <v>22</v>
      </c>
      <c r="K1037" s="103">
        <v>7</v>
      </c>
      <c r="L1037" s="103">
        <v>3</v>
      </c>
      <c r="M1037" s="103">
        <v>0</v>
      </c>
      <c r="N1037" s="103">
        <v>0</v>
      </c>
      <c r="O1037" s="103">
        <v>0</v>
      </c>
      <c r="P1037" s="42"/>
      <c r="Q1037" s="110"/>
      <c r="R1037" s="46" t="s">
        <v>3</v>
      </c>
      <c r="S1037" s="103">
        <v>6</v>
      </c>
      <c r="T1037" s="103">
        <v>36</v>
      </c>
      <c r="U1037" s="103">
        <v>40</v>
      </c>
      <c r="V1037" s="103">
        <v>18</v>
      </c>
      <c r="W1037" s="103">
        <v>5</v>
      </c>
      <c r="X1037" s="103">
        <v>2</v>
      </c>
      <c r="Y1037" s="103">
        <v>0</v>
      </c>
      <c r="Z1037" s="103">
        <v>0</v>
      </c>
      <c r="AA1037" s="103">
        <v>0</v>
      </c>
      <c r="AB1037" s="103">
        <v>0</v>
      </c>
      <c r="AC1037" s="42"/>
      <c r="AD1037" s="110"/>
      <c r="AE1037" s="46" t="s">
        <v>3</v>
      </c>
      <c r="AF1037" s="103">
        <v>10</v>
      </c>
      <c r="AG1037" s="103">
        <v>46</v>
      </c>
      <c r="AH1037" s="103">
        <v>160</v>
      </c>
      <c r="AI1037" s="103">
        <v>89</v>
      </c>
      <c r="AJ1037" s="103">
        <v>17</v>
      </c>
      <c r="AK1037" s="103">
        <v>5</v>
      </c>
      <c r="AL1037" s="103">
        <v>3</v>
      </c>
      <c r="AM1037" s="103">
        <v>0</v>
      </c>
      <c r="AN1037" s="103">
        <v>0</v>
      </c>
      <c r="AO1037" s="103">
        <v>0</v>
      </c>
      <c r="AP1037" s="6"/>
      <c r="AQ1037" s="110"/>
      <c r="AR1037" s="46" t="s">
        <v>3</v>
      </c>
      <c r="AS1037" s="103">
        <v>8</v>
      </c>
      <c r="AT1037" s="103">
        <v>46</v>
      </c>
      <c r="AU1037" s="103">
        <v>74</v>
      </c>
      <c r="AV1037" s="103">
        <v>28</v>
      </c>
      <c r="AW1037" s="103">
        <v>3</v>
      </c>
      <c r="AX1037" s="103">
        <v>0</v>
      </c>
      <c r="AY1037" s="103">
        <v>0</v>
      </c>
      <c r="AZ1037" s="103">
        <v>0</v>
      </c>
      <c r="BA1037" s="103">
        <v>0</v>
      </c>
      <c r="BB1037" s="103">
        <v>0</v>
      </c>
      <c r="BC1037" s="42"/>
      <c r="BD1037" s="110"/>
      <c r="BE1037" s="46" t="s">
        <v>3</v>
      </c>
      <c r="BF1037" s="103">
        <v>8</v>
      </c>
      <c r="BG1037" s="103">
        <v>36</v>
      </c>
      <c r="BH1037" s="103">
        <v>126</v>
      </c>
      <c r="BI1037" s="103">
        <v>79</v>
      </c>
      <c r="BJ1037" s="103">
        <v>19</v>
      </c>
      <c r="BK1037" s="103">
        <v>7</v>
      </c>
      <c r="BL1037" s="103">
        <v>3</v>
      </c>
      <c r="BM1037" s="103">
        <v>0</v>
      </c>
      <c r="BN1037" s="103">
        <v>0</v>
      </c>
      <c r="BO1037" s="103">
        <v>0</v>
      </c>
      <c r="BQ1037" s="110"/>
      <c r="BR1037" s="46" t="s">
        <v>3</v>
      </c>
      <c r="BS1037" s="103">
        <v>9</v>
      </c>
      <c r="BT1037" s="103">
        <v>37</v>
      </c>
      <c r="BU1037" s="103">
        <v>102</v>
      </c>
      <c r="BV1037" s="103">
        <v>52</v>
      </c>
      <c r="BW1037" s="103">
        <v>12</v>
      </c>
      <c r="BX1037" s="103">
        <v>4</v>
      </c>
      <c r="BY1037" s="103">
        <v>2</v>
      </c>
      <c r="BZ1037" s="103">
        <v>0</v>
      </c>
      <c r="CA1037" s="103">
        <v>0</v>
      </c>
      <c r="CB1037" s="103">
        <v>0</v>
      </c>
      <c r="CC1037" s="42"/>
      <c r="CD1037" s="110"/>
      <c r="CE1037" s="46" t="s">
        <v>3</v>
      </c>
      <c r="CF1037" s="103">
        <v>7</v>
      </c>
      <c r="CG1037" s="103">
        <v>45</v>
      </c>
      <c r="CH1037" s="103">
        <v>98</v>
      </c>
      <c r="CI1037" s="103">
        <v>55</v>
      </c>
      <c r="CJ1037" s="103">
        <v>10</v>
      </c>
      <c r="CK1037" s="103">
        <v>3</v>
      </c>
      <c r="CL1037" s="103">
        <v>1</v>
      </c>
      <c r="CM1037" s="103">
        <v>0</v>
      </c>
      <c r="CN1037" s="103">
        <v>0</v>
      </c>
      <c r="CO1037" s="103">
        <v>0</v>
      </c>
      <c r="CQ1037" s="110"/>
      <c r="CR1037" s="46" t="s">
        <v>3</v>
      </c>
      <c r="CS1037" s="103">
        <v>5</v>
      </c>
      <c r="CT1037" s="103">
        <v>24</v>
      </c>
      <c r="CU1037" s="103">
        <v>31</v>
      </c>
      <c r="CV1037" s="103">
        <v>25</v>
      </c>
      <c r="CW1037" s="103">
        <v>6</v>
      </c>
      <c r="CX1037" s="103">
        <v>2</v>
      </c>
      <c r="CY1037" s="103">
        <v>0</v>
      </c>
      <c r="CZ1037" s="103">
        <v>0</v>
      </c>
      <c r="DA1037" s="103">
        <v>0</v>
      </c>
      <c r="DB1037" s="103">
        <v>0</v>
      </c>
      <c r="DC1037" s="42"/>
      <c r="DD1037" s="110"/>
      <c r="DE1037" s="46" t="s">
        <v>3</v>
      </c>
      <c r="DF1037" s="103">
        <v>11</v>
      </c>
      <c r="DG1037" s="103">
        <v>58</v>
      </c>
      <c r="DH1037" s="103">
        <v>169</v>
      </c>
      <c r="DI1037" s="103">
        <v>82</v>
      </c>
      <c r="DJ1037" s="103">
        <v>16</v>
      </c>
      <c r="DK1037" s="103">
        <v>5</v>
      </c>
      <c r="DL1037" s="103">
        <v>3</v>
      </c>
      <c r="DM1037" s="103">
        <v>0</v>
      </c>
      <c r="DN1037" s="103">
        <v>0</v>
      </c>
      <c r="DO1037" s="103">
        <v>0</v>
      </c>
    </row>
    <row r="1038" spans="2:119" ht="16.5" customHeight="1" x14ac:dyDescent="0.45">
      <c r="B1038" s="134"/>
      <c r="C1038" s="42"/>
      <c r="D1038" s="110"/>
      <c r="E1038" s="46" t="s">
        <v>4</v>
      </c>
      <c r="F1038" s="103">
        <v>9</v>
      </c>
      <c r="G1038" s="103">
        <v>92</v>
      </c>
      <c r="H1038" s="103">
        <v>319</v>
      </c>
      <c r="I1038" s="103">
        <v>275</v>
      </c>
      <c r="J1038" s="103">
        <v>92</v>
      </c>
      <c r="K1038" s="103">
        <v>20</v>
      </c>
      <c r="L1038" s="103">
        <v>6</v>
      </c>
      <c r="M1038" s="103">
        <v>1</v>
      </c>
      <c r="N1038" s="103">
        <v>0</v>
      </c>
      <c r="O1038" s="103">
        <v>0</v>
      </c>
      <c r="P1038" s="42"/>
      <c r="Q1038" s="110"/>
      <c r="R1038" s="46" t="s">
        <v>4</v>
      </c>
      <c r="S1038" s="103">
        <v>2</v>
      </c>
      <c r="T1038" s="103">
        <v>31</v>
      </c>
      <c r="U1038" s="103">
        <v>85</v>
      </c>
      <c r="V1038" s="103">
        <v>64</v>
      </c>
      <c r="W1038" s="103">
        <v>31</v>
      </c>
      <c r="X1038" s="103">
        <v>6</v>
      </c>
      <c r="Y1038" s="103">
        <v>4</v>
      </c>
      <c r="Z1038" s="103">
        <v>0</v>
      </c>
      <c r="AA1038" s="103">
        <v>0</v>
      </c>
      <c r="AB1038" s="103">
        <v>0</v>
      </c>
      <c r="AC1038" s="42"/>
      <c r="AD1038" s="110"/>
      <c r="AE1038" s="46" t="s">
        <v>4</v>
      </c>
      <c r="AF1038" s="103">
        <v>7</v>
      </c>
      <c r="AG1038" s="103">
        <v>61</v>
      </c>
      <c r="AH1038" s="103">
        <v>234</v>
      </c>
      <c r="AI1038" s="103">
        <v>211</v>
      </c>
      <c r="AJ1038" s="103">
        <v>61</v>
      </c>
      <c r="AK1038" s="103">
        <v>14</v>
      </c>
      <c r="AL1038" s="103">
        <v>2</v>
      </c>
      <c r="AM1038" s="103">
        <v>1</v>
      </c>
      <c r="AN1038" s="103">
        <v>0</v>
      </c>
      <c r="AO1038" s="103">
        <v>0</v>
      </c>
      <c r="AP1038" s="6"/>
      <c r="AQ1038" s="110"/>
      <c r="AR1038" s="46" t="s">
        <v>4</v>
      </c>
      <c r="AS1038" s="103">
        <v>7</v>
      </c>
      <c r="AT1038" s="103">
        <v>41</v>
      </c>
      <c r="AU1038" s="103">
        <v>126</v>
      </c>
      <c r="AV1038" s="103">
        <v>83</v>
      </c>
      <c r="AW1038" s="103">
        <v>25</v>
      </c>
      <c r="AX1038" s="103">
        <v>4</v>
      </c>
      <c r="AY1038" s="103">
        <v>2</v>
      </c>
      <c r="AZ1038" s="103">
        <v>0</v>
      </c>
      <c r="BA1038" s="103">
        <v>0</v>
      </c>
      <c r="BB1038" s="103">
        <v>0</v>
      </c>
      <c r="BC1038" s="42"/>
      <c r="BD1038" s="110"/>
      <c r="BE1038" s="46" t="s">
        <v>4</v>
      </c>
      <c r="BF1038" s="103">
        <v>2</v>
      </c>
      <c r="BG1038" s="103">
        <v>51</v>
      </c>
      <c r="BH1038" s="103">
        <v>193</v>
      </c>
      <c r="BI1038" s="103">
        <v>192</v>
      </c>
      <c r="BJ1038" s="103">
        <v>67</v>
      </c>
      <c r="BK1038" s="103">
        <v>16</v>
      </c>
      <c r="BL1038" s="103">
        <v>4</v>
      </c>
      <c r="BM1038" s="103">
        <v>1</v>
      </c>
      <c r="BN1038" s="103">
        <v>0</v>
      </c>
      <c r="BO1038" s="103">
        <v>0</v>
      </c>
      <c r="BQ1038" s="110"/>
      <c r="BR1038" s="46" t="s">
        <v>4</v>
      </c>
      <c r="BS1038" s="103">
        <v>6</v>
      </c>
      <c r="BT1038" s="103">
        <v>45</v>
      </c>
      <c r="BU1038" s="103">
        <v>141</v>
      </c>
      <c r="BV1038" s="103">
        <v>101</v>
      </c>
      <c r="BW1038" s="103">
        <v>36</v>
      </c>
      <c r="BX1038" s="103">
        <v>8</v>
      </c>
      <c r="BY1038" s="103">
        <v>4</v>
      </c>
      <c r="BZ1038" s="103">
        <v>0</v>
      </c>
      <c r="CA1038" s="103">
        <v>0</v>
      </c>
      <c r="CB1038" s="103">
        <v>0</v>
      </c>
      <c r="CC1038" s="42"/>
      <c r="CD1038" s="110"/>
      <c r="CE1038" s="46" t="s">
        <v>4</v>
      </c>
      <c r="CF1038" s="103">
        <v>3</v>
      </c>
      <c r="CG1038" s="103">
        <v>47</v>
      </c>
      <c r="CH1038" s="103">
        <v>178</v>
      </c>
      <c r="CI1038" s="103">
        <v>174</v>
      </c>
      <c r="CJ1038" s="103">
        <v>56</v>
      </c>
      <c r="CK1038" s="103">
        <v>12</v>
      </c>
      <c r="CL1038" s="103">
        <v>2</v>
      </c>
      <c r="CM1038" s="103">
        <v>1</v>
      </c>
      <c r="CN1038" s="103">
        <v>0</v>
      </c>
      <c r="CO1038" s="103">
        <v>0</v>
      </c>
      <c r="CQ1038" s="110"/>
      <c r="CR1038" s="46" t="s">
        <v>4</v>
      </c>
      <c r="CS1038" s="103">
        <v>1</v>
      </c>
      <c r="CT1038" s="103">
        <v>11</v>
      </c>
      <c r="CU1038" s="103">
        <v>45</v>
      </c>
      <c r="CV1038" s="103">
        <v>51</v>
      </c>
      <c r="CW1038" s="103">
        <v>15</v>
      </c>
      <c r="CX1038" s="103">
        <v>6</v>
      </c>
      <c r="CY1038" s="103">
        <v>3</v>
      </c>
      <c r="CZ1038" s="103">
        <v>0</v>
      </c>
      <c r="DA1038" s="103">
        <v>0</v>
      </c>
      <c r="DB1038" s="103">
        <v>0</v>
      </c>
      <c r="DC1038" s="42"/>
      <c r="DD1038" s="110"/>
      <c r="DE1038" s="46" t="s">
        <v>4</v>
      </c>
      <c r="DF1038" s="103">
        <v>8</v>
      </c>
      <c r="DG1038" s="103">
        <v>81</v>
      </c>
      <c r="DH1038" s="103">
        <v>274</v>
      </c>
      <c r="DI1038" s="103">
        <v>224</v>
      </c>
      <c r="DJ1038" s="103">
        <v>77</v>
      </c>
      <c r="DK1038" s="103">
        <v>14</v>
      </c>
      <c r="DL1038" s="103">
        <v>3</v>
      </c>
      <c r="DM1038" s="103">
        <v>1</v>
      </c>
      <c r="DN1038" s="103">
        <v>0</v>
      </c>
      <c r="DO1038" s="103">
        <v>0</v>
      </c>
    </row>
    <row r="1039" spans="2:119" ht="16.5" customHeight="1" x14ac:dyDescent="0.45">
      <c r="B1039" s="134"/>
      <c r="C1039" s="42"/>
      <c r="D1039" s="110"/>
      <c r="E1039" s="46" t="s">
        <v>5</v>
      </c>
      <c r="F1039" s="103">
        <v>20</v>
      </c>
      <c r="G1039" s="103">
        <v>143</v>
      </c>
      <c r="H1039" s="103">
        <v>510</v>
      </c>
      <c r="I1039" s="103">
        <v>724</v>
      </c>
      <c r="J1039" s="103">
        <v>207</v>
      </c>
      <c r="K1039" s="103">
        <v>100</v>
      </c>
      <c r="L1039" s="103">
        <v>27</v>
      </c>
      <c r="M1039" s="103">
        <v>4</v>
      </c>
      <c r="N1039" s="103">
        <v>1</v>
      </c>
      <c r="O1039" s="103">
        <v>0</v>
      </c>
      <c r="P1039" s="42"/>
      <c r="Q1039" s="110"/>
      <c r="R1039" s="46" t="s">
        <v>5</v>
      </c>
      <c r="S1039" s="103">
        <v>7</v>
      </c>
      <c r="T1039" s="103">
        <v>48</v>
      </c>
      <c r="U1039" s="103">
        <v>148</v>
      </c>
      <c r="V1039" s="103">
        <v>209</v>
      </c>
      <c r="W1039" s="103">
        <v>69</v>
      </c>
      <c r="X1039" s="103">
        <v>42</v>
      </c>
      <c r="Y1039" s="103">
        <v>12</v>
      </c>
      <c r="Z1039" s="103">
        <v>1</v>
      </c>
      <c r="AA1039" s="103">
        <v>0</v>
      </c>
      <c r="AB1039" s="103">
        <v>0</v>
      </c>
      <c r="AC1039" s="42"/>
      <c r="AD1039" s="110"/>
      <c r="AE1039" s="46" t="s">
        <v>5</v>
      </c>
      <c r="AF1039" s="103">
        <v>13</v>
      </c>
      <c r="AG1039" s="103">
        <v>95</v>
      </c>
      <c r="AH1039" s="103">
        <v>362</v>
      </c>
      <c r="AI1039" s="103">
        <v>515</v>
      </c>
      <c r="AJ1039" s="103">
        <v>138</v>
      </c>
      <c r="AK1039" s="103">
        <v>58</v>
      </c>
      <c r="AL1039" s="103">
        <v>15</v>
      </c>
      <c r="AM1039" s="103">
        <v>3</v>
      </c>
      <c r="AN1039" s="103">
        <v>1</v>
      </c>
      <c r="AO1039" s="103">
        <v>0</v>
      </c>
      <c r="AP1039" s="6"/>
      <c r="AQ1039" s="110"/>
      <c r="AR1039" s="46" t="s">
        <v>5</v>
      </c>
      <c r="AS1039" s="103">
        <v>9</v>
      </c>
      <c r="AT1039" s="103">
        <v>73</v>
      </c>
      <c r="AU1039" s="103">
        <v>185</v>
      </c>
      <c r="AV1039" s="103">
        <v>188</v>
      </c>
      <c r="AW1039" s="103">
        <v>44</v>
      </c>
      <c r="AX1039" s="103">
        <v>23</v>
      </c>
      <c r="AY1039" s="103">
        <v>4</v>
      </c>
      <c r="AZ1039" s="103">
        <v>1</v>
      </c>
      <c r="BA1039" s="103">
        <v>1</v>
      </c>
      <c r="BB1039" s="103">
        <v>0</v>
      </c>
      <c r="BC1039" s="42"/>
      <c r="BD1039" s="110"/>
      <c r="BE1039" s="46" t="s">
        <v>5</v>
      </c>
      <c r="BF1039" s="103">
        <v>11</v>
      </c>
      <c r="BG1039" s="103">
        <v>70</v>
      </c>
      <c r="BH1039" s="103">
        <v>325</v>
      </c>
      <c r="BI1039" s="103">
        <v>536</v>
      </c>
      <c r="BJ1039" s="103">
        <v>163</v>
      </c>
      <c r="BK1039" s="103">
        <v>77</v>
      </c>
      <c r="BL1039" s="103">
        <v>23</v>
      </c>
      <c r="BM1039" s="103">
        <v>3</v>
      </c>
      <c r="BN1039" s="103">
        <v>0</v>
      </c>
      <c r="BO1039" s="103">
        <v>0</v>
      </c>
      <c r="BQ1039" s="110"/>
      <c r="BR1039" s="46" t="s">
        <v>5</v>
      </c>
      <c r="BS1039" s="103">
        <v>12</v>
      </c>
      <c r="BT1039" s="103">
        <v>58</v>
      </c>
      <c r="BU1039" s="103">
        <v>149</v>
      </c>
      <c r="BV1039" s="103">
        <v>168</v>
      </c>
      <c r="BW1039" s="103">
        <v>41</v>
      </c>
      <c r="BX1039" s="103">
        <v>27</v>
      </c>
      <c r="BY1039" s="103">
        <v>6</v>
      </c>
      <c r="BZ1039" s="103">
        <v>1</v>
      </c>
      <c r="CA1039" s="103">
        <v>0</v>
      </c>
      <c r="CB1039" s="103">
        <v>0</v>
      </c>
      <c r="CC1039" s="42"/>
      <c r="CD1039" s="110"/>
      <c r="CE1039" s="46" t="s">
        <v>5</v>
      </c>
      <c r="CF1039" s="103">
        <v>8</v>
      </c>
      <c r="CG1039" s="103">
        <v>85</v>
      </c>
      <c r="CH1039" s="103">
        <v>361</v>
      </c>
      <c r="CI1039" s="103">
        <v>556</v>
      </c>
      <c r="CJ1039" s="103">
        <v>166</v>
      </c>
      <c r="CK1039" s="103">
        <v>73</v>
      </c>
      <c r="CL1039" s="103">
        <v>21</v>
      </c>
      <c r="CM1039" s="103">
        <v>3</v>
      </c>
      <c r="CN1039" s="103">
        <v>1</v>
      </c>
      <c r="CO1039" s="103">
        <v>0</v>
      </c>
      <c r="CQ1039" s="110"/>
      <c r="CR1039" s="46" t="s">
        <v>5</v>
      </c>
      <c r="CS1039" s="103">
        <v>1</v>
      </c>
      <c r="CT1039" s="103">
        <v>18</v>
      </c>
      <c r="CU1039" s="103">
        <v>53</v>
      </c>
      <c r="CV1039" s="103">
        <v>95</v>
      </c>
      <c r="CW1039" s="103">
        <v>28</v>
      </c>
      <c r="CX1039" s="103">
        <v>19</v>
      </c>
      <c r="CY1039" s="103">
        <v>6</v>
      </c>
      <c r="CZ1039" s="103">
        <v>2</v>
      </c>
      <c r="DA1039" s="103">
        <v>0</v>
      </c>
      <c r="DB1039" s="103">
        <v>0</v>
      </c>
      <c r="DC1039" s="42"/>
      <c r="DD1039" s="110"/>
      <c r="DE1039" s="46" t="s">
        <v>5</v>
      </c>
      <c r="DF1039" s="103">
        <v>19</v>
      </c>
      <c r="DG1039" s="103">
        <v>125</v>
      </c>
      <c r="DH1039" s="103">
        <v>457</v>
      </c>
      <c r="DI1039" s="103">
        <v>629</v>
      </c>
      <c r="DJ1039" s="103">
        <v>179</v>
      </c>
      <c r="DK1039" s="103">
        <v>81</v>
      </c>
      <c r="DL1039" s="103">
        <v>21</v>
      </c>
      <c r="DM1039" s="103">
        <v>2</v>
      </c>
      <c r="DN1039" s="103">
        <v>1</v>
      </c>
      <c r="DO1039" s="103">
        <v>0</v>
      </c>
    </row>
    <row r="1040" spans="2:119" ht="16.5" customHeight="1" x14ac:dyDescent="0.45">
      <c r="B1040" s="134"/>
      <c r="C1040" s="42"/>
      <c r="D1040" s="110"/>
      <c r="E1040" s="46" t="s">
        <v>6</v>
      </c>
      <c r="F1040" s="103">
        <v>19</v>
      </c>
      <c r="G1040" s="103">
        <v>175</v>
      </c>
      <c r="H1040" s="103">
        <v>948</v>
      </c>
      <c r="I1040" s="103">
        <v>1880</v>
      </c>
      <c r="J1040" s="103">
        <v>755</v>
      </c>
      <c r="K1040" s="103">
        <v>449</v>
      </c>
      <c r="L1040" s="103">
        <v>198</v>
      </c>
      <c r="M1040" s="103">
        <v>38</v>
      </c>
      <c r="N1040" s="103">
        <v>10</v>
      </c>
      <c r="O1040" s="103">
        <v>1</v>
      </c>
      <c r="P1040" s="42"/>
      <c r="Q1040" s="110"/>
      <c r="R1040" s="46" t="s">
        <v>6</v>
      </c>
      <c r="S1040" s="103">
        <v>4</v>
      </c>
      <c r="T1040" s="103">
        <v>63</v>
      </c>
      <c r="U1040" s="103">
        <v>290</v>
      </c>
      <c r="V1040" s="103">
        <v>584</v>
      </c>
      <c r="W1040" s="103">
        <v>258</v>
      </c>
      <c r="X1040" s="103">
        <v>191</v>
      </c>
      <c r="Y1040" s="103">
        <v>76</v>
      </c>
      <c r="Z1040" s="103">
        <v>17</v>
      </c>
      <c r="AA1040" s="103">
        <v>7</v>
      </c>
      <c r="AB1040" s="103">
        <v>1</v>
      </c>
      <c r="AC1040" s="42"/>
      <c r="AD1040" s="110"/>
      <c r="AE1040" s="46" t="s">
        <v>6</v>
      </c>
      <c r="AF1040" s="103">
        <v>15</v>
      </c>
      <c r="AG1040" s="103">
        <v>112</v>
      </c>
      <c r="AH1040" s="103">
        <v>658</v>
      </c>
      <c r="AI1040" s="103">
        <v>1296</v>
      </c>
      <c r="AJ1040" s="103">
        <v>497</v>
      </c>
      <c r="AK1040" s="103">
        <v>258</v>
      </c>
      <c r="AL1040" s="103">
        <v>122</v>
      </c>
      <c r="AM1040" s="103">
        <v>21</v>
      </c>
      <c r="AN1040" s="103">
        <v>3</v>
      </c>
      <c r="AO1040" s="103">
        <v>0</v>
      </c>
      <c r="AP1040" s="6"/>
      <c r="AQ1040" s="110"/>
      <c r="AR1040" s="46" t="s">
        <v>6</v>
      </c>
      <c r="AS1040" s="103">
        <v>12</v>
      </c>
      <c r="AT1040" s="103">
        <v>86</v>
      </c>
      <c r="AU1040" s="103">
        <v>311</v>
      </c>
      <c r="AV1040" s="103">
        <v>449</v>
      </c>
      <c r="AW1040" s="103">
        <v>133</v>
      </c>
      <c r="AX1040" s="103">
        <v>74</v>
      </c>
      <c r="AY1040" s="103">
        <v>22</v>
      </c>
      <c r="AZ1040" s="103">
        <v>3</v>
      </c>
      <c r="BA1040" s="103">
        <v>2</v>
      </c>
      <c r="BB1040" s="103">
        <v>1</v>
      </c>
      <c r="BC1040" s="42"/>
      <c r="BD1040" s="110"/>
      <c r="BE1040" s="46" t="s">
        <v>6</v>
      </c>
      <c r="BF1040" s="103">
        <v>7</v>
      </c>
      <c r="BG1040" s="103">
        <v>89</v>
      </c>
      <c r="BH1040" s="103">
        <v>637</v>
      </c>
      <c r="BI1040" s="103">
        <v>1431</v>
      </c>
      <c r="BJ1040" s="103">
        <v>622</v>
      </c>
      <c r="BK1040" s="103">
        <v>375</v>
      </c>
      <c r="BL1040" s="103">
        <v>176</v>
      </c>
      <c r="BM1040" s="103">
        <v>35</v>
      </c>
      <c r="BN1040" s="103">
        <v>8</v>
      </c>
      <c r="BO1040" s="103">
        <v>0</v>
      </c>
      <c r="BQ1040" s="110"/>
      <c r="BR1040" s="46" t="s">
        <v>6</v>
      </c>
      <c r="BS1040" s="103">
        <v>10</v>
      </c>
      <c r="BT1040" s="103">
        <v>54</v>
      </c>
      <c r="BU1040" s="103">
        <v>209</v>
      </c>
      <c r="BV1040" s="103">
        <v>286</v>
      </c>
      <c r="BW1040" s="103">
        <v>90</v>
      </c>
      <c r="BX1040" s="103">
        <v>35</v>
      </c>
      <c r="BY1040" s="103">
        <v>21</v>
      </c>
      <c r="BZ1040" s="103">
        <v>7</v>
      </c>
      <c r="CA1040" s="103">
        <v>0</v>
      </c>
      <c r="CB1040" s="103">
        <v>0</v>
      </c>
      <c r="CC1040" s="42"/>
      <c r="CD1040" s="110"/>
      <c r="CE1040" s="46" t="s">
        <v>6</v>
      </c>
      <c r="CF1040" s="103">
        <v>9</v>
      </c>
      <c r="CG1040" s="103">
        <v>121</v>
      </c>
      <c r="CH1040" s="103">
        <v>739</v>
      </c>
      <c r="CI1040" s="103">
        <v>1594</v>
      </c>
      <c r="CJ1040" s="103">
        <v>665</v>
      </c>
      <c r="CK1040" s="103">
        <v>414</v>
      </c>
      <c r="CL1040" s="103">
        <v>177</v>
      </c>
      <c r="CM1040" s="103">
        <v>31</v>
      </c>
      <c r="CN1040" s="103">
        <v>10</v>
      </c>
      <c r="CO1040" s="103">
        <v>1</v>
      </c>
      <c r="CQ1040" s="110"/>
      <c r="CR1040" s="46" t="s">
        <v>6</v>
      </c>
      <c r="CS1040" s="103">
        <v>2</v>
      </c>
      <c r="CT1040" s="103">
        <v>25</v>
      </c>
      <c r="CU1040" s="103">
        <v>118</v>
      </c>
      <c r="CV1040" s="103">
        <v>225</v>
      </c>
      <c r="CW1040" s="103">
        <v>90</v>
      </c>
      <c r="CX1040" s="103">
        <v>57</v>
      </c>
      <c r="CY1040" s="103">
        <v>23</v>
      </c>
      <c r="CZ1040" s="103">
        <v>5</v>
      </c>
      <c r="DA1040" s="103">
        <v>1</v>
      </c>
      <c r="DB1040" s="103">
        <v>0</v>
      </c>
      <c r="DC1040" s="42"/>
      <c r="DD1040" s="110"/>
      <c r="DE1040" s="46" t="s">
        <v>6</v>
      </c>
      <c r="DF1040" s="103">
        <v>17</v>
      </c>
      <c r="DG1040" s="103">
        <v>150</v>
      </c>
      <c r="DH1040" s="103">
        <v>830</v>
      </c>
      <c r="DI1040" s="103">
        <v>1655</v>
      </c>
      <c r="DJ1040" s="103">
        <v>665</v>
      </c>
      <c r="DK1040" s="103">
        <v>392</v>
      </c>
      <c r="DL1040" s="103">
        <v>175</v>
      </c>
      <c r="DM1040" s="103">
        <v>33</v>
      </c>
      <c r="DN1040" s="103">
        <v>9</v>
      </c>
      <c r="DO1040" s="103">
        <v>1</v>
      </c>
    </row>
    <row r="1041" spans="2:119" ht="16.5" customHeight="1" x14ac:dyDescent="0.45">
      <c r="B1041" s="134"/>
      <c r="C1041" s="42"/>
      <c r="D1041" s="110"/>
      <c r="E1041" s="46" t="s">
        <v>7</v>
      </c>
      <c r="F1041" s="103">
        <v>25</v>
      </c>
      <c r="G1041" s="103">
        <v>178</v>
      </c>
      <c r="H1041" s="103">
        <v>1170</v>
      </c>
      <c r="I1041" s="103">
        <v>3573</v>
      </c>
      <c r="J1041" s="103">
        <v>2026</v>
      </c>
      <c r="K1041" s="103">
        <v>1578</v>
      </c>
      <c r="L1041" s="103">
        <v>852</v>
      </c>
      <c r="M1041" s="103">
        <v>230</v>
      </c>
      <c r="N1041" s="103">
        <v>91</v>
      </c>
      <c r="O1041" s="103">
        <v>14</v>
      </c>
      <c r="P1041" s="42"/>
      <c r="Q1041" s="110"/>
      <c r="R1041" s="46" t="s">
        <v>7</v>
      </c>
      <c r="S1041" s="103">
        <v>12</v>
      </c>
      <c r="T1041" s="103">
        <v>50</v>
      </c>
      <c r="U1041" s="103">
        <v>375</v>
      </c>
      <c r="V1041" s="103">
        <v>1091</v>
      </c>
      <c r="W1041" s="103">
        <v>669</v>
      </c>
      <c r="X1041" s="103">
        <v>615</v>
      </c>
      <c r="Y1041" s="103">
        <v>364</v>
      </c>
      <c r="Z1041" s="103">
        <v>133</v>
      </c>
      <c r="AA1041" s="103">
        <v>53</v>
      </c>
      <c r="AB1041" s="103">
        <v>10</v>
      </c>
      <c r="AC1041" s="42"/>
      <c r="AD1041" s="110"/>
      <c r="AE1041" s="46" t="s">
        <v>7</v>
      </c>
      <c r="AF1041" s="103">
        <v>13</v>
      </c>
      <c r="AG1041" s="103">
        <v>128</v>
      </c>
      <c r="AH1041" s="103">
        <v>795</v>
      </c>
      <c r="AI1041" s="103">
        <v>2482</v>
      </c>
      <c r="AJ1041" s="103">
        <v>1357</v>
      </c>
      <c r="AK1041" s="103">
        <v>963</v>
      </c>
      <c r="AL1041" s="103">
        <v>488</v>
      </c>
      <c r="AM1041" s="103">
        <v>97</v>
      </c>
      <c r="AN1041" s="103">
        <v>38</v>
      </c>
      <c r="AO1041" s="103">
        <v>4</v>
      </c>
      <c r="AP1041" s="6"/>
      <c r="AQ1041" s="110"/>
      <c r="AR1041" s="46" t="s">
        <v>7</v>
      </c>
      <c r="AS1041" s="103">
        <v>16</v>
      </c>
      <c r="AT1041" s="103">
        <v>76</v>
      </c>
      <c r="AU1041" s="103">
        <v>407</v>
      </c>
      <c r="AV1041" s="103">
        <v>832</v>
      </c>
      <c r="AW1041" s="103">
        <v>365</v>
      </c>
      <c r="AX1041" s="103">
        <v>264</v>
      </c>
      <c r="AY1041" s="103">
        <v>117</v>
      </c>
      <c r="AZ1041" s="103">
        <v>33</v>
      </c>
      <c r="BA1041" s="103">
        <v>10</v>
      </c>
      <c r="BB1041" s="103">
        <v>0</v>
      </c>
      <c r="BC1041" s="42"/>
      <c r="BD1041" s="110"/>
      <c r="BE1041" s="46" t="s">
        <v>7</v>
      </c>
      <c r="BF1041" s="103">
        <v>9</v>
      </c>
      <c r="BG1041" s="103">
        <v>102</v>
      </c>
      <c r="BH1041" s="103">
        <v>763</v>
      </c>
      <c r="BI1041" s="103">
        <v>2741</v>
      </c>
      <c r="BJ1041" s="103">
        <v>1661</v>
      </c>
      <c r="BK1041" s="103">
        <v>1314</v>
      </c>
      <c r="BL1041" s="103">
        <v>735</v>
      </c>
      <c r="BM1041" s="103">
        <v>197</v>
      </c>
      <c r="BN1041" s="103">
        <v>81</v>
      </c>
      <c r="BO1041" s="103">
        <v>14</v>
      </c>
      <c r="BQ1041" s="110"/>
      <c r="BR1041" s="46" t="s">
        <v>7</v>
      </c>
      <c r="BS1041" s="103">
        <v>5</v>
      </c>
      <c r="BT1041" s="103">
        <v>34</v>
      </c>
      <c r="BU1041" s="103">
        <v>180</v>
      </c>
      <c r="BV1041" s="103">
        <v>370</v>
      </c>
      <c r="BW1041" s="103">
        <v>154</v>
      </c>
      <c r="BX1041" s="103">
        <v>117</v>
      </c>
      <c r="BY1041" s="103">
        <v>63</v>
      </c>
      <c r="BZ1041" s="103">
        <v>18</v>
      </c>
      <c r="CA1041" s="103">
        <v>8</v>
      </c>
      <c r="CB1041" s="103">
        <v>2</v>
      </c>
      <c r="CC1041" s="42"/>
      <c r="CD1041" s="110"/>
      <c r="CE1041" s="46" t="s">
        <v>7</v>
      </c>
      <c r="CF1041" s="103">
        <v>20</v>
      </c>
      <c r="CG1041" s="103">
        <v>144</v>
      </c>
      <c r="CH1041" s="103">
        <v>990</v>
      </c>
      <c r="CI1041" s="103">
        <v>3203</v>
      </c>
      <c r="CJ1041" s="103">
        <v>1872</v>
      </c>
      <c r="CK1041" s="103">
        <v>1461</v>
      </c>
      <c r="CL1041" s="103">
        <v>789</v>
      </c>
      <c r="CM1041" s="103">
        <v>212</v>
      </c>
      <c r="CN1041" s="103">
        <v>83</v>
      </c>
      <c r="CO1041" s="103">
        <v>12</v>
      </c>
      <c r="CQ1041" s="110"/>
      <c r="CR1041" s="46" t="s">
        <v>7</v>
      </c>
      <c r="CS1041" s="103">
        <v>4</v>
      </c>
      <c r="CT1041" s="103">
        <v>21</v>
      </c>
      <c r="CU1041" s="103">
        <v>130</v>
      </c>
      <c r="CV1041" s="103">
        <v>334</v>
      </c>
      <c r="CW1041" s="103">
        <v>212</v>
      </c>
      <c r="CX1041" s="103">
        <v>167</v>
      </c>
      <c r="CY1041" s="103">
        <v>107</v>
      </c>
      <c r="CZ1041" s="103">
        <v>24</v>
      </c>
      <c r="DA1041" s="103">
        <v>13</v>
      </c>
      <c r="DB1041" s="103">
        <v>0</v>
      </c>
      <c r="DC1041" s="42"/>
      <c r="DD1041" s="110"/>
      <c r="DE1041" s="46" t="s">
        <v>7</v>
      </c>
      <c r="DF1041" s="103">
        <v>21</v>
      </c>
      <c r="DG1041" s="103">
        <v>157</v>
      </c>
      <c r="DH1041" s="103">
        <v>1040</v>
      </c>
      <c r="DI1041" s="103">
        <v>3239</v>
      </c>
      <c r="DJ1041" s="103">
        <v>1814</v>
      </c>
      <c r="DK1041" s="103">
        <v>1411</v>
      </c>
      <c r="DL1041" s="103">
        <v>745</v>
      </c>
      <c r="DM1041" s="103">
        <v>206</v>
      </c>
      <c r="DN1041" s="103">
        <v>78</v>
      </c>
      <c r="DO1041" s="103">
        <v>14</v>
      </c>
    </row>
    <row r="1042" spans="2:119" ht="16.5" customHeight="1" x14ac:dyDescent="0.45">
      <c r="B1042" s="134"/>
      <c r="C1042" s="42"/>
      <c r="D1042" s="110"/>
      <c r="E1042" s="46" t="s">
        <v>8</v>
      </c>
      <c r="F1042" s="103">
        <v>16</v>
      </c>
      <c r="G1042" s="103">
        <v>132</v>
      </c>
      <c r="H1042" s="103">
        <v>960</v>
      </c>
      <c r="I1042" s="103">
        <v>3957</v>
      </c>
      <c r="J1042" s="103">
        <v>3261</v>
      </c>
      <c r="K1042" s="103">
        <v>3198</v>
      </c>
      <c r="L1042" s="103">
        <v>2367</v>
      </c>
      <c r="M1042" s="103">
        <v>850</v>
      </c>
      <c r="N1042" s="103">
        <v>348</v>
      </c>
      <c r="O1042" s="103">
        <v>88</v>
      </c>
      <c r="P1042" s="42"/>
      <c r="Q1042" s="110"/>
      <c r="R1042" s="46" t="s">
        <v>8</v>
      </c>
      <c r="S1042" s="103">
        <v>3</v>
      </c>
      <c r="T1042" s="103">
        <v>44</v>
      </c>
      <c r="U1042" s="103">
        <v>270</v>
      </c>
      <c r="V1042" s="103">
        <v>1243</v>
      </c>
      <c r="W1042" s="103">
        <v>1072</v>
      </c>
      <c r="X1042" s="103">
        <v>1215</v>
      </c>
      <c r="Y1042" s="103">
        <v>1064</v>
      </c>
      <c r="Z1042" s="103">
        <v>433</v>
      </c>
      <c r="AA1042" s="103">
        <v>192</v>
      </c>
      <c r="AB1042" s="103">
        <v>57</v>
      </c>
      <c r="AC1042" s="42"/>
      <c r="AD1042" s="110"/>
      <c r="AE1042" s="46" t="s">
        <v>8</v>
      </c>
      <c r="AF1042" s="103">
        <v>13</v>
      </c>
      <c r="AG1042" s="103">
        <v>88</v>
      </c>
      <c r="AH1042" s="103">
        <v>690</v>
      </c>
      <c r="AI1042" s="103">
        <v>2714</v>
      </c>
      <c r="AJ1042" s="103">
        <v>2189</v>
      </c>
      <c r="AK1042" s="103">
        <v>1983</v>
      </c>
      <c r="AL1042" s="103">
        <v>1303</v>
      </c>
      <c r="AM1042" s="103">
        <v>417</v>
      </c>
      <c r="AN1042" s="103">
        <v>156</v>
      </c>
      <c r="AO1042" s="103">
        <v>31</v>
      </c>
      <c r="AP1042" s="6"/>
      <c r="AQ1042" s="110"/>
      <c r="AR1042" s="46" t="s">
        <v>8</v>
      </c>
      <c r="AS1042" s="103">
        <v>8</v>
      </c>
      <c r="AT1042" s="103">
        <v>66</v>
      </c>
      <c r="AU1042" s="103">
        <v>349</v>
      </c>
      <c r="AV1042" s="103">
        <v>940</v>
      </c>
      <c r="AW1042" s="103">
        <v>543</v>
      </c>
      <c r="AX1042" s="103">
        <v>424</v>
      </c>
      <c r="AY1042" s="103">
        <v>271</v>
      </c>
      <c r="AZ1042" s="103">
        <v>83</v>
      </c>
      <c r="BA1042" s="103">
        <v>23</v>
      </c>
      <c r="BB1042" s="103">
        <v>6</v>
      </c>
      <c r="BC1042" s="42"/>
      <c r="BD1042" s="110"/>
      <c r="BE1042" s="46" t="s">
        <v>8</v>
      </c>
      <c r="BF1042" s="103">
        <v>8</v>
      </c>
      <c r="BG1042" s="103">
        <v>66</v>
      </c>
      <c r="BH1042" s="103">
        <v>611</v>
      </c>
      <c r="BI1042" s="103">
        <v>3017</v>
      </c>
      <c r="BJ1042" s="103">
        <v>2718</v>
      </c>
      <c r="BK1042" s="103">
        <v>2774</v>
      </c>
      <c r="BL1042" s="103">
        <v>2096</v>
      </c>
      <c r="BM1042" s="103">
        <v>767</v>
      </c>
      <c r="BN1042" s="103">
        <v>325</v>
      </c>
      <c r="BO1042" s="103">
        <v>82</v>
      </c>
      <c r="BQ1042" s="110"/>
      <c r="BR1042" s="46" t="s">
        <v>8</v>
      </c>
      <c r="BS1042" s="103">
        <v>2</v>
      </c>
      <c r="BT1042" s="103">
        <v>31</v>
      </c>
      <c r="BU1042" s="103">
        <v>128</v>
      </c>
      <c r="BV1042" s="103">
        <v>275</v>
      </c>
      <c r="BW1042" s="103">
        <v>186</v>
      </c>
      <c r="BX1042" s="103">
        <v>145</v>
      </c>
      <c r="BY1042" s="103">
        <v>100</v>
      </c>
      <c r="BZ1042" s="103">
        <v>31</v>
      </c>
      <c r="CA1042" s="103">
        <v>20</v>
      </c>
      <c r="CB1042" s="103">
        <v>1</v>
      </c>
      <c r="CC1042" s="42"/>
      <c r="CD1042" s="110"/>
      <c r="CE1042" s="46" t="s">
        <v>8</v>
      </c>
      <c r="CF1042" s="103">
        <v>14</v>
      </c>
      <c r="CG1042" s="103">
        <v>101</v>
      </c>
      <c r="CH1042" s="103">
        <v>832</v>
      </c>
      <c r="CI1042" s="103">
        <v>3682</v>
      </c>
      <c r="CJ1042" s="103">
        <v>3075</v>
      </c>
      <c r="CK1042" s="103">
        <v>3053</v>
      </c>
      <c r="CL1042" s="103">
        <v>2267</v>
      </c>
      <c r="CM1042" s="103">
        <v>819</v>
      </c>
      <c r="CN1042" s="103">
        <v>328</v>
      </c>
      <c r="CO1042" s="103">
        <v>87</v>
      </c>
      <c r="CQ1042" s="110"/>
      <c r="CR1042" s="46" t="s">
        <v>8</v>
      </c>
      <c r="CS1042" s="103">
        <v>1</v>
      </c>
      <c r="CT1042" s="103">
        <v>13</v>
      </c>
      <c r="CU1042" s="103">
        <v>94</v>
      </c>
      <c r="CV1042" s="103">
        <v>329</v>
      </c>
      <c r="CW1042" s="103">
        <v>250</v>
      </c>
      <c r="CX1042" s="103">
        <v>277</v>
      </c>
      <c r="CY1042" s="103">
        <v>183</v>
      </c>
      <c r="CZ1042" s="103">
        <v>52</v>
      </c>
      <c r="DA1042" s="103">
        <v>26</v>
      </c>
      <c r="DB1042" s="103">
        <v>4</v>
      </c>
      <c r="DC1042" s="42"/>
      <c r="DD1042" s="110"/>
      <c r="DE1042" s="46" t="s">
        <v>8</v>
      </c>
      <c r="DF1042" s="103">
        <v>15</v>
      </c>
      <c r="DG1042" s="103">
        <v>119</v>
      </c>
      <c r="DH1042" s="103">
        <v>866</v>
      </c>
      <c r="DI1042" s="103">
        <v>3628</v>
      </c>
      <c r="DJ1042" s="103">
        <v>3011</v>
      </c>
      <c r="DK1042" s="103">
        <v>2921</v>
      </c>
      <c r="DL1042" s="103">
        <v>2184</v>
      </c>
      <c r="DM1042" s="103">
        <v>798</v>
      </c>
      <c r="DN1042" s="103">
        <v>322</v>
      </c>
      <c r="DO1042" s="103">
        <v>84</v>
      </c>
    </row>
    <row r="1043" spans="2:119" ht="16.5" customHeight="1" x14ac:dyDescent="0.45">
      <c r="B1043" s="134"/>
      <c r="C1043" s="42"/>
      <c r="D1043" s="110"/>
      <c r="E1043" s="46" t="s">
        <v>9</v>
      </c>
      <c r="F1043" s="103">
        <v>7</v>
      </c>
      <c r="G1043" s="103">
        <v>62</v>
      </c>
      <c r="H1043" s="103">
        <v>433</v>
      </c>
      <c r="I1043" s="103">
        <v>2564</v>
      </c>
      <c r="J1043" s="103">
        <v>3012</v>
      </c>
      <c r="K1043" s="103">
        <v>4220</v>
      </c>
      <c r="L1043" s="103">
        <v>4075</v>
      </c>
      <c r="M1043" s="103">
        <v>2146</v>
      </c>
      <c r="N1043" s="103">
        <v>1083</v>
      </c>
      <c r="O1043" s="103">
        <v>384</v>
      </c>
      <c r="P1043" s="42"/>
      <c r="Q1043" s="110"/>
      <c r="R1043" s="46" t="s">
        <v>9</v>
      </c>
      <c r="S1043" s="103">
        <v>2</v>
      </c>
      <c r="T1043" s="103">
        <v>9</v>
      </c>
      <c r="U1043" s="103">
        <v>127</v>
      </c>
      <c r="V1043" s="103">
        <v>735</v>
      </c>
      <c r="W1043" s="103">
        <v>887</v>
      </c>
      <c r="X1043" s="103">
        <v>1447</v>
      </c>
      <c r="Y1043" s="103">
        <v>1606</v>
      </c>
      <c r="Z1043" s="103">
        <v>984</v>
      </c>
      <c r="AA1043" s="103">
        <v>568</v>
      </c>
      <c r="AB1043" s="103">
        <v>238</v>
      </c>
      <c r="AC1043" s="42"/>
      <c r="AD1043" s="110"/>
      <c r="AE1043" s="46" t="s">
        <v>9</v>
      </c>
      <c r="AF1043" s="103">
        <v>5</v>
      </c>
      <c r="AG1043" s="103">
        <v>53</v>
      </c>
      <c r="AH1043" s="103">
        <v>306</v>
      </c>
      <c r="AI1043" s="103">
        <v>1829</v>
      </c>
      <c r="AJ1043" s="103">
        <v>2125</v>
      </c>
      <c r="AK1043" s="103">
        <v>2773</v>
      </c>
      <c r="AL1043" s="103">
        <v>2469</v>
      </c>
      <c r="AM1043" s="103">
        <v>1162</v>
      </c>
      <c r="AN1043" s="103">
        <v>515</v>
      </c>
      <c r="AO1043" s="103">
        <v>146</v>
      </c>
      <c r="AP1043" s="6"/>
      <c r="AQ1043" s="110"/>
      <c r="AR1043" s="46" t="s">
        <v>9</v>
      </c>
      <c r="AS1043" s="103">
        <v>2</v>
      </c>
      <c r="AT1043" s="103">
        <v>25</v>
      </c>
      <c r="AU1043" s="103">
        <v>149</v>
      </c>
      <c r="AV1043" s="103">
        <v>603</v>
      </c>
      <c r="AW1043" s="103">
        <v>492</v>
      </c>
      <c r="AX1043" s="103">
        <v>541</v>
      </c>
      <c r="AY1043" s="103">
        <v>402</v>
      </c>
      <c r="AZ1043" s="103">
        <v>172</v>
      </c>
      <c r="BA1043" s="103">
        <v>74</v>
      </c>
      <c r="BB1043" s="103">
        <v>25</v>
      </c>
      <c r="BC1043" s="42"/>
      <c r="BD1043" s="110"/>
      <c r="BE1043" s="46" t="s">
        <v>9</v>
      </c>
      <c r="BF1043" s="103">
        <v>5</v>
      </c>
      <c r="BG1043" s="103">
        <v>37</v>
      </c>
      <c r="BH1043" s="103">
        <v>284</v>
      </c>
      <c r="BI1043" s="103">
        <v>1961</v>
      </c>
      <c r="BJ1043" s="103">
        <v>2520</v>
      </c>
      <c r="BK1043" s="103">
        <v>3679</v>
      </c>
      <c r="BL1043" s="103">
        <v>3673</v>
      </c>
      <c r="BM1043" s="103">
        <v>1974</v>
      </c>
      <c r="BN1043" s="103">
        <v>1009</v>
      </c>
      <c r="BO1043" s="103">
        <v>359</v>
      </c>
      <c r="BQ1043" s="110"/>
      <c r="BR1043" s="46" t="s">
        <v>9</v>
      </c>
      <c r="BS1043" s="103">
        <v>2</v>
      </c>
      <c r="BT1043" s="103">
        <v>14</v>
      </c>
      <c r="BU1043" s="103">
        <v>39</v>
      </c>
      <c r="BV1043" s="103">
        <v>152</v>
      </c>
      <c r="BW1043" s="103">
        <v>118</v>
      </c>
      <c r="BX1043" s="103">
        <v>155</v>
      </c>
      <c r="BY1043" s="103">
        <v>106</v>
      </c>
      <c r="BZ1043" s="103">
        <v>62</v>
      </c>
      <c r="CA1043" s="103">
        <v>33</v>
      </c>
      <c r="CB1043" s="103">
        <v>15</v>
      </c>
      <c r="CC1043" s="42"/>
      <c r="CD1043" s="110"/>
      <c r="CE1043" s="46" t="s">
        <v>9</v>
      </c>
      <c r="CF1043" s="103">
        <v>5</v>
      </c>
      <c r="CG1043" s="103">
        <v>48</v>
      </c>
      <c r="CH1043" s="103">
        <v>394</v>
      </c>
      <c r="CI1043" s="103">
        <v>2412</v>
      </c>
      <c r="CJ1043" s="103">
        <v>2894</v>
      </c>
      <c r="CK1043" s="103">
        <v>4065</v>
      </c>
      <c r="CL1043" s="103">
        <v>3969</v>
      </c>
      <c r="CM1043" s="103">
        <v>2084</v>
      </c>
      <c r="CN1043" s="103">
        <v>1050</v>
      </c>
      <c r="CO1043" s="103">
        <v>369</v>
      </c>
      <c r="CQ1043" s="110"/>
      <c r="CR1043" s="46" t="s">
        <v>9</v>
      </c>
      <c r="CS1043" s="103">
        <v>1</v>
      </c>
      <c r="CT1043" s="103">
        <v>3</v>
      </c>
      <c r="CU1043" s="103">
        <v>25</v>
      </c>
      <c r="CV1043" s="103">
        <v>201</v>
      </c>
      <c r="CW1043" s="103">
        <v>237</v>
      </c>
      <c r="CX1043" s="103">
        <v>289</v>
      </c>
      <c r="CY1043" s="103">
        <v>284</v>
      </c>
      <c r="CZ1043" s="103">
        <v>139</v>
      </c>
      <c r="DA1043" s="103">
        <v>62</v>
      </c>
      <c r="DB1043" s="103">
        <v>23</v>
      </c>
      <c r="DC1043" s="42"/>
      <c r="DD1043" s="110"/>
      <c r="DE1043" s="46" t="s">
        <v>9</v>
      </c>
      <c r="DF1043" s="103">
        <v>6</v>
      </c>
      <c r="DG1043" s="103">
        <v>59</v>
      </c>
      <c r="DH1043" s="103">
        <v>408</v>
      </c>
      <c r="DI1043" s="103">
        <v>2363</v>
      </c>
      <c r="DJ1043" s="103">
        <v>2775</v>
      </c>
      <c r="DK1043" s="103">
        <v>3931</v>
      </c>
      <c r="DL1043" s="103">
        <v>3791</v>
      </c>
      <c r="DM1043" s="103">
        <v>2007</v>
      </c>
      <c r="DN1043" s="103">
        <v>1021</v>
      </c>
      <c r="DO1043" s="103">
        <v>361</v>
      </c>
    </row>
    <row r="1044" spans="2:119" ht="16.5" customHeight="1" x14ac:dyDescent="0.45">
      <c r="B1044" s="134"/>
      <c r="C1044" s="42"/>
      <c r="D1044" s="110"/>
      <c r="E1044" s="46" t="s">
        <v>10</v>
      </c>
      <c r="F1044" s="103">
        <v>2</v>
      </c>
      <c r="G1044" s="103">
        <v>10</v>
      </c>
      <c r="H1044" s="103">
        <v>85</v>
      </c>
      <c r="I1044" s="103">
        <v>906</v>
      </c>
      <c r="J1044" s="103">
        <v>1555</v>
      </c>
      <c r="K1044" s="103">
        <v>2869</v>
      </c>
      <c r="L1044" s="103">
        <v>4208</v>
      </c>
      <c r="M1044" s="103">
        <v>3149</v>
      </c>
      <c r="N1044" s="103">
        <v>2265</v>
      </c>
      <c r="O1044" s="103">
        <v>1198</v>
      </c>
      <c r="P1044" s="42"/>
      <c r="Q1044" s="110"/>
      <c r="R1044" s="46" t="s">
        <v>10</v>
      </c>
      <c r="S1044" s="103">
        <v>1</v>
      </c>
      <c r="T1044" s="103">
        <v>3</v>
      </c>
      <c r="U1044" s="103">
        <v>19</v>
      </c>
      <c r="V1044" s="103">
        <v>236</v>
      </c>
      <c r="W1044" s="103">
        <v>431</v>
      </c>
      <c r="X1044" s="103">
        <v>855</v>
      </c>
      <c r="Y1044" s="103">
        <v>1464</v>
      </c>
      <c r="Z1044" s="103">
        <v>1291</v>
      </c>
      <c r="AA1044" s="103">
        <v>1052</v>
      </c>
      <c r="AB1044" s="103">
        <v>686</v>
      </c>
      <c r="AC1044" s="42"/>
      <c r="AD1044" s="110"/>
      <c r="AE1044" s="46" t="s">
        <v>10</v>
      </c>
      <c r="AF1044" s="103">
        <v>1</v>
      </c>
      <c r="AG1044" s="103">
        <v>7</v>
      </c>
      <c r="AH1044" s="103">
        <v>66</v>
      </c>
      <c r="AI1044" s="103">
        <v>670</v>
      </c>
      <c r="AJ1044" s="103">
        <v>1124</v>
      </c>
      <c r="AK1044" s="103">
        <v>2014</v>
      </c>
      <c r="AL1044" s="103">
        <v>2744</v>
      </c>
      <c r="AM1044" s="103">
        <v>1858</v>
      </c>
      <c r="AN1044" s="103">
        <v>1213</v>
      </c>
      <c r="AO1044" s="103">
        <v>512</v>
      </c>
      <c r="AP1044" s="6"/>
      <c r="AQ1044" s="110"/>
      <c r="AR1044" s="46" t="s">
        <v>10</v>
      </c>
      <c r="AS1044" s="103">
        <v>2</v>
      </c>
      <c r="AT1044" s="103">
        <v>4</v>
      </c>
      <c r="AU1044" s="103">
        <v>34</v>
      </c>
      <c r="AV1044" s="103">
        <v>210</v>
      </c>
      <c r="AW1044" s="103">
        <v>226</v>
      </c>
      <c r="AX1044" s="103">
        <v>327</v>
      </c>
      <c r="AY1044" s="103">
        <v>388</v>
      </c>
      <c r="AZ1044" s="103">
        <v>227</v>
      </c>
      <c r="BA1044" s="103">
        <v>110</v>
      </c>
      <c r="BB1044" s="103">
        <v>56</v>
      </c>
      <c r="BC1044" s="42"/>
      <c r="BD1044" s="110"/>
      <c r="BE1044" s="46" t="s">
        <v>10</v>
      </c>
      <c r="BF1044" s="103">
        <v>0</v>
      </c>
      <c r="BG1044" s="103">
        <v>6</v>
      </c>
      <c r="BH1044" s="103">
        <v>51</v>
      </c>
      <c r="BI1044" s="103">
        <v>696</v>
      </c>
      <c r="BJ1044" s="103">
        <v>1329</v>
      </c>
      <c r="BK1044" s="103">
        <v>2542</v>
      </c>
      <c r="BL1044" s="103">
        <v>3820</v>
      </c>
      <c r="BM1044" s="103">
        <v>2922</v>
      </c>
      <c r="BN1044" s="103">
        <v>2155</v>
      </c>
      <c r="BO1044" s="103">
        <v>1142</v>
      </c>
      <c r="BQ1044" s="110"/>
      <c r="BR1044" s="46" t="s">
        <v>10</v>
      </c>
      <c r="BS1044" s="103">
        <v>0</v>
      </c>
      <c r="BT1044" s="103">
        <v>1</v>
      </c>
      <c r="BU1044" s="103">
        <v>9</v>
      </c>
      <c r="BV1044" s="103">
        <v>47</v>
      </c>
      <c r="BW1044" s="103">
        <v>60</v>
      </c>
      <c r="BX1044" s="103">
        <v>75</v>
      </c>
      <c r="BY1044" s="103">
        <v>90</v>
      </c>
      <c r="BZ1044" s="103">
        <v>66</v>
      </c>
      <c r="CA1044" s="103">
        <v>41</v>
      </c>
      <c r="CB1044" s="103">
        <v>20</v>
      </c>
      <c r="CC1044" s="42"/>
      <c r="CD1044" s="110"/>
      <c r="CE1044" s="46" t="s">
        <v>10</v>
      </c>
      <c r="CF1044" s="103">
        <v>2</v>
      </c>
      <c r="CG1044" s="103">
        <v>9</v>
      </c>
      <c r="CH1044" s="103">
        <v>76</v>
      </c>
      <c r="CI1044" s="103">
        <v>859</v>
      </c>
      <c r="CJ1044" s="103">
        <v>1495</v>
      </c>
      <c r="CK1044" s="103">
        <v>2794</v>
      </c>
      <c r="CL1044" s="103">
        <v>4118</v>
      </c>
      <c r="CM1044" s="103">
        <v>3083</v>
      </c>
      <c r="CN1044" s="103">
        <v>2224</v>
      </c>
      <c r="CO1044" s="103">
        <v>1178</v>
      </c>
      <c r="CQ1044" s="110"/>
      <c r="CR1044" s="46" t="s">
        <v>10</v>
      </c>
      <c r="CS1044" s="103">
        <v>0</v>
      </c>
      <c r="CT1044" s="103">
        <v>0</v>
      </c>
      <c r="CU1044" s="103">
        <v>6</v>
      </c>
      <c r="CV1044" s="103">
        <v>70</v>
      </c>
      <c r="CW1044" s="103">
        <v>109</v>
      </c>
      <c r="CX1044" s="103">
        <v>200</v>
      </c>
      <c r="CY1044" s="103">
        <v>281</v>
      </c>
      <c r="CZ1044" s="103">
        <v>197</v>
      </c>
      <c r="DA1044" s="103">
        <v>114</v>
      </c>
      <c r="DB1044" s="103">
        <v>60</v>
      </c>
      <c r="DC1044" s="42"/>
      <c r="DD1044" s="110"/>
      <c r="DE1044" s="46" t="s">
        <v>10</v>
      </c>
      <c r="DF1044" s="103">
        <v>2</v>
      </c>
      <c r="DG1044" s="103">
        <v>10</v>
      </c>
      <c r="DH1044" s="103">
        <v>79</v>
      </c>
      <c r="DI1044" s="103">
        <v>836</v>
      </c>
      <c r="DJ1044" s="103">
        <v>1446</v>
      </c>
      <c r="DK1044" s="103">
        <v>2669</v>
      </c>
      <c r="DL1044" s="103">
        <v>3927</v>
      </c>
      <c r="DM1044" s="103">
        <v>2952</v>
      </c>
      <c r="DN1044" s="103">
        <v>2151</v>
      </c>
      <c r="DO1044" s="103">
        <v>1138</v>
      </c>
    </row>
    <row r="1045" spans="2:119" ht="16.5" customHeight="1" x14ac:dyDescent="0.45">
      <c r="B1045" s="134"/>
      <c r="C1045" s="42"/>
      <c r="D1045" s="111"/>
      <c r="E1045" s="46" t="s">
        <v>11</v>
      </c>
      <c r="F1045" s="103">
        <v>0</v>
      </c>
      <c r="G1045" s="103">
        <v>0</v>
      </c>
      <c r="H1045" s="103">
        <v>1</v>
      </c>
      <c r="I1045" s="103">
        <v>45</v>
      </c>
      <c r="J1045" s="103">
        <v>99</v>
      </c>
      <c r="K1045" s="103">
        <v>303</v>
      </c>
      <c r="L1045" s="103">
        <v>661</v>
      </c>
      <c r="M1045" s="103">
        <v>817</v>
      </c>
      <c r="N1045" s="103">
        <v>805</v>
      </c>
      <c r="O1045" s="103">
        <v>758</v>
      </c>
      <c r="P1045" s="42"/>
      <c r="Q1045" s="111"/>
      <c r="R1045" s="46" t="s">
        <v>11</v>
      </c>
      <c r="S1045" s="103">
        <v>0</v>
      </c>
      <c r="T1045" s="103">
        <v>0</v>
      </c>
      <c r="U1045" s="103">
        <v>1</v>
      </c>
      <c r="V1045" s="103">
        <v>14</v>
      </c>
      <c r="W1045" s="103">
        <v>30</v>
      </c>
      <c r="X1045" s="103">
        <v>81</v>
      </c>
      <c r="Y1045" s="103">
        <v>228</v>
      </c>
      <c r="Z1045" s="103">
        <v>332</v>
      </c>
      <c r="AA1045" s="103">
        <v>338</v>
      </c>
      <c r="AB1045" s="103">
        <v>407</v>
      </c>
      <c r="AC1045" s="42"/>
      <c r="AD1045" s="111"/>
      <c r="AE1045" s="46" t="s">
        <v>11</v>
      </c>
      <c r="AF1045" s="103">
        <v>0</v>
      </c>
      <c r="AG1045" s="103">
        <v>0</v>
      </c>
      <c r="AH1045" s="103">
        <v>0</v>
      </c>
      <c r="AI1045" s="103">
        <v>31</v>
      </c>
      <c r="AJ1045" s="103">
        <v>69</v>
      </c>
      <c r="AK1045" s="103">
        <v>222</v>
      </c>
      <c r="AL1045" s="103">
        <v>433</v>
      </c>
      <c r="AM1045" s="103">
        <v>485</v>
      </c>
      <c r="AN1045" s="103">
        <v>467</v>
      </c>
      <c r="AO1045" s="103">
        <v>351</v>
      </c>
      <c r="AP1045" s="6"/>
      <c r="AQ1045" s="111"/>
      <c r="AR1045" s="46" t="s">
        <v>11</v>
      </c>
      <c r="AS1045" s="103">
        <v>0</v>
      </c>
      <c r="AT1045" s="103">
        <v>0</v>
      </c>
      <c r="AU1045" s="103">
        <v>0</v>
      </c>
      <c r="AV1045" s="103">
        <v>12</v>
      </c>
      <c r="AW1045" s="103">
        <v>18</v>
      </c>
      <c r="AX1045" s="103">
        <v>34</v>
      </c>
      <c r="AY1045" s="103">
        <v>45</v>
      </c>
      <c r="AZ1045" s="103">
        <v>29</v>
      </c>
      <c r="BA1045" s="103">
        <v>28</v>
      </c>
      <c r="BB1045" s="103">
        <v>26</v>
      </c>
      <c r="BC1045" s="42"/>
      <c r="BD1045" s="111"/>
      <c r="BE1045" s="46" t="s">
        <v>11</v>
      </c>
      <c r="BF1045" s="103">
        <v>0</v>
      </c>
      <c r="BG1045" s="103">
        <v>0</v>
      </c>
      <c r="BH1045" s="103">
        <v>1</v>
      </c>
      <c r="BI1045" s="103">
        <v>33</v>
      </c>
      <c r="BJ1045" s="103">
        <v>81</v>
      </c>
      <c r="BK1045" s="103">
        <v>269</v>
      </c>
      <c r="BL1045" s="103">
        <v>616</v>
      </c>
      <c r="BM1045" s="103">
        <v>788</v>
      </c>
      <c r="BN1045" s="103">
        <v>777</v>
      </c>
      <c r="BO1045" s="103">
        <v>732</v>
      </c>
      <c r="BQ1045" s="111"/>
      <c r="BR1045" s="46" t="s">
        <v>11</v>
      </c>
      <c r="BS1045" s="103">
        <v>0</v>
      </c>
      <c r="BT1045" s="103">
        <v>0</v>
      </c>
      <c r="BU1045" s="103">
        <v>0</v>
      </c>
      <c r="BV1045" s="103">
        <v>4</v>
      </c>
      <c r="BW1045" s="103">
        <v>5</v>
      </c>
      <c r="BX1045" s="103">
        <v>10</v>
      </c>
      <c r="BY1045" s="103">
        <v>10</v>
      </c>
      <c r="BZ1045" s="103">
        <v>19</v>
      </c>
      <c r="CA1045" s="103">
        <v>5</v>
      </c>
      <c r="CB1045" s="103">
        <v>12</v>
      </c>
      <c r="CC1045" s="42"/>
      <c r="CD1045" s="111"/>
      <c r="CE1045" s="46" t="s">
        <v>11</v>
      </c>
      <c r="CF1045" s="103">
        <v>0</v>
      </c>
      <c r="CG1045" s="103">
        <v>0</v>
      </c>
      <c r="CH1045" s="103">
        <v>1</v>
      </c>
      <c r="CI1045" s="103">
        <v>41</v>
      </c>
      <c r="CJ1045" s="103">
        <v>94</v>
      </c>
      <c r="CK1045" s="103">
        <v>293</v>
      </c>
      <c r="CL1045" s="103">
        <v>651</v>
      </c>
      <c r="CM1045" s="103">
        <v>798</v>
      </c>
      <c r="CN1045" s="103">
        <v>800</v>
      </c>
      <c r="CO1045" s="103">
        <v>746</v>
      </c>
      <c r="CQ1045" s="111"/>
      <c r="CR1045" s="46" t="s">
        <v>11</v>
      </c>
      <c r="CS1045" s="103">
        <v>0</v>
      </c>
      <c r="CT1045" s="103">
        <v>0</v>
      </c>
      <c r="CU1045" s="103">
        <v>0</v>
      </c>
      <c r="CV1045" s="103">
        <v>8</v>
      </c>
      <c r="CW1045" s="103">
        <v>6</v>
      </c>
      <c r="CX1045" s="103">
        <v>14</v>
      </c>
      <c r="CY1045" s="103">
        <v>52</v>
      </c>
      <c r="CZ1045" s="103">
        <v>45</v>
      </c>
      <c r="DA1045" s="103">
        <v>43</v>
      </c>
      <c r="DB1045" s="103">
        <v>25</v>
      </c>
      <c r="DC1045" s="42"/>
      <c r="DD1045" s="111"/>
      <c r="DE1045" s="46" t="s">
        <v>11</v>
      </c>
      <c r="DF1045" s="103">
        <v>0</v>
      </c>
      <c r="DG1045" s="103">
        <v>0</v>
      </c>
      <c r="DH1045" s="103">
        <v>1</v>
      </c>
      <c r="DI1045" s="103">
        <v>37</v>
      </c>
      <c r="DJ1045" s="103">
        <v>93</v>
      </c>
      <c r="DK1045" s="103">
        <v>289</v>
      </c>
      <c r="DL1045" s="103">
        <v>609</v>
      </c>
      <c r="DM1045" s="103">
        <v>772</v>
      </c>
      <c r="DN1045" s="103">
        <v>762</v>
      </c>
      <c r="DO1045" s="103">
        <v>733</v>
      </c>
    </row>
    <row r="1046" spans="2:119" ht="16.5" customHeight="1" x14ac:dyDescent="0.45">
      <c r="B1046" s="99"/>
      <c r="C1046" s="42"/>
      <c r="D1046" s="42"/>
      <c r="E1046" s="42"/>
      <c r="F1046" s="42"/>
      <c r="G1046" s="42"/>
      <c r="H1046" s="42"/>
      <c r="I1046" s="42"/>
      <c r="J1046" s="42"/>
      <c r="K1046" s="42"/>
      <c r="L1046" s="42"/>
      <c r="M1046" s="42"/>
      <c r="N1046" s="42"/>
      <c r="O1046" s="42"/>
      <c r="P1046" s="42"/>
      <c r="Q1046" s="42"/>
      <c r="R1046" s="42"/>
      <c r="S1046" s="42"/>
      <c r="T1046" s="42"/>
      <c r="U1046" s="42"/>
      <c r="V1046" s="42"/>
      <c r="W1046" s="42"/>
      <c r="X1046" s="42"/>
      <c r="Y1046" s="42"/>
      <c r="Z1046" s="42"/>
      <c r="AA1046" s="42"/>
      <c r="AB1046" s="42"/>
      <c r="AC1046" s="42"/>
      <c r="AD1046" s="42"/>
      <c r="AE1046" s="42"/>
      <c r="AF1046" s="42"/>
      <c r="AG1046" s="42"/>
      <c r="AH1046" s="42"/>
      <c r="AI1046" s="42"/>
      <c r="AJ1046" s="42"/>
      <c r="AK1046" s="42"/>
      <c r="AL1046" s="42"/>
      <c r="AM1046" s="42"/>
      <c r="AN1046" s="42"/>
      <c r="AO1046" s="42"/>
      <c r="AP1046" s="6"/>
      <c r="AQ1046" s="42"/>
      <c r="AR1046" s="42"/>
      <c r="AS1046" s="42"/>
      <c r="AT1046" s="42"/>
      <c r="AU1046" s="42"/>
      <c r="AV1046" s="42"/>
      <c r="AW1046" s="42"/>
      <c r="AX1046" s="42"/>
      <c r="AY1046" s="42"/>
      <c r="AZ1046" s="42"/>
      <c r="BA1046" s="42"/>
      <c r="BB1046" s="42"/>
      <c r="BC1046" s="42"/>
      <c r="BD1046" s="42"/>
      <c r="BE1046" s="42"/>
      <c r="BF1046" s="42"/>
      <c r="BG1046" s="42"/>
      <c r="BH1046" s="42"/>
      <c r="BI1046" s="42"/>
      <c r="BJ1046" s="42"/>
      <c r="BK1046" s="42"/>
      <c r="BL1046" s="42"/>
      <c r="BM1046" s="42"/>
      <c r="BN1046" s="42"/>
      <c r="BO1046" s="42"/>
      <c r="BQ1046" s="42"/>
      <c r="BR1046" s="42"/>
      <c r="BS1046" s="42"/>
      <c r="BT1046" s="42"/>
      <c r="BU1046" s="42"/>
      <c r="BV1046" s="42"/>
      <c r="BW1046" s="42"/>
      <c r="BX1046" s="42"/>
      <c r="BY1046" s="42"/>
      <c r="BZ1046" s="42"/>
      <c r="CA1046" s="42"/>
      <c r="CB1046" s="42"/>
      <c r="CC1046" s="42"/>
      <c r="CD1046" s="42"/>
      <c r="CE1046" s="42"/>
      <c r="CF1046" s="42"/>
      <c r="CG1046" s="42"/>
      <c r="CH1046" s="42"/>
      <c r="CI1046" s="42"/>
      <c r="CJ1046" s="42"/>
      <c r="CK1046" s="42"/>
      <c r="CL1046" s="42"/>
      <c r="CM1046" s="42"/>
      <c r="CN1046" s="42"/>
      <c r="CO1046" s="42"/>
      <c r="CQ1046" s="42"/>
      <c r="CR1046" s="42"/>
      <c r="CS1046" s="42"/>
      <c r="CT1046" s="42"/>
      <c r="CU1046" s="42"/>
      <c r="CV1046" s="42"/>
      <c r="CW1046" s="42"/>
      <c r="CX1046" s="42"/>
      <c r="CY1046" s="42"/>
      <c r="CZ1046" s="42"/>
      <c r="DA1046" s="42"/>
      <c r="DB1046" s="42"/>
      <c r="DC1046" s="42"/>
      <c r="DD1046" s="42"/>
      <c r="DE1046" s="42"/>
      <c r="DF1046" s="42"/>
      <c r="DG1046" s="42"/>
      <c r="DH1046" s="42"/>
      <c r="DI1046" s="42"/>
      <c r="DJ1046" s="42"/>
      <c r="DK1046" s="42"/>
      <c r="DL1046" s="42"/>
      <c r="DM1046" s="42"/>
      <c r="DN1046" s="42"/>
      <c r="DO1046" s="42"/>
    </row>
    <row r="1047" spans="2:119" ht="16.5" customHeight="1" x14ac:dyDescent="0.55000000000000004">
      <c r="B1047" s="99"/>
      <c r="C1047" s="42"/>
      <c r="D1047" s="112" t="s">
        <v>16</v>
      </c>
      <c r="E1047" s="112"/>
      <c r="F1047" s="45"/>
      <c r="G1047" s="45"/>
      <c r="H1047" s="45"/>
      <c r="I1047" s="45"/>
      <c r="J1047" s="45"/>
      <c r="K1047" s="45"/>
      <c r="L1047" s="45"/>
      <c r="M1047" s="45"/>
      <c r="N1047" s="45"/>
      <c r="O1047" s="45"/>
      <c r="P1047" s="42"/>
      <c r="Q1047" s="112" t="s">
        <v>16</v>
      </c>
      <c r="R1047" s="112"/>
      <c r="S1047" s="45"/>
      <c r="T1047" s="45"/>
      <c r="U1047" s="45"/>
      <c r="V1047" s="45"/>
      <c r="W1047" s="45"/>
      <c r="X1047" s="45"/>
      <c r="Y1047" s="45"/>
      <c r="Z1047" s="45"/>
      <c r="AA1047" s="45"/>
      <c r="AB1047" s="45"/>
      <c r="AC1047" s="42"/>
      <c r="AD1047" s="112" t="s">
        <v>16</v>
      </c>
      <c r="AE1047" s="112"/>
      <c r="AF1047" s="45"/>
      <c r="AG1047" s="45"/>
      <c r="AH1047" s="45"/>
      <c r="AI1047" s="45"/>
      <c r="AJ1047" s="45"/>
      <c r="AK1047" s="45"/>
      <c r="AL1047" s="45"/>
      <c r="AM1047" s="45"/>
      <c r="AN1047" s="45"/>
      <c r="AO1047" s="45"/>
      <c r="AP1047" s="6"/>
      <c r="AQ1047" s="112" t="s">
        <v>16</v>
      </c>
      <c r="AR1047" s="112"/>
      <c r="AS1047" s="45"/>
      <c r="AT1047" s="45"/>
      <c r="AU1047" s="45"/>
      <c r="AV1047" s="45"/>
      <c r="AW1047" s="45"/>
      <c r="AX1047" s="45"/>
      <c r="AY1047" s="45"/>
      <c r="AZ1047" s="45"/>
      <c r="BA1047" s="45"/>
      <c r="BB1047" s="45"/>
      <c r="BC1047" s="42"/>
      <c r="BD1047" s="112" t="s">
        <v>16</v>
      </c>
      <c r="BE1047" s="112"/>
      <c r="BF1047" s="45"/>
      <c r="BG1047" s="45"/>
      <c r="BH1047" s="45"/>
      <c r="BI1047" s="45"/>
      <c r="BJ1047" s="45"/>
      <c r="BK1047" s="45"/>
      <c r="BL1047" s="45"/>
      <c r="BM1047" s="45"/>
      <c r="BN1047" s="45"/>
      <c r="BO1047" s="45"/>
      <c r="BQ1047" s="112" t="s">
        <v>16</v>
      </c>
      <c r="BR1047" s="112"/>
      <c r="BS1047" s="45"/>
      <c r="BT1047" s="45"/>
      <c r="BU1047" s="45"/>
      <c r="BV1047" s="45"/>
      <c r="BW1047" s="45"/>
      <c r="BX1047" s="45"/>
      <c r="BY1047" s="45"/>
      <c r="BZ1047" s="45"/>
      <c r="CA1047" s="45"/>
      <c r="CB1047" s="45"/>
      <c r="CC1047" s="42"/>
      <c r="CD1047" s="112" t="s">
        <v>16</v>
      </c>
      <c r="CE1047" s="112"/>
      <c r="CF1047" s="45"/>
      <c r="CG1047" s="45"/>
      <c r="CH1047" s="45"/>
      <c r="CI1047" s="45"/>
      <c r="CJ1047" s="45"/>
      <c r="CK1047" s="45"/>
      <c r="CL1047" s="45"/>
      <c r="CM1047" s="45"/>
      <c r="CN1047" s="45"/>
      <c r="CO1047" s="45"/>
      <c r="CQ1047" s="112" t="s">
        <v>16</v>
      </c>
      <c r="CR1047" s="112"/>
      <c r="CS1047" s="45"/>
      <c r="CT1047" s="45"/>
      <c r="CU1047" s="45"/>
      <c r="CV1047" s="45"/>
      <c r="CW1047" s="45"/>
      <c r="CX1047" s="45"/>
      <c r="CY1047" s="45"/>
      <c r="CZ1047" s="45"/>
      <c r="DA1047" s="45"/>
      <c r="DB1047" s="45"/>
      <c r="DC1047" s="42"/>
      <c r="DD1047" s="112" t="s">
        <v>16</v>
      </c>
      <c r="DE1047" s="112"/>
      <c r="DF1047" s="45"/>
      <c r="DG1047" s="45"/>
      <c r="DH1047" s="45"/>
      <c r="DI1047" s="45"/>
      <c r="DJ1047" s="45"/>
      <c r="DK1047" s="45"/>
      <c r="DL1047" s="45"/>
      <c r="DM1047" s="45"/>
      <c r="DN1047" s="45"/>
      <c r="DO1047" s="45"/>
    </row>
    <row r="1048" spans="2:119" ht="28.9" customHeight="1" x14ac:dyDescent="0.45">
      <c r="B1048" s="99"/>
      <c r="C1048" s="42"/>
      <c r="D1048" s="112"/>
      <c r="E1048" s="112"/>
      <c r="F1048" s="108" t="s">
        <v>12</v>
      </c>
      <c r="G1048" s="108"/>
      <c r="H1048" s="108"/>
      <c r="I1048" s="108"/>
      <c r="J1048" s="108"/>
      <c r="K1048" s="108"/>
      <c r="L1048" s="108"/>
      <c r="M1048" s="108"/>
      <c r="N1048" s="108"/>
      <c r="O1048" s="108"/>
      <c r="P1048" s="42"/>
      <c r="Q1048" s="112"/>
      <c r="R1048" s="112"/>
      <c r="S1048" s="108" t="s">
        <v>12</v>
      </c>
      <c r="T1048" s="108"/>
      <c r="U1048" s="108"/>
      <c r="V1048" s="108"/>
      <c r="W1048" s="108"/>
      <c r="X1048" s="108"/>
      <c r="Y1048" s="108"/>
      <c r="Z1048" s="108"/>
      <c r="AA1048" s="108"/>
      <c r="AB1048" s="108"/>
      <c r="AC1048" s="42"/>
      <c r="AD1048" s="112"/>
      <c r="AE1048" s="112"/>
      <c r="AF1048" s="131" t="s">
        <v>12</v>
      </c>
      <c r="AG1048" s="132"/>
      <c r="AH1048" s="132"/>
      <c r="AI1048" s="132"/>
      <c r="AJ1048" s="132"/>
      <c r="AK1048" s="132"/>
      <c r="AL1048" s="132"/>
      <c r="AM1048" s="132"/>
      <c r="AN1048" s="132"/>
      <c r="AO1048" s="133"/>
      <c r="AP1048" s="6"/>
      <c r="AQ1048" s="112"/>
      <c r="AR1048" s="112"/>
      <c r="AS1048" s="108" t="s">
        <v>12</v>
      </c>
      <c r="AT1048" s="108"/>
      <c r="AU1048" s="108"/>
      <c r="AV1048" s="108"/>
      <c r="AW1048" s="108"/>
      <c r="AX1048" s="108"/>
      <c r="AY1048" s="108"/>
      <c r="AZ1048" s="108"/>
      <c r="BA1048" s="108"/>
      <c r="BB1048" s="108"/>
      <c r="BC1048" s="42"/>
      <c r="BD1048" s="112"/>
      <c r="BE1048" s="112"/>
      <c r="BF1048" s="108" t="s">
        <v>12</v>
      </c>
      <c r="BG1048" s="108"/>
      <c r="BH1048" s="108"/>
      <c r="BI1048" s="108"/>
      <c r="BJ1048" s="108"/>
      <c r="BK1048" s="108"/>
      <c r="BL1048" s="108"/>
      <c r="BM1048" s="108"/>
      <c r="BN1048" s="108"/>
      <c r="BO1048" s="108"/>
      <c r="BQ1048" s="112"/>
      <c r="BR1048" s="112"/>
      <c r="BS1048" s="108" t="s">
        <v>12</v>
      </c>
      <c r="BT1048" s="108"/>
      <c r="BU1048" s="108"/>
      <c r="BV1048" s="108"/>
      <c r="BW1048" s="108"/>
      <c r="BX1048" s="108"/>
      <c r="BY1048" s="108"/>
      <c r="BZ1048" s="108"/>
      <c r="CA1048" s="108"/>
      <c r="CB1048" s="108"/>
      <c r="CC1048" s="42"/>
      <c r="CD1048" s="112"/>
      <c r="CE1048" s="112"/>
      <c r="CF1048" s="108" t="s">
        <v>12</v>
      </c>
      <c r="CG1048" s="108"/>
      <c r="CH1048" s="108"/>
      <c r="CI1048" s="108"/>
      <c r="CJ1048" s="108"/>
      <c r="CK1048" s="108"/>
      <c r="CL1048" s="108"/>
      <c r="CM1048" s="108"/>
      <c r="CN1048" s="108"/>
      <c r="CO1048" s="108"/>
      <c r="CQ1048" s="112"/>
      <c r="CR1048" s="112"/>
      <c r="CS1048" s="108" t="s">
        <v>12</v>
      </c>
      <c r="CT1048" s="108"/>
      <c r="CU1048" s="108"/>
      <c r="CV1048" s="108"/>
      <c r="CW1048" s="108"/>
      <c r="CX1048" s="108"/>
      <c r="CY1048" s="108"/>
      <c r="CZ1048" s="108"/>
      <c r="DA1048" s="108"/>
      <c r="DB1048" s="108"/>
      <c r="DC1048" s="42"/>
      <c r="DD1048" s="112"/>
      <c r="DE1048" s="112"/>
      <c r="DF1048" s="108" t="s">
        <v>12</v>
      </c>
      <c r="DG1048" s="108"/>
      <c r="DH1048" s="108"/>
      <c r="DI1048" s="108"/>
      <c r="DJ1048" s="108"/>
      <c r="DK1048" s="108"/>
      <c r="DL1048" s="108"/>
      <c r="DM1048" s="108"/>
      <c r="DN1048" s="108"/>
      <c r="DO1048" s="108"/>
    </row>
    <row r="1049" spans="2:119" ht="15" customHeight="1" x14ac:dyDescent="0.45">
      <c r="B1049" s="99"/>
      <c r="C1049" s="42"/>
      <c r="D1049" s="113"/>
      <c r="E1049" s="113"/>
      <c r="F1049" s="9" t="s">
        <v>0</v>
      </c>
      <c r="G1049" s="9">
        <v>1</v>
      </c>
      <c r="H1049" s="9">
        <v>2</v>
      </c>
      <c r="I1049" s="9">
        <v>3</v>
      </c>
      <c r="J1049" s="9">
        <v>4</v>
      </c>
      <c r="K1049" s="9">
        <v>5</v>
      </c>
      <c r="L1049" s="9">
        <v>6</v>
      </c>
      <c r="M1049" s="9">
        <v>7</v>
      </c>
      <c r="N1049" s="9">
        <v>8</v>
      </c>
      <c r="O1049" s="9">
        <v>9</v>
      </c>
      <c r="P1049" s="42"/>
      <c r="Q1049" s="113"/>
      <c r="R1049" s="113"/>
      <c r="S1049" s="9" t="s">
        <v>0</v>
      </c>
      <c r="T1049" s="9">
        <v>1</v>
      </c>
      <c r="U1049" s="9">
        <v>2</v>
      </c>
      <c r="V1049" s="9">
        <v>3</v>
      </c>
      <c r="W1049" s="9">
        <v>4</v>
      </c>
      <c r="X1049" s="9">
        <v>5</v>
      </c>
      <c r="Y1049" s="9">
        <v>6</v>
      </c>
      <c r="Z1049" s="9">
        <v>7</v>
      </c>
      <c r="AA1049" s="9">
        <v>8</v>
      </c>
      <c r="AB1049" s="9">
        <v>9</v>
      </c>
      <c r="AC1049" s="42"/>
      <c r="AD1049" s="113"/>
      <c r="AE1049" s="113"/>
      <c r="AF1049" s="9" t="s">
        <v>0</v>
      </c>
      <c r="AG1049" s="9">
        <v>1</v>
      </c>
      <c r="AH1049" s="9">
        <v>2</v>
      </c>
      <c r="AI1049" s="9">
        <v>3</v>
      </c>
      <c r="AJ1049" s="9">
        <v>4</v>
      </c>
      <c r="AK1049" s="9">
        <v>5</v>
      </c>
      <c r="AL1049" s="9">
        <v>6</v>
      </c>
      <c r="AM1049" s="9">
        <v>7</v>
      </c>
      <c r="AN1049" s="9">
        <v>8</v>
      </c>
      <c r="AO1049" s="9">
        <v>9</v>
      </c>
      <c r="AP1049" s="6"/>
      <c r="AQ1049" s="113"/>
      <c r="AR1049" s="113"/>
      <c r="AS1049" s="9" t="s">
        <v>0</v>
      </c>
      <c r="AT1049" s="9">
        <v>1</v>
      </c>
      <c r="AU1049" s="9">
        <v>2</v>
      </c>
      <c r="AV1049" s="9">
        <v>3</v>
      </c>
      <c r="AW1049" s="9">
        <v>4</v>
      </c>
      <c r="AX1049" s="9">
        <v>5</v>
      </c>
      <c r="AY1049" s="9">
        <v>6</v>
      </c>
      <c r="AZ1049" s="9">
        <v>7</v>
      </c>
      <c r="BA1049" s="9">
        <v>8</v>
      </c>
      <c r="BB1049" s="9">
        <v>9</v>
      </c>
      <c r="BC1049" s="42"/>
      <c r="BD1049" s="113"/>
      <c r="BE1049" s="113"/>
      <c r="BF1049" s="9" t="s">
        <v>0</v>
      </c>
      <c r="BG1049" s="9">
        <v>1</v>
      </c>
      <c r="BH1049" s="9">
        <v>2</v>
      </c>
      <c r="BI1049" s="9">
        <v>3</v>
      </c>
      <c r="BJ1049" s="9">
        <v>4</v>
      </c>
      <c r="BK1049" s="9">
        <v>5</v>
      </c>
      <c r="BL1049" s="9">
        <v>6</v>
      </c>
      <c r="BM1049" s="9">
        <v>7</v>
      </c>
      <c r="BN1049" s="9">
        <v>8</v>
      </c>
      <c r="BO1049" s="9">
        <v>9</v>
      </c>
      <c r="BQ1049" s="113"/>
      <c r="BR1049" s="113"/>
      <c r="BS1049" s="9" t="s">
        <v>0</v>
      </c>
      <c r="BT1049" s="9">
        <v>1</v>
      </c>
      <c r="BU1049" s="9">
        <v>2</v>
      </c>
      <c r="BV1049" s="9">
        <v>3</v>
      </c>
      <c r="BW1049" s="9">
        <v>4</v>
      </c>
      <c r="BX1049" s="9">
        <v>5</v>
      </c>
      <c r="BY1049" s="9">
        <v>6</v>
      </c>
      <c r="BZ1049" s="9">
        <v>7</v>
      </c>
      <c r="CA1049" s="9">
        <v>8</v>
      </c>
      <c r="CB1049" s="9">
        <v>9</v>
      </c>
      <c r="CC1049" s="42"/>
      <c r="CD1049" s="113"/>
      <c r="CE1049" s="113"/>
      <c r="CF1049" s="9" t="s">
        <v>0</v>
      </c>
      <c r="CG1049" s="9">
        <v>1</v>
      </c>
      <c r="CH1049" s="9">
        <v>2</v>
      </c>
      <c r="CI1049" s="9">
        <v>3</v>
      </c>
      <c r="CJ1049" s="9">
        <v>4</v>
      </c>
      <c r="CK1049" s="9">
        <v>5</v>
      </c>
      <c r="CL1049" s="9">
        <v>6</v>
      </c>
      <c r="CM1049" s="9">
        <v>7</v>
      </c>
      <c r="CN1049" s="9">
        <v>8</v>
      </c>
      <c r="CO1049" s="9">
        <v>9</v>
      </c>
      <c r="CQ1049" s="113"/>
      <c r="CR1049" s="113"/>
      <c r="CS1049" s="9" t="s">
        <v>0</v>
      </c>
      <c r="CT1049" s="9">
        <v>1</v>
      </c>
      <c r="CU1049" s="9">
        <v>2</v>
      </c>
      <c r="CV1049" s="9">
        <v>3</v>
      </c>
      <c r="CW1049" s="9">
        <v>4</v>
      </c>
      <c r="CX1049" s="9">
        <v>5</v>
      </c>
      <c r="CY1049" s="9">
        <v>6</v>
      </c>
      <c r="CZ1049" s="9">
        <v>7</v>
      </c>
      <c r="DA1049" s="9">
        <v>8</v>
      </c>
      <c r="DB1049" s="9">
        <v>9</v>
      </c>
      <c r="DC1049" s="42"/>
      <c r="DD1049" s="113"/>
      <c r="DE1049" s="113"/>
      <c r="DF1049" s="9" t="s">
        <v>0</v>
      </c>
      <c r="DG1049" s="9">
        <v>1</v>
      </c>
      <c r="DH1049" s="9">
        <v>2</v>
      </c>
      <c r="DI1049" s="9">
        <v>3</v>
      </c>
      <c r="DJ1049" s="9">
        <v>4</v>
      </c>
      <c r="DK1049" s="9">
        <v>5</v>
      </c>
      <c r="DL1049" s="9">
        <v>6</v>
      </c>
      <c r="DM1049" s="9">
        <v>7</v>
      </c>
      <c r="DN1049" s="9">
        <v>8</v>
      </c>
      <c r="DO1049" s="9">
        <v>9</v>
      </c>
    </row>
    <row r="1050" spans="2:119" ht="16.5" customHeight="1" x14ac:dyDescent="0.45">
      <c r="B1050" s="99"/>
      <c r="C1050" s="42"/>
      <c r="D1050" s="109" t="s">
        <v>13</v>
      </c>
      <c r="E1050" s="47" t="s">
        <v>1</v>
      </c>
      <c r="F1050" s="103">
        <v>33.333333333333329</v>
      </c>
      <c r="G1050" s="103">
        <v>0</v>
      </c>
      <c r="H1050" s="103">
        <v>33.333333333333329</v>
      </c>
      <c r="I1050" s="103">
        <v>33.333333333333329</v>
      </c>
      <c r="J1050" s="103">
        <v>0</v>
      </c>
      <c r="K1050" s="103">
        <v>0</v>
      </c>
      <c r="L1050" s="103">
        <v>0</v>
      </c>
      <c r="M1050" s="103">
        <v>0</v>
      </c>
      <c r="N1050" s="103">
        <v>0</v>
      </c>
      <c r="O1050" s="17">
        <v>0</v>
      </c>
      <c r="P1050" s="42"/>
      <c r="Q1050" s="109" t="s">
        <v>13</v>
      </c>
      <c r="R1050" s="46" t="s">
        <v>1</v>
      </c>
      <c r="S1050" s="103">
        <v>0</v>
      </c>
      <c r="T1050" s="103">
        <v>0</v>
      </c>
      <c r="U1050" s="103">
        <v>100</v>
      </c>
      <c r="V1050" s="103">
        <v>0</v>
      </c>
      <c r="W1050" s="103">
        <v>0</v>
      </c>
      <c r="X1050" s="103">
        <v>0</v>
      </c>
      <c r="Y1050" s="103">
        <v>0</v>
      </c>
      <c r="Z1050" s="103">
        <v>0</v>
      </c>
      <c r="AA1050" s="103">
        <v>0</v>
      </c>
      <c r="AB1050" s="17">
        <v>0</v>
      </c>
      <c r="AC1050" s="42"/>
      <c r="AD1050" s="109" t="s">
        <v>13</v>
      </c>
      <c r="AE1050" s="46" t="s">
        <v>1</v>
      </c>
      <c r="AF1050" s="103">
        <v>50</v>
      </c>
      <c r="AG1050" s="103">
        <v>0</v>
      </c>
      <c r="AH1050" s="103">
        <v>0</v>
      </c>
      <c r="AI1050" s="103">
        <v>50</v>
      </c>
      <c r="AJ1050" s="103">
        <v>0</v>
      </c>
      <c r="AK1050" s="103">
        <v>0</v>
      </c>
      <c r="AL1050" s="103">
        <v>0</v>
      </c>
      <c r="AM1050" s="103">
        <v>0</v>
      </c>
      <c r="AN1050" s="103">
        <v>0</v>
      </c>
      <c r="AO1050" s="17">
        <v>0</v>
      </c>
      <c r="AP1050" s="6"/>
      <c r="AQ1050" s="109" t="s">
        <v>13</v>
      </c>
      <c r="AR1050" s="46" t="s">
        <v>1</v>
      </c>
      <c r="AS1050" s="103">
        <v>0</v>
      </c>
      <c r="AT1050" s="103">
        <v>0</v>
      </c>
      <c r="AU1050" s="103">
        <v>50</v>
      </c>
      <c r="AV1050" s="103">
        <v>50</v>
      </c>
      <c r="AW1050" s="103">
        <v>0</v>
      </c>
      <c r="AX1050" s="103">
        <v>0</v>
      </c>
      <c r="AY1050" s="103">
        <v>0</v>
      </c>
      <c r="AZ1050" s="103">
        <v>0</v>
      </c>
      <c r="BA1050" s="103">
        <v>0</v>
      </c>
      <c r="BB1050" s="17">
        <v>0</v>
      </c>
      <c r="BC1050" s="42"/>
      <c r="BD1050" s="109" t="s">
        <v>13</v>
      </c>
      <c r="BE1050" s="46" t="s">
        <v>1</v>
      </c>
      <c r="BF1050" s="103">
        <v>100</v>
      </c>
      <c r="BG1050" s="103">
        <v>0</v>
      </c>
      <c r="BH1050" s="103">
        <v>0</v>
      </c>
      <c r="BI1050" s="103">
        <v>0</v>
      </c>
      <c r="BJ1050" s="103">
        <v>0</v>
      </c>
      <c r="BK1050" s="103">
        <v>0</v>
      </c>
      <c r="BL1050" s="103">
        <v>0</v>
      </c>
      <c r="BM1050" s="103">
        <v>0</v>
      </c>
      <c r="BN1050" s="103">
        <v>0</v>
      </c>
      <c r="BO1050" s="17">
        <v>0</v>
      </c>
      <c r="BQ1050" s="109" t="s">
        <v>13</v>
      </c>
      <c r="BR1050" s="46" t="s">
        <v>1</v>
      </c>
      <c r="BS1050" s="103">
        <v>100</v>
      </c>
      <c r="BT1050" s="103">
        <v>0</v>
      </c>
      <c r="BU1050" s="103">
        <v>0</v>
      </c>
      <c r="BV1050" s="103">
        <v>0</v>
      </c>
      <c r="BW1050" s="103">
        <v>0</v>
      </c>
      <c r="BX1050" s="103">
        <v>0</v>
      </c>
      <c r="BY1050" s="103">
        <v>0</v>
      </c>
      <c r="BZ1050" s="103">
        <v>0</v>
      </c>
      <c r="CA1050" s="103">
        <v>0</v>
      </c>
      <c r="CB1050" s="17">
        <v>0</v>
      </c>
      <c r="CC1050" s="42"/>
      <c r="CD1050" s="109" t="s">
        <v>13</v>
      </c>
      <c r="CE1050" s="46" t="s">
        <v>1</v>
      </c>
      <c r="CF1050" s="103">
        <v>0</v>
      </c>
      <c r="CG1050" s="103">
        <v>0</v>
      </c>
      <c r="CH1050" s="103">
        <v>50</v>
      </c>
      <c r="CI1050" s="103">
        <v>50</v>
      </c>
      <c r="CJ1050" s="103">
        <v>0</v>
      </c>
      <c r="CK1050" s="103">
        <v>0</v>
      </c>
      <c r="CL1050" s="103">
        <v>0</v>
      </c>
      <c r="CM1050" s="103">
        <v>0</v>
      </c>
      <c r="CN1050" s="103">
        <v>0</v>
      </c>
      <c r="CO1050" s="17">
        <v>0</v>
      </c>
      <c r="CQ1050" s="109" t="s">
        <v>13</v>
      </c>
      <c r="CR1050" s="46" t="s">
        <v>1</v>
      </c>
      <c r="CS1050" s="103">
        <v>33.333333333333329</v>
      </c>
      <c r="CT1050" s="103">
        <v>0</v>
      </c>
      <c r="CU1050" s="103">
        <v>33.333333333333329</v>
      </c>
      <c r="CV1050" s="103">
        <v>33.333333333333329</v>
      </c>
      <c r="CW1050" s="103">
        <v>0</v>
      </c>
      <c r="CX1050" s="103">
        <v>0</v>
      </c>
      <c r="CY1050" s="103">
        <v>0</v>
      </c>
      <c r="CZ1050" s="103">
        <v>0</v>
      </c>
      <c r="DA1050" s="103">
        <v>0</v>
      </c>
      <c r="DB1050" s="17">
        <v>0</v>
      </c>
      <c r="DC1050" s="42"/>
      <c r="DD1050" s="109" t="s">
        <v>13</v>
      </c>
      <c r="DE1050" s="46" t="s">
        <v>1</v>
      </c>
      <c r="DF1050" s="103" t="s">
        <v>128</v>
      </c>
      <c r="DG1050" s="103" t="s">
        <v>128</v>
      </c>
      <c r="DH1050" s="103" t="s">
        <v>128</v>
      </c>
      <c r="DI1050" s="103" t="s">
        <v>128</v>
      </c>
      <c r="DJ1050" s="103" t="s">
        <v>128</v>
      </c>
      <c r="DK1050" s="103" t="s">
        <v>128</v>
      </c>
      <c r="DL1050" s="103" t="s">
        <v>128</v>
      </c>
      <c r="DM1050" s="103" t="s">
        <v>128</v>
      </c>
      <c r="DN1050" s="103" t="s">
        <v>128</v>
      </c>
      <c r="DO1050" s="17" t="s">
        <v>128</v>
      </c>
    </row>
    <row r="1051" spans="2:119" ht="16.5" customHeight="1" x14ac:dyDescent="0.45">
      <c r="B1051" s="99"/>
      <c r="C1051" s="42"/>
      <c r="D1051" s="110"/>
      <c r="E1051" s="47">
        <v>1</v>
      </c>
      <c r="F1051" s="103">
        <v>8.3333333333333321</v>
      </c>
      <c r="G1051" s="103">
        <v>16.666666666666664</v>
      </c>
      <c r="H1051" s="103">
        <v>25</v>
      </c>
      <c r="I1051" s="103">
        <v>25</v>
      </c>
      <c r="J1051" s="103">
        <v>8.3333333333333321</v>
      </c>
      <c r="K1051" s="103">
        <v>16.666666666666664</v>
      </c>
      <c r="L1051" s="103">
        <v>0</v>
      </c>
      <c r="M1051" s="103">
        <v>0</v>
      </c>
      <c r="N1051" s="103">
        <v>0</v>
      </c>
      <c r="O1051" s="103">
        <v>0</v>
      </c>
      <c r="P1051" s="42"/>
      <c r="Q1051" s="110"/>
      <c r="R1051" s="46">
        <v>1</v>
      </c>
      <c r="S1051" s="103">
        <v>25</v>
      </c>
      <c r="T1051" s="103">
        <v>0</v>
      </c>
      <c r="U1051" s="103">
        <v>0</v>
      </c>
      <c r="V1051" s="103">
        <v>25</v>
      </c>
      <c r="W1051" s="103">
        <v>25</v>
      </c>
      <c r="X1051" s="103">
        <v>25</v>
      </c>
      <c r="Y1051" s="103">
        <v>0</v>
      </c>
      <c r="Z1051" s="103">
        <v>0</v>
      </c>
      <c r="AA1051" s="103">
        <v>0</v>
      </c>
      <c r="AB1051" s="103">
        <v>0</v>
      </c>
      <c r="AC1051" s="42"/>
      <c r="AD1051" s="110"/>
      <c r="AE1051" s="46">
        <v>1</v>
      </c>
      <c r="AF1051" s="103">
        <v>0</v>
      </c>
      <c r="AG1051" s="103">
        <v>25</v>
      </c>
      <c r="AH1051" s="103">
        <v>37.5</v>
      </c>
      <c r="AI1051" s="103">
        <v>25</v>
      </c>
      <c r="AJ1051" s="103">
        <v>0</v>
      </c>
      <c r="AK1051" s="103">
        <v>12.5</v>
      </c>
      <c r="AL1051" s="103">
        <v>0</v>
      </c>
      <c r="AM1051" s="103">
        <v>0</v>
      </c>
      <c r="AN1051" s="103">
        <v>0</v>
      </c>
      <c r="AO1051" s="103">
        <v>0</v>
      </c>
      <c r="AP1051" s="6"/>
      <c r="AQ1051" s="110"/>
      <c r="AR1051" s="46">
        <v>1</v>
      </c>
      <c r="AS1051" s="103">
        <v>16.666666666666664</v>
      </c>
      <c r="AT1051" s="103">
        <v>16.666666666666664</v>
      </c>
      <c r="AU1051" s="103">
        <v>50</v>
      </c>
      <c r="AV1051" s="103">
        <v>16.666666666666664</v>
      </c>
      <c r="AW1051" s="103">
        <v>0</v>
      </c>
      <c r="AX1051" s="103">
        <v>0</v>
      </c>
      <c r="AY1051" s="103">
        <v>0</v>
      </c>
      <c r="AZ1051" s="103">
        <v>0</v>
      </c>
      <c r="BA1051" s="103">
        <v>0</v>
      </c>
      <c r="BB1051" s="103">
        <v>0</v>
      </c>
      <c r="BC1051" s="42"/>
      <c r="BD1051" s="110"/>
      <c r="BE1051" s="46">
        <v>1</v>
      </c>
      <c r="BF1051" s="103">
        <v>0</v>
      </c>
      <c r="BG1051" s="103">
        <v>16.666666666666664</v>
      </c>
      <c r="BH1051" s="103">
        <v>0</v>
      </c>
      <c r="BI1051" s="103">
        <v>33.333333333333329</v>
      </c>
      <c r="BJ1051" s="103">
        <v>16.666666666666664</v>
      </c>
      <c r="BK1051" s="103">
        <v>33.333333333333329</v>
      </c>
      <c r="BL1051" s="103">
        <v>0</v>
      </c>
      <c r="BM1051" s="103">
        <v>0</v>
      </c>
      <c r="BN1051" s="103">
        <v>0</v>
      </c>
      <c r="BO1051" s="103">
        <v>0</v>
      </c>
      <c r="BQ1051" s="110"/>
      <c r="BR1051" s="46">
        <v>1</v>
      </c>
      <c r="BS1051" s="103">
        <v>0</v>
      </c>
      <c r="BT1051" s="103">
        <v>40</v>
      </c>
      <c r="BU1051" s="103">
        <v>60</v>
      </c>
      <c r="BV1051" s="103">
        <v>0</v>
      </c>
      <c r="BW1051" s="103">
        <v>0</v>
      </c>
      <c r="BX1051" s="103">
        <v>0</v>
      </c>
      <c r="BY1051" s="103">
        <v>0</v>
      </c>
      <c r="BZ1051" s="103">
        <v>0</v>
      </c>
      <c r="CA1051" s="103">
        <v>0</v>
      </c>
      <c r="CB1051" s="103">
        <v>0</v>
      </c>
      <c r="CC1051" s="42"/>
      <c r="CD1051" s="110"/>
      <c r="CE1051" s="46">
        <v>1</v>
      </c>
      <c r="CF1051" s="103">
        <v>14.285714285714285</v>
      </c>
      <c r="CG1051" s="103">
        <v>0</v>
      </c>
      <c r="CH1051" s="103">
        <v>0</v>
      </c>
      <c r="CI1051" s="103">
        <v>42.857142857142854</v>
      </c>
      <c r="CJ1051" s="103">
        <v>14.285714285714285</v>
      </c>
      <c r="CK1051" s="103">
        <v>28.571428571428569</v>
      </c>
      <c r="CL1051" s="103">
        <v>0</v>
      </c>
      <c r="CM1051" s="103">
        <v>0</v>
      </c>
      <c r="CN1051" s="103">
        <v>0</v>
      </c>
      <c r="CO1051" s="103">
        <v>0</v>
      </c>
      <c r="CQ1051" s="110"/>
      <c r="CR1051" s="46">
        <v>1</v>
      </c>
      <c r="CS1051" s="103">
        <v>0</v>
      </c>
      <c r="CT1051" s="103">
        <v>11.111111111111111</v>
      </c>
      <c r="CU1051" s="103">
        <v>22.222222222222221</v>
      </c>
      <c r="CV1051" s="103">
        <v>33.333333333333329</v>
      </c>
      <c r="CW1051" s="103">
        <v>11.111111111111111</v>
      </c>
      <c r="CX1051" s="103">
        <v>22.222222222222221</v>
      </c>
      <c r="CY1051" s="103">
        <v>0</v>
      </c>
      <c r="CZ1051" s="103">
        <v>0</v>
      </c>
      <c r="DA1051" s="103">
        <v>0</v>
      </c>
      <c r="DB1051" s="103">
        <v>0</v>
      </c>
      <c r="DC1051" s="42"/>
      <c r="DD1051" s="110"/>
      <c r="DE1051" s="46">
        <v>1</v>
      </c>
      <c r="DF1051" s="103">
        <v>33.333333333333329</v>
      </c>
      <c r="DG1051" s="103">
        <v>33.333333333333329</v>
      </c>
      <c r="DH1051" s="103">
        <v>33.333333333333329</v>
      </c>
      <c r="DI1051" s="103">
        <v>0</v>
      </c>
      <c r="DJ1051" s="103">
        <v>0</v>
      </c>
      <c r="DK1051" s="103">
        <v>0</v>
      </c>
      <c r="DL1051" s="103">
        <v>0</v>
      </c>
      <c r="DM1051" s="103">
        <v>0</v>
      </c>
      <c r="DN1051" s="103">
        <v>0</v>
      </c>
      <c r="DO1051" s="103">
        <v>0</v>
      </c>
    </row>
    <row r="1052" spans="2:119" ht="16.5" customHeight="1" x14ac:dyDescent="0.45">
      <c r="B1052" s="99"/>
      <c r="C1052" s="42"/>
      <c r="D1052" s="110"/>
      <c r="E1052" s="47" t="s">
        <v>2</v>
      </c>
      <c r="F1052" s="103">
        <v>3.9682539682539679</v>
      </c>
      <c r="G1052" s="103">
        <v>29.761904761904763</v>
      </c>
      <c r="H1052" s="103">
        <v>38.492063492063494</v>
      </c>
      <c r="I1052" s="103">
        <v>20.634920634920633</v>
      </c>
      <c r="J1052" s="103">
        <v>3.7698412698412698</v>
      </c>
      <c r="K1052" s="103">
        <v>2.1825396825396823</v>
      </c>
      <c r="L1052" s="103">
        <v>0.79365079365079361</v>
      </c>
      <c r="M1052" s="103">
        <v>0.3968253968253968</v>
      </c>
      <c r="N1052" s="103">
        <v>0</v>
      </c>
      <c r="O1052" s="103">
        <v>0</v>
      </c>
      <c r="P1052" s="42"/>
      <c r="Q1052" s="110"/>
      <c r="R1052" s="46" t="s">
        <v>2</v>
      </c>
      <c r="S1052" s="103">
        <v>4.2735042735042734</v>
      </c>
      <c r="T1052" s="103">
        <v>35.042735042735039</v>
      </c>
      <c r="U1052" s="103">
        <v>31.623931623931622</v>
      </c>
      <c r="V1052" s="103">
        <v>22.222222222222221</v>
      </c>
      <c r="W1052" s="103">
        <v>2.5641025641025639</v>
      </c>
      <c r="X1052" s="103">
        <v>1.7094017094017095</v>
      </c>
      <c r="Y1052" s="103">
        <v>1.7094017094017095</v>
      </c>
      <c r="Z1052" s="103">
        <v>0.85470085470085477</v>
      </c>
      <c r="AA1052" s="103">
        <v>0</v>
      </c>
      <c r="AB1052" s="103">
        <v>0</v>
      </c>
      <c r="AC1052" s="42"/>
      <c r="AD1052" s="110"/>
      <c r="AE1052" s="46" t="s">
        <v>2</v>
      </c>
      <c r="AF1052" s="103">
        <v>3.8759689922480618</v>
      </c>
      <c r="AG1052" s="103">
        <v>28.165374677002585</v>
      </c>
      <c r="AH1052" s="103">
        <v>40.568475452196381</v>
      </c>
      <c r="AI1052" s="103">
        <v>20.155038759689923</v>
      </c>
      <c r="AJ1052" s="103">
        <v>4.1343669250646</v>
      </c>
      <c r="AK1052" s="103">
        <v>2.3255813953488373</v>
      </c>
      <c r="AL1052" s="103">
        <v>0.516795865633075</v>
      </c>
      <c r="AM1052" s="103">
        <v>0.2583979328165375</v>
      </c>
      <c r="AN1052" s="103">
        <v>0</v>
      </c>
      <c r="AO1052" s="103">
        <v>0</v>
      </c>
      <c r="AP1052" s="6"/>
      <c r="AQ1052" s="110"/>
      <c r="AR1052" s="46" t="s">
        <v>2</v>
      </c>
      <c r="AS1052" s="103">
        <v>5.2380952380952381</v>
      </c>
      <c r="AT1052" s="103">
        <v>33.333333333333329</v>
      </c>
      <c r="AU1052" s="103">
        <v>39.523809523809526</v>
      </c>
      <c r="AV1052" s="103">
        <v>18.095238095238095</v>
      </c>
      <c r="AW1052" s="103">
        <v>1.9047619047619049</v>
      </c>
      <c r="AX1052" s="103">
        <v>1.4285714285714286</v>
      </c>
      <c r="AY1052" s="103">
        <v>0.47619047619047622</v>
      </c>
      <c r="AZ1052" s="103">
        <v>0</v>
      </c>
      <c r="BA1052" s="103">
        <v>0</v>
      </c>
      <c r="BB1052" s="103">
        <v>0</v>
      </c>
      <c r="BC1052" s="42"/>
      <c r="BD1052" s="110"/>
      <c r="BE1052" s="46" t="s">
        <v>2</v>
      </c>
      <c r="BF1052" s="103">
        <v>3.0612244897959182</v>
      </c>
      <c r="BG1052" s="103">
        <v>27.210884353741498</v>
      </c>
      <c r="BH1052" s="103">
        <v>37.755102040816325</v>
      </c>
      <c r="BI1052" s="103">
        <v>22.448979591836736</v>
      </c>
      <c r="BJ1052" s="103">
        <v>5.1020408163265305</v>
      </c>
      <c r="BK1052" s="103">
        <v>2.7210884353741496</v>
      </c>
      <c r="BL1052" s="103">
        <v>1.0204081632653061</v>
      </c>
      <c r="BM1052" s="103">
        <v>0.68027210884353739</v>
      </c>
      <c r="BN1052" s="103">
        <v>0</v>
      </c>
      <c r="BO1052" s="103">
        <v>0</v>
      </c>
      <c r="BQ1052" s="110"/>
      <c r="BR1052" s="46" t="s">
        <v>2</v>
      </c>
      <c r="BS1052" s="103">
        <v>4.281345565749235</v>
      </c>
      <c r="BT1052" s="103">
        <v>33.333333333333329</v>
      </c>
      <c r="BU1052" s="103">
        <v>39.14373088685015</v>
      </c>
      <c r="BV1052" s="103">
        <v>18.960244648318042</v>
      </c>
      <c r="BW1052" s="103">
        <v>1.834862385321101</v>
      </c>
      <c r="BX1052" s="103">
        <v>1.5290519877675841</v>
      </c>
      <c r="BY1052" s="103">
        <v>0.6116207951070336</v>
      </c>
      <c r="BZ1052" s="103">
        <v>0.3058103975535168</v>
      </c>
      <c r="CA1052" s="103">
        <v>0</v>
      </c>
      <c r="CB1052" s="103">
        <v>0</v>
      </c>
      <c r="CC1052" s="42"/>
      <c r="CD1052" s="110"/>
      <c r="CE1052" s="46" t="s">
        <v>2</v>
      </c>
      <c r="CF1052" s="103">
        <v>3.3898305084745761</v>
      </c>
      <c r="CG1052" s="103">
        <v>23.163841807909606</v>
      </c>
      <c r="CH1052" s="103">
        <v>37.288135593220339</v>
      </c>
      <c r="CI1052" s="103">
        <v>23.728813559322035</v>
      </c>
      <c r="CJ1052" s="103">
        <v>7.3446327683615822</v>
      </c>
      <c r="CK1052" s="103">
        <v>3.3898305084745761</v>
      </c>
      <c r="CL1052" s="103">
        <v>1.1299435028248588</v>
      </c>
      <c r="CM1052" s="103">
        <v>0.56497175141242939</v>
      </c>
      <c r="CN1052" s="103">
        <v>0</v>
      </c>
      <c r="CO1052" s="103">
        <v>0</v>
      </c>
      <c r="CQ1052" s="110"/>
      <c r="CR1052" s="46" t="s">
        <v>2</v>
      </c>
      <c r="CS1052" s="103">
        <v>4.1958041958041958</v>
      </c>
      <c r="CT1052" s="103">
        <v>25.174825174825177</v>
      </c>
      <c r="CU1052" s="103">
        <v>34.965034965034967</v>
      </c>
      <c r="CV1052" s="103">
        <v>22.377622377622377</v>
      </c>
      <c r="CW1052" s="103">
        <v>6.9930069930069934</v>
      </c>
      <c r="CX1052" s="103">
        <v>4.1958041958041958</v>
      </c>
      <c r="CY1052" s="103">
        <v>1.3986013986013985</v>
      </c>
      <c r="CZ1052" s="103">
        <v>0.69930069930069927</v>
      </c>
      <c r="DA1052" s="103">
        <v>0</v>
      </c>
      <c r="DB1052" s="103">
        <v>0</v>
      </c>
      <c r="DC1052" s="42"/>
      <c r="DD1052" s="110"/>
      <c r="DE1052" s="46" t="s">
        <v>2</v>
      </c>
      <c r="DF1052" s="103">
        <v>3.8781163434903045</v>
      </c>
      <c r="DG1052" s="103">
        <v>31.578947368421051</v>
      </c>
      <c r="DH1052" s="103">
        <v>39.88919667590028</v>
      </c>
      <c r="DI1052" s="103">
        <v>19.94459833795014</v>
      </c>
      <c r="DJ1052" s="103">
        <v>2.4930747922437675</v>
      </c>
      <c r="DK1052" s="103">
        <v>1.3850415512465373</v>
      </c>
      <c r="DL1052" s="103">
        <v>0.554016620498615</v>
      </c>
      <c r="DM1052" s="103">
        <v>0.2770083102493075</v>
      </c>
      <c r="DN1052" s="103">
        <v>0</v>
      </c>
      <c r="DO1052" s="103">
        <v>0</v>
      </c>
    </row>
    <row r="1053" spans="2:119" ht="16.5" customHeight="1" x14ac:dyDescent="0.45">
      <c r="B1053" s="99"/>
      <c r="C1053" s="42"/>
      <c r="D1053" s="110"/>
      <c r="E1053" s="47" t="s">
        <v>3</v>
      </c>
      <c r="F1053" s="103">
        <v>3.6613272311212817</v>
      </c>
      <c r="G1053" s="103">
        <v>18.764302059496568</v>
      </c>
      <c r="H1053" s="103">
        <v>45.766590389016024</v>
      </c>
      <c r="I1053" s="103">
        <v>24.485125858123567</v>
      </c>
      <c r="J1053" s="103">
        <v>5.0343249427917618</v>
      </c>
      <c r="K1053" s="103">
        <v>1.6018306636155606</v>
      </c>
      <c r="L1053" s="103">
        <v>0.68649885583524028</v>
      </c>
      <c r="M1053" s="103">
        <v>0</v>
      </c>
      <c r="N1053" s="103">
        <v>0</v>
      </c>
      <c r="O1053" s="103">
        <v>0</v>
      </c>
      <c r="P1053" s="42"/>
      <c r="Q1053" s="110"/>
      <c r="R1053" s="46" t="s">
        <v>3</v>
      </c>
      <c r="S1053" s="103">
        <v>5.6074766355140184</v>
      </c>
      <c r="T1053" s="103">
        <v>33.644859813084111</v>
      </c>
      <c r="U1053" s="103">
        <v>37.383177570093459</v>
      </c>
      <c r="V1053" s="103">
        <v>16.822429906542055</v>
      </c>
      <c r="W1053" s="103">
        <v>4.6728971962616823</v>
      </c>
      <c r="X1053" s="103">
        <v>1.8691588785046727</v>
      </c>
      <c r="Y1053" s="103">
        <v>0</v>
      </c>
      <c r="Z1053" s="103">
        <v>0</v>
      </c>
      <c r="AA1053" s="103">
        <v>0</v>
      </c>
      <c r="AB1053" s="103">
        <v>0</v>
      </c>
      <c r="AC1053" s="42"/>
      <c r="AD1053" s="110"/>
      <c r="AE1053" s="46" t="s">
        <v>3</v>
      </c>
      <c r="AF1053" s="103">
        <v>3.0303030303030303</v>
      </c>
      <c r="AG1053" s="103">
        <v>13.939393939393941</v>
      </c>
      <c r="AH1053" s="103">
        <v>48.484848484848484</v>
      </c>
      <c r="AI1053" s="103">
        <v>26.969696969696972</v>
      </c>
      <c r="AJ1053" s="103">
        <v>5.1515151515151514</v>
      </c>
      <c r="AK1053" s="103">
        <v>1.5151515151515151</v>
      </c>
      <c r="AL1053" s="103">
        <v>0.90909090909090906</v>
      </c>
      <c r="AM1053" s="103">
        <v>0</v>
      </c>
      <c r="AN1053" s="103">
        <v>0</v>
      </c>
      <c r="AO1053" s="103">
        <v>0</v>
      </c>
      <c r="AP1053" s="6"/>
      <c r="AQ1053" s="110"/>
      <c r="AR1053" s="46" t="s">
        <v>3</v>
      </c>
      <c r="AS1053" s="103">
        <v>5.0314465408805038</v>
      </c>
      <c r="AT1053" s="103">
        <v>28.930817610062892</v>
      </c>
      <c r="AU1053" s="103">
        <v>46.540880503144656</v>
      </c>
      <c r="AV1053" s="103">
        <v>17.610062893081761</v>
      </c>
      <c r="AW1053" s="103">
        <v>1.8867924528301887</v>
      </c>
      <c r="AX1053" s="103">
        <v>0</v>
      </c>
      <c r="AY1053" s="103">
        <v>0</v>
      </c>
      <c r="AZ1053" s="103">
        <v>0</v>
      </c>
      <c r="BA1053" s="103">
        <v>0</v>
      </c>
      <c r="BB1053" s="103">
        <v>0</v>
      </c>
      <c r="BC1053" s="42"/>
      <c r="BD1053" s="110"/>
      <c r="BE1053" s="46" t="s">
        <v>3</v>
      </c>
      <c r="BF1053" s="103">
        <v>2.877697841726619</v>
      </c>
      <c r="BG1053" s="103">
        <v>12.949640287769784</v>
      </c>
      <c r="BH1053" s="103">
        <v>45.323741007194243</v>
      </c>
      <c r="BI1053" s="103">
        <v>28.417266187050359</v>
      </c>
      <c r="BJ1053" s="103">
        <v>6.8345323741007196</v>
      </c>
      <c r="BK1053" s="103">
        <v>2.5179856115107913</v>
      </c>
      <c r="BL1053" s="103">
        <v>1.079136690647482</v>
      </c>
      <c r="BM1053" s="103">
        <v>0</v>
      </c>
      <c r="BN1053" s="103">
        <v>0</v>
      </c>
      <c r="BO1053" s="103">
        <v>0</v>
      </c>
      <c r="BQ1053" s="110"/>
      <c r="BR1053" s="46" t="s">
        <v>3</v>
      </c>
      <c r="BS1053" s="103">
        <v>4.1284403669724776</v>
      </c>
      <c r="BT1053" s="103">
        <v>16.972477064220186</v>
      </c>
      <c r="BU1053" s="103">
        <v>46.788990825688074</v>
      </c>
      <c r="BV1053" s="103">
        <v>23.853211009174313</v>
      </c>
      <c r="BW1053" s="103">
        <v>5.5045871559633035</v>
      </c>
      <c r="BX1053" s="103">
        <v>1.834862385321101</v>
      </c>
      <c r="BY1053" s="103">
        <v>0.91743119266055051</v>
      </c>
      <c r="BZ1053" s="103">
        <v>0</v>
      </c>
      <c r="CA1053" s="103">
        <v>0</v>
      </c>
      <c r="CB1053" s="103">
        <v>0</v>
      </c>
      <c r="CC1053" s="42"/>
      <c r="CD1053" s="110"/>
      <c r="CE1053" s="46" t="s">
        <v>3</v>
      </c>
      <c r="CF1053" s="103">
        <v>3.1963470319634704</v>
      </c>
      <c r="CG1053" s="103">
        <v>20.547945205479451</v>
      </c>
      <c r="CH1053" s="103">
        <v>44.74885844748858</v>
      </c>
      <c r="CI1053" s="103">
        <v>25.11415525114155</v>
      </c>
      <c r="CJ1053" s="103">
        <v>4.5662100456620998</v>
      </c>
      <c r="CK1053" s="103">
        <v>1.3698630136986301</v>
      </c>
      <c r="CL1053" s="103">
        <v>0.45662100456621002</v>
      </c>
      <c r="CM1053" s="103">
        <v>0</v>
      </c>
      <c r="CN1053" s="103">
        <v>0</v>
      </c>
      <c r="CO1053" s="103">
        <v>0</v>
      </c>
      <c r="CQ1053" s="110"/>
      <c r="CR1053" s="46" t="s">
        <v>3</v>
      </c>
      <c r="CS1053" s="103">
        <v>5.376344086021505</v>
      </c>
      <c r="CT1053" s="103">
        <v>25.806451612903224</v>
      </c>
      <c r="CU1053" s="103">
        <v>33.333333333333329</v>
      </c>
      <c r="CV1053" s="103">
        <v>26.881720430107524</v>
      </c>
      <c r="CW1053" s="103">
        <v>6.4516129032258061</v>
      </c>
      <c r="CX1053" s="103">
        <v>2.1505376344086025</v>
      </c>
      <c r="CY1053" s="103">
        <v>0</v>
      </c>
      <c r="CZ1053" s="103">
        <v>0</v>
      </c>
      <c r="DA1053" s="103">
        <v>0</v>
      </c>
      <c r="DB1053" s="103">
        <v>0</v>
      </c>
      <c r="DC1053" s="42"/>
      <c r="DD1053" s="110"/>
      <c r="DE1053" s="46" t="s">
        <v>3</v>
      </c>
      <c r="DF1053" s="103">
        <v>3.1976744186046515</v>
      </c>
      <c r="DG1053" s="103">
        <v>16.86046511627907</v>
      </c>
      <c r="DH1053" s="103">
        <v>49.127906976744185</v>
      </c>
      <c r="DI1053" s="103">
        <v>23.837209302325583</v>
      </c>
      <c r="DJ1053" s="103">
        <v>4.6511627906976747</v>
      </c>
      <c r="DK1053" s="103">
        <v>1.4534883720930232</v>
      </c>
      <c r="DL1053" s="103">
        <v>0.87209302325581395</v>
      </c>
      <c r="DM1053" s="103">
        <v>0</v>
      </c>
      <c r="DN1053" s="103">
        <v>0</v>
      </c>
      <c r="DO1053" s="103">
        <v>0</v>
      </c>
    </row>
    <row r="1054" spans="2:119" ht="16.5" customHeight="1" x14ac:dyDescent="0.45">
      <c r="B1054" s="99"/>
      <c r="C1054" s="42"/>
      <c r="D1054" s="110"/>
      <c r="E1054" s="47" t="s">
        <v>4</v>
      </c>
      <c r="F1054" s="103">
        <v>1.1056511056511056</v>
      </c>
      <c r="G1054" s="103">
        <v>11.302211302211303</v>
      </c>
      <c r="H1054" s="103">
        <v>39.189189189189186</v>
      </c>
      <c r="I1054" s="103">
        <v>33.783783783783782</v>
      </c>
      <c r="J1054" s="103">
        <v>11.302211302211303</v>
      </c>
      <c r="K1054" s="103">
        <v>2.4570024570024569</v>
      </c>
      <c r="L1054" s="103">
        <v>0.73710073710073709</v>
      </c>
      <c r="M1054" s="103">
        <v>0.12285012285012285</v>
      </c>
      <c r="N1054" s="103">
        <v>0</v>
      </c>
      <c r="O1054" s="103">
        <v>0</v>
      </c>
      <c r="P1054" s="42"/>
      <c r="Q1054" s="110"/>
      <c r="R1054" s="46" t="s">
        <v>4</v>
      </c>
      <c r="S1054" s="103">
        <v>0.89686098654708524</v>
      </c>
      <c r="T1054" s="103">
        <v>13.901345291479823</v>
      </c>
      <c r="U1054" s="103">
        <v>38.116591928251118</v>
      </c>
      <c r="V1054" s="103">
        <v>28.699551569506728</v>
      </c>
      <c r="W1054" s="103">
        <v>13.901345291479823</v>
      </c>
      <c r="X1054" s="103">
        <v>2.6905829596412558</v>
      </c>
      <c r="Y1054" s="103">
        <v>1.7937219730941705</v>
      </c>
      <c r="Z1054" s="103">
        <v>0</v>
      </c>
      <c r="AA1054" s="103">
        <v>0</v>
      </c>
      <c r="AB1054" s="103">
        <v>0</v>
      </c>
      <c r="AC1054" s="42"/>
      <c r="AD1054" s="110"/>
      <c r="AE1054" s="46" t="s">
        <v>4</v>
      </c>
      <c r="AF1054" s="103">
        <v>1.1844331641285957</v>
      </c>
      <c r="AG1054" s="103">
        <v>10.321489001692047</v>
      </c>
      <c r="AH1054" s="103">
        <v>39.593908629441628</v>
      </c>
      <c r="AI1054" s="103">
        <v>35.702199661590519</v>
      </c>
      <c r="AJ1054" s="103">
        <v>10.321489001692047</v>
      </c>
      <c r="AK1054" s="103">
        <v>2.3688663282571913</v>
      </c>
      <c r="AL1054" s="103">
        <v>0.33840947546531303</v>
      </c>
      <c r="AM1054" s="103">
        <v>0.16920473773265651</v>
      </c>
      <c r="AN1054" s="103">
        <v>0</v>
      </c>
      <c r="AO1054" s="103">
        <v>0</v>
      </c>
      <c r="AP1054" s="6"/>
      <c r="AQ1054" s="110"/>
      <c r="AR1054" s="46" t="s">
        <v>4</v>
      </c>
      <c r="AS1054" s="103">
        <v>2.4305555555555558</v>
      </c>
      <c r="AT1054" s="103">
        <v>14.236111111111111</v>
      </c>
      <c r="AU1054" s="103">
        <v>43.75</v>
      </c>
      <c r="AV1054" s="103">
        <v>28.819444444444443</v>
      </c>
      <c r="AW1054" s="103">
        <v>8.6805555555555554</v>
      </c>
      <c r="AX1054" s="103">
        <v>1.3888888888888888</v>
      </c>
      <c r="AY1054" s="103">
        <v>0.69444444444444442</v>
      </c>
      <c r="AZ1054" s="103">
        <v>0</v>
      </c>
      <c r="BA1054" s="103">
        <v>0</v>
      </c>
      <c r="BB1054" s="103">
        <v>0</v>
      </c>
      <c r="BC1054" s="42"/>
      <c r="BD1054" s="110"/>
      <c r="BE1054" s="46" t="s">
        <v>4</v>
      </c>
      <c r="BF1054" s="103">
        <v>0.38022813688212925</v>
      </c>
      <c r="BG1054" s="103">
        <v>9.6958174904942958</v>
      </c>
      <c r="BH1054" s="103">
        <v>36.692015209125472</v>
      </c>
      <c r="BI1054" s="103">
        <v>36.50190114068441</v>
      </c>
      <c r="BJ1054" s="103">
        <v>12.737642585551331</v>
      </c>
      <c r="BK1054" s="103">
        <v>3.041825095057034</v>
      </c>
      <c r="BL1054" s="103">
        <v>0.76045627376425851</v>
      </c>
      <c r="BM1054" s="103">
        <v>0.19011406844106463</v>
      </c>
      <c r="BN1054" s="103">
        <v>0</v>
      </c>
      <c r="BO1054" s="103">
        <v>0</v>
      </c>
      <c r="BQ1054" s="110"/>
      <c r="BR1054" s="46" t="s">
        <v>4</v>
      </c>
      <c r="BS1054" s="103">
        <v>1.7595307917888565</v>
      </c>
      <c r="BT1054" s="103">
        <v>13.196480938416421</v>
      </c>
      <c r="BU1054" s="103">
        <v>41.348973607038126</v>
      </c>
      <c r="BV1054" s="103">
        <v>29.61876832844575</v>
      </c>
      <c r="BW1054" s="103">
        <v>10.557184750733137</v>
      </c>
      <c r="BX1054" s="103">
        <v>2.3460410557184752</v>
      </c>
      <c r="BY1054" s="103">
        <v>1.1730205278592376</v>
      </c>
      <c r="BZ1054" s="103">
        <v>0</v>
      </c>
      <c r="CA1054" s="103">
        <v>0</v>
      </c>
      <c r="CB1054" s="103">
        <v>0</v>
      </c>
      <c r="CC1054" s="42"/>
      <c r="CD1054" s="110"/>
      <c r="CE1054" s="46" t="s">
        <v>4</v>
      </c>
      <c r="CF1054" s="103">
        <v>0.63424947145877375</v>
      </c>
      <c r="CG1054" s="103">
        <v>9.9365750528541223</v>
      </c>
      <c r="CH1054" s="103">
        <v>37.632135306553913</v>
      </c>
      <c r="CI1054" s="103">
        <v>36.786469344608882</v>
      </c>
      <c r="CJ1054" s="103">
        <v>11.839323467230443</v>
      </c>
      <c r="CK1054" s="103">
        <v>2.536997885835095</v>
      </c>
      <c r="CL1054" s="103">
        <v>0.42283298097251587</v>
      </c>
      <c r="CM1054" s="103">
        <v>0.21141649048625794</v>
      </c>
      <c r="CN1054" s="103">
        <v>0</v>
      </c>
      <c r="CO1054" s="103">
        <v>0</v>
      </c>
      <c r="CQ1054" s="110"/>
      <c r="CR1054" s="46" t="s">
        <v>4</v>
      </c>
      <c r="CS1054" s="103">
        <v>0.75757575757575757</v>
      </c>
      <c r="CT1054" s="103">
        <v>8.3333333333333321</v>
      </c>
      <c r="CU1054" s="103">
        <v>34.090909090909086</v>
      </c>
      <c r="CV1054" s="103">
        <v>38.636363636363633</v>
      </c>
      <c r="CW1054" s="103">
        <v>11.363636363636363</v>
      </c>
      <c r="CX1054" s="103">
        <v>4.5454545454545459</v>
      </c>
      <c r="CY1054" s="103">
        <v>2.2727272727272729</v>
      </c>
      <c r="CZ1054" s="103">
        <v>0</v>
      </c>
      <c r="DA1054" s="103">
        <v>0</v>
      </c>
      <c r="DB1054" s="103">
        <v>0</v>
      </c>
      <c r="DC1054" s="42"/>
      <c r="DD1054" s="110"/>
      <c r="DE1054" s="46" t="s">
        <v>4</v>
      </c>
      <c r="DF1054" s="103">
        <v>1.1730205278592376</v>
      </c>
      <c r="DG1054" s="103">
        <v>11.87683284457478</v>
      </c>
      <c r="DH1054" s="103">
        <v>40.175953079178882</v>
      </c>
      <c r="DI1054" s="103">
        <v>32.84457478005865</v>
      </c>
      <c r="DJ1054" s="103">
        <v>11.29032258064516</v>
      </c>
      <c r="DK1054" s="103">
        <v>2.0527859237536656</v>
      </c>
      <c r="DL1054" s="103">
        <v>0.43988269794721413</v>
      </c>
      <c r="DM1054" s="103">
        <v>0.1466275659824047</v>
      </c>
      <c r="DN1054" s="103">
        <v>0</v>
      </c>
      <c r="DO1054" s="103">
        <v>0</v>
      </c>
    </row>
    <row r="1055" spans="2:119" ht="16.5" customHeight="1" x14ac:dyDescent="0.45">
      <c r="B1055" s="99"/>
      <c r="C1055" s="42"/>
      <c r="D1055" s="110"/>
      <c r="E1055" s="47" t="s">
        <v>5</v>
      </c>
      <c r="F1055" s="103">
        <v>1.1520737327188941</v>
      </c>
      <c r="G1055" s="103">
        <v>8.2373271889400925</v>
      </c>
      <c r="H1055" s="103">
        <v>29.377880184331794</v>
      </c>
      <c r="I1055" s="103">
        <v>41.705069124423964</v>
      </c>
      <c r="J1055" s="103">
        <v>11.923963133640553</v>
      </c>
      <c r="K1055" s="103">
        <v>5.7603686635944698</v>
      </c>
      <c r="L1055" s="103">
        <v>1.5552995391705069</v>
      </c>
      <c r="M1055" s="103">
        <v>0.2304147465437788</v>
      </c>
      <c r="N1055" s="103">
        <v>5.7603686635944701E-2</v>
      </c>
      <c r="O1055" s="103">
        <v>0</v>
      </c>
      <c r="P1055" s="42"/>
      <c r="Q1055" s="110"/>
      <c r="R1055" s="46" t="s">
        <v>5</v>
      </c>
      <c r="S1055" s="103">
        <v>1.3059701492537312</v>
      </c>
      <c r="T1055" s="103">
        <v>8.9552238805970141</v>
      </c>
      <c r="U1055" s="103">
        <v>27.611940298507463</v>
      </c>
      <c r="V1055" s="103">
        <v>38.992537313432834</v>
      </c>
      <c r="W1055" s="103">
        <v>12.87313432835821</v>
      </c>
      <c r="X1055" s="103">
        <v>7.8358208955223887</v>
      </c>
      <c r="Y1055" s="103">
        <v>2.2388059701492535</v>
      </c>
      <c r="Z1055" s="103">
        <v>0.18656716417910446</v>
      </c>
      <c r="AA1055" s="103">
        <v>0</v>
      </c>
      <c r="AB1055" s="103">
        <v>0</v>
      </c>
      <c r="AC1055" s="42"/>
      <c r="AD1055" s="110"/>
      <c r="AE1055" s="46" t="s">
        <v>5</v>
      </c>
      <c r="AF1055" s="103">
        <v>1.0833333333333335</v>
      </c>
      <c r="AG1055" s="103">
        <v>7.9166666666666661</v>
      </c>
      <c r="AH1055" s="103">
        <v>30.166666666666668</v>
      </c>
      <c r="AI1055" s="103">
        <v>42.916666666666664</v>
      </c>
      <c r="AJ1055" s="103">
        <v>11.5</v>
      </c>
      <c r="AK1055" s="103">
        <v>4.833333333333333</v>
      </c>
      <c r="AL1055" s="103">
        <v>1.25</v>
      </c>
      <c r="AM1055" s="103">
        <v>0.25</v>
      </c>
      <c r="AN1055" s="103">
        <v>8.3333333333333343E-2</v>
      </c>
      <c r="AO1055" s="103">
        <v>0</v>
      </c>
      <c r="AP1055" s="6"/>
      <c r="AQ1055" s="110"/>
      <c r="AR1055" s="46" t="s">
        <v>5</v>
      </c>
      <c r="AS1055" s="103">
        <v>1.7045454545454544</v>
      </c>
      <c r="AT1055" s="103">
        <v>13.825757575757574</v>
      </c>
      <c r="AU1055" s="103">
        <v>35.037878787878789</v>
      </c>
      <c r="AV1055" s="103">
        <v>35.606060606060609</v>
      </c>
      <c r="AW1055" s="103">
        <v>8.3333333333333321</v>
      </c>
      <c r="AX1055" s="103">
        <v>4.3560606060606064</v>
      </c>
      <c r="AY1055" s="103">
        <v>0.75757575757575757</v>
      </c>
      <c r="AZ1055" s="103">
        <v>0.18939393939393939</v>
      </c>
      <c r="BA1055" s="103">
        <v>0.18939393939393939</v>
      </c>
      <c r="BB1055" s="103">
        <v>0</v>
      </c>
      <c r="BC1055" s="42"/>
      <c r="BD1055" s="110"/>
      <c r="BE1055" s="46" t="s">
        <v>5</v>
      </c>
      <c r="BF1055" s="103">
        <v>0.91059602649006621</v>
      </c>
      <c r="BG1055" s="103">
        <v>5.7947019867549665</v>
      </c>
      <c r="BH1055" s="103">
        <v>26.903973509933778</v>
      </c>
      <c r="BI1055" s="103">
        <v>44.370860927152314</v>
      </c>
      <c r="BJ1055" s="103">
        <v>13.493377483443709</v>
      </c>
      <c r="BK1055" s="103">
        <v>6.3741721854304645</v>
      </c>
      <c r="BL1055" s="103">
        <v>1.9039735099337749</v>
      </c>
      <c r="BM1055" s="103">
        <v>0.24834437086092717</v>
      </c>
      <c r="BN1055" s="103">
        <v>0</v>
      </c>
      <c r="BO1055" s="103">
        <v>0</v>
      </c>
      <c r="BQ1055" s="110"/>
      <c r="BR1055" s="46" t="s">
        <v>5</v>
      </c>
      <c r="BS1055" s="103">
        <v>2.5974025974025974</v>
      </c>
      <c r="BT1055" s="103">
        <v>12.554112554112553</v>
      </c>
      <c r="BU1055" s="103">
        <v>32.251082251082252</v>
      </c>
      <c r="BV1055" s="103">
        <v>36.363636363636367</v>
      </c>
      <c r="BW1055" s="103">
        <v>8.8744588744588757</v>
      </c>
      <c r="BX1055" s="103">
        <v>5.8441558441558437</v>
      </c>
      <c r="BY1055" s="103">
        <v>1.2987012987012987</v>
      </c>
      <c r="BZ1055" s="103">
        <v>0.21645021645021645</v>
      </c>
      <c r="CA1055" s="103">
        <v>0</v>
      </c>
      <c r="CB1055" s="103">
        <v>0</v>
      </c>
      <c r="CC1055" s="42"/>
      <c r="CD1055" s="110"/>
      <c r="CE1055" s="46" t="s">
        <v>5</v>
      </c>
      <c r="CF1055" s="103">
        <v>0.62794348508634223</v>
      </c>
      <c r="CG1055" s="103">
        <v>6.6718995290423866</v>
      </c>
      <c r="CH1055" s="103">
        <v>28.335949764521196</v>
      </c>
      <c r="CI1055" s="103">
        <v>43.642072213500789</v>
      </c>
      <c r="CJ1055" s="103">
        <v>13.029827315541601</v>
      </c>
      <c r="CK1055" s="103">
        <v>5.7299843014128733</v>
      </c>
      <c r="CL1055" s="103">
        <v>1.6483516483516485</v>
      </c>
      <c r="CM1055" s="103">
        <v>0.23547880690737832</v>
      </c>
      <c r="CN1055" s="103">
        <v>7.8492935635792779E-2</v>
      </c>
      <c r="CO1055" s="103">
        <v>0</v>
      </c>
      <c r="CQ1055" s="110"/>
      <c r="CR1055" s="46" t="s">
        <v>5</v>
      </c>
      <c r="CS1055" s="103">
        <v>0.45045045045045046</v>
      </c>
      <c r="CT1055" s="103">
        <v>8.1081081081081088</v>
      </c>
      <c r="CU1055" s="103">
        <v>23.873873873873876</v>
      </c>
      <c r="CV1055" s="103">
        <v>42.792792792792795</v>
      </c>
      <c r="CW1055" s="103">
        <v>12.612612612612612</v>
      </c>
      <c r="CX1055" s="103">
        <v>8.5585585585585591</v>
      </c>
      <c r="CY1055" s="103">
        <v>2.7027027027027026</v>
      </c>
      <c r="CZ1055" s="103">
        <v>0.90090090090090091</v>
      </c>
      <c r="DA1055" s="103">
        <v>0</v>
      </c>
      <c r="DB1055" s="103">
        <v>0</v>
      </c>
      <c r="DC1055" s="42"/>
      <c r="DD1055" s="110"/>
      <c r="DE1055" s="46" t="s">
        <v>5</v>
      </c>
      <c r="DF1055" s="103">
        <v>1.2549537648612945</v>
      </c>
      <c r="DG1055" s="103">
        <v>8.2562747688243068</v>
      </c>
      <c r="DH1055" s="103">
        <v>30.184940554821665</v>
      </c>
      <c r="DI1055" s="103">
        <v>41.545574636723906</v>
      </c>
      <c r="DJ1055" s="103">
        <v>11.822985468956407</v>
      </c>
      <c r="DK1055" s="103">
        <v>5.3500660501981505</v>
      </c>
      <c r="DL1055" s="103">
        <v>1.3870541611624834</v>
      </c>
      <c r="DM1055" s="103">
        <v>0.13210039630118892</v>
      </c>
      <c r="DN1055" s="103">
        <v>6.6050198150594458E-2</v>
      </c>
      <c r="DO1055" s="103">
        <v>0</v>
      </c>
    </row>
    <row r="1056" spans="2:119" ht="16.5" customHeight="1" x14ac:dyDescent="0.45">
      <c r="B1056" s="99"/>
      <c r="C1056" s="42"/>
      <c r="D1056" s="110"/>
      <c r="E1056" s="47" t="s">
        <v>6</v>
      </c>
      <c r="F1056" s="103">
        <v>0.42477084730605857</v>
      </c>
      <c r="G1056" s="103">
        <v>3.9123630672926448</v>
      </c>
      <c r="H1056" s="103">
        <v>21.193829644533871</v>
      </c>
      <c r="I1056" s="103">
        <v>42.029957522915268</v>
      </c>
      <c r="J1056" s="103">
        <v>16.879052090319696</v>
      </c>
      <c r="K1056" s="103">
        <v>10.038005812653699</v>
      </c>
      <c r="L1056" s="103">
        <v>4.4265593561368206</v>
      </c>
      <c r="M1056" s="103">
        <v>0.84954169461211715</v>
      </c>
      <c r="N1056" s="103">
        <v>0.22356360384529397</v>
      </c>
      <c r="O1056" s="103">
        <v>2.23563603845294E-2</v>
      </c>
      <c r="P1056" s="42"/>
      <c r="Q1056" s="110"/>
      <c r="R1056" s="46" t="s">
        <v>6</v>
      </c>
      <c r="S1056" s="103">
        <v>0.2682763246143528</v>
      </c>
      <c r="T1056" s="103">
        <v>4.225352112676056</v>
      </c>
      <c r="U1056" s="103">
        <v>19.450033534540577</v>
      </c>
      <c r="V1056" s="103">
        <v>39.168343393695501</v>
      </c>
      <c r="W1056" s="103">
        <v>17.303822937625753</v>
      </c>
      <c r="X1056" s="103">
        <v>12.810194500335346</v>
      </c>
      <c r="Y1056" s="103">
        <v>5.0972501676727031</v>
      </c>
      <c r="Z1056" s="103">
        <v>1.1401743796109993</v>
      </c>
      <c r="AA1056" s="103">
        <v>0.46948356807511737</v>
      </c>
      <c r="AB1056" s="103">
        <v>6.70690811535882E-2</v>
      </c>
      <c r="AC1056" s="42"/>
      <c r="AD1056" s="110"/>
      <c r="AE1056" s="46" t="s">
        <v>6</v>
      </c>
      <c r="AF1056" s="103">
        <v>0.50301810865191143</v>
      </c>
      <c r="AG1056" s="103">
        <v>3.755868544600939</v>
      </c>
      <c r="AH1056" s="103">
        <v>22.065727699530516</v>
      </c>
      <c r="AI1056" s="103">
        <v>43.460764587525155</v>
      </c>
      <c r="AJ1056" s="103">
        <v>16.666666666666664</v>
      </c>
      <c r="AK1056" s="103">
        <v>8.6519114688128766</v>
      </c>
      <c r="AL1056" s="103">
        <v>4.0912139503688802</v>
      </c>
      <c r="AM1056" s="103">
        <v>0.70422535211267612</v>
      </c>
      <c r="AN1056" s="103">
        <v>0.1006036217303823</v>
      </c>
      <c r="AO1056" s="103">
        <v>0</v>
      </c>
      <c r="AP1056" s="6"/>
      <c r="AQ1056" s="110"/>
      <c r="AR1056" s="46" t="s">
        <v>6</v>
      </c>
      <c r="AS1056" s="103">
        <v>1.0978956999085088</v>
      </c>
      <c r="AT1056" s="103">
        <v>7.8682525160109789</v>
      </c>
      <c r="AU1056" s="103">
        <v>28.453796889295518</v>
      </c>
      <c r="AV1056" s="103">
        <v>41.079597438243368</v>
      </c>
      <c r="AW1056" s="103">
        <v>12.168344007319305</v>
      </c>
      <c r="AX1056" s="103">
        <v>6.7703568161024696</v>
      </c>
      <c r="AY1056" s="103">
        <v>2.0128087831655992</v>
      </c>
      <c r="AZ1056" s="103">
        <v>0.27447392497712719</v>
      </c>
      <c r="BA1056" s="103">
        <v>0.18298261665141813</v>
      </c>
      <c r="BB1056" s="103">
        <v>9.1491308325709064E-2</v>
      </c>
      <c r="BC1056" s="42"/>
      <c r="BD1056" s="110"/>
      <c r="BE1056" s="46" t="s">
        <v>6</v>
      </c>
      <c r="BF1056" s="103">
        <v>0.20710059171597633</v>
      </c>
      <c r="BG1056" s="103">
        <v>2.6331360946745561</v>
      </c>
      <c r="BH1056" s="103">
        <v>18.846153846153847</v>
      </c>
      <c r="BI1056" s="103">
        <v>42.337278106508876</v>
      </c>
      <c r="BJ1056" s="103">
        <v>18.402366863905325</v>
      </c>
      <c r="BK1056" s="103">
        <v>11.094674556213018</v>
      </c>
      <c r="BL1056" s="103">
        <v>5.2071005917159763</v>
      </c>
      <c r="BM1056" s="103">
        <v>1.0355029585798818</v>
      </c>
      <c r="BN1056" s="103">
        <v>0.23668639053254439</v>
      </c>
      <c r="BO1056" s="103">
        <v>0</v>
      </c>
      <c r="BQ1056" s="110"/>
      <c r="BR1056" s="46" t="s">
        <v>6</v>
      </c>
      <c r="BS1056" s="103">
        <v>1.4044943820224718</v>
      </c>
      <c r="BT1056" s="103">
        <v>7.5842696629213489</v>
      </c>
      <c r="BU1056" s="103">
        <v>29.353932584269664</v>
      </c>
      <c r="BV1056" s="103">
        <v>40.168539325842694</v>
      </c>
      <c r="BW1056" s="103">
        <v>12.640449438202248</v>
      </c>
      <c r="BX1056" s="103">
        <v>4.915730337078652</v>
      </c>
      <c r="BY1056" s="103">
        <v>2.9494382022471908</v>
      </c>
      <c r="BZ1056" s="103">
        <v>0.9831460674157303</v>
      </c>
      <c r="CA1056" s="103">
        <v>0</v>
      </c>
      <c r="CB1056" s="103">
        <v>0</v>
      </c>
      <c r="CC1056" s="42"/>
      <c r="CD1056" s="110"/>
      <c r="CE1056" s="46" t="s">
        <v>6</v>
      </c>
      <c r="CF1056" s="103">
        <v>0.23929805902685458</v>
      </c>
      <c r="CG1056" s="103">
        <v>3.2172294602499334</v>
      </c>
      <c r="CH1056" s="103">
        <v>19.64902951342728</v>
      </c>
      <c r="CI1056" s="103">
        <v>42.382345120978464</v>
      </c>
      <c r="CJ1056" s="103">
        <v>17.681467694762031</v>
      </c>
      <c r="CK1056" s="103">
        <v>11.00771071523531</v>
      </c>
      <c r="CL1056" s="103">
        <v>4.7061951608614736</v>
      </c>
      <c r="CM1056" s="103">
        <v>0.82424886998138791</v>
      </c>
      <c r="CN1056" s="103">
        <v>0.26588673225206061</v>
      </c>
      <c r="CO1056" s="103">
        <v>2.6588673225206066E-2</v>
      </c>
      <c r="CQ1056" s="110"/>
      <c r="CR1056" s="46" t="s">
        <v>6</v>
      </c>
      <c r="CS1056" s="103">
        <v>0.36630036630036628</v>
      </c>
      <c r="CT1056" s="103">
        <v>4.5787545787545785</v>
      </c>
      <c r="CU1056" s="103">
        <v>21.611721611721613</v>
      </c>
      <c r="CV1056" s="103">
        <v>41.208791208791204</v>
      </c>
      <c r="CW1056" s="103">
        <v>16.483516483516482</v>
      </c>
      <c r="CX1056" s="103">
        <v>10.43956043956044</v>
      </c>
      <c r="CY1056" s="103">
        <v>4.2124542124542126</v>
      </c>
      <c r="CZ1056" s="103">
        <v>0.91575091575091583</v>
      </c>
      <c r="DA1056" s="103">
        <v>0.18315018315018314</v>
      </c>
      <c r="DB1056" s="103">
        <v>0</v>
      </c>
      <c r="DC1056" s="42"/>
      <c r="DD1056" s="110"/>
      <c r="DE1056" s="46" t="s">
        <v>6</v>
      </c>
      <c r="DF1056" s="103">
        <v>0.4329004329004329</v>
      </c>
      <c r="DG1056" s="103">
        <v>3.8197097020626432</v>
      </c>
      <c r="DH1056" s="103">
        <v>21.135727018079958</v>
      </c>
      <c r="DI1056" s="103">
        <v>42.144130379424496</v>
      </c>
      <c r="DJ1056" s="103">
        <v>16.934046345811051</v>
      </c>
      <c r="DK1056" s="103">
        <v>9.9821746880570412</v>
      </c>
      <c r="DL1056" s="103">
        <v>4.4563279857397502</v>
      </c>
      <c r="DM1056" s="103">
        <v>0.84033613445378152</v>
      </c>
      <c r="DN1056" s="103">
        <v>0.22918258212375861</v>
      </c>
      <c r="DO1056" s="103">
        <v>2.5464731347084286E-2</v>
      </c>
    </row>
    <row r="1057" spans="2:119" ht="16.5" customHeight="1" x14ac:dyDescent="0.45">
      <c r="B1057" s="99"/>
      <c r="C1057" s="42"/>
      <c r="D1057" s="110"/>
      <c r="E1057" s="47" t="s">
        <v>7</v>
      </c>
      <c r="F1057" s="103">
        <v>0.25675259320119131</v>
      </c>
      <c r="G1057" s="103">
        <v>1.8280784635924825</v>
      </c>
      <c r="H1057" s="103">
        <v>12.016021361815755</v>
      </c>
      <c r="I1057" s="103">
        <v>36.695080620314265</v>
      </c>
      <c r="J1057" s="103">
        <v>20.807230153024545</v>
      </c>
      <c r="K1057" s="103">
        <v>16.206223682859196</v>
      </c>
      <c r="L1057" s="103">
        <v>8.7501283762966011</v>
      </c>
      <c r="M1057" s="103">
        <v>2.3621238574509604</v>
      </c>
      <c r="N1057" s="103">
        <v>0.93457943925233633</v>
      </c>
      <c r="O1057" s="103">
        <v>0.14378145219266716</v>
      </c>
      <c r="P1057" s="42"/>
      <c r="Q1057" s="110"/>
      <c r="R1057" s="46" t="s">
        <v>7</v>
      </c>
      <c r="S1057" s="103">
        <v>0.35587188612099641</v>
      </c>
      <c r="T1057" s="103">
        <v>1.4827995255041519</v>
      </c>
      <c r="U1057" s="103">
        <v>11.12099644128114</v>
      </c>
      <c r="V1057" s="103">
        <v>32.354685646500592</v>
      </c>
      <c r="W1057" s="103">
        <v>19.839857651245552</v>
      </c>
      <c r="X1057" s="103">
        <v>18.238434163701069</v>
      </c>
      <c r="Y1057" s="103">
        <v>10.794780545670225</v>
      </c>
      <c r="Z1057" s="103">
        <v>3.9442467378410435</v>
      </c>
      <c r="AA1057" s="103">
        <v>1.5717674970344011</v>
      </c>
      <c r="AB1057" s="103">
        <v>0.29655990510083036</v>
      </c>
      <c r="AC1057" s="42"/>
      <c r="AD1057" s="110"/>
      <c r="AE1057" s="46" t="s">
        <v>7</v>
      </c>
      <c r="AF1057" s="103">
        <v>0.20424194815396698</v>
      </c>
      <c r="AG1057" s="103">
        <v>2.0109976433621366</v>
      </c>
      <c r="AH1057" s="103">
        <v>12.490180675569521</v>
      </c>
      <c r="AI1057" s="103">
        <v>38.994501178318927</v>
      </c>
      <c r="AJ1057" s="103">
        <v>21.319717203456399</v>
      </c>
      <c r="AK1057" s="103">
        <v>15.129615082482326</v>
      </c>
      <c r="AL1057" s="103">
        <v>7.6669285153181459</v>
      </c>
      <c r="AM1057" s="103">
        <v>1.5239591516103692</v>
      </c>
      <c r="AN1057" s="103">
        <v>0.59701492537313439</v>
      </c>
      <c r="AO1057" s="103">
        <v>6.2843676355066769E-2</v>
      </c>
      <c r="AP1057" s="6"/>
      <c r="AQ1057" s="110"/>
      <c r="AR1057" s="46" t="s">
        <v>7</v>
      </c>
      <c r="AS1057" s="103">
        <v>0.75471698113207553</v>
      </c>
      <c r="AT1057" s="103">
        <v>3.5849056603773586</v>
      </c>
      <c r="AU1057" s="103">
        <v>19.19811320754717</v>
      </c>
      <c r="AV1057" s="103">
        <v>39.24528301886793</v>
      </c>
      <c r="AW1057" s="103">
        <v>17.216981132075471</v>
      </c>
      <c r="AX1057" s="103">
        <v>12.452830188679245</v>
      </c>
      <c r="AY1057" s="103">
        <v>5.5188679245283021</v>
      </c>
      <c r="AZ1057" s="103">
        <v>1.5566037735849056</v>
      </c>
      <c r="BA1057" s="103">
        <v>0.47169811320754718</v>
      </c>
      <c r="BB1057" s="103">
        <v>0</v>
      </c>
      <c r="BC1057" s="42"/>
      <c r="BD1057" s="110"/>
      <c r="BE1057" s="46" t="s">
        <v>7</v>
      </c>
      <c r="BF1057" s="103">
        <v>0.11815675462780621</v>
      </c>
      <c r="BG1057" s="103">
        <v>1.339109885781804</v>
      </c>
      <c r="BH1057" s="103">
        <v>10.017067086779571</v>
      </c>
      <c r="BI1057" s="103">
        <v>35.985296048312982</v>
      </c>
      <c r="BJ1057" s="103">
        <v>21.80648549297624</v>
      </c>
      <c r="BK1057" s="103">
        <v>17.250886175659708</v>
      </c>
      <c r="BL1057" s="103">
        <v>9.6494682946041745</v>
      </c>
      <c r="BM1057" s="103">
        <v>2.5863200735197585</v>
      </c>
      <c r="BN1057" s="103">
        <v>1.063410791650256</v>
      </c>
      <c r="BO1057" s="103">
        <v>0.18379939608769857</v>
      </c>
      <c r="BQ1057" s="110"/>
      <c r="BR1057" s="46" t="s">
        <v>7</v>
      </c>
      <c r="BS1057" s="103">
        <v>0.52576235541535232</v>
      </c>
      <c r="BT1057" s="103">
        <v>3.5751840168243953</v>
      </c>
      <c r="BU1057" s="103">
        <v>18.927444794952681</v>
      </c>
      <c r="BV1057" s="103">
        <v>38.906414300736067</v>
      </c>
      <c r="BW1057" s="103">
        <v>16.193480546792848</v>
      </c>
      <c r="BX1057" s="103">
        <v>12.302839116719243</v>
      </c>
      <c r="BY1057" s="103">
        <v>6.624605678233439</v>
      </c>
      <c r="BZ1057" s="103">
        <v>1.8927444794952681</v>
      </c>
      <c r="CA1057" s="103">
        <v>0.84121976866456361</v>
      </c>
      <c r="CB1057" s="103">
        <v>0.2103049421661409</v>
      </c>
      <c r="CC1057" s="42"/>
      <c r="CD1057" s="110"/>
      <c r="CE1057" s="46" t="s">
        <v>7</v>
      </c>
      <c r="CF1057" s="103">
        <v>0.22763487366264512</v>
      </c>
      <c r="CG1057" s="103">
        <v>1.6389710903710448</v>
      </c>
      <c r="CH1057" s="103">
        <v>11.267926246300933</v>
      </c>
      <c r="CI1057" s="103">
        <v>36.455725017072616</v>
      </c>
      <c r="CJ1057" s="103">
        <v>21.306624174823583</v>
      </c>
      <c r="CK1057" s="103">
        <v>16.628727521056224</v>
      </c>
      <c r="CL1057" s="103">
        <v>8.9801957659913505</v>
      </c>
      <c r="CM1057" s="103">
        <v>2.4129296608240383</v>
      </c>
      <c r="CN1057" s="103">
        <v>0.94468472569997719</v>
      </c>
      <c r="CO1057" s="103">
        <v>0.13658092419758708</v>
      </c>
      <c r="CQ1057" s="110"/>
      <c r="CR1057" s="46" t="s">
        <v>7</v>
      </c>
      <c r="CS1057" s="103">
        <v>0.39525691699604742</v>
      </c>
      <c r="CT1057" s="103">
        <v>2.075098814229249</v>
      </c>
      <c r="CU1057" s="103">
        <v>12.845849802371543</v>
      </c>
      <c r="CV1057" s="103">
        <v>33.003952569169961</v>
      </c>
      <c r="CW1057" s="103">
        <v>20.948616600790515</v>
      </c>
      <c r="CX1057" s="103">
        <v>16.50197628458498</v>
      </c>
      <c r="CY1057" s="103">
        <v>10.573122529644269</v>
      </c>
      <c r="CZ1057" s="103">
        <v>2.3715415019762842</v>
      </c>
      <c r="DA1057" s="103">
        <v>1.2845849802371543</v>
      </c>
      <c r="DB1057" s="103">
        <v>0</v>
      </c>
      <c r="DC1057" s="42"/>
      <c r="DD1057" s="110"/>
      <c r="DE1057" s="46" t="s">
        <v>7</v>
      </c>
      <c r="DF1057" s="103">
        <v>0.24068767908309455</v>
      </c>
      <c r="DG1057" s="103">
        <v>1.7994269340974212</v>
      </c>
      <c r="DH1057" s="103">
        <v>11.919770773638968</v>
      </c>
      <c r="DI1057" s="103">
        <v>37.123209169054441</v>
      </c>
      <c r="DJ1057" s="103">
        <v>20.790830945558739</v>
      </c>
      <c r="DK1057" s="103">
        <v>16.171919770773638</v>
      </c>
      <c r="DL1057" s="103">
        <v>8.5386819484240686</v>
      </c>
      <c r="DM1057" s="103">
        <v>2.3610315186246416</v>
      </c>
      <c r="DN1057" s="103">
        <v>0.89398280802292263</v>
      </c>
      <c r="DO1057" s="103">
        <v>0.16045845272206305</v>
      </c>
    </row>
    <row r="1058" spans="2:119" ht="16.5" customHeight="1" x14ac:dyDescent="0.45">
      <c r="B1058" s="99"/>
      <c r="C1058" s="42"/>
      <c r="D1058" s="110"/>
      <c r="E1058" s="47" t="s">
        <v>8</v>
      </c>
      <c r="F1058" s="103">
        <v>0.10542267905383146</v>
      </c>
      <c r="G1058" s="103">
        <v>0.86973710219410949</v>
      </c>
      <c r="H1058" s="103">
        <v>6.3253607432298864</v>
      </c>
      <c r="I1058" s="103">
        <v>26.072346313500695</v>
      </c>
      <c r="J1058" s="103">
        <v>21.486459774659021</v>
      </c>
      <c r="K1058" s="103">
        <v>21.07135797588456</v>
      </c>
      <c r="L1058" s="103">
        <v>15.595967582526191</v>
      </c>
      <c r="M1058" s="103">
        <v>5.6005798247347967</v>
      </c>
      <c r="N1058" s="103">
        <v>2.2929432694208343</v>
      </c>
      <c r="O1058" s="103">
        <v>0.57982473479607299</v>
      </c>
      <c r="P1058" s="42"/>
      <c r="Q1058" s="110"/>
      <c r="R1058" s="46" t="s">
        <v>8</v>
      </c>
      <c r="S1058" s="103">
        <v>5.3638476667262652E-2</v>
      </c>
      <c r="T1058" s="103">
        <v>0.7866976577865189</v>
      </c>
      <c r="U1058" s="103">
        <v>4.8274629000536384</v>
      </c>
      <c r="V1058" s="103">
        <v>22.224208832469159</v>
      </c>
      <c r="W1058" s="103">
        <v>19.166815662435187</v>
      </c>
      <c r="X1058" s="103">
        <v>21.723583050241373</v>
      </c>
      <c r="Y1058" s="103">
        <v>19.023779724655821</v>
      </c>
      <c r="Z1058" s="103">
        <v>7.7418201323082432</v>
      </c>
      <c r="AA1058" s="103">
        <v>3.4328625067048097</v>
      </c>
      <c r="AB1058" s="103">
        <v>1.0191310566779903</v>
      </c>
      <c r="AC1058" s="42"/>
      <c r="AD1058" s="110"/>
      <c r="AE1058" s="46" t="s">
        <v>8</v>
      </c>
      <c r="AF1058" s="103">
        <v>0.13564273789649417</v>
      </c>
      <c r="AG1058" s="103">
        <v>0.91819699499165275</v>
      </c>
      <c r="AH1058" s="103">
        <v>7.1994991652754594</v>
      </c>
      <c r="AI1058" s="103">
        <v>28.318030050083472</v>
      </c>
      <c r="AJ1058" s="103">
        <v>22.840150250417363</v>
      </c>
      <c r="AK1058" s="103">
        <v>20.690734557595995</v>
      </c>
      <c r="AL1058" s="103">
        <v>13.595575959933223</v>
      </c>
      <c r="AM1058" s="103">
        <v>4.3510016694490821</v>
      </c>
      <c r="AN1058" s="103">
        <v>1.62771285475793</v>
      </c>
      <c r="AO1058" s="103">
        <v>0.3234557595993322</v>
      </c>
      <c r="AP1058" s="6"/>
      <c r="AQ1058" s="110"/>
      <c r="AR1058" s="46" t="s">
        <v>8</v>
      </c>
      <c r="AS1058" s="103">
        <v>0.29487652045705859</v>
      </c>
      <c r="AT1058" s="103">
        <v>2.4327312937707335</v>
      </c>
      <c r="AU1058" s="103">
        <v>12.863988204939181</v>
      </c>
      <c r="AV1058" s="103">
        <v>34.647991153704389</v>
      </c>
      <c r="AW1058" s="103">
        <v>20.014743826022851</v>
      </c>
      <c r="AX1058" s="103">
        <v>15.628455584224108</v>
      </c>
      <c r="AY1058" s="103">
        <v>9.9889421304828598</v>
      </c>
      <c r="AZ1058" s="103">
        <v>3.0593438997419833</v>
      </c>
      <c r="BA1058" s="103">
        <v>0.84776999631404359</v>
      </c>
      <c r="BB1058" s="103">
        <v>0.22115739034279397</v>
      </c>
      <c r="BC1058" s="42"/>
      <c r="BD1058" s="110"/>
      <c r="BE1058" s="46" t="s">
        <v>8</v>
      </c>
      <c r="BF1058" s="103">
        <v>6.4184852374839535E-2</v>
      </c>
      <c r="BG1058" s="103">
        <v>0.52952503209242618</v>
      </c>
      <c r="BH1058" s="103">
        <v>4.9021181001283702</v>
      </c>
      <c r="BI1058" s="103">
        <v>24.205712451861359</v>
      </c>
      <c r="BJ1058" s="103">
        <v>21.806803594351734</v>
      </c>
      <c r="BK1058" s="103">
        <v>22.256097560975611</v>
      </c>
      <c r="BL1058" s="103">
        <v>16.816431322207958</v>
      </c>
      <c r="BM1058" s="103">
        <v>6.1537227214377408</v>
      </c>
      <c r="BN1058" s="103">
        <v>2.6075096277278562</v>
      </c>
      <c r="BO1058" s="103">
        <v>0.6578947368421052</v>
      </c>
      <c r="BQ1058" s="110"/>
      <c r="BR1058" s="46" t="s">
        <v>8</v>
      </c>
      <c r="BS1058" s="103">
        <v>0.2176278563656148</v>
      </c>
      <c r="BT1058" s="103">
        <v>3.3732317736670292</v>
      </c>
      <c r="BU1058" s="103">
        <v>13.928182807399347</v>
      </c>
      <c r="BV1058" s="103">
        <v>29.923830250272033</v>
      </c>
      <c r="BW1058" s="103">
        <v>20.239390642002174</v>
      </c>
      <c r="BX1058" s="103">
        <v>15.778019586507073</v>
      </c>
      <c r="BY1058" s="103">
        <v>10.881392818280739</v>
      </c>
      <c r="BZ1058" s="103">
        <v>3.3732317736670292</v>
      </c>
      <c r="CA1058" s="103">
        <v>2.1762785636561479</v>
      </c>
      <c r="CB1058" s="103">
        <v>0.1088139281828074</v>
      </c>
      <c r="CC1058" s="42"/>
      <c r="CD1058" s="110"/>
      <c r="CE1058" s="46" t="s">
        <v>8</v>
      </c>
      <c r="CF1058" s="103">
        <v>9.8190489549726465E-2</v>
      </c>
      <c r="CG1058" s="103">
        <v>0.70837424603731236</v>
      </c>
      <c r="CH1058" s="103">
        <v>5.8353205218123154</v>
      </c>
      <c r="CI1058" s="103">
        <v>25.824098751578063</v>
      </c>
      <c r="CJ1058" s="103">
        <v>21.566839668957776</v>
      </c>
      <c r="CK1058" s="103">
        <v>21.41254032823678</v>
      </c>
      <c r="CL1058" s="103">
        <v>15.899845700659279</v>
      </c>
      <c r="CM1058" s="103">
        <v>5.7441436386589988</v>
      </c>
      <c r="CN1058" s="103">
        <v>2.3004628980221629</v>
      </c>
      <c r="CO1058" s="103">
        <v>0.61018375648758594</v>
      </c>
      <c r="CQ1058" s="110"/>
      <c r="CR1058" s="46" t="s">
        <v>8</v>
      </c>
      <c r="CS1058" s="103">
        <v>8.1366965012205042E-2</v>
      </c>
      <c r="CT1058" s="103">
        <v>1.0577705451586654</v>
      </c>
      <c r="CU1058" s="103">
        <v>7.6484947111472747</v>
      </c>
      <c r="CV1058" s="103">
        <v>26.769731489015459</v>
      </c>
      <c r="CW1058" s="103">
        <v>20.341741253051264</v>
      </c>
      <c r="CX1058" s="103">
        <v>22.538649308380798</v>
      </c>
      <c r="CY1058" s="103">
        <v>14.890154597233524</v>
      </c>
      <c r="CZ1058" s="103">
        <v>4.2310821806346617</v>
      </c>
      <c r="DA1058" s="103">
        <v>2.1155410903173308</v>
      </c>
      <c r="DB1058" s="103">
        <v>0.32546786004882017</v>
      </c>
      <c r="DC1058" s="42"/>
      <c r="DD1058" s="110"/>
      <c r="DE1058" s="46" t="s">
        <v>8</v>
      </c>
      <c r="DF1058" s="103">
        <v>0.10754229997132206</v>
      </c>
      <c r="DG1058" s="103">
        <v>0.85316891310582166</v>
      </c>
      <c r="DH1058" s="103">
        <v>6.2087754516776599</v>
      </c>
      <c r="DI1058" s="103">
        <v>26.010897619730429</v>
      </c>
      <c r="DJ1058" s="103">
        <v>21.587324347576715</v>
      </c>
      <c r="DK1058" s="103">
        <v>20.942070547748781</v>
      </c>
      <c r="DL1058" s="103">
        <v>15.658158875824491</v>
      </c>
      <c r="DM1058" s="103">
        <v>5.7212503584743333</v>
      </c>
      <c r="DN1058" s="103">
        <v>2.3085747060510466</v>
      </c>
      <c r="DO1058" s="103">
        <v>0.60223687983940355</v>
      </c>
    </row>
    <row r="1059" spans="2:119" ht="16.5" customHeight="1" x14ac:dyDescent="0.45">
      <c r="B1059" s="99"/>
      <c r="C1059" s="42"/>
      <c r="D1059" s="110"/>
      <c r="E1059" s="47" t="s">
        <v>9</v>
      </c>
      <c r="F1059" s="103">
        <v>3.8919159346158125E-2</v>
      </c>
      <c r="G1059" s="103">
        <v>0.34471255420882913</v>
      </c>
      <c r="H1059" s="103">
        <v>2.4074279995552095</v>
      </c>
      <c r="I1059" s="103">
        <v>14.255532080507061</v>
      </c>
      <c r="J1059" s="103">
        <v>16.74635827866118</v>
      </c>
      <c r="K1059" s="103">
        <v>23.462693205826753</v>
      </c>
      <c r="L1059" s="103">
        <v>22.656510619370621</v>
      </c>
      <c r="M1059" s="103">
        <v>11.931502279550761</v>
      </c>
      <c r="N1059" s="103">
        <v>6.021349938841321</v>
      </c>
      <c r="O1059" s="103">
        <v>2.1349938841321028</v>
      </c>
      <c r="P1059" s="42"/>
      <c r="Q1059" s="110"/>
      <c r="R1059" s="46" t="s">
        <v>9</v>
      </c>
      <c r="S1059" s="103">
        <v>3.0289262456459187E-2</v>
      </c>
      <c r="T1059" s="103">
        <v>0.13630168105406634</v>
      </c>
      <c r="U1059" s="103">
        <v>1.9233681659851583</v>
      </c>
      <c r="V1059" s="103">
        <v>11.13130395274875</v>
      </c>
      <c r="W1059" s="103">
        <v>13.43328789943965</v>
      </c>
      <c r="X1059" s="103">
        <v>21.91428138724822</v>
      </c>
      <c r="Y1059" s="103">
        <v>24.322277752536724</v>
      </c>
      <c r="Z1059" s="103">
        <v>14.902317128577918</v>
      </c>
      <c r="AA1059" s="103">
        <v>8.6021505376344098</v>
      </c>
      <c r="AB1059" s="103">
        <v>3.604422232318643</v>
      </c>
      <c r="AC1059" s="42"/>
      <c r="AD1059" s="110"/>
      <c r="AE1059" s="46" t="s">
        <v>9</v>
      </c>
      <c r="AF1059" s="103">
        <v>4.3925151541772817E-2</v>
      </c>
      <c r="AG1059" s="103">
        <v>0.46560660634279188</v>
      </c>
      <c r="AH1059" s="103">
        <v>2.6882192743564968</v>
      </c>
      <c r="AI1059" s="103">
        <v>16.067820433980497</v>
      </c>
      <c r="AJ1059" s="103">
        <v>18.66818940525345</v>
      </c>
      <c r="AK1059" s="103">
        <v>24.360889045067204</v>
      </c>
      <c r="AL1059" s="103">
        <v>21.690239831327418</v>
      </c>
      <c r="AM1059" s="103">
        <v>10.208205218308002</v>
      </c>
      <c r="AN1059" s="103">
        <v>4.5242906088026</v>
      </c>
      <c r="AO1059" s="103">
        <v>1.2826144250197662</v>
      </c>
      <c r="AP1059" s="6"/>
      <c r="AQ1059" s="110"/>
      <c r="AR1059" s="46" t="s">
        <v>9</v>
      </c>
      <c r="AS1059" s="103">
        <v>8.0482897384305835E-2</v>
      </c>
      <c r="AT1059" s="103">
        <v>1.0060362173038229</v>
      </c>
      <c r="AU1059" s="103">
        <v>5.9959758551307845</v>
      </c>
      <c r="AV1059" s="103">
        <v>24.26559356136821</v>
      </c>
      <c r="AW1059" s="103">
        <v>19.798792756539235</v>
      </c>
      <c r="AX1059" s="103">
        <v>21.770623742454728</v>
      </c>
      <c r="AY1059" s="103">
        <v>16.177062374245473</v>
      </c>
      <c r="AZ1059" s="103">
        <v>6.9215291750503019</v>
      </c>
      <c r="BA1059" s="103">
        <v>2.9778672032193159</v>
      </c>
      <c r="BB1059" s="103">
        <v>1.0060362173038229</v>
      </c>
      <c r="BC1059" s="42"/>
      <c r="BD1059" s="110"/>
      <c r="BE1059" s="46" t="s">
        <v>9</v>
      </c>
      <c r="BF1059" s="103">
        <v>3.2255983484936454E-2</v>
      </c>
      <c r="BG1059" s="103">
        <v>0.23869427778852978</v>
      </c>
      <c r="BH1059" s="103">
        <v>1.8321398619443909</v>
      </c>
      <c r="BI1059" s="103">
        <v>12.65079672279208</v>
      </c>
      <c r="BJ1059" s="103">
        <v>16.257015676407974</v>
      </c>
      <c r="BK1059" s="103">
        <v>23.733952648216246</v>
      </c>
      <c r="BL1059" s="103">
        <v>23.695245468034322</v>
      </c>
      <c r="BM1059" s="103">
        <v>12.734662279852913</v>
      </c>
      <c r="BN1059" s="103">
        <v>6.5092574672601771</v>
      </c>
      <c r="BO1059" s="103">
        <v>2.3159796142184375</v>
      </c>
      <c r="BQ1059" s="110"/>
      <c r="BR1059" s="46" t="s">
        <v>9</v>
      </c>
      <c r="BS1059" s="103">
        <v>0.28735632183908044</v>
      </c>
      <c r="BT1059" s="103">
        <v>2.0114942528735633</v>
      </c>
      <c r="BU1059" s="103">
        <v>5.6034482758620694</v>
      </c>
      <c r="BV1059" s="103">
        <v>21.839080459770116</v>
      </c>
      <c r="BW1059" s="103">
        <v>16.954022988505745</v>
      </c>
      <c r="BX1059" s="103">
        <v>22.270114942528735</v>
      </c>
      <c r="BY1059" s="103">
        <v>15.229885057471265</v>
      </c>
      <c r="BZ1059" s="103">
        <v>8.9080459770114953</v>
      </c>
      <c r="CA1059" s="103">
        <v>4.7413793103448274</v>
      </c>
      <c r="CB1059" s="103">
        <v>2.1551724137931036</v>
      </c>
      <c r="CC1059" s="42"/>
      <c r="CD1059" s="110"/>
      <c r="CE1059" s="46" t="s">
        <v>9</v>
      </c>
      <c r="CF1059" s="103">
        <v>2.8918449971081547E-2</v>
      </c>
      <c r="CG1059" s="103">
        <v>0.2776171197223829</v>
      </c>
      <c r="CH1059" s="103">
        <v>2.2787738577212262</v>
      </c>
      <c r="CI1059" s="103">
        <v>13.950260266049741</v>
      </c>
      <c r="CJ1059" s="103">
        <v>16.737998843262002</v>
      </c>
      <c r="CK1059" s="103">
        <v>23.510699826489301</v>
      </c>
      <c r="CL1059" s="103">
        <v>22.955465587044536</v>
      </c>
      <c r="CM1059" s="103">
        <v>12.05320994794679</v>
      </c>
      <c r="CN1059" s="103">
        <v>6.0728744939271255</v>
      </c>
      <c r="CO1059" s="103">
        <v>2.1341816078658185</v>
      </c>
      <c r="CQ1059" s="110"/>
      <c r="CR1059" s="46" t="s">
        <v>9</v>
      </c>
      <c r="CS1059" s="103">
        <v>7.9113924050632917E-2</v>
      </c>
      <c r="CT1059" s="103">
        <v>0.23734177215189875</v>
      </c>
      <c r="CU1059" s="103">
        <v>1.9778481012658229</v>
      </c>
      <c r="CV1059" s="103">
        <v>15.901898734177214</v>
      </c>
      <c r="CW1059" s="103">
        <v>18.75</v>
      </c>
      <c r="CX1059" s="103">
        <v>22.86392405063291</v>
      </c>
      <c r="CY1059" s="103">
        <v>22.468354430379748</v>
      </c>
      <c r="CZ1059" s="103">
        <v>10.996835443037975</v>
      </c>
      <c r="DA1059" s="103">
        <v>4.90506329113924</v>
      </c>
      <c r="DB1059" s="103">
        <v>1.8196202531645569</v>
      </c>
      <c r="DC1059" s="42"/>
      <c r="DD1059" s="110"/>
      <c r="DE1059" s="46" t="s">
        <v>9</v>
      </c>
      <c r="DF1059" s="103">
        <v>3.5880875493362038E-2</v>
      </c>
      <c r="DG1059" s="103">
        <v>0.35282860901806001</v>
      </c>
      <c r="DH1059" s="103">
        <v>2.4398995335486187</v>
      </c>
      <c r="DI1059" s="103">
        <v>14.131084798469082</v>
      </c>
      <c r="DJ1059" s="103">
        <v>16.59490491567994</v>
      </c>
      <c r="DK1059" s="103">
        <v>23.507953594067697</v>
      </c>
      <c r="DL1059" s="103">
        <v>22.670733165889249</v>
      </c>
      <c r="DM1059" s="103">
        <v>12.002152852529601</v>
      </c>
      <c r="DN1059" s="103">
        <v>6.1057289797871066</v>
      </c>
      <c r="DO1059" s="103">
        <v>2.1588326755172824</v>
      </c>
    </row>
    <row r="1060" spans="2:119" ht="16.5" customHeight="1" x14ac:dyDescent="0.45">
      <c r="B1060" s="99"/>
      <c r="C1060" s="42"/>
      <c r="D1060" s="110"/>
      <c r="E1060" s="47" t="s">
        <v>10</v>
      </c>
      <c r="F1060" s="103">
        <v>1.2309964916599987E-2</v>
      </c>
      <c r="G1060" s="103">
        <v>6.1549824582999936E-2</v>
      </c>
      <c r="H1060" s="103">
        <v>0.52317350895549952</v>
      </c>
      <c r="I1060" s="103">
        <v>5.5764141072197946</v>
      </c>
      <c r="J1060" s="103">
        <v>9.5709977226564913</v>
      </c>
      <c r="K1060" s="103">
        <v>17.658644672862682</v>
      </c>
      <c r="L1060" s="103">
        <v>25.900166184526373</v>
      </c>
      <c r="M1060" s="103">
        <v>19.382039761186682</v>
      </c>
      <c r="N1060" s="103">
        <v>13.941035268049488</v>
      </c>
      <c r="O1060" s="103">
        <v>7.373668985043393</v>
      </c>
      <c r="P1060" s="42"/>
      <c r="Q1060" s="110"/>
      <c r="R1060" s="46" t="s">
        <v>10</v>
      </c>
      <c r="S1060" s="103">
        <v>1.6561775422325273E-2</v>
      </c>
      <c r="T1060" s="103">
        <v>4.9685326266975825E-2</v>
      </c>
      <c r="U1060" s="103">
        <v>0.31467373302418017</v>
      </c>
      <c r="V1060" s="103">
        <v>3.9085789996687645</v>
      </c>
      <c r="W1060" s="103">
        <v>7.1381252070221928</v>
      </c>
      <c r="X1060" s="103">
        <v>14.160317986088108</v>
      </c>
      <c r="Y1060" s="103">
        <v>24.246439218284198</v>
      </c>
      <c r="Z1060" s="103">
        <v>21.38125207022193</v>
      </c>
      <c r="AA1060" s="103">
        <v>17.422987744286186</v>
      </c>
      <c r="AB1060" s="103">
        <v>11.361377939715139</v>
      </c>
      <c r="AC1060" s="42"/>
      <c r="AD1060" s="110"/>
      <c r="AE1060" s="46" t="s">
        <v>10</v>
      </c>
      <c r="AF1060" s="103">
        <v>9.7952786756783233E-3</v>
      </c>
      <c r="AG1060" s="103">
        <v>6.8566950729748263E-2</v>
      </c>
      <c r="AH1060" s="103">
        <v>0.64648839259476931</v>
      </c>
      <c r="AI1060" s="103">
        <v>6.5628367127044767</v>
      </c>
      <c r="AJ1060" s="103">
        <v>11.009893231462435</v>
      </c>
      <c r="AK1060" s="103">
        <v>19.727691252816143</v>
      </c>
      <c r="AL1060" s="103">
        <v>26.878244686061318</v>
      </c>
      <c r="AM1060" s="103">
        <v>18.199627779410324</v>
      </c>
      <c r="AN1060" s="103">
        <v>11.881673033597806</v>
      </c>
      <c r="AO1060" s="103">
        <v>5.0151826819473015</v>
      </c>
      <c r="AP1060" s="6"/>
      <c r="AQ1060" s="110"/>
      <c r="AR1060" s="46" t="s">
        <v>10</v>
      </c>
      <c r="AS1060" s="103">
        <v>0.12626262626262627</v>
      </c>
      <c r="AT1060" s="103">
        <v>0.25252525252525254</v>
      </c>
      <c r="AU1060" s="103">
        <v>2.1464646464646462</v>
      </c>
      <c r="AV1060" s="103">
        <v>13.257575757575758</v>
      </c>
      <c r="AW1060" s="103">
        <v>14.267676767676768</v>
      </c>
      <c r="AX1060" s="103">
        <v>20.643939393939394</v>
      </c>
      <c r="AY1060" s="103">
        <v>24.494949494949495</v>
      </c>
      <c r="AZ1060" s="103">
        <v>14.33080808080808</v>
      </c>
      <c r="BA1060" s="103">
        <v>6.9444444444444446</v>
      </c>
      <c r="BB1060" s="103">
        <v>3.535353535353535</v>
      </c>
      <c r="BC1060" s="42"/>
      <c r="BD1060" s="110"/>
      <c r="BE1060" s="46" t="s">
        <v>10</v>
      </c>
      <c r="BF1060" s="103">
        <v>0</v>
      </c>
      <c r="BG1060" s="103">
        <v>4.0919320739275726E-2</v>
      </c>
      <c r="BH1060" s="103">
        <v>0.34781422628384367</v>
      </c>
      <c r="BI1060" s="103">
        <v>4.7466412057559841</v>
      </c>
      <c r="BJ1060" s="103">
        <v>9.063629543749574</v>
      </c>
      <c r="BK1060" s="103">
        <v>17.336152219873149</v>
      </c>
      <c r="BL1060" s="103">
        <v>26.051967537338882</v>
      </c>
      <c r="BM1060" s="103">
        <v>19.92770920002728</v>
      </c>
      <c r="BN1060" s="103">
        <v>14.696856032189864</v>
      </c>
      <c r="BO1060" s="103">
        <v>7.7883107140421473</v>
      </c>
      <c r="BQ1060" s="110"/>
      <c r="BR1060" s="46" t="s">
        <v>10</v>
      </c>
      <c r="BS1060" s="103">
        <v>0</v>
      </c>
      <c r="BT1060" s="103">
        <v>0.24449877750611246</v>
      </c>
      <c r="BU1060" s="103">
        <v>2.2004889975550124</v>
      </c>
      <c r="BV1060" s="103">
        <v>11.491442542787286</v>
      </c>
      <c r="BW1060" s="103">
        <v>14.669926650366749</v>
      </c>
      <c r="BX1060" s="103">
        <v>18.337408312958438</v>
      </c>
      <c r="BY1060" s="103">
        <v>22.004889975550121</v>
      </c>
      <c r="BZ1060" s="103">
        <v>16.136919315403421</v>
      </c>
      <c r="CA1060" s="103">
        <v>10.024449877750612</v>
      </c>
      <c r="CB1060" s="103">
        <v>4.8899755501222497</v>
      </c>
      <c r="CC1060" s="42"/>
      <c r="CD1060" s="110"/>
      <c r="CE1060" s="46" t="s">
        <v>10</v>
      </c>
      <c r="CF1060" s="103">
        <v>1.2627857052658164E-2</v>
      </c>
      <c r="CG1060" s="103">
        <v>5.6825356736961735E-2</v>
      </c>
      <c r="CH1060" s="103">
        <v>0.47985856800101023</v>
      </c>
      <c r="CI1060" s="103">
        <v>5.4236646041166816</v>
      </c>
      <c r="CJ1060" s="103">
        <v>9.4393231468619767</v>
      </c>
      <c r="CK1060" s="103">
        <v>17.641116302563457</v>
      </c>
      <c r="CL1060" s="103">
        <v>26.000757671423159</v>
      </c>
      <c r="CM1060" s="103">
        <v>19.465841646672562</v>
      </c>
      <c r="CN1060" s="103">
        <v>14.042177042555878</v>
      </c>
      <c r="CO1060" s="103">
        <v>7.4378078040156588</v>
      </c>
      <c r="CQ1060" s="110"/>
      <c r="CR1060" s="46" t="s">
        <v>10</v>
      </c>
      <c r="CS1060" s="103">
        <v>0</v>
      </c>
      <c r="CT1060" s="103">
        <v>0</v>
      </c>
      <c r="CU1060" s="103">
        <v>0.57859209257473487</v>
      </c>
      <c r="CV1060" s="103">
        <v>6.750241080038573</v>
      </c>
      <c r="CW1060" s="103">
        <v>10.511089681774349</v>
      </c>
      <c r="CX1060" s="103">
        <v>19.286403085824492</v>
      </c>
      <c r="CY1060" s="103">
        <v>27.097396335583412</v>
      </c>
      <c r="CZ1060" s="103">
        <v>18.997107039537127</v>
      </c>
      <c r="DA1060" s="103">
        <v>10.99324975891996</v>
      </c>
      <c r="DB1060" s="103">
        <v>5.7859209257473481</v>
      </c>
      <c r="DC1060" s="42"/>
      <c r="DD1060" s="110"/>
      <c r="DE1060" s="46" t="s">
        <v>10</v>
      </c>
      <c r="DF1060" s="103">
        <v>1.3149243918474687E-2</v>
      </c>
      <c r="DG1060" s="103">
        <v>6.5746219592373437E-2</v>
      </c>
      <c r="DH1060" s="103">
        <v>0.51939513477975008</v>
      </c>
      <c r="DI1060" s="103">
        <v>5.4963839579224194</v>
      </c>
      <c r="DJ1060" s="103">
        <v>9.5069033530571989</v>
      </c>
      <c r="DK1060" s="103">
        <v>17.54766600920447</v>
      </c>
      <c r="DL1060" s="103">
        <v>25.818540433925047</v>
      </c>
      <c r="DM1060" s="103">
        <v>19.408284023668639</v>
      </c>
      <c r="DN1060" s="103">
        <v>14.142011834319526</v>
      </c>
      <c r="DO1060" s="103">
        <v>7.481919789612097</v>
      </c>
    </row>
    <row r="1061" spans="2:119" ht="16.5" customHeight="1" x14ac:dyDescent="0.45">
      <c r="B1061" s="99"/>
      <c r="C1061" s="42"/>
      <c r="D1061" s="111"/>
      <c r="E1061" s="47" t="s">
        <v>11</v>
      </c>
      <c r="F1061" s="103">
        <v>0</v>
      </c>
      <c r="G1061" s="103">
        <v>0</v>
      </c>
      <c r="H1061" s="103">
        <v>2.8661507595299514E-2</v>
      </c>
      <c r="I1061" s="103">
        <v>1.2897678417884781</v>
      </c>
      <c r="J1061" s="103">
        <v>2.8374892519346515</v>
      </c>
      <c r="K1061" s="103">
        <v>8.6844368013757531</v>
      </c>
      <c r="L1061" s="103">
        <v>18.945256520492979</v>
      </c>
      <c r="M1061" s="103">
        <v>23.416451705359702</v>
      </c>
      <c r="N1061" s="103">
        <v>23.07251361421611</v>
      </c>
      <c r="O1061" s="103">
        <v>21.72542275723703</v>
      </c>
      <c r="P1061" s="42"/>
      <c r="Q1061" s="111"/>
      <c r="R1061" s="46" t="s">
        <v>11</v>
      </c>
      <c r="S1061" s="103">
        <v>0</v>
      </c>
      <c r="T1061" s="103">
        <v>0</v>
      </c>
      <c r="U1061" s="103">
        <v>6.9881201956673647E-2</v>
      </c>
      <c r="V1061" s="103">
        <v>0.9783368273934312</v>
      </c>
      <c r="W1061" s="103">
        <v>2.0964360587002098</v>
      </c>
      <c r="X1061" s="103">
        <v>5.6603773584905666</v>
      </c>
      <c r="Y1061" s="103">
        <v>15.932914046121594</v>
      </c>
      <c r="Z1061" s="103">
        <v>23.200559049615656</v>
      </c>
      <c r="AA1061" s="103">
        <v>23.619846261355697</v>
      </c>
      <c r="AB1061" s="103">
        <v>28.441649196366175</v>
      </c>
      <c r="AC1061" s="42"/>
      <c r="AD1061" s="111"/>
      <c r="AE1061" s="46" t="s">
        <v>11</v>
      </c>
      <c r="AF1061" s="103">
        <v>0</v>
      </c>
      <c r="AG1061" s="103">
        <v>0</v>
      </c>
      <c r="AH1061" s="103">
        <v>0</v>
      </c>
      <c r="AI1061" s="103">
        <v>1.5063168124392614</v>
      </c>
      <c r="AJ1061" s="103">
        <v>3.3527696793002915</v>
      </c>
      <c r="AK1061" s="103">
        <v>10.787172011661808</v>
      </c>
      <c r="AL1061" s="103">
        <v>21.039844509232264</v>
      </c>
      <c r="AM1061" s="103">
        <v>23.566569484936831</v>
      </c>
      <c r="AN1061" s="103">
        <v>22.691933916423711</v>
      </c>
      <c r="AO1061" s="103">
        <v>17.055393586005831</v>
      </c>
      <c r="AP1061" s="6"/>
      <c r="AQ1061" s="111"/>
      <c r="AR1061" s="46" t="s">
        <v>11</v>
      </c>
      <c r="AS1061" s="103">
        <v>0</v>
      </c>
      <c r="AT1061" s="103">
        <v>0</v>
      </c>
      <c r="AU1061" s="103">
        <v>0</v>
      </c>
      <c r="AV1061" s="103">
        <v>6.25</v>
      </c>
      <c r="AW1061" s="103">
        <v>9.375</v>
      </c>
      <c r="AX1061" s="103">
        <v>17.708333333333336</v>
      </c>
      <c r="AY1061" s="103">
        <v>23.4375</v>
      </c>
      <c r="AZ1061" s="103">
        <v>15.104166666666666</v>
      </c>
      <c r="BA1061" s="103">
        <v>14.583333333333334</v>
      </c>
      <c r="BB1061" s="103">
        <v>13.541666666666666</v>
      </c>
      <c r="BC1061" s="42"/>
      <c r="BD1061" s="111"/>
      <c r="BE1061" s="46" t="s">
        <v>11</v>
      </c>
      <c r="BF1061" s="103">
        <v>0</v>
      </c>
      <c r="BG1061" s="103">
        <v>0</v>
      </c>
      <c r="BH1061" s="103">
        <v>3.0330603579011222E-2</v>
      </c>
      <c r="BI1061" s="103">
        <v>1.0009099181073704</v>
      </c>
      <c r="BJ1061" s="103">
        <v>2.4567788898999092</v>
      </c>
      <c r="BK1061" s="103">
        <v>8.1589323627540189</v>
      </c>
      <c r="BL1061" s="103">
        <v>18.683651804670912</v>
      </c>
      <c r="BM1061" s="103">
        <v>23.900515620260844</v>
      </c>
      <c r="BN1061" s="103">
        <v>23.566878980891719</v>
      </c>
      <c r="BO1061" s="103">
        <v>22.202001819836216</v>
      </c>
      <c r="BQ1061" s="111"/>
      <c r="BR1061" s="46" t="s">
        <v>11</v>
      </c>
      <c r="BS1061" s="103">
        <v>0</v>
      </c>
      <c r="BT1061" s="103">
        <v>0</v>
      </c>
      <c r="BU1061" s="103">
        <v>0</v>
      </c>
      <c r="BV1061" s="103">
        <v>6.1538461538461542</v>
      </c>
      <c r="BW1061" s="103">
        <v>7.6923076923076925</v>
      </c>
      <c r="BX1061" s="103">
        <v>15.384615384615385</v>
      </c>
      <c r="BY1061" s="103">
        <v>15.384615384615385</v>
      </c>
      <c r="BZ1061" s="103">
        <v>29.230769230769234</v>
      </c>
      <c r="CA1061" s="103">
        <v>7.6923076923076925</v>
      </c>
      <c r="CB1061" s="103">
        <v>18.461538461538463</v>
      </c>
      <c r="CC1061" s="42"/>
      <c r="CD1061" s="111"/>
      <c r="CE1061" s="46" t="s">
        <v>11</v>
      </c>
      <c r="CF1061" s="103">
        <v>0</v>
      </c>
      <c r="CG1061" s="103">
        <v>0</v>
      </c>
      <c r="CH1061" s="103">
        <v>2.920560747663551E-2</v>
      </c>
      <c r="CI1061" s="103">
        <v>1.1974299065420559</v>
      </c>
      <c r="CJ1061" s="103">
        <v>2.7453271028037385</v>
      </c>
      <c r="CK1061" s="103">
        <v>8.5572429906542062</v>
      </c>
      <c r="CL1061" s="103">
        <v>19.01285046728972</v>
      </c>
      <c r="CM1061" s="103">
        <v>23.306074766355138</v>
      </c>
      <c r="CN1061" s="103">
        <v>23.364485981308412</v>
      </c>
      <c r="CO1061" s="103">
        <v>21.787383177570092</v>
      </c>
      <c r="CQ1061" s="111"/>
      <c r="CR1061" s="46" t="s">
        <v>11</v>
      </c>
      <c r="CS1061" s="103">
        <v>0</v>
      </c>
      <c r="CT1061" s="103">
        <v>0</v>
      </c>
      <c r="CU1061" s="103">
        <v>0</v>
      </c>
      <c r="CV1061" s="103">
        <v>4.1450777202072544</v>
      </c>
      <c r="CW1061" s="103">
        <v>3.1088082901554404</v>
      </c>
      <c r="CX1061" s="103">
        <v>7.2538860103626934</v>
      </c>
      <c r="CY1061" s="103">
        <v>26.94300518134715</v>
      </c>
      <c r="CZ1061" s="103">
        <v>23.316062176165804</v>
      </c>
      <c r="DA1061" s="103">
        <v>22.279792746113987</v>
      </c>
      <c r="DB1061" s="103">
        <v>12.953367875647666</v>
      </c>
      <c r="DC1061" s="42"/>
      <c r="DD1061" s="111"/>
      <c r="DE1061" s="46" t="s">
        <v>11</v>
      </c>
      <c r="DF1061" s="103">
        <v>0</v>
      </c>
      <c r="DG1061" s="103">
        <v>0</v>
      </c>
      <c r="DH1061" s="103">
        <v>3.0339805825242715E-2</v>
      </c>
      <c r="DI1061" s="103">
        <v>1.1225728155339807</v>
      </c>
      <c r="DJ1061" s="103">
        <v>2.8216019417475731</v>
      </c>
      <c r="DK1061" s="103">
        <v>8.7682038834951452</v>
      </c>
      <c r="DL1061" s="103">
        <v>18.476941747572813</v>
      </c>
      <c r="DM1061" s="103">
        <v>23.422330097087379</v>
      </c>
      <c r="DN1061" s="103">
        <v>23.118932038834952</v>
      </c>
      <c r="DO1061" s="103">
        <v>22.239077669902912</v>
      </c>
    </row>
    <row r="1062" spans="2:119" ht="16.5" customHeight="1" x14ac:dyDescent="0.45">
      <c r="B1062" s="99"/>
      <c r="C1062" s="42"/>
      <c r="D1062" s="42"/>
      <c r="E1062" s="42"/>
      <c r="F1062" s="42"/>
      <c r="G1062" s="42"/>
      <c r="H1062" s="42"/>
      <c r="I1062" s="42"/>
      <c r="J1062" s="42"/>
      <c r="K1062" s="42"/>
      <c r="L1062" s="42"/>
      <c r="M1062" s="42"/>
      <c r="N1062" s="42"/>
      <c r="O1062" s="42"/>
      <c r="P1062" s="42"/>
      <c r="Q1062" s="42"/>
      <c r="R1062" s="42"/>
      <c r="S1062" s="42"/>
      <c r="T1062" s="42"/>
      <c r="U1062" s="42"/>
      <c r="V1062" s="42"/>
      <c r="W1062" s="42"/>
      <c r="X1062" s="42"/>
      <c r="Y1062" s="42"/>
      <c r="Z1062" s="42"/>
      <c r="AA1062" s="42"/>
      <c r="AB1062" s="42"/>
      <c r="AC1062" s="42"/>
      <c r="AD1062" s="42"/>
      <c r="AE1062" s="42"/>
      <c r="AF1062" s="42"/>
      <c r="AG1062" s="42"/>
      <c r="AH1062" s="42"/>
      <c r="AI1062" s="42"/>
      <c r="AJ1062" s="42"/>
      <c r="AK1062" s="42"/>
      <c r="AL1062" s="42"/>
      <c r="AM1062" s="42"/>
      <c r="AN1062" s="42"/>
      <c r="AO1062" s="42"/>
      <c r="AQ1062" s="42"/>
      <c r="AR1062" s="42"/>
      <c r="AS1062" s="42"/>
      <c r="AT1062" s="42"/>
      <c r="AU1062" s="42"/>
      <c r="AV1062" s="42"/>
      <c r="AW1062" s="42"/>
      <c r="AX1062" s="42"/>
      <c r="AY1062" s="42"/>
      <c r="AZ1062" s="42"/>
      <c r="BA1062" s="42"/>
      <c r="BB1062" s="42"/>
      <c r="BC1062" s="42"/>
      <c r="BD1062" s="42"/>
      <c r="BE1062" s="42"/>
      <c r="BF1062" s="42"/>
      <c r="BG1062" s="42"/>
      <c r="BH1062" s="42"/>
      <c r="BI1062" s="42"/>
      <c r="BJ1062" s="42"/>
      <c r="BK1062" s="42"/>
      <c r="BL1062" s="42"/>
      <c r="BM1062" s="42"/>
      <c r="BN1062" s="42"/>
      <c r="BO1062" s="42"/>
      <c r="BQ1062" s="42"/>
      <c r="BR1062" s="42"/>
      <c r="BS1062" s="42"/>
      <c r="BT1062" s="42"/>
      <c r="BU1062" s="42"/>
      <c r="BV1062" s="42"/>
      <c r="BW1062" s="42"/>
      <c r="BX1062" s="42"/>
      <c r="BY1062" s="42"/>
      <c r="BZ1062" s="42"/>
      <c r="CA1062" s="42"/>
      <c r="CB1062" s="42"/>
      <c r="CC1062" s="42"/>
      <c r="CD1062" s="42"/>
      <c r="CE1062" s="42"/>
      <c r="CF1062" s="42"/>
      <c r="CG1062" s="42"/>
      <c r="CH1062" s="42"/>
      <c r="CI1062" s="42"/>
      <c r="CJ1062" s="42"/>
      <c r="CK1062" s="42"/>
      <c r="CL1062" s="42"/>
      <c r="CM1062" s="42"/>
      <c r="CN1062" s="42"/>
      <c r="CO1062" s="42"/>
      <c r="CQ1062" s="42"/>
      <c r="CR1062" s="42"/>
      <c r="CS1062" s="42"/>
      <c r="CT1062" s="42"/>
      <c r="CU1062" s="42"/>
      <c r="CV1062" s="42"/>
      <c r="CW1062" s="42"/>
      <c r="CX1062" s="42"/>
      <c r="CY1062" s="42"/>
      <c r="CZ1062" s="42"/>
      <c r="DA1062" s="42"/>
      <c r="DB1062" s="42"/>
      <c r="DC1062" s="42"/>
      <c r="DD1062" s="42"/>
      <c r="DE1062" s="42"/>
      <c r="DF1062" s="42"/>
      <c r="DG1062" s="42"/>
      <c r="DH1062" s="42"/>
      <c r="DI1062" s="42"/>
      <c r="DJ1062" s="42"/>
      <c r="DK1062" s="42"/>
      <c r="DL1062" s="42"/>
      <c r="DM1062" s="42"/>
      <c r="DN1062" s="42"/>
      <c r="DO1062" s="42"/>
    </row>
    <row r="1063" spans="2:119" x14ac:dyDescent="0.45">
      <c r="B1063" s="99"/>
      <c r="C1063" s="42"/>
      <c r="D1063" s="42"/>
      <c r="E1063" s="42"/>
      <c r="F1063" s="42"/>
      <c r="G1063" s="42"/>
      <c r="H1063" s="42"/>
      <c r="I1063" s="42"/>
      <c r="J1063" s="42"/>
      <c r="K1063" s="42"/>
      <c r="L1063" s="42"/>
      <c r="M1063" s="42"/>
      <c r="N1063" s="42"/>
      <c r="O1063" s="42"/>
      <c r="P1063" s="42"/>
      <c r="Q1063" s="42"/>
      <c r="R1063" s="42"/>
      <c r="S1063" s="42"/>
      <c r="T1063" s="42"/>
      <c r="U1063" s="42"/>
      <c r="V1063" s="42"/>
      <c r="W1063" s="42"/>
      <c r="X1063" s="42"/>
      <c r="Y1063" s="42"/>
      <c r="Z1063" s="42"/>
      <c r="AA1063" s="42"/>
      <c r="AB1063" s="42"/>
      <c r="AC1063" s="42"/>
      <c r="AD1063" s="42"/>
      <c r="AE1063" s="42"/>
      <c r="AF1063" s="42"/>
      <c r="AG1063" s="42"/>
      <c r="AH1063" s="42"/>
      <c r="AI1063" s="42"/>
      <c r="AJ1063" s="42"/>
      <c r="AK1063" s="42"/>
      <c r="AL1063" s="42"/>
      <c r="AM1063" s="42"/>
      <c r="AN1063" s="42"/>
      <c r="AO1063" s="42"/>
      <c r="AQ1063" s="42"/>
      <c r="AR1063" s="42"/>
      <c r="AS1063" s="42"/>
      <c r="AT1063" s="42"/>
      <c r="AU1063" s="42"/>
      <c r="AV1063" s="42"/>
      <c r="AW1063" s="42"/>
      <c r="AX1063" s="42"/>
      <c r="AY1063" s="42"/>
      <c r="AZ1063" s="42"/>
      <c r="BA1063" s="42"/>
      <c r="BB1063" s="42"/>
      <c r="BC1063" s="42"/>
      <c r="BD1063" s="42"/>
      <c r="BE1063" s="42"/>
      <c r="BF1063" s="42"/>
      <c r="BG1063" s="42"/>
      <c r="BH1063" s="42"/>
      <c r="BI1063" s="42"/>
      <c r="BJ1063" s="42"/>
      <c r="BK1063" s="42"/>
      <c r="BL1063" s="42"/>
      <c r="BM1063" s="42"/>
      <c r="BN1063" s="42"/>
      <c r="BO1063" s="42"/>
      <c r="BQ1063" s="42"/>
      <c r="BR1063" s="42"/>
      <c r="BS1063" s="42"/>
      <c r="BT1063" s="42"/>
      <c r="BU1063" s="42"/>
      <c r="BV1063" s="42"/>
      <c r="BW1063" s="42"/>
      <c r="BX1063" s="42"/>
      <c r="BY1063" s="42"/>
      <c r="BZ1063" s="42"/>
      <c r="CA1063" s="42"/>
      <c r="CB1063" s="42"/>
      <c r="CC1063" s="42"/>
      <c r="CD1063" s="42"/>
      <c r="CE1063" s="42"/>
      <c r="CF1063" s="42"/>
      <c r="CG1063" s="42"/>
      <c r="CH1063" s="42"/>
      <c r="CI1063" s="42"/>
      <c r="CJ1063" s="42"/>
      <c r="CK1063" s="42"/>
      <c r="CL1063" s="42"/>
      <c r="CM1063" s="42"/>
      <c r="CN1063" s="42"/>
      <c r="CO1063" s="42"/>
      <c r="CQ1063" s="42"/>
      <c r="CR1063" s="42"/>
      <c r="CS1063" s="42"/>
      <c r="CT1063" s="42"/>
      <c r="CU1063" s="42"/>
      <c r="CV1063" s="42"/>
      <c r="CW1063" s="42"/>
      <c r="CX1063" s="42"/>
      <c r="CY1063" s="42"/>
      <c r="CZ1063" s="42"/>
      <c r="DA1063" s="42"/>
      <c r="DB1063" s="42"/>
      <c r="DC1063" s="42"/>
      <c r="DD1063" s="42"/>
      <c r="DE1063" s="42"/>
      <c r="DF1063" s="42"/>
      <c r="DG1063" s="42"/>
      <c r="DH1063" s="42"/>
      <c r="DI1063" s="42"/>
      <c r="DJ1063" s="42"/>
      <c r="DK1063" s="42"/>
      <c r="DL1063" s="42"/>
      <c r="DM1063" s="42"/>
      <c r="DN1063" s="42"/>
      <c r="DO1063" s="42"/>
    </row>
    <row r="1064" spans="2:119" ht="18.75" customHeight="1" x14ac:dyDescent="0.55000000000000004">
      <c r="B1064" s="99"/>
      <c r="C1064" s="42"/>
      <c r="D1064" s="112" t="s">
        <v>24</v>
      </c>
      <c r="E1064" s="112"/>
      <c r="F1064" s="45"/>
      <c r="G1064" s="45"/>
      <c r="H1064" s="45"/>
      <c r="I1064" s="45"/>
      <c r="J1064" s="45"/>
      <c r="K1064" s="45"/>
      <c r="L1064" s="45"/>
      <c r="M1064" s="45"/>
      <c r="N1064" s="45"/>
      <c r="O1064" s="45"/>
      <c r="P1064" s="42"/>
      <c r="Q1064" s="112" t="s">
        <v>24</v>
      </c>
      <c r="R1064" s="112"/>
      <c r="S1064" s="45"/>
      <c r="T1064" s="45"/>
      <c r="U1064" s="45"/>
      <c r="V1064" s="45"/>
      <c r="W1064" s="45"/>
      <c r="X1064" s="45"/>
      <c r="Y1064" s="45"/>
      <c r="Z1064" s="45"/>
      <c r="AA1064" s="45"/>
      <c r="AB1064" s="45"/>
      <c r="AC1064" s="42"/>
      <c r="AD1064" s="112" t="s">
        <v>24</v>
      </c>
      <c r="AE1064" s="112"/>
      <c r="AF1064" s="45"/>
      <c r="AG1064" s="45"/>
      <c r="AH1064" s="45"/>
      <c r="AI1064" s="45"/>
      <c r="AJ1064" s="45"/>
      <c r="AK1064" s="45"/>
      <c r="AL1064" s="45"/>
      <c r="AM1064" s="45"/>
      <c r="AN1064" s="45"/>
      <c r="AO1064" s="45"/>
      <c r="AP1064" s="6"/>
      <c r="AQ1064" s="112" t="s">
        <v>24</v>
      </c>
      <c r="AR1064" s="112"/>
      <c r="AS1064" s="45"/>
      <c r="AT1064" s="45"/>
      <c r="AU1064" s="45"/>
      <c r="AV1064" s="45"/>
      <c r="AW1064" s="45"/>
      <c r="AX1064" s="45"/>
      <c r="AY1064" s="45"/>
      <c r="AZ1064" s="45"/>
      <c r="BA1064" s="45"/>
      <c r="BB1064" s="45"/>
      <c r="BC1064" s="42"/>
      <c r="BD1064" s="112" t="s">
        <v>24</v>
      </c>
      <c r="BE1064" s="112"/>
      <c r="BF1064" s="45"/>
      <c r="BG1064" s="45"/>
      <c r="BH1064" s="45"/>
      <c r="BI1064" s="45"/>
      <c r="BJ1064" s="45"/>
      <c r="BK1064" s="45"/>
      <c r="BL1064" s="45"/>
      <c r="BM1064" s="45"/>
      <c r="BN1064" s="45"/>
      <c r="BO1064" s="45"/>
      <c r="BQ1064" s="112" t="s">
        <v>24</v>
      </c>
      <c r="BR1064" s="112"/>
      <c r="BS1064" s="45"/>
      <c r="BT1064" s="45"/>
      <c r="BU1064" s="45"/>
      <c r="BV1064" s="45"/>
      <c r="BW1064" s="45"/>
      <c r="BX1064" s="45"/>
      <c r="BY1064" s="45"/>
      <c r="BZ1064" s="45"/>
      <c r="CA1064" s="45"/>
      <c r="CB1064" s="45"/>
      <c r="CC1064" s="42"/>
      <c r="CD1064" s="112" t="s">
        <v>24</v>
      </c>
      <c r="CE1064" s="112"/>
      <c r="CF1064" s="45"/>
      <c r="CG1064" s="45"/>
      <c r="CH1064" s="45"/>
      <c r="CI1064" s="45"/>
      <c r="CJ1064" s="45"/>
      <c r="CK1064" s="45"/>
      <c r="CL1064" s="45"/>
      <c r="CM1064" s="45"/>
      <c r="CN1064" s="45"/>
      <c r="CO1064" s="45"/>
      <c r="CQ1064" s="112" t="s">
        <v>24</v>
      </c>
      <c r="CR1064" s="112"/>
      <c r="CS1064" s="45"/>
      <c r="CT1064" s="45"/>
      <c r="CU1064" s="45"/>
      <c r="CV1064" s="45"/>
      <c r="CW1064" s="45"/>
      <c r="CX1064" s="45"/>
      <c r="CY1064" s="45"/>
      <c r="CZ1064" s="45"/>
      <c r="DA1064" s="45"/>
      <c r="DB1064" s="45"/>
      <c r="DC1064" s="42"/>
      <c r="DD1064" s="112" t="s">
        <v>24</v>
      </c>
      <c r="DE1064" s="112"/>
      <c r="DF1064" s="45"/>
      <c r="DG1064" s="45"/>
      <c r="DH1064" s="45"/>
      <c r="DI1064" s="45"/>
      <c r="DJ1064" s="45"/>
      <c r="DK1064" s="45"/>
      <c r="DL1064" s="45"/>
      <c r="DM1064" s="45"/>
      <c r="DN1064" s="45"/>
      <c r="DO1064" s="45"/>
    </row>
    <row r="1065" spans="2:119" ht="28.9" customHeight="1" x14ac:dyDescent="0.45">
      <c r="B1065" s="99"/>
      <c r="C1065" s="42"/>
      <c r="D1065" s="112"/>
      <c r="E1065" s="112"/>
      <c r="F1065" s="108" t="s">
        <v>12</v>
      </c>
      <c r="G1065" s="108"/>
      <c r="H1065" s="108"/>
      <c r="I1065" s="108"/>
      <c r="J1065" s="108"/>
      <c r="K1065" s="108"/>
      <c r="L1065" s="108"/>
      <c r="M1065" s="108"/>
      <c r="N1065" s="108"/>
      <c r="O1065" s="108"/>
      <c r="P1065" s="42"/>
      <c r="Q1065" s="112"/>
      <c r="R1065" s="112"/>
      <c r="S1065" s="108" t="s">
        <v>12</v>
      </c>
      <c r="T1065" s="108"/>
      <c r="U1065" s="108"/>
      <c r="V1065" s="108"/>
      <c r="W1065" s="108"/>
      <c r="X1065" s="108"/>
      <c r="Y1065" s="108"/>
      <c r="Z1065" s="108"/>
      <c r="AA1065" s="108"/>
      <c r="AB1065" s="108"/>
      <c r="AC1065" s="42"/>
      <c r="AD1065" s="112"/>
      <c r="AE1065" s="112"/>
      <c r="AF1065" s="108" t="s">
        <v>12</v>
      </c>
      <c r="AG1065" s="108"/>
      <c r="AH1065" s="108"/>
      <c r="AI1065" s="108"/>
      <c r="AJ1065" s="108"/>
      <c r="AK1065" s="108"/>
      <c r="AL1065" s="108"/>
      <c r="AM1065" s="108"/>
      <c r="AN1065" s="108"/>
      <c r="AO1065" s="108"/>
      <c r="AP1065" s="6"/>
      <c r="AQ1065" s="112"/>
      <c r="AR1065" s="112"/>
      <c r="AS1065" s="108" t="s">
        <v>12</v>
      </c>
      <c r="AT1065" s="108"/>
      <c r="AU1065" s="108"/>
      <c r="AV1065" s="108"/>
      <c r="AW1065" s="108"/>
      <c r="AX1065" s="108"/>
      <c r="AY1065" s="108"/>
      <c r="AZ1065" s="108"/>
      <c r="BA1065" s="108"/>
      <c r="BB1065" s="108"/>
      <c r="BC1065" s="42"/>
      <c r="BD1065" s="112"/>
      <c r="BE1065" s="112"/>
      <c r="BF1065" s="108" t="s">
        <v>12</v>
      </c>
      <c r="BG1065" s="108"/>
      <c r="BH1065" s="108"/>
      <c r="BI1065" s="108"/>
      <c r="BJ1065" s="108"/>
      <c r="BK1065" s="108"/>
      <c r="BL1065" s="108"/>
      <c r="BM1065" s="108"/>
      <c r="BN1065" s="108"/>
      <c r="BO1065" s="108"/>
      <c r="BQ1065" s="112"/>
      <c r="BR1065" s="112"/>
      <c r="BS1065" s="108" t="s">
        <v>12</v>
      </c>
      <c r="BT1065" s="108"/>
      <c r="BU1065" s="108"/>
      <c r="BV1065" s="108"/>
      <c r="BW1065" s="108"/>
      <c r="BX1065" s="108"/>
      <c r="BY1065" s="108"/>
      <c r="BZ1065" s="108"/>
      <c r="CA1065" s="108"/>
      <c r="CB1065" s="108"/>
      <c r="CC1065" s="42"/>
      <c r="CD1065" s="112"/>
      <c r="CE1065" s="112"/>
      <c r="CF1065" s="108" t="s">
        <v>12</v>
      </c>
      <c r="CG1065" s="108"/>
      <c r="CH1065" s="108"/>
      <c r="CI1065" s="108"/>
      <c r="CJ1065" s="108"/>
      <c r="CK1065" s="108"/>
      <c r="CL1065" s="108"/>
      <c r="CM1065" s="108"/>
      <c r="CN1065" s="108"/>
      <c r="CO1065" s="108"/>
      <c r="CQ1065" s="112"/>
      <c r="CR1065" s="112"/>
      <c r="CS1065" s="108" t="s">
        <v>12</v>
      </c>
      <c r="CT1065" s="108"/>
      <c r="CU1065" s="108"/>
      <c r="CV1065" s="108"/>
      <c r="CW1065" s="108"/>
      <c r="CX1065" s="108"/>
      <c r="CY1065" s="108"/>
      <c r="CZ1065" s="108"/>
      <c r="DA1065" s="108"/>
      <c r="DB1065" s="108"/>
      <c r="DC1065" s="42"/>
      <c r="DD1065" s="112"/>
      <c r="DE1065" s="112"/>
      <c r="DF1065" s="108" t="s">
        <v>12</v>
      </c>
      <c r="DG1065" s="108"/>
      <c r="DH1065" s="108"/>
      <c r="DI1065" s="108"/>
      <c r="DJ1065" s="108"/>
      <c r="DK1065" s="108"/>
      <c r="DL1065" s="108"/>
      <c r="DM1065" s="108"/>
      <c r="DN1065" s="108"/>
      <c r="DO1065" s="108"/>
    </row>
    <row r="1066" spans="2:119" ht="15" customHeight="1" x14ac:dyDescent="0.45">
      <c r="B1066" s="99"/>
      <c r="C1066" s="42"/>
      <c r="D1066" s="113"/>
      <c r="E1066" s="113"/>
      <c r="F1066" s="9" t="s">
        <v>0</v>
      </c>
      <c r="G1066" s="9">
        <v>1</v>
      </c>
      <c r="H1066" s="9">
        <v>2</v>
      </c>
      <c r="I1066" s="9">
        <v>3</v>
      </c>
      <c r="J1066" s="9">
        <v>4</v>
      </c>
      <c r="K1066" s="9">
        <v>5</v>
      </c>
      <c r="L1066" s="9">
        <v>6</v>
      </c>
      <c r="M1066" s="9">
        <v>7</v>
      </c>
      <c r="N1066" s="9">
        <v>8</v>
      </c>
      <c r="O1066" s="9">
        <v>9</v>
      </c>
      <c r="P1066" s="42"/>
      <c r="Q1066" s="113"/>
      <c r="R1066" s="113"/>
      <c r="S1066" s="9" t="s">
        <v>0</v>
      </c>
      <c r="T1066" s="9">
        <v>1</v>
      </c>
      <c r="U1066" s="9">
        <v>2</v>
      </c>
      <c r="V1066" s="9">
        <v>3</v>
      </c>
      <c r="W1066" s="9">
        <v>4</v>
      </c>
      <c r="X1066" s="9">
        <v>5</v>
      </c>
      <c r="Y1066" s="9">
        <v>6</v>
      </c>
      <c r="Z1066" s="9">
        <v>7</v>
      </c>
      <c r="AA1066" s="9">
        <v>8</v>
      </c>
      <c r="AB1066" s="9">
        <v>9</v>
      </c>
      <c r="AC1066" s="42"/>
      <c r="AD1066" s="113"/>
      <c r="AE1066" s="113"/>
      <c r="AF1066" s="9" t="s">
        <v>0</v>
      </c>
      <c r="AG1066" s="9">
        <v>1</v>
      </c>
      <c r="AH1066" s="9">
        <v>2</v>
      </c>
      <c r="AI1066" s="9">
        <v>3</v>
      </c>
      <c r="AJ1066" s="9">
        <v>4</v>
      </c>
      <c r="AK1066" s="9">
        <v>5</v>
      </c>
      <c r="AL1066" s="9">
        <v>6</v>
      </c>
      <c r="AM1066" s="9">
        <v>7</v>
      </c>
      <c r="AN1066" s="9">
        <v>8</v>
      </c>
      <c r="AO1066" s="9">
        <v>9</v>
      </c>
      <c r="AP1066" s="6"/>
      <c r="AQ1066" s="113"/>
      <c r="AR1066" s="113"/>
      <c r="AS1066" s="9" t="s">
        <v>0</v>
      </c>
      <c r="AT1066" s="9">
        <v>1</v>
      </c>
      <c r="AU1066" s="9">
        <v>2</v>
      </c>
      <c r="AV1066" s="9">
        <v>3</v>
      </c>
      <c r="AW1066" s="9">
        <v>4</v>
      </c>
      <c r="AX1066" s="9">
        <v>5</v>
      </c>
      <c r="AY1066" s="9">
        <v>6</v>
      </c>
      <c r="AZ1066" s="9">
        <v>7</v>
      </c>
      <c r="BA1066" s="9">
        <v>8</v>
      </c>
      <c r="BB1066" s="9">
        <v>9</v>
      </c>
      <c r="BC1066" s="42"/>
      <c r="BD1066" s="113"/>
      <c r="BE1066" s="113"/>
      <c r="BF1066" s="9" t="s">
        <v>0</v>
      </c>
      <c r="BG1066" s="9">
        <v>1</v>
      </c>
      <c r="BH1066" s="9">
        <v>2</v>
      </c>
      <c r="BI1066" s="9">
        <v>3</v>
      </c>
      <c r="BJ1066" s="9">
        <v>4</v>
      </c>
      <c r="BK1066" s="9">
        <v>5</v>
      </c>
      <c r="BL1066" s="9">
        <v>6</v>
      </c>
      <c r="BM1066" s="9">
        <v>7</v>
      </c>
      <c r="BN1066" s="9">
        <v>8</v>
      </c>
      <c r="BO1066" s="9">
        <v>9</v>
      </c>
      <c r="BQ1066" s="113"/>
      <c r="BR1066" s="113"/>
      <c r="BS1066" s="9" t="s">
        <v>0</v>
      </c>
      <c r="BT1066" s="9">
        <v>1</v>
      </c>
      <c r="BU1066" s="9">
        <v>2</v>
      </c>
      <c r="BV1066" s="9">
        <v>3</v>
      </c>
      <c r="BW1066" s="9">
        <v>4</v>
      </c>
      <c r="BX1066" s="9">
        <v>5</v>
      </c>
      <c r="BY1066" s="9">
        <v>6</v>
      </c>
      <c r="BZ1066" s="9">
        <v>7</v>
      </c>
      <c r="CA1066" s="9">
        <v>8</v>
      </c>
      <c r="CB1066" s="9">
        <v>9</v>
      </c>
      <c r="CC1066" s="42"/>
      <c r="CD1066" s="113"/>
      <c r="CE1066" s="113"/>
      <c r="CF1066" s="9" t="s">
        <v>0</v>
      </c>
      <c r="CG1066" s="9">
        <v>1</v>
      </c>
      <c r="CH1066" s="9">
        <v>2</v>
      </c>
      <c r="CI1066" s="9">
        <v>3</v>
      </c>
      <c r="CJ1066" s="9">
        <v>4</v>
      </c>
      <c r="CK1066" s="9">
        <v>5</v>
      </c>
      <c r="CL1066" s="9">
        <v>6</v>
      </c>
      <c r="CM1066" s="9">
        <v>7</v>
      </c>
      <c r="CN1066" s="9">
        <v>8</v>
      </c>
      <c r="CO1066" s="9">
        <v>9</v>
      </c>
      <c r="CQ1066" s="113"/>
      <c r="CR1066" s="113"/>
      <c r="CS1066" s="9" t="s">
        <v>0</v>
      </c>
      <c r="CT1066" s="9">
        <v>1</v>
      </c>
      <c r="CU1066" s="9">
        <v>2</v>
      </c>
      <c r="CV1066" s="9">
        <v>3</v>
      </c>
      <c r="CW1066" s="9">
        <v>4</v>
      </c>
      <c r="CX1066" s="9">
        <v>5</v>
      </c>
      <c r="CY1066" s="9">
        <v>6</v>
      </c>
      <c r="CZ1066" s="9">
        <v>7</v>
      </c>
      <c r="DA1066" s="9">
        <v>8</v>
      </c>
      <c r="DB1066" s="9">
        <v>9</v>
      </c>
      <c r="DC1066" s="42"/>
      <c r="DD1066" s="113"/>
      <c r="DE1066" s="113"/>
      <c r="DF1066" s="9" t="s">
        <v>0</v>
      </c>
      <c r="DG1066" s="9">
        <v>1</v>
      </c>
      <c r="DH1066" s="9">
        <v>2</v>
      </c>
      <c r="DI1066" s="9">
        <v>3</v>
      </c>
      <c r="DJ1066" s="9">
        <v>4</v>
      </c>
      <c r="DK1066" s="9">
        <v>5</v>
      </c>
      <c r="DL1066" s="9">
        <v>6</v>
      </c>
      <c r="DM1066" s="9">
        <v>7</v>
      </c>
      <c r="DN1066" s="9">
        <v>8</v>
      </c>
      <c r="DO1066" s="9">
        <v>9</v>
      </c>
    </row>
    <row r="1067" spans="2:119" ht="16.5" customHeight="1" x14ac:dyDescent="0.45">
      <c r="B1067" s="134" t="s">
        <v>46</v>
      </c>
      <c r="C1067" s="42"/>
      <c r="D1067" s="109" t="s">
        <v>13</v>
      </c>
      <c r="E1067" s="46" t="s">
        <v>1</v>
      </c>
      <c r="F1067" s="103">
        <v>3</v>
      </c>
      <c r="G1067" s="103">
        <v>4</v>
      </c>
      <c r="H1067" s="103">
        <v>6</v>
      </c>
      <c r="I1067" s="103">
        <v>5</v>
      </c>
      <c r="J1067" s="103">
        <v>7</v>
      </c>
      <c r="K1067" s="103">
        <v>1</v>
      </c>
      <c r="L1067" s="103">
        <v>3</v>
      </c>
      <c r="M1067" s="103">
        <v>1</v>
      </c>
      <c r="N1067" s="103">
        <v>0</v>
      </c>
      <c r="O1067" s="17">
        <v>0</v>
      </c>
      <c r="P1067" s="42"/>
      <c r="Q1067" s="109" t="s">
        <v>13</v>
      </c>
      <c r="R1067" s="46" t="s">
        <v>1</v>
      </c>
      <c r="S1067" s="103">
        <v>1</v>
      </c>
      <c r="T1067" s="103">
        <v>0</v>
      </c>
      <c r="U1067" s="103">
        <v>2</v>
      </c>
      <c r="V1067" s="103">
        <v>3</v>
      </c>
      <c r="W1067" s="103">
        <v>4</v>
      </c>
      <c r="X1067" s="103">
        <v>1</v>
      </c>
      <c r="Y1067" s="103">
        <v>2</v>
      </c>
      <c r="Z1067" s="103">
        <v>1</v>
      </c>
      <c r="AA1067" s="103">
        <v>0</v>
      </c>
      <c r="AB1067" s="17">
        <v>0</v>
      </c>
      <c r="AC1067" s="42"/>
      <c r="AD1067" s="109" t="s">
        <v>13</v>
      </c>
      <c r="AE1067" s="46" t="s">
        <v>1</v>
      </c>
      <c r="AF1067" s="103">
        <v>2</v>
      </c>
      <c r="AG1067" s="103">
        <v>4</v>
      </c>
      <c r="AH1067" s="103">
        <v>4</v>
      </c>
      <c r="AI1067" s="103">
        <v>2</v>
      </c>
      <c r="AJ1067" s="103">
        <v>3</v>
      </c>
      <c r="AK1067" s="103">
        <v>0</v>
      </c>
      <c r="AL1067" s="103">
        <v>1</v>
      </c>
      <c r="AM1067" s="103">
        <v>0</v>
      </c>
      <c r="AN1067" s="103">
        <v>0</v>
      </c>
      <c r="AO1067" s="17">
        <v>0</v>
      </c>
      <c r="AP1067" s="6"/>
      <c r="AQ1067" s="109" t="s">
        <v>13</v>
      </c>
      <c r="AR1067" s="46" t="s">
        <v>1</v>
      </c>
      <c r="AS1067" s="103">
        <v>1</v>
      </c>
      <c r="AT1067" s="103">
        <v>1</v>
      </c>
      <c r="AU1067" s="103">
        <v>2</v>
      </c>
      <c r="AV1067" s="103">
        <v>1</v>
      </c>
      <c r="AW1067" s="103">
        <v>4</v>
      </c>
      <c r="AX1067" s="103">
        <v>1</v>
      </c>
      <c r="AY1067" s="103">
        <v>2</v>
      </c>
      <c r="AZ1067" s="103">
        <v>1</v>
      </c>
      <c r="BA1067" s="103">
        <v>0</v>
      </c>
      <c r="BB1067" s="17">
        <v>0</v>
      </c>
      <c r="BC1067" s="42"/>
      <c r="BD1067" s="109" t="s">
        <v>13</v>
      </c>
      <c r="BE1067" s="46" t="s">
        <v>1</v>
      </c>
      <c r="BF1067" s="103">
        <v>2</v>
      </c>
      <c r="BG1067" s="103">
        <v>3</v>
      </c>
      <c r="BH1067" s="103">
        <v>4</v>
      </c>
      <c r="BI1067" s="103">
        <v>4</v>
      </c>
      <c r="BJ1067" s="103">
        <v>3</v>
      </c>
      <c r="BK1067" s="103">
        <v>0</v>
      </c>
      <c r="BL1067" s="103">
        <v>1</v>
      </c>
      <c r="BM1067" s="103">
        <v>0</v>
      </c>
      <c r="BN1067" s="103">
        <v>0</v>
      </c>
      <c r="BO1067" s="17">
        <v>0</v>
      </c>
      <c r="BQ1067" s="109" t="s">
        <v>13</v>
      </c>
      <c r="BR1067" s="46" t="s">
        <v>1</v>
      </c>
      <c r="BS1067" s="103">
        <v>1</v>
      </c>
      <c r="BT1067" s="103">
        <v>2</v>
      </c>
      <c r="BU1067" s="103">
        <v>2</v>
      </c>
      <c r="BV1067" s="103">
        <v>1</v>
      </c>
      <c r="BW1067" s="103">
        <v>5</v>
      </c>
      <c r="BX1067" s="103">
        <v>0</v>
      </c>
      <c r="BY1067" s="103">
        <v>0</v>
      </c>
      <c r="BZ1067" s="103">
        <v>0</v>
      </c>
      <c r="CA1067" s="103">
        <v>0</v>
      </c>
      <c r="CB1067" s="17">
        <v>0</v>
      </c>
      <c r="CC1067" s="42"/>
      <c r="CD1067" s="109" t="s">
        <v>13</v>
      </c>
      <c r="CE1067" s="46" t="s">
        <v>1</v>
      </c>
      <c r="CF1067" s="103">
        <v>2</v>
      </c>
      <c r="CG1067" s="103">
        <v>2</v>
      </c>
      <c r="CH1067" s="103">
        <v>4</v>
      </c>
      <c r="CI1067" s="103">
        <v>4</v>
      </c>
      <c r="CJ1067" s="103">
        <v>2</v>
      </c>
      <c r="CK1067" s="103">
        <v>1</v>
      </c>
      <c r="CL1067" s="103">
        <v>3</v>
      </c>
      <c r="CM1067" s="103">
        <v>1</v>
      </c>
      <c r="CN1067" s="103">
        <v>0</v>
      </c>
      <c r="CO1067" s="17">
        <v>0</v>
      </c>
      <c r="CQ1067" s="109" t="s">
        <v>13</v>
      </c>
      <c r="CR1067" s="46" t="s">
        <v>1</v>
      </c>
      <c r="CS1067" s="103">
        <v>3</v>
      </c>
      <c r="CT1067" s="103">
        <v>4</v>
      </c>
      <c r="CU1067" s="103">
        <v>6</v>
      </c>
      <c r="CV1067" s="103">
        <v>5</v>
      </c>
      <c r="CW1067" s="103">
        <v>5</v>
      </c>
      <c r="CX1067" s="103">
        <v>1</v>
      </c>
      <c r="CY1067" s="103">
        <v>2</v>
      </c>
      <c r="CZ1067" s="103">
        <v>1</v>
      </c>
      <c r="DA1067" s="103">
        <v>0</v>
      </c>
      <c r="DB1067" s="17">
        <v>0</v>
      </c>
      <c r="DC1067" s="42"/>
      <c r="DD1067" s="109" t="s">
        <v>13</v>
      </c>
      <c r="DE1067" s="46" t="s">
        <v>1</v>
      </c>
      <c r="DF1067" s="103">
        <v>0</v>
      </c>
      <c r="DG1067" s="103">
        <v>0</v>
      </c>
      <c r="DH1067" s="103">
        <v>0</v>
      </c>
      <c r="DI1067" s="103">
        <v>0</v>
      </c>
      <c r="DJ1067" s="103">
        <v>2</v>
      </c>
      <c r="DK1067" s="103">
        <v>0</v>
      </c>
      <c r="DL1067" s="103">
        <v>1</v>
      </c>
      <c r="DM1067" s="103">
        <v>0</v>
      </c>
      <c r="DN1067" s="103">
        <v>0</v>
      </c>
      <c r="DO1067" s="17">
        <v>0</v>
      </c>
    </row>
    <row r="1068" spans="2:119" ht="16.5" customHeight="1" x14ac:dyDescent="0.45">
      <c r="B1068" s="134"/>
      <c r="C1068" s="42"/>
      <c r="D1068" s="110"/>
      <c r="E1068" s="46">
        <v>1</v>
      </c>
      <c r="F1068" s="103">
        <v>16</v>
      </c>
      <c r="G1068" s="103">
        <v>20</v>
      </c>
      <c r="H1068" s="103">
        <v>20</v>
      </c>
      <c r="I1068" s="103">
        <v>13</v>
      </c>
      <c r="J1068" s="103">
        <v>4</v>
      </c>
      <c r="K1068" s="103">
        <v>5</v>
      </c>
      <c r="L1068" s="103">
        <v>1</v>
      </c>
      <c r="M1068" s="103">
        <v>2</v>
      </c>
      <c r="N1068" s="103">
        <v>2</v>
      </c>
      <c r="O1068" s="103">
        <v>1</v>
      </c>
      <c r="P1068" s="42"/>
      <c r="Q1068" s="110"/>
      <c r="R1068" s="46">
        <v>1</v>
      </c>
      <c r="S1068" s="103">
        <v>8</v>
      </c>
      <c r="T1068" s="103">
        <v>9</v>
      </c>
      <c r="U1068" s="103">
        <v>11</v>
      </c>
      <c r="V1068" s="103">
        <v>8</v>
      </c>
      <c r="W1068" s="103">
        <v>2</v>
      </c>
      <c r="X1068" s="103">
        <v>4</v>
      </c>
      <c r="Y1068" s="103">
        <v>0</v>
      </c>
      <c r="Z1068" s="103">
        <v>2</v>
      </c>
      <c r="AA1068" s="103">
        <v>2</v>
      </c>
      <c r="AB1068" s="103">
        <v>0</v>
      </c>
      <c r="AC1068" s="42"/>
      <c r="AD1068" s="110"/>
      <c r="AE1068" s="46">
        <v>1</v>
      </c>
      <c r="AF1068" s="103">
        <v>8</v>
      </c>
      <c r="AG1068" s="103">
        <v>11</v>
      </c>
      <c r="AH1068" s="103">
        <v>9</v>
      </c>
      <c r="AI1068" s="103">
        <v>5</v>
      </c>
      <c r="AJ1068" s="103">
        <v>2</v>
      </c>
      <c r="AK1068" s="103">
        <v>1</v>
      </c>
      <c r="AL1068" s="103">
        <v>1</v>
      </c>
      <c r="AM1068" s="103">
        <v>0</v>
      </c>
      <c r="AN1068" s="103">
        <v>0</v>
      </c>
      <c r="AO1068" s="103">
        <v>1</v>
      </c>
      <c r="AP1068" s="6"/>
      <c r="AQ1068" s="110"/>
      <c r="AR1068" s="46">
        <v>1</v>
      </c>
      <c r="AS1068" s="103">
        <v>10</v>
      </c>
      <c r="AT1068" s="103">
        <v>10</v>
      </c>
      <c r="AU1068" s="103">
        <v>8</v>
      </c>
      <c r="AV1068" s="103">
        <v>4</v>
      </c>
      <c r="AW1068" s="103">
        <v>1</v>
      </c>
      <c r="AX1068" s="103">
        <v>2</v>
      </c>
      <c r="AY1068" s="103">
        <v>1</v>
      </c>
      <c r="AZ1068" s="103">
        <v>1</v>
      </c>
      <c r="BA1068" s="103">
        <v>0</v>
      </c>
      <c r="BB1068" s="103">
        <v>1</v>
      </c>
      <c r="BC1068" s="42"/>
      <c r="BD1068" s="110"/>
      <c r="BE1068" s="46">
        <v>1</v>
      </c>
      <c r="BF1068" s="103">
        <v>6</v>
      </c>
      <c r="BG1068" s="103">
        <v>10</v>
      </c>
      <c r="BH1068" s="103">
        <v>12</v>
      </c>
      <c r="BI1068" s="103">
        <v>9</v>
      </c>
      <c r="BJ1068" s="103">
        <v>3</v>
      </c>
      <c r="BK1068" s="103">
        <v>3</v>
      </c>
      <c r="BL1068" s="103">
        <v>0</v>
      </c>
      <c r="BM1068" s="103">
        <v>1</v>
      </c>
      <c r="BN1068" s="103">
        <v>2</v>
      </c>
      <c r="BO1068" s="103">
        <v>0</v>
      </c>
      <c r="BQ1068" s="110"/>
      <c r="BR1068" s="46">
        <v>1</v>
      </c>
      <c r="BS1068" s="103">
        <v>13</v>
      </c>
      <c r="BT1068" s="103">
        <v>10</v>
      </c>
      <c r="BU1068" s="103">
        <v>14</v>
      </c>
      <c r="BV1068" s="103">
        <v>4</v>
      </c>
      <c r="BW1068" s="103">
        <v>0</v>
      </c>
      <c r="BX1068" s="103">
        <v>0</v>
      </c>
      <c r="BY1068" s="103">
        <v>0</v>
      </c>
      <c r="BZ1068" s="103">
        <v>0</v>
      </c>
      <c r="CA1068" s="103">
        <v>0</v>
      </c>
      <c r="CB1068" s="103">
        <v>0</v>
      </c>
      <c r="CC1068" s="42"/>
      <c r="CD1068" s="110"/>
      <c r="CE1068" s="46">
        <v>1</v>
      </c>
      <c r="CF1068" s="103">
        <v>3</v>
      </c>
      <c r="CG1068" s="103">
        <v>10</v>
      </c>
      <c r="CH1068" s="103">
        <v>6</v>
      </c>
      <c r="CI1068" s="103">
        <v>9</v>
      </c>
      <c r="CJ1068" s="103">
        <v>4</v>
      </c>
      <c r="CK1068" s="103">
        <v>5</v>
      </c>
      <c r="CL1068" s="103">
        <v>1</v>
      </c>
      <c r="CM1068" s="103">
        <v>2</v>
      </c>
      <c r="CN1068" s="103">
        <v>2</v>
      </c>
      <c r="CO1068" s="103">
        <v>1</v>
      </c>
      <c r="CQ1068" s="110"/>
      <c r="CR1068" s="46">
        <v>1</v>
      </c>
      <c r="CS1068" s="103">
        <v>10</v>
      </c>
      <c r="CT1068" s="103">
        <v>15</v>
      </c>
      <c r="CU1068" s="103">
        <v>13</v>
      </c>
      <c r="CV1068" s="103">
        <v>13</v>
      </c>
      <c r="CW1068" s="103">
        <v>4</v>
      </c>
      <c r="CX1068" s="103">
        <v>5</v>
      </c>
      <c r="CY1068" s="103">
        <v>1</v>
      </c>
      <c r="CZ1068" s="103">
        <v>2</v>
      </c>
      <c r="DA1068" s="103">
        <v>2</v>
      </c>
      <c r="DB1068" s="103">
        <v>1</v>
      </c>
      <c r="DC1068" s="42"/>
      <c r="DD1068" s="110"/>
      <c r="DE1068" s="46">
        <v>1</v>
      </c>
      <c r="DF1068" s="103">
        <v>6</v>
      </c>
      <c r="DG1068" s="103">
        <v>5</v>
      </c>
      <c r="DH1068" s="103">
        <v>7</v>
      </c>
      <c r="DI1068" s="103">
        <v>0</v>
      </c>
      <c r="DJ1068" s="103">
        <v>0</v>
      </c>
      <c r="DK1068" s="103">
        <v>0</v>
      </c>
      <c r="DL1068" s="103">
        <v>0</v>
      </c>
      <c r="DM1068" s="103">
        <v>0</v>
      </c>
      <c r="DN1068" s="103">
        <v>0</v>
      </c>
      <c r="DO1068" s="103">
        <v>0</v>
      </c>
    </row>
    <row r="1069" spans="2:119" ht="16.5" customHeight="1" x14ac:dyDescent="0.45">
      <c r="B1069" s="134"/>
      <c r="C1069" s="42"/>
      <c r="D1069" s="110"/>
      <c r="E1069" s="46" t="s">
        <v>2</v>
      </c>
      <c r="F1069" s="103">
        <v>330</v>
      </c>
      <c r="G1069" s="103">
        <v>779</v>
      </c>
      <c r="H1069" s="103">
        <v>781</v>
      </c>
      <c r="I1069" s="103">
        <v>527</v>
      </c>
      <c r="J1069" s="103">
        <v>187</v>
      </c>
      <c r="K1069" s="103">
        <v>112</v>
      </c>
      <c r="L1069" s="103">
        <v>76</v>
      </c>
      <c r="M1069" s="103">
        <v>27</v>
      </c>
      <c r="N1069" s="103">
        <v>11</v>
      </c>
      <c r="O1069" s="103">
        <v>4</v>
      </c>
      <c r="P1069" s="42"/>
      <c r="Q1069" s="110"/>
      <c r="R1069" s="46" t="s">
        <v>2</v>
      </c>
      <c r="S1069" s="103">
        <v>116</v>
      </c>
      <c r="T1069" s="103">
        <v>356</v>
      </c>
      <c r="U1069" s="103">
        <v>401</v>
      </c>
      <c r="V1069" s="103">
        <v>265</v>
      </c>
      <c r="W1069" s="103">
        <v>103</v>
      </c>
      <c r="X1069" s="103">
        <v>64</v>
      </c>
      <c r="Y1069" s="103">
        <v>53</v>
      </c>
      <c r="Z1069" s="103">
        <v>17</v>
      </c>
      <c r="AA1069" s="103">
        <v>8</v>
      </c>
      <c r="AB1069" s="103">
        <v>4</v>
      </c>
      <c r="AC1069" s="42"/>
      <c r="AD1069" s="110"/>
      <c r="AE1069" s="46" t="s">
        <v>2</v>
      </c>
      <c r="AF1069" s="103">
        <v>214</v>
      </c>
      <c r="AG1069" s="103">
        <v>423</v>
      </c>
      <c r="AH1069" s="103">
        <v>380</v>
      </c>
      <c r="AI1069" s="103">
        <v>262</v>
      </c>
      <c r="AJ1069" s="103">
        <v>84</v>
      </c>
      <c r="AK1069" s="103">
        <v>48</v>
      </c>
      <c r="AL1069" s="103">
        <v>23</v>
      </c>
      <c r="AM1069" s="103">
        <v>10</v>
      </c>
      <c r="AN1069" s="103">
        <v>3</v>
      </c>
      <c r="AO1069" s="103">
        <v>0</v>
      </c>
      <c r="AP1069" s="6"/>
      <c r="AQ1069" s="110"/>
      <c r="AR1069" s="46" t="s">
        <v>2</v>
      </c>
      <c r="AS1069" s="103">
        <v>179</v>
      </c>
      <c r="AT1069" s="103">
        <v>376</v>
      </c>
      <c r="AU1069" s="103">
        <v>348</v>
      </c>
      <c r="AV1069" s="103">
        <v>225</v>
      </c>
      <c r="AW1069" s="103">
        <v>84</v>
      </c>
      <c r="AX1069" s="103">
        <v>53</v>
      </c>
      <c r="AY1069" s="103">
        <v>28</v>
      </c>
      <c r="AZ1069" s="103">
        <v>11</v>
      </c>
      <c r="BA1069" s="103">
        <v>5</v>
      </c>
      <c r="BB1069" s="103">
        <v>1</v>
      </c>
      <c r="BC1069" s="42"/>
      <c r="BD1069" s="110"/>
      <c r="BE1069" s="46" t="s">
        <v>2</v>
      </c>
      <c r="BF1069" s="103">
        <v>151</v>
      </c>
      <c r="BG1069" s="103">
        <v>403</v>
      </c>
      <c r="BH1069" s="103">
        <v>433</v>
      </c>
      <c r="BI1069" s="103">
        <v>302</v>
      </c>
      <c r="BJ1069" s="103">
        <v>103</v>
      </c>
      <c r="BK1069" s="103">
        <v>59</v>
      </c>
      <c r="BL1069" s="103">
        <v>48</v>
      </c>
      <c r="BM1069" s="103">
        <v>16</v>
      </c>
      <c r="BN1069" s="103">
        <v>6</v>
      </c>
      <c r="BO1069" s="103">
        <v>3</v>
      </c>
      <c r="BQ1069" s="110"/>
      <c r="BR1069" s="46" t="s">
        <v>2</v>
      </c>
      <c r="BS1069" s="103">
        <v>257</v>
      </c>
      <c r="BT1069" s="103">
        <v>542</v>
      </c>
      <c r="BU1069" s="103">
        <v>515</v>
      </c>
      <c r="BV1069" s="103">
        <v>300</v>
      </c>
      <c r="BW1069" s="103">
        <v>89</v>
      </c>
      <c r="BX1069" s="103">
        <v>45</v>
      </c>
      <c r="BY1069" s="103">
        <v>18</v>
      </c>
      <c r="BZ1069" s="103">
        <v>9</v>
      </c>
      <c r="CA1069" s="103">
        <v>4</v>
      </c>
      <c r="CB1069" s="103">
        <v>0</v>
      </c>
      <c r="CC1069" s="42"/>
      <c r="CD1069" s="110"/>
      <c r="CE1069" s="46" t="s">
        <v>2</v>
      </c>
      <c r="CF1069" s="103">
        <v>73</v>
      </c>
      <c r="CG1069" s="103">
        <v>237</v>
      </c>
      <c r="CH1069" s="103">
        <v>266</v>
      </c>
      <c r="CI1069" s="103">
        <v>227</v>
      </c>
      <c r="CJ1069" s="103">
        <v>98</v>
      </c>
      <c r="CK1069" s="103">
        <v>67</v>
      </c>
      <c r="CL1069" s="103">
        <v>58</v>
      </c>
      <c r="CM1069" s="103">
        <v>18</v>
      </c>
      <c r="CN1069" s="103">
        <v>7</v>
      </c>
      <c r="CO1069" s="103">
        <v>4</v>
      </c>
      <c r="CQ1069" s="110"/>
      <c r="CR1069" s="46" t="s">
        <v>2</v>
      </c>
      <c r="CS1069" s="103">
        <v>89</v>
      </c>
      <c r="CT1069" s="103">
        <v>247</v>
      </c>
      <c r="CU1069" s="103">
        <v>314</v>
      </c>
      <c r="CV1069" s="103">
        <v>279</v>
      </c>
      <c r="CW1069" s="103">
        <v>125</v>
      </c>
      <c r="CX1069" s="103">
        <v>76</v>
      </c>
      <c r="CY1069" s="103">
        <v>60</v>
      </c>
      <c r="CZ1069" s="103">
        <v>21</v>
      </c>
      <c r="DA1069" s="103">
        <v>11</v>
      </c>
      <c r="DB1069" s="103">
        <v>4</v>
      </c>
      <c r="DC1069" s="42"/>
      <c r="DD1069" s="110"/>
      <c r="DE1069" s="46" t="s">
        <v>2</v>
      </c>
      <c r="DF1069" s="103">
        <v>241</v>
      </c>
      <c r="DG1069" s="103">
        <v>532</v>
      </c>
      <c r="DH1069" s="103">
        <v>467</v>
      </c>
      <c r="DI1069" s="103">
        <v>248</v>
      </c>
      <c r="DJ1069" s="103">
        <v>62</v>
      </c>
      <c r="DK1069" s="103">
        <v>36</v>
      </c>
      <c r="DL1069" s="103">
        <v>16</v>
      </c>
      <c r="DM1069" s="103">
        <v>6</v>
      </c>
      <c r="DN1069" s="103">
        <v>0</v>
      </c>
      <c r="DO1069" s="103">
        <v>0</v>
      </c>
    </row>
    <row r="1070" spans="2:119" ht="16.5" customHeight="1" x14ac:dyDescent="0.45">
      <c r="B1070" s="134"/>
      <c r="C1070" s="42"/>
      <c r="D1070" s="110"/>
      <c r="E1070" s="46" t="s">
        <v>3</v>
      </c>
      <c r="F1070" s="103">
        <v>166</v>
      </c>
      <c r="G1070" s="103">
        <v>455</v>
      </c>
      <c r="H1070" s="103">
        <v>612</v>
      </c>
      <c r="I1070" s="103">
        <v>511</v>
      </c>
      <c r="J1070" s="103">
        <v>178</v>
      </c>
      <c r="K1070" s="103">
        <v>123</v>
      </c>
      <c r="L1070" s="103">
        <v>66</v>
      </c>
      <c r="M1070" s="103">
        <v>20</v>
      </c>
      <c r="N1070" s="103">
        <v>6</v>
      </c>
      <c r="O1070" s="103">
        <v>0</v>
      </c>
      <c r="P1070" s="42"/>
      <c r="Q1070" s="110"/>
      <c r="R1070" s="46" t="s">
        <v>3</v>
      </c>
      <c r="S1070" s="103">
        <v>46</v>
      </c>
      <c r="T1070" s="103">
        <v>199</v>
      </c>
      <c r="U1070" s="103">
        <v>304</v>
      </c>
      <c r="V1070" s="103">
        <v>295</v>
      </c>
      <c r="W1070" s="103">
        <v>105</v>
      </c>
      <c r="X1070" s="103">
        <v>82</v>
      </c>
      <c r="Y1070" s="103">
        <v>44</v>
      </c>
      <c r="Z1070" s="103">
        <v>11</v>
      </c>
      <c r="AA1070" s="103">
        <v>5</v>
      </c>
      <c r="AB1070" s="103">
        <v>0</v>
      </c>
      <c r="AC1070" s="42"/>
      <c r="AD1070" s="110"/>
      <c r="AE1070" s="46" t="s">
        <v>3</v>
      </c>
      <c r="AF1070" s="103">
        <v>120</v>
      </c>
      <c r="AG1070" s="103">
        <v>256</v>
      </c>
      <c r="AH1070" s="103">
        <v>308</v>
      </c>
      <c r="AI1070" s="103">
        <v>216</v>
      </c>
      <c r="AJ1070" s="103">
        <v>73</v>
      </c>
      <c r="AK1070" s="103">
        <v>41</v>
      </c>
      <c r="AL1070" s="103">
        <v>22</v>
      </c>
      <c r="AM1070" s="103">
        <v>9</v>
      </c>
      <c r="AN1070" s="103">
        <v>1</v>
      </c>
      <c r="AO1070" s="103">
        <v>0</v>
      </c>
      <c r="AP1070" s="6"/>
      <c r="AQ1070" s="110"/>
      <c r="AR1070" s="46" t="s">
        <v>3</v>
      </c>
      <c r="AS1070" s="103">
        <v>90</v>
      </c>
      <c r="AT1070" s="103">
        <v>222</v>
      </c>
      <c r="AU1070" s="103">
        <v>254</v>
      </c>
      <c r="AV1070" s="103">
        <v>208</v>
      </c>
      <c r="AW1070" s="103">
        <v>61</v>
      </c>
      <c r="AX1070" s="103">
        <v>51</v>
      </c>
      <c r="AY1070" s="103">
        <v>21</v>
      </c>
      <c r="AZ1070" s="103">
        <v>6</v>
      </c>
      <c r="BA1070" s="103">
        <v>0</v>
      </c>
      <c r="BB1070" s="103">
        <v>0</v>
      </c>
      <c r="BC1070" s="42"/>
      <c r="BD1070" s="110"/>
      <c r="BE1070" s="46" t="s">
        <v>3</v>
      </c>
      <c r="BF1070" s="103">
        <v>76</v>
      </c>
      <c r="BG1070" s="103">
        <v>233</v>
      </c>
      <c r="BH1070" s="103">
        <v>358</v>
      </c>
      <c r="BI1070" s="103">
        <v>303</v>
      </c>
      <c r="BJ1070" s="103">
        <v>117</v>
      </c>
      <c r="BK1070" s="103">
        <v>72</v>
      </c>
      <c r="BL1070" s="103">
        <v>45</v>
      </c>
      <c r="BM1070" s="103">
        <v>14</v>
      </c>
      <c r="BN1070" s="103">
        <v>6</v>
      </c>
      <c r="BO1070" s="103">
        <v>0</v>
      </c>
      <c r="BQ1070" s="110"/>
      <c r="BR1070" s="46" t="s">
        <v>3</v>
      </c>
      <c r="BS1070" s="103">
        <v>95</v>
      </c>
      <c r="BT1070" s="103">
        <v>292</v>
      </c>
      <c r="BU1070" s="103">
        <v>340</v>
      </c>
      <c r="BV1070" s="103">
        <v>254</v>
      </c>
      <c r="BW1070" s="103">
        <v>86</v>
      </c>
      <c r="BX1070" s="103">
        <v>41</v>
      </c>
      <c r="BY1070" s="103">
        <v>27</v>
      </c>
      <c r="BZ1070" s="103">
        <v>6</v>
      </c>
      <c r="CA1070" s="103">
        <v>3</v>
      </c>
      <c r="CB1070" s="103">
        <v>0</v>
      </c>
      <c r="CC1070" s="42"/>
      <c r="CD1070" s="110"/>
      <c r="CE1070" s="46" t="s">
        <v>3</v>
      </c>
      <c r="CF1070" s="103">
        <v>71</v>
      </c>
      <c r="CG1070" s="103">
        <v>163</v>
      </c>
      <c r="CH1070" s="103">
        <v>272</v>
      </c>
      <c r="CI1070" s="103">
        <v>257</v>
      </c>
      <c r="CJ1070" s="103">
        <v>92</v>
      </c>
      <c r="CK1070" s="103">
        <v>82</v>
      </c>
      <c r="CL1070" s="103">
        <v>39</v>
      </c>
      <c r="CM1070" s="103">
        <v>14</v>
      </c>
      <c r="CN1070" s="103">
        <v>3</v>
      </c>
      <c r="CO1070" s="103">
        <v>0</v>
      </c>
      <c r="CQ1070" s="110"/>
      <c r="CR1070" s="46" t="s">
        <v>3</v>
      </c>
      <c r="CS1070" s="103">
        <v>30</v>
      </c>
      <c r="CT1070" s="103">
        <v>87</v>
      </c>
      <c r="CU1070" s="103">
        <v>166</v>
      </c>
      <c r="CV1070" s="103">
        <v>206</v>
      </c>
      <c r="CW1070" s="103">
        <v>91</v>
      </c>
      <c r="CX1070" s="103">
        <v>83</v>
      </c>
      <c r="CY1070" s="103">
        <v>47</v>
      </c>
      <c r="CZ1070" s="103">
        <v>16</v>
      </c>
      <c r="DA1070" s="103">
        <v>3</v>
      </c>
      <c r="DB1070" s="103">
        <v>0</v>
      </c>
      <c r="DC1070" s="42"/>
      <c r="DD1070" s="110"/>
      <c r="DE1070" s="46" t="s">
        <v>3</v>
      </c>
      <c r="DF1070" s="103">
        <v>136</v>
      </c>
      <c r="DG1070" s="103">
        <v>368</v>
      </c>
      <c r="DH1070" s="103">
        <v>446</v>
      </c>
      <c r="DI1070" s="103">
        <v>305</v>
      </c>
      <c r="DJ1070" s="103">
        <v>87</v>
      </c>
      <c r="DK1070" s="103">
        <v>40</v>
      </c>
      <c r="DL1070" s="103">
        <v>19</v>
      </c>
      <c r="DM1070" s="103">
        <v>4</v>
      </c>
      <c r="DN1070" s="103">
        <v>3</v>
      </c>
      <c r="DO1070" s="103">
        <v>0</v>
      </c>
    </row>
    <row r="1071" spans="2:119" ht="16.5" customHeight="1" x14ac:dyDescent="0.45">
      <c r="B1071" s="134"/>
      <c r="C1071" s="42"/>
      <c r="D1071" s="110"/>
      <c r="E1071" s="46" t="s">
        <v>4</v>
      </c>
      <c r="F1071" s="103">
        <v>207</v>
      </c>
      <c r="G1071" s="103">
        <v>634</v>
      </c>
      <c r="H1071" s="103">
        <v>937</v>
      </c>
      <c r="I1071" s="103">
        <v>905</v>
      </c>
      <c r="J1071" s="103">
        <v>404</v>
      </c>
      <c r="K1071" s="103">
        <v>241</v>
      </c>
      <c r="L1071" s="103">
        <v>151</v>
      </c>
      <c r="M1071" s="103">
        <v>51</v>
      </c>
      <c r="N1071" s="103">
        <v>20</v>
      </c>
      <c r="O1071" s="103">
        <v>12</v>
      </c>
      <c r="P1071" s="42"/>
      <c r="Q1071" s="110"/>
      <c r="R1071" s="46" t="s">
        <v>4</v>
      </c>
      <c r="S1071" s="103">
        <v>51</v>
      </c>
      <c r="T1071" s="103">
        <v>262</v>
      </c>
      <c r="U1071" s="103">
        <v>465</v>
      </c>
      <c r="V1071" s="103">
        <v>522</v>
      </c>
      <c r="W1071" s="103">
        <v>255</v>
      </c>
      <c r="X1071" s="103">
        <v>163</v>
      </c>
      <c r="Y1071" s="103">
        <v>110</v>
      </c>
      <c r="Z1071" s="103">
        <v>43</v>
      </c>
      <c r="AA1071" s="103">
        <v>14</v>
      </c>
      <c r="AB1071" s="103">
        <v>9</v>
      </c>
      <c r="AC1071" s="42"/>
      <c r="AD1071" s="110"/>
      <c r="AE1071" s="46" t="s">
        <v>4</v>
      </c>
      <c r="AF1071" s="103">
        <v>156</v>
      </c>
      <c r="AG1071" s="103">
        <v>372</v>
      </c>
      <c r="AH1071" s="103">
        <v>472</v>
      </c>
      <c r="AI1071" s="103">
        <v>383</v>
      </c>
      <c r="AJ1071" s="103">
        <v>149</v>
      </c>
      <c r="AK1071" s="103">
        <v>78</v>
      </c>
      <c r="AL1071" s="103">
        <v>41</v>
      </c>
      <c r="AM1071" s="103">
        <v>8</v>
      </c>
      <c r="AN1071" s="103">
        <v>6</v>
      </c>
      <c r="AO1071" s="103">
        <v>3</v>
      </c>
      <c r="AP1071" s="6"/>
      <c r="AQ1071" s="110"/>
      <c r="AR1071" s="46" t="s">
        <v>4</v>
      </c>
      <c r="AS1071" s="103">
        <v>115</v>
      </c>
      <c r="AT1071" s="103">
        <v>290</v>
      </c>
      <c r="AU1071" s="103">
        <v>399</v>
      </c>
      <c r="AV1071" s="103">
        <v>361</v>
      </c>
      <c r="AW1071" s="103">
        <v>157</v>
      </c>
      <c r="AX1071" s="103">
        <v>85</v>
      </c>
      <c r="AY1071" s="103">
        <v>58</v>
      </c>
      <c r="AZ1071" s="103">
        <v>20</v>
      </c>
      <c r="BA1071" s="103">
        <v>9</v>
      </c>
      <c r="BB1071" s="103">
        <v>5</v>
      </c>
      <c r="BC1071" s="42"/>
      <c r="BD1071" s="110"/>
      <c r="BE1071" s="46" t="s">
        <v>4</v>
      </c>
      <c r="BF1071" s="103">
        <v>92</v>
      </c>
      <c r="BG1071" s="103">
        <v>344</v>
      </c>
      <c r="BH1071" s="103">
        <v>538</v>
      </c>
      <c r="BI1071" s="103">
        <v>544</v>
      </c>
      <c r="BJ1071" s="103">
        <v>247</v>
      </c>
      <c r="BK1071" s="103">
        <v>156</v>
      </c>
      <c r="BL1071" s="103">
        <v>93</v>
      </c>
      <c r="BM1071" s="103">
        <v>31</v>
      </c>
      <c r="BN1071" s="103">
        <v>11</v>
      </c>
      <c r="BO1071" s="103">
        <v>7</v>
      </c>
      <c r="BQ1071" s="110"/>
      <c r="BR1071" s="46" t="s">
        <v>4</v>
      </c>
      <c r="BS1071" s="103">
        <v>117</v>
      </c>
      <c r="BT1071" s="103">
        <v>311</v>
      </c>
      <c r="BU1071" s="103">
        <v>404</v>
      </c>
      <c r="BV1071" s="103">
        <v>343</v>
      </c>
      <c r="BW1071" s="103">
        <v>149</v>
      </c>
      <c r="BX1071" s="103">
        <v>76</v>
      </c>
      <c r="BY1071" s="103">
        <v>31</v>
      </c>
      <c r="BZ1071" s="103">
        <v>13</v>
      </c>
      <c r="CA1071" s="103">
        <v>7</v>
      </c>
      <c r="CB1071" s="103">
        <v>1</v>
      </c>
      <c r="CC1071" s="42"/>
      <c r="CD1071" s="110"/>
      <c r="CE1071" s="46" t="s">
        <v>4</v>
      </c>
      <c r="CF1071" s="103">
        <v>90</v>
      </c>
      <c r="CG1071" s="103">
        <v>323</v>
      </c>
      <c r="CH1071" s="103">
        <v>533</v>
      </c>
      <c r="CI1071" s="103">
        <v>562</v>
      </c>
      <c r="CJ1071" s="103">
        <v>255</v>
      </c>
      <c r="CK1071" s="103">
        <v>165</v>
      </c>
      <c r="CL1071" s="103">
        <v>120</v>
      </c>
      <c r="CM1071" s="103">
        <v>38</v>
      </c>
      <c r="CN1071" s="103">
        <v>13</v>
      </c>
      <c r="CO1071" s="103">
        <v>11</v>
      </c>
      <c r="CQ1071" s="110"/>
      <c r="CR1071" s="46" t="s">
        <v>4</v>
      </c>
      <c r="CS1071" s="103">
        <v>21</v>
      </c>
      <c r="CT1071" s="103">
        <v>113</v>
      </c>
      <c r="CU1071" s="103">
        <v>201</v>
      </c>
      <c r="CV1071" s="103">
        <v>290</v>
      </c>
      <c r="CW1071" s="103">
        <v>161</v>
      </c>
      <c r="CX1071" s="103">
        <v>119</v>
      </c>
      <c r="CY1071" s="103">
        <v>85</v>
      </c>
      <c r="CZ1071" s="103">
        <v>32</v>
      </c>
      <c r="DA1071" s="103">
        <v>12</v>
      </c>
      <c r="DB1071" s="103">
        <v>10</v>
      </c>
      <c r="DC1071" s="42"/>
      <c r="DD1071" s="110"/>
      <c r="DE1071" s="46" t="s">
        <v>4</v>
      </c>
      <c r="DF1071" s="103">
        <v>186</v>
      </c>
      <c r="DG1071" s="103">
        <v>521</v>
      </c>
      <c r="DH1071" s="103">
        <v>736</v>
      </c>
      <c r="DI1071" s="103">
        <v>615</v>
      </c>
      <c r="DJ1071" s="103">
        <v>243</v>
      </c>
      <c r="DK1071" s="103">
        <v>122</v>
      </c>
      <c r="DL1071" s="103">
        <v>66</v>
      </c>
      <c r="DM1071" s="103">
        <v>19</v>
      </c>
      <c r="DN1071" s="103">
        <v>8</v>
      </c>
      <c r="DO1071" s="103">
        <v>2</v>
      </c>
    </row>
    <row r="1072" spans="2:119" ht="16.5" customHeight="1" x14ac:dyDescent="0.45">
      <c r="B1072" s="134"/>
      <c r="C1072" s="42"/>
      <c r="D1072" s="110"/>
      <c r="E1072" s="46" t="s">
        <v>5</v>
      </c>
      <c r="F1072" s="103">
        <v>285</v>
      </c>
      <c r="G1072" s="103">
        <v>886</v>
      </c>
      <c r="H1072" s="103">
        <v>1575</v>
      </c>
      <c r="I1072" s="103">
        <v>1724</v>
      </c>
      <c r="J1072" s="103">
        <v>958</v>
      </c>
      <c r="K1072" s="103">
        <v>689</v>
      </c>
      <c r="L1072" s="103">
        <v>398</v>
      </c>
      <c r="M1072" s="103">
        <v>165</v>
      </c>
      <c r="N1072" s="103">
        <v>49</v>
      </c>
      <c r="O1072" s="103">
        <v>9</v>
      </c>
      <c r="P1072" s="42"/>
      <c r="Q1072" s="110"/>
      <c r="R1072" s="46" t="s">
        <v>5</v>
      </c>
      <c r="S1072" s="103">
        <v>74</v>
      </c>
      <c r="T1072" s="103">
        <v>336</v>
      </c>
      <c r="U1072" s="103">
        <v>788</v>
      </c>
      <c r="V1072" s="103">
        <v>992</v>
      </c>
      <c r="W1072" s="103">
        <v>592</v>
      </c>
      <c r="X1072" s="103">
        <v>479</v>
      </c>
      <c r="Y1072" s="103">
        <v>278</v>
      </c>
      <c r="Z1072" s="103">
        <v>126</v>
      </c>
      <c r="AA1072" s="103">
        <v>39</v>
      </c>
      <c r="AB1072" s="103">
        <v>8</v>
      </c>
      <c r="AC1072" s="42"/>
      <c r="AD1072" s="110"/>
      <c r="AE1072" s="46" t="s">
        <v>5</v>
      </c>
      <c r="AF1072" s="103">
        <v>211</v>
      </c>
      <c r="AG1072" s="103">
        <v>550</v>
      </c>
      <c r="AH1072" s="103">
        <v>787</v>
      </c>
      <c r="AI1072" s="103">
        <v>732</v>
      </c>
      <c r="AJ1072" s="103">
        <v>366</v>
      </c>
      <c r="AK1072" s="103">
        <v>210</v>
      </c>
      <c r="AL1072" s="103">
        <v>120</v>
      </c>
      <c r="AM1072" s="103">
        <v>39</v>
      </c>
      <c r="AN1072" s="103">
        <v>10</v>
      </c>
      <c r="AO1072" s="103">
        <v>1</v>
      </c>
      <c r="AP1072" s="6"/>
      <c r="AQ1072" s="110"/>
      <c r="AR1072" s="46" t="s">
        <v>5</v>
      </c>
      <c r="AS1072" s="103">
        <v>133</v>
      </c>
      <c r="AT1072" s="103">
        <v>403</v>
      </c>
      <c r="AU1072" s="103">
        <v>643</v>
      </c>
      <c r="AV1072" s="103">
        <v>632</v>
      </c>
      <c r="AW1072" s="103">
        <v>315</v>
      </c>
      <c r="AX1072" s="103">
        <v>216</v>
      </c>
      <c r="AY1072" s="103">
        <v>131</v>
      </c>
      <c r="AZ1072" s="103">
        <v>61</v>
      </c>
      <c r="BA1072" s="103">
        <v>15</v>
      </c>
      <c r="BB1072" s="103">
        <v>5</v>
      </c>
      <c r="BC1072" s="42"/>
      <c r="BD1072" s="110"/>
      <c r="BE1072" s="46" t="s">
        <v>5</v>
      </c>
      <c r="BF1072" s="103">
        <v>152</v>
      </c>
      <c r="BG1072" s="103">
        <v>483</v>
      </c>
      <c r="BH1072" s="103">
        <v>932</v>
      </c>
      <c r="BI1072" s="103">
        <v>1092</v>
      </c>
      <c r="BJ1072" s="103">
        <v>643</v>
      </c>
      <c r="BK1072" s="103">
        <v>473</v>
      </c>
      <c r="BL1072" s="103">
        <v>267</v>
      </c>
      <c r="BM1072" s="103">
        <v>104</v>
      </c>
      <c r="BN1072" s="103">
        <v>34</v>
      </c>
      <c r="BO1072" s="103">
        <v>4</v>
      </c>
      <c r="BQ1072" s="110"/>
      <c r="BR1072" s="46" t="s">
        <v>5</v>
      </c>
      <c r="BS1072" s="103">
        <v>128</v>
      </c>
      <c r="BT1072" s="103">
        <v>338</v>
      </c>
      <c r="BU1072" s="103">
        <v>539</v>
      </c>
      <c r="BV1072" s="103">
        <v>482</v>
      </c>
      <c r="BW1072" s="103">
        <v>229</v>
      </c>
      <c r="BX1072" s="103">
        <v>148</v>
      </c>
      <c r="BY1072" s="103">
        <v>74</v>
      </c>
      <c r="BZ1072" s="103">
        <v>34</v>
      </c>
      <c r="CA1072" s="103">
        <v>7</v>
      </c>
      <c r="CB1072" s="103">
        <v>4</v>
      </c>
      <c r="CC1072" s="42"/>
      <c r="CD1072" s="110"/>
      <c r="CE1072" s="46" t="s">
        <v>5</v>
      </c>
      <c r="CF1072" s="103">
        <v>157</v>
      </c>
      <c r="CG1072" s="103">
        <v>548</v>
      </c>
      <c r="CH1072" s="103">
        <v>1036</v>
      </c>
      <c r="CI1072" s="103">
        <v>1242</v>
      </c>
      <c r="CJ1072" s="103">
        <v>729</v>
      </c>
      <c r="CK1072" s="103">
        <v>541</v>
      </c>
      <c r="CL1072" s="103">
        <v>324</v>
      </c>
      <c r="CM1072" s="103">
        <v>131</v>
      </c>
      <c r="CN1072" s="103">
        <v>42</v>
      </c>
      <c r="CO1072" s="103">
        <v>5</v>
      </c>
      <c r="CQ1072" s="110"/>
      <c r="CR1072" s="46" t="s">
        <v>5</v>
      </c>
      <c r="CS1072" s="103">
        <v>26</v>
      </c>
      <c r="CT1072" s="103">
        <v>107</v>
      </c>
      <c r="CU1072" s="103">
        <v>268</v>
      </c>
      <c r="CV1072" s="103">
        <v>450</v>
      </c>
      <c r="CW1072" s="103">
        <v>308</v>
      </c>
      <c r="CX1072" s="103">
        <v>294</v>
      </c>
      <c r="CY1072" s="103">
        <v>195</v>
      </c>
      <c r="CZ1072" s="103">
        <v>73</v>
      </c>
      <c r="DA1072" s="103">
        <v>28</v>
      </c>
      <c r="DB1072" s="103">
        <v>4</v>
      </c>
      <c r="DC1072" s="42"/>
      <c r="DD1072" s="110"/>
      <c r="DE1072" s="46" t="s">
        <v>5</v>
      </c>
      <c r="DF1072" s="103">
        <v>259</v>
      </c>
      <c r="DG1072" s="103">
        <v>779</v>
      </c>
      <c r="DH1072" s="103">
        <v>1307</v>
      </c>
      <c r="DI1072" s="103">
        <v>1274</v>
      </c>
      <c r="DJ1072" s="103">
        <v>650</v>
      </c>
      <c r="DK1072" s="103">
        <v>395</v>
      </c>
      <c r="DL1072" s="103">
        <v>203</v>
      </c>
      <c r="DM1072" s="103">
        <v>92</v>
      </c>
      <c r="DN1072" s="103">
        <v>21</v>
      </c>
      <c r="DO1072" s="103">
        <v>5</v>
      </c>
    </row>
    <row r="1073" spans="2:119" ht="16.5" customHeight="1" x14ac:dyDescent="0.45">
      <c r="B1073" s="134"/>
      <c r="C1073" s="42"/>
      <c r="D1073" s="110"/>
      <c r="E1073" s="46" t="s">
        <v>6</v>
      </c>
      <c r="F1073" s="103">
        <v>431</v>
      </c>
      <c r="G1073" s="103">
        <v>1395</v>
      </c>
      <c r="H1073" s="103">
        <v>2757</v>
      </c>
      <c r="I1073" s="103">
        <v>3845</v>
      </c>
      <c r="J1073" s="103">
        <v>2336</v>
      </c>
      <c r="K1073" s="103">
        <v>1967</v>
      </c>
      <c r="L1073" s="103">
        <v>1282</v>
      </c>
      <c r="M1073" s="103">
        <v>548</v>
      </c>
      <c r="N1073" s="103">
        <v>214</v>
      </c>
      <c r="O1073" s="103">
        <v>53</v>
      </c>
      <c r="P1073" s="42"/>
      <c r="Q1073" s="110"/>
      <c r="R1073" s="46" t="s">
        <v>6</v>
      </c>
      <c r="S1073" s="103">
        <v>116</v>
      </c>
      <c r="T1073" s="103">
        <v>484</v>
      </c>
      <c r="U1073" s="103">
        <v>1276</v>
      </c>
      <c r="V1073" s="103">
        <v>2076</v>
      </c>
      <c r="W1073" s="103">
        <v>1416</v>
      </c>
      <c r="X1073" s="103">
        <v>1300</v>
      </c>
      <c r="Y1073" s="103">
        <v>879</v>
      </c>
      <c r="Z1073" s="103">
        <v>426</v>
      </c>
      <c r="AA1073" s="103">
        <v>173</v>
      </c>
      <c r="AB1073" s="103">
        <v>42</v>
      </c>
      <c r="AC1073" s="42"/>
      <c r="AD1073" s="110"/>
      <c r="AE1073" s="46" t="s">
        <v>6</v>
      </c>
      <c r="AF1073" s="103">
        <v>315</v>
      </c>
      <c r="AG1073" s="103">
        <v>911</v>
      </c>
      <c r="AH1073" s="103">
        <v>1481</v>
      </c>
      <c r="AI1073" s="103">
        <v>1769</v>
      </c>
      <c r="AJ1073" s="103">
        <v>920</v>
      </c>
      <c r="AK1073" s="103">
        <v>667</v>
      </c>
      <c r="AL1073" s="103">
        <v>403</v>
      </c>
      <c r="AM1073" s="103">
        <v>122</v>
      </c>
      <c r="AN1073" s="103">
        <v>41</v>
      </c>
      <c r="AO1073" s="103">
        <v>11</v>
      </c>
      <c r="AP1073" s="6"/>
      <c r="AQ1073" s="110"/>
      <c r="AR1073" s="46" t="s">
        <v>6</v>
      </c>
      <c r="AS1073" s="103">
        <v>197</v>
      </c>
      <c r="AT1073" s="103">
        <v>602</v>
      </c>
      <c r="AU1073" s="103">
        <v>1026</v>
      </c>
      <c r="AV1073" s="103">
        <v>1289</v>
      </c>
      <c r="AW1073" s="103">
        <v>734</v>
      </c>
      <c r="AX1073" s="103">
        <v>614</v>
      </c>
      <c r="AY1073" s="103">
        <v>396</v>
      </c>
      <c r="AZ1073" s="103">
        <v>165</v>
      </c>
      <c r="BA1073" s="103">
        <v>61</v>
      </c>
      <c r="BB1073" s="103">
        <v>16</v>
      </c>
      <c r="BC1073" s="42"/>
      <c r="BD1073" s="110"/>
      <c r="BE1073" s="46" t="s">
        <v>6</v>
      </c>
      <c r="BF1073" s="103">
        <v>234</v>
      </c>
      <c r="BG1073" s="103">
        <v>793</v>
      </c>
      <c r="BH1073" s="103">
        <v>1731</v>
      </c>
      <c r="BI1073" s="103">
        <v>2556</v>
      </c>
      <c r="BJ1073" s="103">
        <v>1602</v>
      </c>
      <c r="BK1073" s="103">
        <v>1353</v>
      </c>
      <c r="BL1073" s="103">
        <v>886</v>
      </c>
      <c r="BM1073" s="103">
        <v>383</v>
      </c>
      <c r="BN1073" s="103">
        <v>153</v>
      </c>
      <c r="BO1073" s="103">
        <v>37</v>
      </c>
      <c r="BQ1073" s="110"/>
      <c r="BR1073" s="46" t="s">
        <v>6</v>
      </c>
      <c r="BS1073" s="103">
        <v>131</v>
      </c>
      <c r="BT1073" s="103">
        <v>387</v>
      </c>
      <c r="BU1073" s="103">
        <v>631</v>
      </c>
      <c r="BV1073" s="103">
        <v>714</v>
      </c>
      <c r="BW1073" s="103">
        <v>358</v>
      </c>
      <c r="BX1073" s="103">
        <v>289</v>
      </c>
      <c r="BY1073" s="103">
        <v>150</v>
      </c>
      <c r="BZ1073" s="103">
        <v>59</v>
      </c>
      <c r="CA1073" s="103">
        <v>17</v>
      </c>
      <c r="CB1073" s="103">
        <v>3</v>
      </c>
      <c r="CC1073" s="42"/>
      <c r="CD1073" s="110"/>
      <c r="CE1073" s="46" t="s">
        <v>6</v>
      </c>
      <c r="CF1073" s="103">
        <v>300</v>
      </c>
      <c r="CG1073" s="103">
        <v>1008</v>
      </c>
      <c r="CH1073" s="103">
        <v>2126</v>
      </c>
      <c r="CI1073" s="103">
        <v>3131</v>
      </c>
      <c r="CJ1073" s="103">
        <v>1978</v>
      </c>
      <c r="CK1073" s="103">
        <v>1678</v>
      </c>
      <c r="CL1073" s="103">
        <v>1132</v>
      </c>
      <c r="CM1073" s="103">
        <v>489</v>
      </c>
      <c r="CN1073" s="103">
        <v>197</v>
      </c>
      <c r="CO1073" s="103">
        <v>50</v>
      </c>
      <c r="CQ1073" s="110"/>
      <c r="CR1073" s="46" t="s">
        <v>6</v>
      </c>
      <c r="CS1073" s="103">
        <v>36</v>
      </c>
      <c r="CT1073" s="103">
        <v>158</v>
      </c>
      <c r="CU1073" s="103">
        <v>427</v>
      </c>
      <c r="CV1073" s="103">
        <v>847</v>
      </c>
      <c r="CW1073" s="103">
        <v>645</v>
      </c>
      <c r="CX1073" s="103">
        <v>633</v>
      </c>
      <c r="CY1073" s="103">
        <v>475</v>
      </c>
      <c r="CZ1073" s="103">
        <v>238</v>
      </c>
      <c r="DA1073" s="103">
        <v>120</v>
      </c>
      <c r="DB1073" s="103">
        <v>31</v>
      </c>
      <c r="DC1073" s="42"/>
      <c r="DD1073" s="110"/>
      <c r="DE1073" s="46" t="s">
        <v>6</v>
      </c>
      <c r="DF1073" s="103">
        <v>395</v>
      </c>
      <c r="DG1073" s="103">
        <v>1237</v>
      </c>
      <c r="DH1073" s="103">
        <v>2330</v>
      </c>
      <c r="DI1073" s="103">
        <v>2998</v>
      </c>
      <c r="DJ1073" s="103">
        <v>1691</v>
      </c>
      <c r="DK1073" s="103">
        <v>1334</v>
      </c>
      <c r="DL1073" s="103">
        <v>807</v>
      </c>
      <c r="DM1073" s="103">
        <v>310</v>
      </c>
      <c r="DN1073" s="103">
        <v>94</v>
      </c>
      <c r="DO1073" s="103">
        <v>22</v>
      </c>
    </row>
    <row r="1074" spans="2:119" ht="16.5" customHeight="1" x14ac:dyDescent="0.45">
      <c r="B1074" s="134"/>
      <c r="C1074" s="42"/>
      <c r="D1074" s="110"/>
      <c r="E1074" s="46" t="s">
        <v>7</v>
      </c>
      <c r="F1074" s="103">
        <v>576</v>
      </c>
      <c r="G1074" s="103">
        <v>1788</v>
      </c>
      <c r="H1074" s="103">
        <v>3879</v>
      </c>
      <c r="I1074" s="103">
        <v>6683</v>
      </c>
      <c r="J1074" s="103">
        <v>4864</v>
      </c>
      <c r="K1074" s="103">
        <v>4839</v>
      </c>
      <c r="L1074" s="103">
        <v>3746</v>
      </c>
      <c r="M1074" s="103">
        <v>1909</v>
      </c>
      <c r="N1074" s="103">
        <v>831</v>
      </c>
      <c r="O1074" s="103">
        <v>228</v>
      </c>
      <c r="P1074" s="42"/>
      <c r="Q1074" s="110"/>
      <c r="R1074" s="46" t="s">
        <v>7</v>
      </c>
      <c r="S1074" s="103">
        <v>135</v>
      </c>
      <c r="T1074" s="103">
        <v>572</v>
      </c>
      <c r="U1074" s="103">
        <v>1581</v>
      </c>
      <c r="V1074" s="103">
        <v>3311</v>
      </c>
      <c r="W1074" s="103">
        <v>2753</v>
      </c>
      <c r="X1074" s="103">
        <v>3038</v>
      </c>
      <c r="Y1074" s="103">
        <v>2613</v>
      </c>
      <c r="Z1074" s="103">
        <v>1408</v>
      </c>
      <c r="AA1074" s="103">
        <v>648</v>
      </c>
      <c r="AB1074" s="103">
        <v>183</v>
      </c>
      <c r="AC1074" s="42"/>
      <c r="AD1074" s="110"/>
      <c r="AE1074" s="46" t="s">
        <v>7</v>
      </c>
      <c r="AF1074" s="103">
        <v>441</v>
      </c>
      <c r="AG1074" s="103">
        <v>1216</v>
      </c>
      <c r="AH1074" s="103">
        <v>2298</v>
      </c>
      <c r="AI1074" s="103">
        <v>3372</v>
      </c>
      <c r="AJ1074" s="103">
        <v>2111</v>
      </c>
      <c r="AK1074" s="103">
        <v>1801</v>
      </c>
      <c r="AL1074" s="103">
        <v>1133</v>
      </c>
      <c r="AM1074" s="103">
        <v>501</v>
      </c>
      <c r="AN1074" s="103">
        <v>183</v>
      </c>
      <c r="AO1074" s="103">
        <v>45</v>
      </c>
      <c r="AP1074" s="6"/>
      <c r="AQ1074" s="110"/>
      <c r="AR1074" s="46" t="s">
        <v>7</v>
      </c>
      <c r="AS1074" s="103">
        <v>265</v>
      </c>
      <c r="AT1074" s="103">
        <v>708</v>
      </c>
      <c r="AU1074" s="103">
        <v>1347</v>
      </c>
      <c r="AV1074" s="103">
        <v>2136</v>
      </c>
      <c r="AW1074" s="103">
        <v>1443</v>
      </c>
      <c r="AX1074" s="103">
        <v>1335</v>
      </c>
      <c r="AY1074" s="103">
        <v>1041</v>
      </c>
      <c r="AZ1074" s="103">
        <v>516</v>
      </c>
      <c r="BA1074" s="103">
        <v>214</v>
      </c>
      <c r="BB1074" s="103">
        <v>66</v>
      </c>
      <c r="BC1074" s="42"/>
      <c r="BD1074" s="110"/>
      <c r="BE1074" s="46" t="s">
        <v>7</v>
      </c>
      <c r="BF1074" s="103">
        <v>311</v>
      </c>
      <c r="BG1074" s="103">
        <v>1080</v>
      </c>
      <c r="BH1074" s="103">
        <v>2532</v>
      </c>
      <c r="BI1074" s="103">
        <v>4547</v>
      </c>
      <c r="BJ1074" s="103">
        <v>3421</v>
      </c>
      <c r="BK1074" s="103">
        <v>3504</v>
      </c>
      <c r="BL1074" s="103">
        <v>2705</v>
      </c>
      <c r="BM1074" s="103">
        <v>1393</v>
      </c>
      <c r="BN1074" s="103">
        <v>617</v>
      </c>
      <c r="BO1074" s="103">
        <v>162</v>
      </c>
      <c r="BQ1074" s="110"/>
      <c r="BR1074" s="46" t="s">
        <v>7</v>
      </c>
      <c r="BS1074" s="103">
        <v>125</v>
      </c>
      <c r="BT1074" s="103">
        <v>346</v>
      </c>
      <c r="BU1074" s="103">
        <v>607</v>
      </c>
      <c r="BV1074" s="103">
        <v>861</v>
      </c>
      <c r="BW1074" s="103">
        <v>544</v>
      </c>
      <c r="BX1074" s="103">
        <v>395</v>
      </c>
      <c r="BY1074" s="103">
        <v>283</v>
      </c>
      <c r="BZ1074" s="103">
        <v>132</v>
      </c>
      <c r="CA1074" s="103">
        <v>59</v>
      </c>
      <c r="CB1074" s="103">
        <v>13</v>
      </c>
      <c r="CC1074" s="42"/>
      <c r="CD1074" s="110"/>
      <c r="CE1074" s="46" t="s">
        <v>7</v>
      </c>
      <c r="CF1074" s="103">
        <v>451</v>
      </c>
      <c r="CG1074" s="103">
        <v>1442</v>
      </c>
      <c r="CH1074" s="103">
        <v>3272</v>
      </c>
      <c r="CI1074" s="103">
        <v>5822</v>
      </c>
      <c r="CJ1074" s="103">
        <v>4320</v>
      </c>
      <c r="CK1074" s="103">
        <v>4444</v>
      </c>
      <c r="CL1074" s="103">
        <v>3463</v>
      </c>
      <c r="CM1074" s="103">
        <v>1777</v>
      </c>
      <c r="CN1074" s="103">
        <v>772</v>
      </c>
      <c r="CO1074" s="103">
        <v>215</v>
      </c>
      <c r="CQ1074" s="110"/>
      <c r="CR1074" s="46" t="s">
        <v>7</v>
      </c>
      <c r="CS1074" s="103">
        <v>40</v>
      </c>
      <c r="CT1074" s="103">
        <v>162</v>
      </c>
      <c r="CU1074" s="103">
        <v>457</v>
      </c>
      <c r="CV1074" s="103">
        <v>1173</v>
      </c>
      <c r="CW1074" s="103">
        <v>1063</v>
      </c>
      <c r="CX1074" s="103">
        <v>1236</v>
      </c>
      <c r="CY1074" s="103">
        <v>1246</v>
      </c>
      <c r="CZ1074" s="103">
        <v>754</v>
      </c>
      <c r="DA1074" s="103">
        <v>353</v>
      </c>
      <c r="DB1074" s="103">
        <v>105</v>
      </c>
      <c r="DC1074" s="42"/>
      <c r="DD1074" s="110"/>
      <c r="DE1074" s="46" t="s">
        <v>7</v>
      </c>
      <c r="DF1074" s="103">
        <v>536</v>
      </c>
      <c r="DG1074" s="103">
        <v>1626</v>
      </c>
      <c r="DH1074" s="103">
        <v>3422</v>
      </c>
      <c r="DI1074" s="103">
        <v>5510</v>
      </c>
      <c r="DJ1074" s="103">
        <v>3801</v>
      </c>
      <c r="DK1074" s="103">
        <v>3603</v>
      </c>
      <c r="DL1074" s="103">
        <v>2500</v>
      </c>
      <c r="DM1074" s="103">
        <v>1155</v>
      </c>
      <c r="DN1074" s="103">
        <v>478</v>
      </c>
      <c r="DO1074" s="103">
        <v>123</v>
      </c>
    </row>
    <row r="1075" spans="2:119" ht="16.5" customHeight="1" x14ac:dyDescent="0.45">
      <c r="B1075" s="134"/>
      <c r="C1075" s="42"/>
      <c r="D1075" s="110"/>
      <c r="E1075" s="46" t="s">
        <v>8</v>
      </c>
      <c r="F1075" s="103">
        <v>481</v>
      </c>
      <c r="G1075" s="103">
        <v>1470</v>
      </c>
      <c r="H1075" s="103">
        <v>3456</v>
      </c>
      <c r="I1075" s="103">
        <v>7111</v>
      </c>
      <c r="J1075" s="103">
        <v>6113</v>
      </c>
      <c r="K1075" s="103">
        <v>7582</v>
      </c>
      <c r="L1075" s="103">
        <v>7136</v>
      </c>
      <c r="M1075" s="103">
        <v>4283</v>
      </c>
      <c r="N1075" s="103">
        <v>2435</v>
      </c>
      <c r="O1075" s="103">
        <v>866</v>
      </c>
      <c r="P1075" s="42"/>
      <c r="Q1075" s="110"/>
      <c r="R1075" s="46" t="s">
        <v>8</v>
      </c>
      <c r="S1075" s="103">
        <v>100</v>
      </c>
      <c r="T1075" s="103">
        <v>384</v>
      </c>
      <c r="U1075" s="103">
        <v>1227</v>
      </c>
      <c r="V1075" s="103">
        <v>3068</v>
      </c>
      <c r="W1075" s="103">
        <v>3194</v>
      </c>
      <c r="X1075" s="103">
        <v>4446</v>
      </c>
      <c r="Y1075" s="103">
        <v>4695</v>
      </c>
      <c r="Z1075" s="103">
        <v>3162</v>
      </c>
      <c r="AA1075" s="103">
        <v>1912</v>
      </c>
      <c r="AB1075" s="103">
        <v>719</v>
      </c>
      <c r="AC1075" s="42"/>
      <c r="AD1075" s="110"/>
      <c r="AE1075" s="46" t="s">
        <v>8</v>
      </c>
      <c r="AF1075" s="103">
        <v>381</v>
      </c>
      <c r="AG1075" s="103">
        <v>1086</v>
      </c>
      <c r="AH1075" s="103">
        <v>2229</v>
      </c>
      <c r="AI1075" s="103">
        <v>4043</v>
      </c>
      <c r="AJ1075" s="103">
        <v>2919</v>
      </c>
      <c r="AK1075" s="103">
        <v>3136</v>
      </c>
      <c r="AL1075" s="103">
        <v>2441</v>
      </c>
      <c r="AM1075" s="103">
        <v>1121</v>
      </c>
      <c r="AN1075" s="103">
        <v>523</v>
      </c>
      <c r="AO1075" s="103">
        <v>147</v>
      </c>
      <c r="AP1075" s="6"/>
      <c r="AQ1075" s="110"/>
      <c r="AR1075" s="46" t="s">
        <v>8</v>
      </c>
      <c r="AS1075" s="103">
        <v>216</v>
      </c>
      <c r="AT1075" s="103">
        <v>581</v>
      </c>
      <c r="AU1075" s="103">
        <v>1158</v>
      </c>
      <c r="AV1075" s="103">
        <v>1973</v>
      </c>
      <c r="AW1075" s="103">
        <v>1464</v>
      </c>
      <c r="AX1075" s="103">
        <v>1799</v>
      </c>
      <c r="AY1075" s="103">
        <v>1605</v>
      </c>
      <c r="AZ1075" s="103">
        <v>983</v>
      </c>
      <c r="BA1075" s="103">
        <v>553</v>
      </c>
      <c r="BB1075" s="103">
        <v>181</v>
      </c>
      <c r="BC1075" s="42"/>
      <c r="BD1075" s="110"/>
      <c r="BE1075" s="46" t="s">
        <v>8</v>
      </c>
      <c r="BF1075" s="103">
        <v>265</v>
      </c>
      <c r="BG1075" s="103">
        <v>889</v>
      </c>
      <c r="BH1075" s="103">
        <v>2298</v>
      </c>
      <c r="BI1075" s="103">
        <v>5138</v>
      </c>
      <c r="BJ1075" s="103">
        <v>4649</v>
      </c>
      <c r="BK1075" s="103">
        <v>5783</v>
      </c>
      <c r="BL1075" s="103">
        <v>5531</v>
      </c>
      <c r="BM1075" s="103">
        <v>3300</v>
      </c>
      <c r="BN1075" s="103">
        <v>1882</v>
      </c>
      <c r="BO1075" s="103">
        <v>685</v>
      </c>
      <c r="BQ1075" s="110"/>
      <c r="BR1075" s="46" t="s">
        <v>8</v>
      </c>
      <c r="BS1075" s="103">
        <v>97</v>
      </c>
      <c r="BT1075" s="103">
        <v>237</v>
      </c>
      <c r="BU1075" s="103">
        <v>467</v>
      </c>
      <c r="BV1075" s="103">
        <v>678</v>
      </c>
      <c r="BW1075" s="103">
        <v>435</v>
      </c>
      <c r="BX1075" s="103">
        <v>502</v>
      </c>
      <c r="BY1075" s="103">
        <v>395</v>
      </c>
      <c r="BZ1075" s="103">
        <v>177</v>
      </c>
      <c r="CA1075" s="103">
        <v>100</v>
      </c>
      <c r="CB1075" s="103">
        <v>41</v>
      </c>
      <c r="CC1075" s="42"/>
      <c r="CD1075" s="110"/>
      <c r="CE1075" s="46" t="s">
        <v>8</v>
      </c>
      <c r="CF1075" s="103">
        <v>384</v>
      </c>
      <c r="CG1075" s="103">
        <v>1233</v>
      </c>
      <c r="CH1075" s="103">
        <v>2989</v>
      </c>
      <c r="CI1075" s="103">
        <v>6433</v>
      </c>
      <c r="CJ1075" s="103">
        <v>5678</v>
      </c>
      <c r="CK1075" s="103">
        <v>7080</v>
      </c>
      <c r="CL1075" s="103">
        <v>6741</v>
      </c>
      <c r="CM1075" s="103">
        <v>4106</v>
      </c>
      <c r="CN1075" s="103">
        <v>2335</v>
      </c>
      <c r="CO1075" s="103">
        <v>825</v>
      </c>
      <c r="CQ1075" s="110"/>
      <c r="CR1075" s="46" t="s">
        <v>8</v>
      </c>
      <c r="CS1075" s="103">
        <v>30</v>
      </c>
      <c r="CT1075" s="103">
        <v>103</v>
      </c>
      <c r="CU1075" s="103">
        <v>329</v>
      </c>
      <c r="CV1075" s="103">
        <v>906</v>
      </c>
      <c r="CW1075" s="103">
        <v>948</v>
      </c>
      <c r="CX1075" s="103">
        <v>1411</v>
      </c>
      <c r="CY1075" s="103">
        <v>1743</v>
      </c>
      <c r="CZ1075" s="103">
        <v>1299</v>
      </c>
      <c r="DA1075" s="103">
        <v>783</v>
      </c>
      <c r="DB1075" s="103">
        <v>310</v>
      </c>
      <c r="DC1075" s="42"/>
      <c r="DD1075" s="110"/>
      <c r="DE1075" s="46" t="s">
        <v>8</v>
      </c>
      <c r="DF1075" s="103">
        <v>451</v>
      </c>
      <c r="DG1075" s="103">
        <v>1367</v>
      </c>
      <c r="DH1075" s="103">
        <v>3127</v>
      </c>
      <c r="DI1075" s="103">
        <v>6205</v>
      </c>
      <c r="DJ1075" s="103">
        <v>5165</v>
      </c>
      <c r="DK1075" s="103">
        <v>6171</v>
      </c>
      <c r="DL1075" s="103">
        <v>5393</v>
      </c>
      <c r="DM1075" s="103">
        <v>2984</v>
      </c>
      <c r="DN1075" s="103">
        <v>1652</v>
      </c>
      <c r="DO1075" s="103">
        <v>556</v>
      </c>
    </row>
    <row r="1076" spans="2:119" ht="16.5" customHeight="1" x14ac:dyDescent="0.45">
      <c r="B1076" s="134"/>
      <c r="C1076" s="42"/>
      <c r="D1076" s="110"/>
      <c r="E1076" s="46" t="s">
        <v>9</v>
      </c>
      <c r="F1076" s="103">
        <v>261</v>
      </c>
      <c r="G1076" s="103">
        <v>753</v>
      </c>
      <c r="H1076" s="103">
        <v>1988</v>
      </c>
      <c r="I1076" s="103">
        <v>5031</v>
      </c>
      <c r="J1076" s="103">
        <v>5462</v>
      </c>
      <c r="K1076" s="103">
        <v>7850</v>
      </c>
      <c r="L1076" s="103">
        <v>9493</v>
      </c>
      <c r="M1076" s="103">
        <v>7269</v>
      </c>
      <c r="N1076" s="103">
        <v>5240</v>
      </c>
      <c r="O1076" s="103">
        <v>2512</v>
      </c>
      <c r="P1076" s="42"/>
      <c r="Q1076" s="110"/>
      <c r="R1076" s="46" t="s">
        <v>9</v>
      </c>
      <c r="S1076" s="103">
        <v>52</v>
      </c>
      <c r="T1076" s="103">
        <v>160</v>
      </c>
      <c r="U1076" s="103">
        <v>566</v>
      </c>
      <c r="V1076" s="103">
        <v>1761</v>
      </c>
      <c r="W1076" s="103">
        <v>2299</v>
      </c>
      <c r="X1076" s="103">
        <v>3852</v>
      </c>
      <c r="Y1076" s="103">
        <v>5506</v>
      </c>
      <c r="Z1076" s="103">
        <v>4884</v>
      </c>
      <c r="AA1076" s="103">
        <v>3846</v>
      </c>
      <c r="AB1076" s="103">
        <v>2017</v>
      </c>
      <c r="AC1076" s="42"/>
      <c r="AD1076" s="110"/>
      <c r="AE1076" s="46" t="s">
        <v>9</v>
      </c>
      <c r="AF1076" s="103">
        <v>209</v>
      </c>
      <c r="AG1076" s="103">
        <v>593</v>
      </c>
      <c r="AH1076" s="103">
        <v>1422</v>
      </c>
      <c r="AI1076" s="103">
        <v>3270</v>
      </c>
      <c r="AJ1076" s="103">
        <v>3163</v>
      </c>
      <c r="AK1076" s="103">
        <v>3998</v>
      </c>
      <c r="AL1076" s="103">
        <v>3987</v>
      </c>
      <c r="AM1076" s="103">
        <v>2385</v>
      </c>
      <c r="AN1076" s="103">
        <v>1394</v>
      </c>
      <c r="AO1076" s="103">
        <v>495</v>
      </c>
      <c r="AP1076" s="6"/>
      <c r="AQ1076" s="110"/>
      <c r="AR1076" s="46" t="s">
        <v>9</v>
      </c>
      <c r="AS1076" s="103">
        <v>86</v>
      </c>
      <c r="AT1076" s="103">
        <v>239</v>
      </c>
      <c r="AU1076" s="103">
        <v>566</v>
      </c>
      <c r="AV1076" s="103">
        <v>1221</v>
      </c>
      <c r="AW1076" s="103">
        <v>1122</v>
      </c>
      <c r="AX1076" s="103">
        <v>1488</v>
      </c>
      <c r="AY1076" s="103">
        <v>1741</v>
      </c>
      <c r="AZ1076" s="103">
        <v>1276</v>
      </c>
      <c r="BA1076" s="103">
        <v>886</v>
      </c>
      <c r="BB1076" s="103">
        <v>426</v>
      </c>
      <c r="BC1076" s="42"/>
      <c r="BD1076" s="110"/>
      <c r="BE1076" s="46" t="s">
        <v>9</v>
      </c>
      <c r="BF1076" s="103">
        <v>175</v>
      </c>
      <c r="BG1076" s="103">
        <v>514</v>
      </c>
      <c r="BH1076" s="103">
        <v>1422</v>
      </c>
      <c r="BI1076" s="103">
        <v>3810</v>
      </c>
      <c r="BJ1076" s="103">
        <v>4340</v>
      </c>
      <c r="BK1076" s="103">
        <v>6362</v>
      </c>
      <c r="BL1076" s="103">
        <v>7752</v>
      </c>
      <c r="BM1076" s="103">
        <v>5993</v>
      </c>
      <c r="BN1076" s="103">
        <v>4354</v>
      </c>
      <c r="BO1076" s="103">
        <v>2086</v>
      </c>
      <c r="BQ1076" s="110"/>
      <c r="BR1076" s="46" t="s">
        <v>9</v>
      </c>
      <c r="BS1076" s="103">
        <v>38</v>
      </c>
      <c r="BT1076" s="103">
        <v>93</v>
      </c>
      <c r="BU1076" s="103">
        <v>188</v>
      </c>
      <c r="BV1076" s="103">
        <v>399</v>
      </c>
      <c r="BW1076" s="103">
        <v>354</v>
      </c>
      <c r="BX1076" s="103">
        <v>407</v>
      </c>
      <c r="BY1076" s="103">
        <v>404</v>
      </c>
      <c r="BZ1076" s="103">
        <v>273</v>
      </c>
      <c r="CA1076" s="103">
        <v>188</v>
      </c>
      <c r="CB1076" s="103">
        <v>92</v>
      </c>
      <c r="CC1076" s="42"/>
      <c r="CD1076" s="110"/>
      <c r="CE1076" s="46" t="s">
        <v>9</v>
      </c>
      <c r="CF1076" s="103">
        <v>223</v>
      </c>
      <c r="CG1076" s="103">
        <v>660</v>
      </c>
      <c r="CH1076" s="103">
        <v>1800</v>
      </c>
      <c r="CI1076" s="103">
        <v>4632</v>
      </c>
      <c r="CJ1076" s="103">
        <v>5108</v>
      </c>
      <c r="CK1076" s="103">
        <v>7443</v>
      </c>
      <c r="CL1076" s="103">
        <v>9089</v>
      </c>
      <c r="CM1076" s="103">
        <v>6996</v>
      </c>
      <c r="CN1076" s="103">
        <v>5052</v>
      </c>
      <c r="CO1076" s="103">
        <v>2420</v>
      </c>
      <c r="CQ1076" s="110"/>
      <c r="CR1076" s="46" t="s">
        <v>9</v>
      </c>
      <c r="CS1076" s="103">
        <v>14</v>
      </c>
      <c r="CT1076" s="103">
        <v>48</v>
      </c>
      <c r="CU1076" s="103">
        <v>147</v>
      </c>
      <c r="CV1076" s="103">
        <v>499</v>
      </c>
      <c r="CW1076" s="103">
        <v>654</v>
      </c>
      <c r="CX1076" s="103">
        <v>1135</v>
      </c>
      <c r="CY1076" s="103">
        <v>1752</v>
      </c>
      <c r="CZ1076" s="103">
        <v>1607</v>
      </c>
      <c r="DA1076" s="103">
        <v>1271</v>
      </c>
      <c r="DB1076" s="103">
        <v>671</v>
      </c>
      <c r="DC1076" s="42"/>
      <c r="DD1076" s="110"/>
      <c r="DE1076" s="46" t="s">
        <v>9</v>
      </c>
      <c r="DF1076" s="103">
        <v>247</v>
      </c>
      <c r="DG1076" s="103">
        <v>705</v>
      </c>
      <c r="DH1076" s="103">
        <v>1841</v>
      </c>
      <c r="DI1076" s="103">
        <v>4532</v>
      </c>
      <c r="DJ1076" s="103">
        <v>4808</v>
      </c>
      <c r="DK1076" s="103">
        <v>6715</v>
      </c>
      <c r="DL1076" s="103">
        <v>7741</v>
      </c>
      <c r="DM1076" s="103">
        <v>5662</v>
      </c>
      <c r="DN1076" s="103">
        <v>3969</v>
      </c>
      <c r="DO1076" s="103">
        <v>1841</v>
      </c>
    </row>
    <row r="1077" spans="2:119" ht="16.5" customHeight="1" x14ac:dyDescent="0.45">
      <c r="B1077" s="134"/>
      <c r="C1077" s="42"/>
      <c r="D1077" s="110"/>
      <c r="E1077" s="46" t="s">
        <v>10</v>
      </c>
      <c r="F1077" s="103">
        <v>92</v>
      </c>
      <c r="G1077" s="103">
        <v>274</v>
      </c>
      <c r="H1077" s="103">
        <v>669</v>
      </c>
      <c r="I1077" s="103">
        <v>2130</v>
      </c>
      <c r="J1077" s="103">
        <v>2924</v>
      </c>
      <c r="K1077" s="103">
        <v>5277</v>
      </c>
      <c r="L1077" s="103">
        <v>8295</v>
      </c>
      <c r="M1077" s="103">
        <v>8464</v>
      </c>
      <c r="N1077" s="103">
        <v>8051</v>
      </c>
      <c r="O1077" s="103">
        <v>6092</v>
      </c>
      <c r="P1077" s="42"/>
      <c r="Q1077" s="110"/>
      <c r="R1077" s="46" t="s">
        <v>10</v>
      </c>
      <c r="S1077" s="103">
        <v>11</v>
      </c>
      <c r="T1077" s="103">
        <v>55</v>
      </c>
      <c r="U1077" s="103">
        <v>150</v>
      </c>
      <c r="V1077" s="103">
        <v>559</v>
      </c>
      <c r="W1077" s="103">
        <v>947</v>
      </c>
      <c r="X1077" s="103">
        <v>1943</v>
      </c>
      <c r="Y1077" s="103">
        <v>3726</v>
      </c>
      <c r="Z1077" s="103">
        <v>4688</v>
      </c>
      <c r="AA1077" s="103">
        <v>5292</v>
      </c>
      <c r="AB1077" s="103">
        <v>4448</v>
      </c>
      <c r="AC1077" s="42"/>
      <c r="AD1077" s="110"/>
      <c r="AE1077" s="46" t="s">
        <v>10</v>
      </c>
      <c r="AF1077" s="103">
        <v>81</v>
      </c>
      <c r="AG1077" s="103">
        <v>219</v>
      </c>
      <c r="AH1077" s="103">
        <v>519</v>
      </c>
      <c r="AI1077" s="103">
        <v>1571</v>
      </c>
      <c r="AJ1077" s="103">
        <v>1977</v>
      </c>
      <c r="AK1077" s="103">
        <v>3334</v>
      </c>
      <c r="AL1077" s="103">
        <v>4569</v>
      </c>
      <c r="AM1077" s="103">
        <v>3776</v>
      </c>
      <c r="AN1077" s="103">
        <v>2759</v>
      </c>
      <c r="AO1077" s="103">
        <v>1644</v>
      </c>
      <c r="AP1077" s="6"/>
      <c r="AQ1077" s="110"/>
      <c r="AR1077" s="46" t="s">
        <v>10</v>
      </c>
      <c r="AS1077" s="103">
        <v>33</v>
      </c>
      <c r="AT1077" s="103">
        <v>80</v>
      </c>
      <c r="AU1077" s="103">
        <v>173</v>
      </c>
      <c r="AV1077" s="103">
        <v>437</v>
      </c>
      <c r="AW1077" s="103">
        <v>524</v>
      </c>
      <c r="AX1077" s="103">
        <v>842</v>
      </c>
      <c r="AY1077" s="103">
        <v>1145</v>
      </c>
      <c r="AZ1077" s="103">
        <v>1141</v>
      </c>
      <c r="BA1077" s="103">
        <v>959</v>
      </c>
      <c r="BB1077" s="103">
        <v>620</v>
      </c>
      <c r="BC1077" s="42"/>
      <c r="BD1077" s="110"/>
      <c r="BE1077" s="46" t="s">
        <v>10</v>
      </c>
      <c r="BF1077" s="103">
        <v>59</v>
      </c>
      <c r="BG1077" s="103">
        <v>194</v>
      </c>
      <c r="BH1077" s="103">
        <v>496</v>
      </c>
      <c r="BI1077" s="103">
        <v>1693</v>
      </c>
      <c r="BJ1077" s="103">
        <v>2400</v>
      </c>
      <c r="BK1077" s="103">
        <v>4435</v>
      </c>
      <c r="BL1077" s="103">
        <v>7150</v>
      </c>
      <c r="BM1077" s="103">
        <v>7323</v>
      </c>
      <c r="BN1077" s="103">
        <v>7092</v>
      </c>
      <c r="BO1077" s="103">
        <v>5472</v>
      </c>
      <c r="BQ1077" s="110"/>
      <c r="BR1077" s="46" t="s">
        <v>10</v>
      </c>
      <c r="BS1077" s="103">
        <v>10</v>
      </c>
      <c r="BT1077" s="103">
        <v>28</v>
      </c>
      <c r="BU1077" s="103">
        <v>63</v>
      </c>
      <c r="BV1077" s="103">
        <v>140</v>
      </c>
      <c r="BW1077" s="103">
        <v>163</v>
      </c>
      <c r="BX1077" s="103">
        <v>210</v>
      </c>
      <c r="BY1077" s="103">
        <v>313</v>
      </c>
      <c r="BZ1077" s="103">
        <v>275</v>
      </c>
      <c r="CA1077" s="103">
        <v>211</v>
      </c>
      <c r="CB1077" s="103">
        <v>172</v>
      </c>
      <c r="CC1077" s="42"/>
      <c r="CD1077" s="110"/>
      <c r="CE1077" s="46" t="s">
        <v>10</v>
      </c>
      <c r="CF1077" s="103">
        <v>82</v>
      </c>
      <c r="CG1077" s="103">
        <v>246</v>
      </c>
      <c r="CH1077" s="103">
        <v>606</v>
      </c>
      <c r="CI1077" s="103">
        <v>1990</v>
      </c>
      <c r="CJ1077" s="103">
        <v>2761</v>
      </c>
      <c r="CK1077" s="103">
        <v>5067</v>
      </c>
      <c r="CL1077" s="103">
        <v>7982</v>
      </c>
      <c r="CM1077" s="103">
        <v>8189</v>
      </c>
      <c r="CN1077" s="103">
        <v>7840</v>
      </c>
      <c r="CO1077" s="103">
        <v>5920</v>
      </c>
      <c r="CQ1077" s="110"/>
      <c r="CR1077" s="46" t="s">
        <v>10</v>
      </c>
      <c r="CS1077" s="103">
        <v>7</v>
      </c>
      <c r="CT1077" s="103">
        <v>9</v>
      </c>
      <c r="CU1077" s="103">
        <v>47</v>
      </c>
      <c r="CV1077" s="103">
        <v>188</v>
      </c>
      <c r="CW1077" s="103">
        <v>298</v>
      </c>
      <c r="CX1077" s="103">
        <v>592</v>
      </c>
      <c r="CY1077" s="103">
        <v>1143</v>
      </c>
      <c r="CZ1077" s="103">
        <v>1452</v>
      </c>
      <c r="DA1077" s="103">
        <v>1606</v>
      </c>
      <c r="DB1077" s="103">
        <v>1362</v>
      </c>
      <c r="DC1077" s="42"/>
      <c r="DD1077" s="110"/>
      <c r="DE1077" s="46" t="s">
        <v>10</v>
      </c>
      <c r="DF1077" s="103">
        <v>85</v>
      </c>
      <c r="DG1077" s="103">
        <v>265</v>
      </c>
      <c r="DH1077" s="103">
        <v>622</v>
      </c>
      <c r="DI1077" s="103">
        <v>1942</v>
      </c>
      <c r="DJ1077" s="103">
        <v>2626</v>
      </c>
      <c r="DK1077" s="103">
        <v>4685</v>
      </c>
      <c r="DL1077" s="103">
        <v>7152</v>
      </c>
      <c r="DM1077" s="103">
        <v>7012</v>
      </c>
      <c r="DN1077" s="103">
        <v>6445</v>
      </c>
      <c r="DO1077" s="103">
        <v>4730</v>
      </c>
    </row>
    <row r="1078" spans="2:119" ht="16.5" customHeight="1" x14ac:dyDescent="0.45">
      <c r="B1078" s="134"/>
      <c r="C1078" s="42"/>
      <c r="D1078" s="111"/>
      <c r="E1078" s="46" t="s">
        <v>11</v>
      </c>
      <c r="F1078" s="103">
        <v>5</v>
      </c>
      <c r="G1078" s="103">
        <v>22</v>
      </c>
      <c r="H1078" s="103">
        <v>54</v>
      </c>
      <c r="I1078" s="103">
        <v>164</v>
      </c>
      <c r="J1078" s="103">
        <v>256</v>
      </c>
      <c r="K1078" s="103">
        <v>637</v>
      </c>
      <c r="L1078" s="103">
        <v>1428</v>
      </c>
      <c r="M1078" s="103">
        <v>1970</v>
      </c>
      <c r="N1078" s="103">
        <v>2627</v>
      </c>
      <c r="O1078" s="103">
        <v>3492</v>
      </c>
      <c r="P1078" s="42"/>
      <c r="Q1078" s="111"/>
      <c r="R1078" s="46" t="s">
        <v>11</v>
      </c>
      <c r="S1078" s="103">
        <v>0</v>
      </c>
      <c r="T1078" s="103">
        <v>4</v>
      </c>
      <c r="U1078" s="103">
        <v>11</v>
      </c>
      <c r="V1078" s="103">
        <v>30</v>
      </c>
      <c r="W1078" s="103">
        <v>62</v>
      </c>
      <c r="X1078" s="103">
        <v>209</v>
      </c>
      <c r="Y1078" s="103">
        <v>539</v>
      </c>
      <c r="Z1078" s="103">
        <v>895</v>
      </c>
      <c r="AA1078" s="103">
        <v>1531</v>
      </c>
      <c r="AB1078" s="103">
        <v>2466</v>
      </c>
      <c r="AC1078" s="42"/>
      <c r="AD1078" s="111"/>
      <c r="AE1078" s="46" t="s">
        <v>11</v>
      </c>
      <c r="AF1078" s="103">
        <v>5</v>
      </c>
      <c r="AG1078" s="103">
        <v>18</v>
      </c>
      <c r="AH1078" s="103">
        <v>43</v>
      </c>
      <c r="AI1078" s="103">
        <v>134</v>
      </c>
      <c r="AJ1078" s="103">
        <v>194</v>
      </c>
      <c r="AK1078" s="103">
        <v>428</v>
      </c>
      <c r="AL1078" s="103">
        <v>889</v>
      </c>
      <c r="AM1078" s="103">
        <v>1075</v>
      </c>
      <c r="AN1078" s="103">
        <v>1096</v>
      </c>
      <c r="AO1078" s="103">
        <v>1026</v>
      </c>
      <c r="AP1078" s="6"/>
      <c r="AQ1078" s="111"/>
      <c r="AR1078" s="46" t="s">
        <v>11</v>
      </c>
      <c r="AS1078" s="103">
        <v>2</v>
      </c>
      <c r="AT1078" s="103">
        <v>8</v>
      </c>
      <c r="AU1078" s="103">
        <v>10</v>
      </c>
      <c r="AV1078" s="103">
        <v>27</v>
      </c>
      <c r="AW1078" s="103">
        <v>34</v>
      </c>
      <c r="AX1078" s="103">
        <v>77</v>
      </c>
      <c r="AY1078" s="103">
        <v>125</v>
      </c>
      <c r="AZ1078" s="103">
        <v>190</v>
      </c>
      <c r="BA1078" s="103">
        <v>215</v>
      </c>
      <c r="BB1078" s="103">
        <v>260</v>
      </c>
      <c r="BC1078" s="42"/>
      <c r="BD1078" s="111"/>
      <c r="BE1078" s="46" t="s">
        <v>11</v>
      </c>
      <c r="BF1078" s="103">
        <v>3</v>
      </c>
      <c r="BG1078" s="103">
        <v>14</v>
      </c>
      <c r="BH1078" s="103">
        <v>44</v>
      </c>
      <c r="BI1078" s="103">
        <v>137</v>
      </c>
      <c r="BJ1078" s="103">
        <v>222</v>
      </c>
      <c r="BK1078" s="103">
        <v>560</v>
      </c>
      <c r="BL1078" s="103">
        <v>1303</v>
      </c>
      <c r="BM1078" s="103">
        <v>1780</v>
      </c>
      <c r="BN1078" s="103">
        <v>2412</v>
      </c>
      <c r="BO1078" s="103">
        <v>3232</v>
      </c>
      <c r="BQ1078" s="111"/>
      <c r="BR1078" s="46" t="s">
        <v>11</v>
      </c>
      <c r="BS1078" s="103">
        <v>1</v>
      </c>
      <c r="BT1078" s="103">
        <v>0</v>
      </c>
      <c r="BU1078" s="103">
        <v>5</v>
      </c>
      <c r="BV1078" s="103">
        <v>11</v>
      </c>
      <c r="BW1078" s="103">
        <v>18</v>
      </c>
      <c r="BX1078" s="103">
        <v>23</v>
      </c>
      <c r="BY1078" s="103">
        <v>44</v>
      </c>
      <c r="BZ1078" s="103">
        <v>60</v>
      </c>
      <c r="CA1078" s="103">
        <v>52</v>
      </c>
      <c r="CB1078" s="103">
        <v>76</v>
      </c>
      <c r="CC1078" s="42"/>
      <c r="CD1078" s="111"/>
      <c r="CE1078" s="46" t="s">
        <v>11</v>
      </c>
      <c r="CF1078" s="103">
        <v>4</v>
      </c>
      <c r="CG1078" s="103">
        <v>22</v>
      </c>
      <c r="CH1078" s="103">
        <v>49</v>
      </c>
      <c r="CI1078" s="103">
        <v>153</v>
      </c>
      <c r="CJ1078" s="103">
        <v>238</v>
      </c>
      <c r="CK1078" s="103">
        <v>614</v>
      </c>
      <c r="CL1078" s="103">
        <v>1384</v>
      </c>
      <c r="CM1078" s="103">
        <v>1910</v>
      </c>
      <c r="CN1078" s="103">
        <v>2575</v>
      </c>
      <c r="CO1078" s="103">
        <v>3416</v>
      </c>
      <c r="CQ1078" s="111"/>
      <c r="CR1078" s="46" t="s">
        <v>11</v>
      </c>
      <c r="CS1078" s="103">
        <v>0</v>
      </c>
      <c r="CT1078" s="103">
        <v>0</v>
      </c>
      <c r="CU1078" s="103">
        <v>6</v>
      </c>
      <c r="CV1078" s="103">
        <v>10</v>
      </c>
      <c r="CW1078" s="103">
        <v>18</v>
      </c>
      <c r="CX1078" s="103">
        <v>52</v>
      </c>
      <c r="CY1078" s="103">
        <v>157</v>
      </c>
      <c r="CZ1078" s="103">
        <v>230</v>
      </c>
      <c r="DA1078" s="103">
        <v>398</v>
      </c>
      <c r="DB1078" s="103">
        <v>555</v>
      </c>
      <c r="DC1078" s="42"/>
      <c r="DD1078" s="111"/>
      <c r="DE1078" s="46" t="s">
        <v>11</v>
      </c>
      <c r="DF1078" s="103">
        <v>5</v>
      </c>
      <c r="DG1078" s="103">
        <v>22</v>
      </c>
      <c r="DH1078" s="103">
        <v>48</v>
      </c>
      <c r="DI1078" s="103">
        <v>154</v>
      </c>
      <c r="DJ1078" s="103">
        <v>238</v>
      </c>
      <c r="DK1078" s="103">
        <v>585</v>
      </c>
      <c r="DL1078" s="103">
        <v>1271</v>
      </c>
      <c r="DM1078" s="103">
        <v>1740</v>
      </c>
      <c r="DN1078" s="103">
        <v>2229</v>
      </c>
      <c r="DO1078" s="103">
        <v>2937</v>
      </c>
    </row>
    <row r="1079" spans="2:119" ht="16.5" customHeight="1" x14ac:dyDescent="0.45">
      <c r="B1079" s="99"/>
      <c r="C1079" s="42"/>
      <c r="D1079" s="42"/>
      <c r="E1079" s="42"/>
      <c r="F1079" s="42"/>
      <c r="G1079" s="42"/>
      <c r="H1079" s="42"/>
      <c r="I1079" s="42"/>
      <c r="J1079" s="42"/>
      <c r="K1079" s="42"/>
      <c r="L1079" s="42"/>
      <c r="M1079" s="42"/>
      <c r="N1079" s="42"/>
      <c r="O1079" s="42"/>
      <c r="P1079" s="42"/>
      <c r="Q1079" s="42"/>
      <c r="R1079" s="42"/>
      <c r="S1079" s="42"/>
      <c r="T1079" s="42"/>
      <c r="U1079" s="42"/>
      <c r="V1079" s="42"/>
      <c r="W1079" s="42"/>
      <c r="X1079" s="42"/>
      <c r="Y1079" s="42"/>
      <c r="Z1079" s="42"/>
      <c r="AA1079" s="42"/>
      <c r="AB1079" s="42"/>
      <c r="AC1079" s="42"/>
      <c r="AD1079" s="42"/>
      <c r="AE1079" s="42"/>
      <c r="AF1079" s="42"/>
      <c r="AG1079" s="42"/>
      <c r="AH1079" s="42"/>
      <c r="AI1079" s="42"/>
      <c r="AJ1079" s="42"/>
      <c r="AK1079" s="42"/>
      <c r="AL1079" s="42"/>
      <c r="AM1079" s="42"/>
      <c r="AN1079" s="42"/>
      <c r="AO1079" s="42"/>
      <c r="AP1079" s="6"/>
      <c r="AQ1079" s="42"/>
      <c r="AR1079" s="42"/>
      <c r="AS1079" s="42"/>
      <c r="AT1079" s="42"/>
      <c r="AU1079" s="42"/>
      <c r="AV1079" s="42"/>
      <c r="AW1079" s="42"/>
      <c r="AX1079" s="42"/>
      <c r="AY1079" s="42"/>
      <c r="AZ1079" s="42"/>
      <c r="BA1079" s="42"/>
      <c r="BB1079" s="42"/>
      <c r="BC1079" s="42"/>
      <c r="BD1079" s="42"/>
      <c r="BE1079" s="42"/>
      <c r="BF1079" s="42"/>
      <c r="BG1079" s="42"/>
      <c r="BH1079" s="42"/>
      <c r="BI1079" s="42"/>
      <c r="BJ1079" s="42"/>
      <c r="BK1079" s="42"/>
      <c r="BL1079" s="42"/>
      <c r="BM1079" s="42"/>
      <c r="BN1079" s="42"/>
      <c r="BO1079" s="42"/>
      <c r="BQ1079" s="42"/>
      <c r="BR1079" s="42"/>
      <c r="BS1079" s="42"/>
      <c r="BT1079" s="42"/>
      <c r="BU1079" s="42"/>
      <c r="BV1079" s="42"/>
      <c r="BW1079" s="42"/>
      <c r="BX1079" s="42"/>
      <c r="BY1079" s="42"/>
      <c r="BZ1079" s="42"/>
      <c r="CA1079" s="42"/>
      <c r="CB1079" s="42"/>
      <c r="CC1079" s="42"/>
      <c r="CD1079" s="42"/>
      <c r="CE1079" s="42"/>
      <c r="CF1079" s="42"/>
      <c r="CG1079" s="42"/>
      <c r="CH1079" s="42"/>
      <c r="CI1079" s="42"/>
      <c r="CJ1079" s="42"/>
      <c r="CK1079" s="42"/>
      <c r="CL1079" s="42"/>
      <c r="CM1079" s="42"/>
      <c r="CN1079" s="42"/>
      <c r="CO1079" s="42"/>
      <c r="CQ1079" s="42"/>
      <c r="CR1079" s="42"/>
      <c r="CS1079" s="42"/>
      <c r="CT1079" s="42"/>
      <c r="CU1079" s="42"/>
      <c r="CV1079" s="42"/>
      <c r="CW1079" s="42"/>
      <c r="CX1079" s="42"/>
      <c r="CY1079" s="42"/>
      <c r="CZ1079" s="42"/>
      <c r="DA1079" s="42"/>
      <c r="DB1079" s="42"/>
      <c r="DC1079" s="42"/>
      <c r="DD1079" s="42"/>
      <c r="DE1079" s="42"/>
      <c r="DF1079" s="42"/>
      <c r="DG1079" s="42"/>
      <c r="DH1079" s="42"/>
      <c r="DI1079" s="42"/>
      <c r="DJ1079" s="42"/>
      <c r="DK1079" s="42"/>
      <c r="DL1079" s="42"/>
      <c r="DM1079" s="42"/>
      <c r="DN1079" s="42"/>
      <c r="DO1079" s="42"/>
    </row>
    <row r="1080" spans="2:119" ht="16.5" customHeight="1" x14ac:dyDescent="0.55000000000000004">
      <c r="B1080" s="99"/>
      <c r="C1080" s="42"/>
      <c r="D1080" s="112" t="s">
        <v>16</v>
      </c>
      <c r="E1080" s="112"/>
      <c r="F1080" s="45"/>
      <c r="G1080" s="45"/>
      <c r="H1080" s="45"/>
      <c r="I1080" s="45"/>
      <c r="J1080" s="45"/>
      <c r="K1080" s="45"/>
      <c r="L1080" s="45"/>
      <c r="M1080" s="45"/>
      <c r="N1080" s="45"/>
      <c r="O1080" s="45"/>
      <c r="P1080" s="42"/>
      <c r="Q1080" s="112" t="s">
        <v>16</v>
      </c>
      <c r="R1080" s="112"/>
      <c r="S1080" s="45"/>
      <c r="T1080" s="45"/>
      <c r="U1080" s="45"/>
      <c r="V1080" s="45"/>
      <c r="W1080" s="45"/>
      <c r="X1080" s="45"/>
      <c r="Y1080" s="45"/>
      <c r="Z1080" s="45"/>
      <c r="AA1080" s="45"/>
      <c r="AB1080" s="45"/>
      <c r="AC1080" s="42"/>
      <c r="AD1080" s="112" t="s">
        <v>16</v>
      </c>
      <c r="AE1080" s="112"/>
      <c r="AF1080" s="45"/>
      <c r="AG1080" s="45"/>
      <c r="AH1080" s="45"/>
      <c r="AI1080" s="45"/>
      <c r="AJ1080" s="45"/>
      <c r="AK1080" s="45"/>
      <c r="AL1080" s="45"/>
      <c r="AM1080" s="45"/>
      <c r="AN1080" s="45"/>
      <c r="AO1080" s="45"/>
      <c r="AP1080" s="6"/>
      <c r="AQ1080" s="112" t="s">
        <v>16</v>
      </c>
      <c r="AR1080" s="112"/>
      <c r="AS1080" s="45"/>
      <c r="AT1080" s="45"/>
      <c r="AU1080" s="45"/>
      <c r="AV1080" s="45"/>
      <c r="AW1080" s="45"/>
      <c r="AX1080" s="45"/>
      <c r="AY1080" s="45"/>
      <c r="AZ1080" s="45"/>
      <c r="BA1080" s="45"/>
      <c r="BB1080" s="45"/>
      <c r="BC1080" s="42"/>
      <c r="BD1080" s="112" t="s">
        <v>16</v>
      </c>
      <c r="BE1080" s="112"/>
      <c r="BF1080" s="45"/>
      <c r="BG1080" s="45"/>
      <c r="BH1080" s="45"/>
      <c r="BI1080" s="45"/>
      <c r="BJ1080" s="45"/>
      <c r="BK1080" s="45"/>
      <c r="BL1080" s="45"/>
      <c r="BM1080" s="45"/>
      <c r="BN1080" s="45"/>
      <c r="BO1080" s="45"/>
      <c r="BQ1080" s="112" t="s">
        <v>16</v>
      </c>
      <c r="BR1080" s="112"/>
      <c r="BS1080" s="45"/>
      <c r="BT1080" s="45"/>
      <c r="BU1080" s="45"/>
      <c r="BV1080" s="45"/>
      <c r="BW1080" s="45"/>
      <c r="BX1080" s="45"/>
      <c r="BY1080" s="45"/>
      <c r="BZ1080" s="45"/>
      <c r="CA1080" s="45"/>
      <c r="CB1080" s="45"/>
      <c r="CC1080" s="42"/>
      <c r="CD1080" s="112" t="s">
        <v>16</v>
      </c>
      <c r="CE1080" s="112"/>
      <c r="CF1080" s="45"/>
      <c r="CG1080" s="45"/>
      <c r="CH1080" s="45"/>
      <c r="CI1080" s="45"/>
      <c r="CJ1080" s="45"/>
      <c r="CK1080" s="45"/>
      <c r="CL1080" s="45"/>
      <c r="CM1080" s="45"/>
      <c r="CN1080" s="45"/>
      <c r="CO1080" s="45"/>
      <c r="CQ1080" s="112" t="s">
        <v>16</v>
      </c>
      <c r="CR1080" s="112"/>
      <c r="CS1080" s="45"/>
      <c r="CT1080" s="45"/>
      <c r="CU1080" s="45"/>
      <c r="CV1080" s="45"/>
      <c r="CW1080" s="45"/>
      <c r="CX1080" s="45"/>
      <c r="CY1080" s="45"/>
      <c r="CZ1080" s="45"/>
      <c r="DA1080" s="45"/>
      <c r="DB1080" s="45"/>
      <c r="DC1080" s="42"/>
      <c r="DD1080" s="112" t="s">
        <v>16</v>
      </c>
      <c r="DE1080" s="112"/>
      <c r="DF1080" s="45"/>
      <c r="DG1080" s="45"/>
      <c r="DH1080" s="45"/>
      <c r="DI1080" s="45"/>
      <c r="DJ1080" s="45"/>
      <c r="DK1080" s="45"/>
      <c r="DL1080" s="45"/>
      <c r="DM1080" s="45"/>
      <c r="DN1080" s="45"/>
      <c r="DO1080" s="45"/>
    </row>
    <row r="1081" spans="2:119" ht="28.9" customHeight="1" x14ac:dyDescent="0.45">
      <c r="B1081" s="99"/>
      <c r="C1081" s="42"/>
      <c r="D1081" s="112"/>
      <c r="E1081" s="112"/>
      <c r="F1081" s="108" t="s">
        <v>12</v>
      </c>
      <c r="G1081" s="108"/>
      <c r="H1081" s="108"/>
      <c r="I1081" s="108"/>
      <c r="J1081" s="108"/>
      <c r="K1081" s="108"/>
      <c r="L1081" s="108"/>
      <c r="M1081" s="108"/>
      <c r="N1081" s="108"/>
      <c r="O1081" s="108"/>
      <c r="P1081" s="42"/>
      <c r="Q1081" s="112"/>
      <c r="R1081" s="112"/>
      <c r="S1081" s="108" t="s">
        <v>12</v>
      </c>
      <c r="T1081" s="108"/>
      <c r="U1081" s="108"/>
      <c r="V1081" s="108"/>
      <c r="W1081" s="108"/>
      <c r="X1081" s="108"/>
      <c r="Y1081" s="108"/>
      <c r="Z1081" s="108"/>
      <c r="AA1081" s="108"/>
      <c r="AB1081" s="108"/>
      <c r="AC1081" s="42"/>
      <c r="AD1081" s="112"/>
      <c r="AE1081" s="112"/>
      <c r="AF1081" s="131" t="s">
        <v>12</v>
      </c>
      <c r="AG1081" s="132"/>
      <c r="AH1081" s="132"/>
      <c r="AI1081" s="132"/>
      <c r="AJ1081" s="132"/>
      <c r="AK1081" s="132"/>
      <c r="AL1081" s="132"/>
      <c r="AM1081" s="132"/>
      <c r="AN1081" s="132"/>
      <c r="AO1081" s="133"/>
      <c r="AP1081" s="6"/>
      <c r="AQ1081" s="112"/>
      <c r="AR1081" s="112"/>
      <c r="AS1081" s="108" t="s">
        <v>12</v>
      </c>
      <c r="AT1081" s="108"/>
      <c r="AU1081" s="108"/>
      <c r="AV1081" s="108"/>
      <c r="AW1081" s="108"/>
      <c r="AX1081" s="108"/>
      <c r="AY1081" s="108"/>
      <c r="AZ1081" s="108"/>
      <c r="BA1081" s="108"/>
      <c r="BB1081" s="108"/>
      <c r="BC1081" s="42"/>
      <c r="BD1081" s="112"/>
      <c r="BE1081" s="112"/>
      <c r="BF1081" s="108" t="s">
        <v>12</v>
      </c>
      <c r="BG1081" s="108"/>
      <c r="BH1081" s="108"/>
      <c r="BI1081" s="108"/>
      <c r="BJ1081" s="108"/>
      <c r="BK1081" s="108"/>
      <c r="BL1081" s="108"/>
      <c r="BM1081" s="108"/>
      <c r="BN1081" s="108"/>
      <c r="BO1081" s="108"/>
      <c r="BQ1081" s="112"/>
      <c r="BR1081" s="112"/>
      <c r="BS1081" s="108" t="s">
        <v>12</v>
      </c>
      <c r="BT1081" s="108"/>
      <c r="BU1081" s="108"/>
      <c r="BV1081" s="108"/>
      <c r="BW1081" s="108"/>
      <c r="BX1081" s="108"/>
      <c r="BY1081" s="108"/>
      <c r="BZ1081" s="108"/>
      <c r="CA1081" s="108"/>
      <c r="CB1081" s="108"/>
      <c r="CC1081" s="42"/>
      <c r="CD1081" s="112"/>
      <c r="CE1081" s="112"/>
      <c r="CF1081" s="108" t="s">
        <v>12</v>
      </c>
      <c r="CG1081" s="108"/>
      <c r="CH1081" s="108"/>
      <c r="CI1081" s="108"/>
      <c r="CJ1081" s="108"/>
      <c r="CK1081" s="108"/>
      <c r="CL1081" s="108"/>
      <c r="CM1081" s="108"/>
      <c r="CN1081" s="108"/>
      <c r="CO1081" s="108"/>
      <c r="CQ1081" s="112"/>
      <c r="CR1081" s="112"/>
      <c r="CS1081" s="108" t="s">
        <v>12</v>
      </c>
      <c r="CT1081" s="108"/>
      <c r="CU1081" s="108"/>
      <c r="CV1081" s="108"/>
      <c r="CW1081" s="108"/>
      <c r="CX1081" s="108"/>
      <c r="CY1081" s="108"/>
      <c r="CZ1081" s="108"/>
      <c r="DA1081" s="108"/>
      <c r="DB1081" s="108"/>
      <c r="DC1081" s="42"/>
      <c r="DD1081" s="112"/>
      <c r="DE1081" s="112"/>
      <c r="DF1081" s="108" t="s">
        <v>12</v>
      </c>
      <c r="DG1081" s="108"/>
      <c r="DH1081" s="108"/>
      <c r="DI1081" s="108"/>
      <c r="DJ1081" s="108"/>
      <c r="DK1081" s="108"/>
      <c r="DL1081" s="108"/>
      <c r="DM1081" s="108"/>
      <c r="DN1081" s="108"/>
      <c r="DO1081" s="108"/>
    </row>
    <row r="1082" spans="2:119" ht="15" customHeight="1" x14ac:dyDescent="0.45">
      <c r="B1082" s="99"/>
      <c r="C1082" s="42"/>
      <c r="D1082" s="113"/>
      <c r="E1082" s="113"/>
      <c r="F1082" s="9" t="s">
        <v>0</v>
      </c>
      <c r="G1082" s="9">
        <v>1</v>
      </c>
      <c r="H1082" s="9">
        <v>2</v>
      </c>
      <c r="I1082" s="9">
        <v>3</v>
      </c>
      <c r="J1082" s="9">
        <v>4</v>
      </c>
      <c r="K1082" s="9">
        <v>5</v>
      </c>
      <c r="L1082" s="9">
        <v>6</v>
      </c>
      <c r="M1082" s="9">
        <v>7</v>
      </c>
      <c r="N1082" s="9">
        <v>8</v>
      </c>
      <c r="O1082" s="9">
        <v>9</v>
      </c>
      <c r="P1082" s="42"/>
      <c r="Q1082" s="113"/>
      <c r="R1082" s="113"/>
      <c r="S1082" s="9" t="s">
        <v>0</v>
      </c>
      <c r="T1082" s="9">
        <v>1</v>
      </c>
      <c r="U1082" s="9">
        <v>2</v>
      </c>
      <c r="V1082" s="9">
        <v>3</v>
      </c>
      <c r="W1082" s="9">
        <v>4</v>
      </c>
      <c r="X1082" s="9">
        <v>5</v>
      </c>
      <c r="Y1082" s="9">
        <v>6</v>
      </c>
      <c r="Z1082" s="9">
        <v>7</v>
      </c>
      <c r="AA1082" s="9">
        <v>8</v>
      </c>
      <c r="AB1082" s="9">
        <v>9</v>
      </c>
      <c r="AC1082" s="42"/>
      <c r="AD1082" s="113"/>
      <c r="AE1082" s="113"/>
      <c r="AF1082" s="9" t="s">
        <v>0</v>
      </c>
      <c r="AG1082" s="9">
        <v>1</v>
      </c>
      <c r="AH1082" s="9">
        <v>2</v>
      </c>
      <c r="AI1082" s="9">
        <v>3</v>
      </c>
      <c r="AJ1082" s="9">
        <v>4</v>
      </c>
      <c r="AK1082" s="9">
        <v>5</v>
      </c>
      <c r="AL1082" s="9">
        <v>6</v>
      </c>
      <c r="AM1082" s="9">
        <v>7</v>
      </c>
      <c r="AN1082" s="9">
        <v>8</v>
      </c>
      <c r="AO1082" s="9">
        <v>9</v>
      </c>
      <c r="AP1082" s="6"/>
      <c r="AQ1082" s="113"/>
      <c r="AR1082" s="113"/>
      <c r="AS1082" s="9" t="s">
        <v>0</v>
      </c>
      <c r="AT1082" s="9">
        <v>1</v>
      </c>
      <c r="AU1082" s="9">
        <v>2</v>
      </c>
      <c r="AV1082" s="9">
        <v>3</v>
      </c>
      <c r="AW1082" s="9">
        <v>4</v>
      </c>
      <c r="AX1082" s="9">
        <v>5</v>
      </c>
      <c r="AY1082" s="9">
        <v>6</v>
      </c>
      <c r="AZ1082" s="9">
        <v>7</v>
      </c>
      <c r="BA1082" s="9">
        <v>8</v>
      </c>
      <c r="BB1082" s="9">
        <v>9</v>
      </c>
      <c r="BC1082" s="42"/>
      <c r="BD1082" s="113"/>
      <c r="BE1082" s="113"/>
      <c r="BF1082" s="9" t="s">
        <v>0</v>
      </c>
      <c r="BG1082" s="9">
        <v>1</v>
      </c>
      <c r="BH1082" s="9">
        <v>2</v>
      </c>
      <c r="BI1082" s="9">
        <v>3</v>
      </c>
      <c r="BJ1082" s="9">
        <v>4</v>
      </c>
      <c r="BK1082" s="9">
        <v>5</v>
      </c>
      <c r="BL1082" s="9">
        <v>6</v>
      </c>
      <c r="BM1082" s="9">
        <v>7</v>
      </c>
      <c r="BN1082" s="9">
        <v>8</v>
      </c>
      <c r="BO1082" s="9">
        <v>9</v>
      </c>
      <c r="BQ1082" s="113"/>
      <c r="BR1082" s="113"/>
      <c r="BS1082" s="9" t="s">
        <v>0</v>
      </c>
      <c r="BT1082" s="9">
        <v>1</v>
      </c>
      <c r="BU1082" s="9">
        <v>2</v>
      </c>
      <c r="BV1082" s="9">
        <v>3</v>
      </c>
      <c r="BW1082" s="9">
        <v>4</v>
      </c>
      <c r="BX1082" s="9">
        <v>5</v>
      </c>
      <c r="BY1082" s="9">
        <v>6</v>
      </c>
      <c r="BZ1082" s="9">
        <v>7</v>
      </c>
      <c r="CA1082" s="9">
        <v>8</v>
      </c>
      <c r="CB1082" s="9">
        <v>9</v>
      </c>
      <c r="CC1082" s="42"/>
      <c r="CD1082" s="113"/>
      <c r="CE1082" s="113"/>
      <c r="CF1082" s="9" t="s">
        <v>0</v>
      </c>
      <c r="CG1082" s="9">
        <v>1</v>
      </c>
      <c r="CH1082" s="9">
        <v>2</v>
      </c>
      <c r="CI1082" s="9">
        <v>3</v>
      </c>
      <c r="CJ1082" s="9">
        <v>4</v>
      </c>
      <c r="CK1082" s="9">
        <v>5</v>
      </c>
      <c r="CL1082" s="9">
        <v>6</v>
      </c>
      <c r="CM1082" s="9">
        <v>7</v>
      </c>
      <c r="CN1082" s="9">
        <v>8</v>
      </c>
      <c r="CO1082" s="9">
        <v>9</v>
      </c>
      <c r="CQ1082" s="113"/>
      <c r="CR1082" s="113"/>
      <c r="CS1082" s="9" t="s">
        <v>0</v>
      </c>
      <c r="CT1082" s="9">
        <v>1</v>
      </c>
      <c r="CU1082" s="9">
        <v>2</v>
      </c>
      <c r="CV1082" s="9">
        <v>3</v>
      </c>
      <c r="CW1082" s="9">
        <v>4</v>
      </c>
      <c r="CX1082" s="9">
        <v>5</v>
      </c>
      <c r="CY1082" s="9">
        <v>6</v>
      </c>
      <c r="CZ1082" s="9">
        <v>7</v>
      </c>
      <c r="DA1082" s="9">
        <v>8</v>
      </c>
      <c r="DB1082" s="9">
        <v>9</v>
      </c>
      <c r="DC1082" s="42"/>
      <c r="DD1082" s="113"/>
      <c r="DE1082" s="113"/>
      <c r="DF1082" s="9" t="s">
        <v>0</v>
      </c>
      <c r="DG1082" s="9">
        <v>1</v>
      </c>
      <c r="DH1082" s="9">
        <v>2</v>
      </c>
      <c r="DI1082" s="9">
        <v>3</v>
      </c>
      <c r="DJ1082" s="9">
        <v>4</v>
      </c>
      <c r="DK1082" s="9">
        <v>5</v>
      </c>
      <c r="DL1082" s="9">
        <v>6</v>
      </c>
      <c r="DM1082" s="9">
        <v>7</v>
      </c>
      <c r="DN1082" s="9">
        <v>8</v>
      </c>
      <c r="DO1082" s="9">
        <v>9</v>
      </c>
    </row>
    <row r="1083" spans="2:119" ht="16.5" customHeight="1" x14ac:dyDescent="0.45">
      <c r="B1083" s="99"/>
      <c r="C1083" s="42"/>
      <c r="D1083" s="109" t="s">
        <v>13</v>
      </c>
      <c r="E1083" s="47" t="s">
        <v>1</v>
      </c>
      <c r="F1083" s="103">
        <v>10</v>
      </c>
      <c r="G1083" s="103">
        <v>13.333333333333334</v>
      </c>
      <c r="H1083" s="103">
        <v>20</v>
      </c>
      <c r="I1083" s="103">
        <v>16.666666666666664</v>
      </c>
      <c r="J1083" s="103">
        <v>23.333333333333332</v>
      </c>
      <c r="K1083" s="103">
        <v>3.3333333333333335</v>
      </c>
      <c r="L1083" s="103">
        <v>10</v>
      </c>
      <c r="M1083" s="103">
        <v>3.3333333333333335</v>
      </c>
      <c r="N1083" s="103">
        <v>0</v>
      </c>
      <c r="O1083" s="17">
        <v>0</v>
      </c>
      <c r="P1083" s="42"/>
      <c r="Q1083" s="109" t="s">
        <v>13</v>
      </c>
      <c r="R1083" s="46" t="s">
        <v>1</v>
      </c>
      <c r="S1083" s="103">
        <v>7.1428571428571423</v>
      </c>
      <c r="T1083" s="103">
        <v>0</v>
      </c>
      <c r="U1083" s="103">
        <v>14.285714285714285</v>
      </c>
      <c r="V1083" s="103">
        <v>21.428571428571427</v>
      </c>
      <c r="W1083" s="103">
        <v>28.571428571428569</v>
      </c>
      <c r="X1083" s="103">
        <v>7.1428571428571423</v>
      </c>
      <c r="Y1083" s="103">
        <v>14.285714285714285</v>
      </c>
      <c r="Z1083" s="103">
        <v>7.1428571428571423</v>
      </c>
      <c r="AA1083" s="103">
        <v>0</v>
      </c>
      <c r="AB1083" s="17">
        <v>0</v>
      </c>
      <c r="AC1083" s="42"/>
      <c r="AD1083" s="109" t="s">
        <v>13</v>
      </c>
      <c r="AE1083" s="46" t="s">
        <v>1</v>
      </c>
      <c r="AF1083" s="103">
        <v>12.5</v>
      </c>
      <c r="AG1083" s="103">
        <v>25</v>
      </c>
      <c r="AH1083" s="103">
        <v>25</v>
      </c>
      <c r="AI1083" s="103">
        <v>12.5</v>
      </c>
      <c r="AJ1083" s="103">
        <v>18.75</v>
      </c>
      <c r="AK1083" s="103">
        <v>0</v>
      </c>
      <c r="AL1083" s="103">
        <v>6.25</v>
      </c>
      <c r="AM1083" s="103">
        <v>0</v>
      </c>
      <c r="AN1083" s="103">
        <v>0</v>
      </c>
      <c r="AO1083" s="17">
        <v>0</v>
      </c>
      <c r="AP1083" s="6"/>
      <c r="AQ1083" s="109" t="s">
        <v>13</v>
      </c>
      <c r="AR1083" s="46" t="s">
        <v>1</v>
      </c>
      <c r="AS1083" s="103">
        <v>7.6923076923076925</v>
      </c>
      <c r="AT1083" s="103">
        <v>7.6923076923076925</v>
      </c>
      <c r="AU1083" s="103">
        <v>15.384615384615385</v>
      </c>
      <c r="AV1083" s="103">
        <v>7.6923076923076925</v>
      </c>
      <c r="AW1083" s="103">
        <v>30.76923076923077</v>
      </c>
      <c r="AX1083" s="103">
        <v>7.6923076923076925</v>
      </c>
      <c r="AY1083" s="103">
        <v>15.384615384615385</v>
      </c>
      <c r="AZ1083" s="103">
        <v>7.6923076923076925</v>
      </c>
      <c r="BA1083" s="103">
        <v>0</v>
      </c>
      <c r="BB1083" s="17">
        <v>0</v>
      </c>
      <c r="BC1083" s="42"/>
      <c r="BD1083" s="109" t="s">
        <v>13</v>
      </c>
      <c r="BE1083" s="46" t="s">
        <v>1</v>
      </c>
      <c r="BF1083" s="103">
        <v>11.76470588235294</v>
      </c>
      <c r="BG1083" s="103">
        <v>17.647058823529413</v>
      </c>
      <c r="BH1083" s="103">
        <v>23.52941176470588</v>
      </c>
      <c r="BI1083" s="103">
        <v>23.52941176470588</v>
      </c>
      <c r="BJ1083" s="103">
        <v>17.647058823529413</v>
      </c>
      <c r="BK1083" s="103">
        <v>0</v>
      </c>
      <c r="BL1083" s="103">
        <v>5.8823529411764701</v>
      </c>
      <c r="BM1083" s="103">
        <v>0</v>
      </c>
      <c r="BN1083" s="103">
        <v>0</v>
      </c>
      <c r="BO1083" s="17">
        <v>0</v>
      </c>
      <c r="BQ1083" s="109" t="s">
        <v>13</v>
      </c>
      <c r="BR1083" s="46" t="s">
        <v>1</v>
      </c>
      <c r="BS1083" s="103">
        <v>9.0909090909090917</v>
      </c>
      <c r="BT1083" s="103">
        <v>18.181818181818183</v>
      </c>
      <c r="BU1083" s="103">
        <v>18.181818181818183</v>
      </c>
      <c r="BV1083" s="103">
        <v>9.0909090909090917</v>
      </c>
      <c r="BW1083" s="103">
        <v>45.454545454545453</v>
      </c>
      <c r="BX1083" s="103">
        <v>0</v>
      </c>
      <c r="BY1083" s="103">
        <v>0</v>
      </c>
      <c r="BZ1083" s="103">
        <v>0</v>
      </c>
      <c r="CA1083" s="103">
        <v>0</v>
      </c>
      <c r="CB1083" s="17">
        <v>0</v>
      </c>
      <c r="CC1083" s="42"/>
      <c r="CD1083" s="109" t="s">
        <v>13</v>
      </c>
      <c r="CE1083" s="46" t="s">
        <v>1</v>
      </c>
      <c r="CF1083" s="103">
        <v>10.526315789473683</v>
      </c>
      <c r="CG1083" s="103">
        <v>10.526315789473683</v>
      </c>
      <c r="CH1083" s="103">
        <v>21.052631578947366</v>
      </c>
      <c r="CI1083" s="103">
        <v>21.052631578947366</v>
      </c>
      <c r="CJ1083" s="103">
        <v>10.526315789473683</v>
      </c>
      <c r="CK1083" s="103">
        <v>5.2631578947368416</v>
      </c>
      <c r="CL1083" s="103">
        <v>15.789473684210526</v>
      </c>
      <c r="CM1083" s="103">
        <v>5.2631578947368416</v>
      </c>
      <c r="CN1083" s="103">
        <v>0</v>
      </c>
      <c r="CO1083" s="17">
        <v>0</v>
      </c>
      <c r="CQ1083" s="109" t="s">
        <v>13</v>
      </c>
      <c r="CR1083" s="46" t="s">
        <v>1</v>
      </c>
      <c r="CS1083" s="103">
        <v>11.111111111111111</v>
      </c>
      <c r="CT1083" s="103">
        <v>14.814814814814813</v>
      </c>
      <c r="CU1083" s="103">
        <v>22.222222222222221</v>
      </c>
      <c r="CV1083" s="103">
        <v>18.518518518518519</v>
      </c>
      <c r="CW1083" s="103">
        <v>18.518518518518519</v>
      </c>
      <c r="CX1083" s="103">
        <v>3.7037037037037033</v>
      </c>
      <c r="CY1083" s="103">
        <v>7.4074074074074066</v>
      </c>
      <c r="CZ1083" s="103">
        <v>3.7037037037037033</v>
      </c>
      <c r="DA1083" s="103">
        <v>0</v>
      </c>
      <c r="DB1083" s="17">
        <v>0</v>
      </c>
      <c r="DC1083" s="42"/>
      <c r="DD1083" s="109" t="s">
        <v>13</v>
      </c>
      <c r="DE1083" s="46" t="s">
        <v>1</v>
      </c>
      <c r="DF1083" s="103">
        <v>0</v>
      </c>
      <c r="DG1083" s="103">
        <v>0</v>
      </c>
      <c r="DH1083" s="103">
        <v>0</v>
      </c>
      <c r="DI1083" s="103">
        <v>0</v>
      </c>
      <c r="DJ1083" s="103">
        <v>66.666666666666657</v>
      </c>
      <c r="DK1083" s="103">
        <v>0</v>
      </c>
      <c r="DL1083" s="103">
        <v>33.333333333333329</v>
      </c>
      <c r="DM1083" s="103">
        <v>0</v>
      </c>
      <c r="DN1083" s="103">
        <v>0</v>
      </c>
      <c r="DO1083" s="17">
        <v>0</v>
      </c>
    </row>
    <row r="1084" spans="2:119" ht="16.5" customHeight="1" x14ac:dyDescent="0.45">
      <c r="B1084" s="99"/>
      <c r="C1084" s="42"/>
      <c r="D1084" s="110"/>
      <c r="E1084" s="47">
        <v>1</v>
      </c>
      <c r="F1084" s="103">
        <v>19.047619047619047</v>
      </c>
      <c r="G1084" s="103">
        <v>23.809523809523807</v>
      </c>
      <c r="H1084" s="103">
        <v>23.809523809523807</v>
      </c>
      <c r="I1084" s="103">
        <v>15.476190476190476</v>
      </c>
      <c r="J1084" s="103">
        <v>4.7619047619047619</v>
      </c>
      <c r="K1084" s="103">
        <v>5.9523809523809517</v>
      </c>
      <c r="L1084" s="103">
        <v>1.1904761904761905</v>
      </c>
      <c r="M1084" s="103">
        <v>2.3809523809523809</v>
      </c>
      <c r="N1084" s="103">
        <v>2.3809523809523809</v>
      </c>
      <c r="O1084" s="103">
        <v>1.1904761904761905</v>
      </c>
      <c r="P1084" s="42"/>
      <c r="Q1084" s="110"/>
      <c r="R1084" s="46">
        <v>1</v>
      </c>
      <c r="S1084" s="103">
        <v>17.391304347826086</v>
      </c>
      <c r="T1084" s="103">
        <v>19.565217391304348</v>
      </c>
      <c r="U1084" s="103">
        <v>23.913043478260871</v>
      </c>
      <c r="V1084" s="103">
        <v>17.391304347826086</v>
      </c>
      <c r="W1084" s="103">
        <v>4.3478260869565215</v>
      </c>
      <c r="X1084" s="103">
        <v>8.695652173913043</v>
      </c>
      <c r="Y1084" s="103">
        <v>0</v>
      </c>
      <c r="Z1084" s="103">
        <v>4.3478260869565215</v>
      </c>
      <c r="AA1084" s="103">
        <v>4.3478260869565215</v>
      </c>
      <c r="AB1084" s="103">
        <v>0</v>
      </c>
      <c r="AC1084" s="42"/>
      <c r="AD1084" s="110"/>
      <c r="AE1084" s="46">
        <v>1</v>
      </c>
      <c r="AF1084" s="103">
        <v>21.052631578947366</v>
      </c>
      <c r="AG1084" s="103">
        <v>28.947368421052634</v>
      </c>
      <c r="AH1084" s="103">
        <v>23.684210526315788</v>
      </c>
      <c r="AI1084" s="103">
        <v>13.157894736842104</v>
      </c>
      <c r="AJ1084" s="103">
        <v>5.2631578947368416</v>
      </c>
      <c r="AK1084" s="103">
        <v>2.6315789473684208</v>
      </c>
      <c r="AL1084" s="103">
        <v>2.6315789473684208</v>
      </c>
      <c r="AM1084" s="103">
        <v>0</v>
      </c>
      <c r="AN1084" s="103">
        <v>0</v>
      </c>
      <c r="AO1084" s="103">
        <v>2.6315789473684208</v>
      </c>
      <c r="AP1084" s="6"/>
      <c r="AQ1084" s="110"/>
      <c r="AR1084" s="46">
        <v>1</v>
      </c>
      <c r="AS1084" s="103">
        <v>26.315789473684209</v>
      </c>
      <c r="AT1084" s="103">
        <v>26.315789473684209</v>
      </c>
      <c r="AU1084" s="103">
        <v>21.052631578947366</v>
      </c>
      <c r="AV1084" s="103">
        <v>10.526315789473683</v>
      </c>
      <c r="AW1084" s="103">
        <v>2.6315789473684208</v>
      </c>
      <c r="AX1084" s="103">
        <v>5.2631578947368416</v>
      </c>
      <c r="AY1084" s="103">
        <v>2.6315789473684208</v>
      </c>
      <c r="AZ1084" s="103">
        <v>2.6315789473684208</v>
      </c>
      <c r="BA1084" s="103">
        <v>0</v>
      </c>
      <c r="BB1084" s="103">
        <v>2.6315789473684208</v>
      </c>
      <c r="BC1084" s="42"/>
      <c r="BD1084" s="110"/>
      <c r="BE1084" s="46">
        <v>1</v>
      </c>
      <c r="BF1084" s="103">
        <v>13.043478260869565</v>
      </c>
      <c r="BG1084" s="103">
        <v>21.739130434782609</v>
      </c>
      <c r="BH1084" s="103">
        <v>26.086956521739129</v>
      </c>
      <c r="BI1084" s="103">
        <v>19.565217391304348</v>
      </c>
      <c r="BJ1084" s="103">
        <v>6.5217391304347823</v>
      </c>
      <c r="BK1084" s="103">
        <v>6.5217391304347823</v>
      </c>
      <c r="BL1084" s="103">
        <v>0</v>
      </c>
      <c r="BM1084" s="103">
        <v>2.1739130434782608</v>
      </c>
      <c r="BN1084" s="103">
        <v>4.3478260869565215</v>
      </c>
      <c r="BO1084" s="103">
        <v>0</v>
      </c>
      <c r="BQ1084" s="110"/>
      <c r="BR1084" s="46">
        <v>1</v>
      </c>
      <c r="BS1084" s="103">
        <v>31.707317073170731</v>
      </c>
      <c r="BT1084" s="103">
        <v>24.390243902439025</v>
      </c>
      <c r="BU1084" s="103">
        <v>34.146341463414636</v>
      </c>
      <c r="BV1084" s="103">
        <v>9.7560975609756095</v>
      </c>
      <c r="BW1084" s="103">
        <v>0</v>
      </c>
      <c r="BX1084" s="103">
        <v>0</v>
      </c>
      <c r="BY1084" s="103">
        <v>0</v>
      </c>
      <c r="BZ1084" s="103">
        <v>0</v>
      </c>
      <c r="CA1084" s="103">
        <v>0</v>
      </c>
      <c r="CB1084" s="103">
        <v>0</v>
      </c>
      <c r="CC1084" s="42"/>
      <c r="CD1084" s="110"/>
      <c r="CE1084" s="46">
        <v>1</v>
      </c>
      <c r="CF1084" s="103">
        <v>6.9767441860465116</v>
      </c>
      <c r="CG1084" s="103">
        <v>23.255813953488371</v>
      </c>
      <c r="CH1084" s="103">
        <v>13.953488372093023</v>
      </c>
      <c r="CI1084" s="103">
        <v>20.930232558139537</v>
      </c>
      <c r="CJ1084" s="103">
        <v>9.3023255813953494</v>
      </c>
      <c r="CK1084" s="103">
        <v>11.627906976744185</v>
      </c>
      <c r="CL1084" s="103">
        <v>2.3255813953488373</v>
      </c>
      <c r="CM1084" s="103">
        <v>4.6511627906976747</v>
      </c>
      <c r="CN1084" s="103">
        <v>4.6511627906976747</v>
      </c>
      <c r="CO1084" s="103">
        <v>2.3255813953488373</v>
      </c>
      <c r="CQ1084" s="110"/>
      <c r="CR1084" s="46">
        <v>1</v>
      </c>
      <c r="CS1084" s="103">
        <v>15.151515151515152</v>
      </c>
      <c r="CT1084" s="103">
        <v>22.727272727272727</v>
      </c>
      <c r="CU1084" s="103">
        <v>19.696969696969695</v>
      </c>
      <c r="CV1084" s="103">
        <v>19.696969696969695</v>
      </c>
      <c r="CW1084" s="103">
        <v>6.0606060606060606</v>
      </c>
      <c r="CX1084" s="103">
        <v>7.5757575757575761</v>
      </c>
      <c r="CY1084" s="103">
        <v>1.5151515151515151</v>
      </c>
      <c r="CZ1084" s="103">
        <v>3.0303030303030303</v>
      </c>
      <c r="DA1084" s="103">
        <v>3.0303030303030303</v>
      </c>
      <c r="DB1084" s="103">
        <v>1.5151515151515151</v>
      </c>
      <c r="DC1084" s="42"/>
      <c r="DD1084" s="110"/>
      <c r="DE1084" s="46">
        <v>1</v>
      </c>
      <c r="DF1084" s="103">
        <v>33.333333333333329</v>
      </c>
      <c r="DG1084" s="103">
        <v>27.777777777777779</v>
      </c>
      <c r="DH1084" s="103">
        <v>38.888888888888893</v>
      </c>
      <c r="DI1084" s="103">
        <v>0</v>
      </c>
      <c r="DJ1084" s="103">
        <v>0</v>
      </c>
      <c r="DK1084" s="103">
        <v>0</v>
      </c>
      <c r="DL1084" s="103">
        <v>0</v>
      </c>
      <c r="DM1084" s="103">
        <v>0</v>
      </c>
      <c r="DN1084" s="103">
        <v>0</v>
      </c>
      <c r="DO1084" s="103">
        <v>0</v>
      </c>
    </row>
    <row r="1085" spans="2:119" ht="16.5" customHeight="1" x14ac:dyDescent="0.45">
      <c r="B1085" s="99"/>
      <c r="C1085" s="42"/>
      <c r="D1085" s="110"/>
      <c r="E1085" s="47" t="s">
        <v>2</v>
      </c>
      <c r="F1085" s="103">
        <v>11.644318983768526</v>
      </c>
      <c r="G1085" s="103">
        <v>27.487649964714183</v>
      </c>
      <c r="H1085" s="103">
        <v>27.558221594918841</v>
      </c>
      <c r="I1085" s="103">
        <v>18.595624558927312</v>
      </c>
      <c r="J1085" s="103">
        <v>6.5984474241354976</v>
      </c>
      <c r="K1085" s="103">
        <v>3.952011291460833</v>
      </c>
      <c r="L1085" s="103">
        <v>2.6817219477769938</v>
      </c>
      <c r="M1085" s="103">
        <v>0.95271700776287938</v>
      </c>
      <c r="N1085" s="103">
        <v>0.38814396612561752</v>
      </c>
      <c r="O1085" s="103">
        <v>0.14114326040931546</v>
      </c>
      <c r="P1085" s="42"/>
      <c r="Q1085" s="110"/>
      <c r="R1085" s="46" t="s">
        <v>2</v>
      </c>
      <c r="S1085" s="103">
        <v>8.3633741888968984</v>
      </c>
      <c r="T1085" s="103">
        <v>25.666906993511173</v>
      </c>
      <c r="U1085" s="103">
        <v>28.911319394376349</v>
      </c>
      <c r="V1085" s="103">
        <v>19.105984138428262</v>
      </c>
      <c r="W1085" s="103">
        <v>7.4260994953136263</v>
      </c>
      <c r="X1085" s="103">
        <v>4.6142754145638065</v>
      </c>
      <c r="Y1085" s="103">
        <v>3.8211968276856521</v>
      </c>
      <c r="Z1085" s="103">
        <v>1.2256669069935111</v>
      </c>
      <c r="AA1085" s="103">
        <v>0.57678442682047582</v>
      </c>
      <c r="AB1085" s="103">
        <v>0.28839221341023791</v>
      </c>
      <c r="AC1085" s="42"/>
      <c r="AD1085" s="110"/>
      <c r="AE1085" s="46" t="s">
        <v>2</v>
      </c>
      <c r="AF1085" s="103">
        <v>14.789219073946095</v>
      </c>
      <c r="AG1085" s="103">
        <v>29.232895646164479</v>
      </c>
      <c r="AH1085" s="103">
        <v>26.261230131306153</v>
      </c>
      <c r="AI1085" s="103">
        <v>18.106427090532133</v>
      </c>
      <c r="AJ1085" s="103">
        <v>5.8051140290255701</v>
      </c>
      <c r="AK1085" s="103">
        <v>3.31720801658604</v>
      </c>
      <c r="AL1085" s="103">
        <v>1.5894955079474777</v>
      </c>
      <c r="AM1085" s="103">
        <v>0.69108500345542501</v>
      </c>
      <c r="AN1085" s="103">
        <v>0.2073255010366275</v>
      </c>
      <c r="AO1085" s="103">
        <v>0</v>
      </c>
      <c r="AP1085" s="6"/>
      <c r="AQ1085" s="110"/>
      <c r="AR1085" s="46" t="s">
        <v>2</v>
      </c>
      <c r="AS1085" s="103">
        <v>13.664122137404581</v>
      </c>
      <c r="AT1085" s="103">
        <v>28.702290076335878</v>
      </c>
      <c r="AU1085" s="103">
        <v>26.564885496183205</v>
      </c>
      <c r="AV1085" s="103">
        <v>17.175572519083971</v>
      </c>
      <c r="AW1085" s="103">
        <v>6.4122137404580153</v>
      </c>
      <c r="AX1085" s="103">
        <v>4.0458015267175576</v>
      </c>
      <c r="AY1085" s="103">
        <v>2.1374045801526718</v>
      </c>
      <c r="AZ1085" s="103">
        <v>0.83969465648854968</v>
      </c>
      <c r="BA1085" s="103">
        <v>0.38167938931297707</v>
      </c>
      <c r="BB1085" s="103">
        <v>7.6335877862595422E-2</v>
      </c>
      <c r="BC1085" s="42"/>
      <c r="BD1085" s="110"/>
      <c r="BE1085" s="46" t="s">
        <v>2</v>
      </c>
      <c r="BF1085" s="103">
        <v>9.9081364829396321</v>
      </c>
      <c r="BG1085" s="103">
        <v>26.443569553805773</v>
      </c>
      <c r="BH1085" s="103">
        <v>28.412073490813651</v>
      </c>
      <c r="BI1085" s="103">
        <v>19.816272965879264</v>
      </c>
      <c r="BJ1085" s="103">
        <v>6.758530183727034</v>
      </c>
      <c r="BK1085" s="103">
        <v>3.8713910761154859</v>
      </c>
      <c r="BL1085" s="103">
        <v>3.1496062992125982</v>
      </c>
      <c r="BM1085" s="103">
        <v>1.0498687664041995</v>
      </c>
      <c r="BN1085" s="103">
        <v>0.39370078740157477</v>
      </c>
      <c r="BO1085" s="103">
        <v>0.19685039370078738</v>
      </c>
      <c r="BQ1085" s="110"/>
      <c r="BR1085" s="46" t="s">
        <v>2</v>
      </c>
      <c r="BS1085" s="103">
        <v>14.446318156267566</v>
      </c>
      <c r="BT1085" s="103">
        <v>30.466554243957276</v>
      </c>
      <c r="BU1085" s="103">
        <v>28.948847667228776</v>
      </c>
      <c r="BV1085" s="103">
        <v>16.863406408094438</v>
      </c>
      <c r="BW1085" s="103">
        <v>5.0028105677346817</v>
      </c>
      <c r="BX1085" s="103">
        <v>2.5295109612141653</v>
      </c>
      <c r="BY1085" s="103">
        <v>1.0118043844856661</v>
      </c>
      <c r="BZ1085" s="103">
        <v>0.50590219224283306</v>
      </c>
      <c r="CA1085" s="103">
        <v>0.22484541877459246</v>
      </c>
      <c r="CB1085" s="103">
        <v>0</v>
      </c>
      <c r="CC1085" s="42"/>
      <c r="CD1085" s="110"/>
      <c r="CE1085" s="46" t="s">
        <v>2</v>
      </c>
      <c r="CF1085" s="103">
        <v>6.9194312796208539</v>
      </c>
      <c r="CG1085" s="103">
        <v>22.464454976303315</v>
      </c>
      <c r="CH1085" s="103">
        <v>25.213270142180093</v>
      </c>
      <c r="CI1085" s="103">
        <v>21.51658767772512</v>
      </c>
      <c r="CJ1085" s="103">
        <v>9.2890995260663516</v>
      </c>
      <c r="CK1085" s="103">
        <v>6.3507109004739339</v>
      </c>
      <c r="CL1085" s="103">
        <v>5.4976303317535544</v>
      </c>
      <c r="CM1085" s="103">
        <v>1.7061611374407581</v>
      </c>
      <c r="CN1085" s="103">
        <v>0.6635071090047393</v>
      </c>
      <c r="CO1085" s="103">
        <v>0.37914691943127965</v>
      </c>
      <c r="CQ1085" s="110"/>
      <c r="CR1085" s="46" t="s">
        <v>2</v>
      </c>
      <c r="CS1085" s="103">
        <v>7.2593800978792826</v>
      </c>
      <c r="CT1085" s="103">
        <v>20.146818923327896</v>
      </c>
      <c r="CU1085" s="103">
        <v>25.611745513866229</v>
      </c>
      <c r="CV1085" s="103">
        <v>22.75693311582382</v>
      </c>
      <c r="CW1085" s="103">
        <v>10.195758564437195</v>
      </c>
      <c r="CX1085" s="103">
        <v>6.1990212071778146</v>
      </c>
      <c r="CY1085" s="103">
        <v>4.8939641109298533</v>
      </c>
      <c r="CZ1085" s="103">
        <v>1.7128874388254487</v>
      </c>
      <c r="DA1085" s="103">
        <v>0.897226753670473</v>
      </c>
      <c r="DB1085" s="103">
        <v>0.32626427406199021</v>
      </c>
      <c r="DC1085" s="42"/>
      <c r="DD1085" s="110"/>
      <c r="DE1085" s="46" t="s">
        <v>2</v>
      </c>
      <c r="DF1085" s="103">
        <v>14.987562189054726</v>
      </c>
      <c r="DG1085" s="103">
        <v>33.084577114427859</v>
      </c>
      <c r="DH1085" s="103">
        <v>29.042288557213929</v>
      </c>
      <c r="DI1085" s="103">
        <v>15.422885572139302</v>
      </c>
      <c r="DJ1085" s="103">
        <v>3.8557213930348255</v>
      </c>
      <c r="DK1085" s="103">
        <v>2.2388059701492535</v>
      </c>
      <c r="DL1085" s="103">
        <v>0.99502487562189057</v>
      </c>
      <c r="DM1085" s="103">
        <v>0.37313432835820892</v>
      </c>
      <c r="DN1085" s="103">
        <v>0</v>
      </c>
      <c r="DO1085" s="103">
        <v>0</v>
      </c>
    </row>
    <row r="1086" spans="2:119" ht="16.5" customHeight="1" x14ac:dyDescent="0.45">
      <c r="B1086" s="99"/>
      <c r="C1086" s="42"/>
      <c r="D1086" s="110"/>
      <c r="E1086" s="47" t="s">
        <v>3</v>
      </c>
      <c r="F1086" s="103">
        <v>7.7678989237248475</v>
      </c>
      <c r="G1086" s="103">
        <v>21.291530182498832</v>
      </c>
      <c r="H1086" s="103">
        <v>28.638277959756671</v>
      </c>
      <c r="I1086" s="103">
        <v>23.912026204960224</v>
      </c>
      <c r="J1086" s="103">
        <v>8.3294337856808607</v>
      </c>
      <c r="K1086" s="103">
        <v>5.7557323350491343</v>
      </c>
      <c r="L1086" s="103">
        <v>3.0884417407580722</v>
      </c>
      <c r="M1086" s="103">
        <v>0.93589143659335516</v>
      </c>
      <c r="N1086" s="103">
        <v>0.28076743097800655</v>
      </c>
      <c r="O1086" s="103">
        <v>0</v>
      </c>
      <c r="P1086" s="42"/>
      <c r="Q1086" s="110"/>
      <c r="R1086" s="46" t="s">
        <v>3</v>
      </c>
      <c r="S1086" s="103">
        <v>4.2163153070577453</v>
      </c>
      <c r="T1086" s="103">
        <v>18.240146654445464</v>
      </c>
      <c r="U1086" s="103">
        <v>27.864344637946836</v>
      </c>
      <c r="V1086" s="103">
        <v>27.039413382218147</v>
      </c>
      <c r="W1086" s="103">
        <v>9.6241979835013751</v>
      </c>
      <c r="X1086" s="103">
        <v>7.516040329972502</v>
      </c>
      <c r="Y1086" s="103">
        <v>4.0329972502291476</v>
      </c>
      <c r="Z1086" s="103">
        <v>1.0082493125572869</v>
      </c>
      <c r="AA1086" s="103">
        <v>0.45829514207149402</v>
      </c>
      <c r="AB1086" s="103">
        <v>0</v>
      </c>
      <c r="AC1086" s="42"/>
      <c r="AD1086" s="110"/>
      <c r="AE1086" s="46" t="s">
        <v>3</v>
      </c>
      <c r="AF1086" s="103">
        <v>11.47227533460803</v>
      </c>
      <c r="AG1086" s="103">
        <v>24.474187380497131</v>
      </c>
      <c r="AH1086" s="103">
        <v>29.44550669216061</v>
      </c>
      <c r="AI1086" s="103">
        <v>20.650095602294456</v>
      </c>
      <c r="AJ1086" s="103">
        <v>6.9789674952198855</v>
      </c>
      <c r="AK1086" s="103">
        <v>3.9196940726577436</v>
      </c>
      <c r="AL1086" s="103">
        <v>2.1032504780114722</v>
      </c>
      <c r="AM1086" s="103">
        <v>0.86042065009560231</v>
      </c>
      <c r="AN1086" s="103">
        <v>9.5602294455066919E-2</v>
      </c>
      <c r="AO1086" s="103">
        <v>0</v>
      </c>
      <c r="AP1086" s="6"/>
      <c r="AQ1086" s="110"/>
      <c r="AR1086" s="46" t="s">
        <v>3</v>
      </c>
      <c r="AS1086" s="103">
        <v>9.857612267250822</v>
      </c>
      <c r="AT1086" s="103">
        <v>24.315443592552029</v>
      </c>
      <c r="AU1086" s="103">
        <v>27.820372398685649</v>
      </c>
      <c r="AV1086" s="103">
        <v>22.782037239868565</v>
      </c>
      <c r="AW1086" s="103">
        <v>6.6812705366922227</v>
      </c>
      <c r="AX1086" s="103">
        <v>5.5859802847754656</v>
      </c>
      <c r="AY1086" s="103">
        <v>2.3001095290251916</v>
      </c>
      <c r="AZ1086" s="103">
        <v>0.65717415115005473</v>
      </c>
      <c r="BA1086" s="103">
        <v>0</v>
      </c>
      <c r="BB1086" s="103">
        <v>0</v>
      </c>
      <c r="BC1086" s="42"/>
      <c r="BD1086" s="110"/>
      <c r="BE1086" s="46" t="s">
        <v>3</v>
      </c>
      <c r="BF1086" s="103">
        <v>6.2091503267973858</v>
      </c>
      <c r="BG1086" s="103">
        <v>19.035947712418299</v>
      </c>
      <c r="BH1086" s="103">
        <v>29.248366013071898</v>
      </c>
      <c r="BI1086" s="103">
        <v>24.754901960784316</v>
      </c>
      <c r="BJ1086" s="103">
        <v>9.5588235294117645</v>
      </c>
      <c r="BK1086" s="103">
        <v>5.8823529411764701</v>
      </c>
      <c r="BL1086" s="103">
        <v>3.6764705882352944</v>
      </c>
      <c r="BM1086" s="103">
        <v>1.1437908496732025</v>
      </c>
      <c r="BN1086" s="103">
        <v>0.49019607843137253</v>
      </c>
      <c r="BO1086" s="103">
        <v>0</v>
      </c>
      <c r="BQ1086" s="110"/>
      <c r="BR1086" s="46" t="s">
        <v>3</v>
      </c>
      <c r="BS1086" s="103">
        <v>8.3041958041958051</v>
      </c>
      <c r="BT1086" s="103">
        <v>25.524475524475527</v>
      </c>
      <c r="BU1086" s="103">
        <v>29.72027972027972</v>
      </c>
      <c r="BV1086" s="103">
        <v>22.202797202797203</v>
      </c>
      <c r="BW1086" s="103">
        <v>7.5174825174825166</v>
      </c>
      <c r="BX1086" s="103">
        <v>3.5839160839160842</v>
      </c>
      <c r="BY1086" s="103">
        <v>2.36013986013986</v>
      </c>
      <c r="BZ1086" s="103">
        <v>0.52447552447552448</v>
      </c>
      <c r="CA1086" s="103">
        <v>0.26223776223776224</v>
      </c>
      <c r="CB1086" s="103">
        <v>0</v>
      </c>
      <c r="CC1086" s="42"/>
      <c r="CD1086" s="110"/>
      <c r="CE1086" s="46" t="s">
        <v>3</v>
      </c>
      <c r="CF1086" s="103">
        <v>7.1500503524672716</v>
      </c>
      <c r="CG1086" s="103">
        <v>16.414904330312186</v>
      </c>
      <c r="CH1086" s="103">
        <v>27.391742195367573</v>
      </c>
      <c r="CI1086" s="103">
        <v>25.881168177240681</v>
      </c>
      <c r="CJ1086" s="103">
        <v>9.2648539778449148</v>
      </c>
      <c r="CK1086" s="103">
        <v>8.2578046324269891</v>
      </c>
      <c r="CL1086" s="103">
        <v>3.9274924471299091</v>
      </c>
      <c r="CM1086" s="103">
        <v>1.4098690835850958</v>
      </c>
      <c r="CN1086" s="103">
        <v>0.30211480362537763</v>
      </c>
      <c r="CO1086" s="103">
        <v>0</v>
      </c>
      <c r="CQ1086" s="110"/>
      <c r="CR1086" s="46" t="s">
        <v>3</v>
      </c>
      <c r="CS1086" s="103">
        <v>4.1152263374485596</v>
      </c>
      <c r="CT1086" s="103">
        <v>11.934156378600823</v>
      </c>
      <c r="CU1086" s="103">
        <v>22.770919067215363</v>
      </c>
      <c r="CV1086" s="103">
        <v>28.257887517146781</v>
      </c>
      <c r="CW1086" s="103">
        <v>12.482853223593965</v>
      </c>
      <c r="CX1086" s="103">
        <v>11.385459533607682</v>
      </c>
      <c r="CY1086" s="103">
        <v>6.4471879286694094</v>
      </c>
      <c r="CZ1086" s="103">
        <v>2.1947873799725648</v>
      </c>
      <c r="DA1086" s="103">
        <v>0.41152263374485598</v>
      </c>
      <c r="DB1086" s="103">
        <v>0</v>
      </c>
      <c r="DC1086" s="42"/>
      <c r="DD1086" s="110"/>
      <c r="DE1086" s="46" t="s">
        <v>3</v>
      </c>
      <c r="DF1086" s="103">
        <v>9.6590909090909083</v>
      </c>
      <c r="DG1086" s="103">
        <v>26.136363636363637</v>
      </c>
      <c r="DH1086" s="103">
        <v>31.676136363636363</v>
      </c>
      <c r="DI1086" s="103">
        <v>21.661931818181817</v>
      </c>
      <c r="DJ1086" s="103">
        <v>6.1789772727272725</v>
      </c>
      <c r="DK1086" s="103">
        <v>2.8409090909090908</v>
      </c>
      <c r="DL1086" s="103">
        <v>1.3494318181818181</v>
      </c>
      <c r="DM1086" s="103">
        <v>0.28409090909090912</v>
      </c>
      <c r="DN1086" s="103">
        <v>0.2130681818181818</v>
      </c>
      <c r="DO1086" s="103">
        <v>0</v>
      </c>
    </row>
    <row r="1087" spans="2:119" ht="16.5" customHeight="1" x14ac:dyDescent="0.45">
      <c r="B1087" s="99"/>
      <c r="C1087" s="42"/>
      <c r="D1087" s="110"/>
      <c r="E1087" s="47" t="s">
        <v>4</v>
      </c>
      <c r="F1087" s="103">
        <v>5.811341942728804</v>
      </c>
      <c r="G1087" s="103">
        <v>17.798989331836047</v>
      </c>
      <c r="H1087" s="103">
        <v>26.305446378439079</v>
      </c>
      <c r="I1087" s="103">
        <v>25.407074677147669</v>
      </c>
      <c r="J1087" s="103">
        <v>11.341942728804042</v>
      </c>
      <c r="K1087" s="103">
        <v>6.7658618753509261</v>
      </c>
      <c r="L1087" s="103">
        <v>4.2391914654688376</v>
      </c>
      <c r="M1087" s="103">
        <v>1.4317798989331836</v>
      </c>
      <c r="N1087" s="103">
        <v>0.56148231330713083</v>
      </c>
      <c r="O1087" s="103">
        <v>0.33688938798427848</v>
      </c>
      <c r="P1087" s="42"/>
      <c r="Q1087" s="110"/>
      <c r="R1087" s="46" t="s">
        <v>4</v>
      </c>
      <c r="S1087" s="103">
        <v>2.692713833157339</v>
      </c>
      <c r="T1087" s="103">
        <v>13.833157338965151</v>
      </c>
      <c r="U1087" s="103">
        <v>24.551214361140445</v>
      </c>
      <c r="V1087" s="103">
        <v>27.560718057022175</v>
      </c>
      <c r="W1087" s="103">
        <v>13.463569165786696</v>
      </c>
      <c r="X1087" s="103">
        <v>8.6061246040126722</v>
      </c>
      <c r="Y1087" s="103">
        <v>5.8078141499472018</v>
      </c>
      <c r="Z1087" s="103">
        <v>2.2703273495248153</v>
      </c>
      <c r="AA1087" s="103">
        <v>0.73917634635691654</v>
      </c>
      <c r="AB1087" s="103">
        <v>0.4751847940865892</v>
      </c>
      <c r="AC1087" s="42"/>
      <c r="AD1087" s="110"/>
      <c r="AE1087" s="46" t="s">
        <v>4</v>
      </c>
      <c r="AF1087" s="103">
        <v>9.3525179856115113</v>
      </c>
      <c r="AG1087" s="103">
        <v>22.302158273381295</v>
      </c>
      <c r="AH1087" s="103">
        <v>28.297362110311752</v>
      </c>
      <c r="AI1087" s="103">
        <v>22.961630695443645</v>
      </c>
      <c r="AJ1087" s="103">
        <v>8.9328537170263793</v>
      </c>
      <c r="AK1087" s="103">
        <v>4.6762589928057556</v>
      </c>
      <c r="AL1087" s="103">
        <v>2.4580335731414866</v>
      </c>
      <c r="AM1087" s="103">
        <v>0.47961630695443641</v>
      </c>
      <c r="AN1087" s="103">
        <v>0.35971223021582738</v>
      </c>
      <c r="AO1087" s="103">
        <v>0.17985611510791369</v>
      </c>
      <c r="AP1087" s="6"/>
      <c r="AQ1087" s="110"/>
      <c r="AR1087" s="46" t="s">
        <v>4</v>
      </c>
      <c r="AS1087" s="103">
        <v>7.671781187458306</v>
      </c>
      <c r="AT1087" s="103">
        <v>19.346230820547031</v>
      </c>
      <c r="AU1087" s="103">
        <v>26.617745163442297</v>
      </c>
      <c r="AV1087" s="103">
        <v>24.082721814543028</v>
      </c>
      <c r="AW1087" s="103">
        <v>10.4736490993996</v>
      </c>
      <c r="AX1087" s="103">
        <v>5.6704469646430953</v>
      </c>
      <c r="AY1087" s="103">
        <v>3.8692461641094065</v>
      </c>
      <c r="AZ1087" s="103">
        <v>1.3342228152101401</v>
      </c>
      <c r="BA1087" s="103">
        <v>0.60040026684456305</v>
      </c>
      <c r="BB1087" s="103">
        <v>0.33355570380253502</v>
      </c>
      <c r="BC1087" s="42"/>
      <c r="BD1087" s="110"/>
      <c r="BE1087" s="46" t="s">
        <v>4</v>
      </c>
      <c r="BF1087" s="103">
        <v>4.459524963645177</v>
      </c>
      <c r="BG1087" s="103">
        <v>16.674745516238488</v>
      </c>
      <c r="BH1087" s="103">
        <v>26.078526417838098</v>
      </c>
      <c r="BI1087" s="103">
        <v>26.369365002423656</v>
      </c>
      <c r="BJ1087" s="103">
        <v>11.972855065438681</v>
      </c>
      <c r="BK1087" s="103">
        <v>7.5618031992244301</v>
      </c>
      <c r="BL1087" s="103">
        <v>4.507998061076103</v>
      </c>
      <c r="BM1087" s="103">
        <v>1.502666020358701</v>
      </c>
      <c r="BN1087" s="103">
        <v>0.53320407174018414</v>
      </c>
      <c r="BO1087" s="103">
        <v>0.33931168201648088</v>
      </c>
      <c r="BQ1087" s="110"/>
      <c r="BR1087" s="46" t="s">
        <v>4</v>
      </c>
      <c r="BS1087" s="103">
        <v>8.0578512396694215</v>
      </c>
      <c r="BT1087" s="103">
        <v>21.418732782369148</v>
      </c>
      <c r="BU1087" s="103">
        <v>27.823691460055095</v>
      </c>
      <c r="BV1087" s="103">
        <v>23.62258953168044</v>
      </c>
      <c r="BW1087" s="103">
        <v>10.261707988980715</v>
      </c>
      <c r="BX1087" s="103">
        <v>5.2341597796143251</v>
      </c>
      <c r="BY1087" s="103">
        <v>2.1349862258953167</v>
      </c>
      <c r="BZ1087" s="103">
        <v>0.89531680440771355</v>
      </c>
      <c r="CA1087" s="103">
        <v>0.48209366391184572</v>
      </c>
      <c r="CB1087" s="103">
        <v>6.8870523415977963E-2</v>
      </c>
      <c r="CC1087" s="42"/>
      <c r="CD1087" s="110"/>
      <c r="CE1087" s="46" t="s">
        <v>4</v>
      </c>
      <c r="CF1087" s="103">
        <v>4.2654028436018958</v>
      </c>
      <c r="CG1087" s="103">
        <v>15.308056872037914</v>
      </c>
      <c r="CH1087" s="103">
        <v>25.260663507109005</v>
      </c>
      <c r="CI1087" s="103">
        <v>26.63507109004739</v>
      </c>
      <c r="CJ1087" s="103">
        <v>12.085308056872037</v>
      </c>
      <c r="CK1087" s="103">
        <v>7.8199052132701423</v>
      </c>
      <c r="CL1087" s="103">
        <v>5.6872037914691944</v>
      </c>
      <c r="CM1087" s="103">
        <v>1.8009478672985781</v>
      </c>
      <c r="CN1087" s="103">
        <v>0.61611374407582942</v>
      </c>
      <c r="CO1087" s="103">
        <v>0.52132701421800953</v>
      </c>
      <c r="CQ1087" s="110"/>
      <c r="CR1087" s="46" t="s">
        <v>4</v>
      </c>
      <c r="CS1087" s="103">
        <v>2.0114942528735633</v>
      </c>
      <c r="CT1087" s="103">
        <v>10.82375478927203</v>
      </c>
      <c r="CU1087" s="103">
        <v>19.25287356321839</v>
      </c>
      <c r="CV1087" s="103">
        <v>27.777777777777779</v>
      </c>
      <c r="CW1087" s="103">
        <v>15.421455938697317</v>
      </c>
      <c r="CX1087" s="103">
        <v>11.398467432950191</v>
      </c>
      <c r="CY1087" s="103">
        <v>8.1417624521072796</v>
      </c>
      <c r="CZ1087" s="103">
        <v>3.0651340996168579</v>
      </c>
      <c r="DA1087" s="103">
        <v>1.1494252873563218</v>
      </c>
      <c r="DB1087" s="103">
        <v>0.95785440613026818</v>
      </c>
      <c r="DC1087" s="42"/>
      <c r="DD1087" s="110"/>
      <c r="DE1087" s="46" t="s">
        <v>4</v>
      </c>
      <c r="DF1087" s="103">
        <v>7.386814932486101</v>
      </c>
      <c r="DG1087" s="103">
        <v>20.691024622716441</v>
      </c>
      <c r="DH1087" s="103">
        <v>29.229547259729944</v>
      </c>
      <c r="DI1087" s="103">
        <v>24.424146147736298</v>
      </c>
      <c r="DJ1087" s="103">
        <v>9.650516282764098</v>
      </c>
      <c r="DK1087" s="103">
        <v>4.8451151707704527</v>
      </c>
      <c r="DL1087" s="103">
        <v>2.6211278792692614</v>
      </c>
      <c r="DM1087" s="103">
        <v>0.75456711675933286</v>
      </c>
      <c r="DN1087" s="103">
        <v>0.31771247021445592</v>
      </c>
      <c r="DO1087" s="103">
        <v>7.9428117553613981E-2</v>
      </c>
    </row>
    <row r="1088" spans="2:119" ht="16.5" customHeight="1" x14ac:dyDescent="0.45">
      <c r="B1088" s="99"/>
      <c r="C1088" s="42"/>
      <c r="D1088" s="110"/>
      <c r="E1088" s="47" t="s">
        <v>5</v>
      </c>
      <c r="F1088" s="103">
        <v>4.2297417631344612</v>
      </c>
      <c r="G1088" s="103">
        <v>13.149302463639062</v>
      </c>
      <c r="H1088" s="103">
        <v>23.37488869100623</v>
      </c>
      <c r="I1088" s="103">
        <v>25.586227367171265</v>
      </c>
      <c r="J1088" s="103">
        <v>14.217868803799346</v>
      </c>
      <c r="K1088" s="103">
        <v>10.225586227367172</v>
      </c>
      <c r="L1088" s="103">
        <v>5.9067972692193527</v>
      </c>
      <c r="M1088" s="103">
        <v>2.4487978628673197</v>
      </c>
      <c r="N1088" s="103">
        <v>0.72721875927574942</v>
      </c>
      <c r="O1088" s="103">
        <v>0.13357079252003562</v>
      </c>
      <c r="P1088" s="42"/>
      <c r="Q1088" s="110"/>
      <c r="R1088" s="46" t="s">
        <v>5</v>
      </c>
      <c r="S1088" s="103">
        <v>1.9935344827586208</v>
      </c>
      <c r="T1088" s="103">
        <v>9.0517241379310338</v>
      </c>
      <c r="U1088" s="103">
        <v>21.228448275862068</v>
      </c>
      <c r="V1088" s="103">
        <v>26.72413793103448</v>
      </c>
      <c r="W1088" s="103">
        <v>15.948275862068966</v>
      </c>
      <c r="X1088" s="103">
        <v>12.904094827586206</v>
      </c>
      <c r="Y1088" s="103">
        <v>7.4892241379310347</v>
      </c>
      <c r="Z1088" s="103">
        <v>3.3943965517241379</v>
      </c>
      <c r="AA1088" s="103">
        <v>1.0506465517241379</v>
      </c>
      <c r="AB1088" s="103">
        <v>0.21551724137931033</v>
      </c>
      <c r="AC1088" s="42"/>
      <c r="AD1088" s="110"/>
      <c r="AE1088" s="46" t="s">
        <v>5</v>
      </c>
      <c r="AF1088" s="103">
        <v>6.9729015201586257</v>
      </c>
      <c r="AG1088" s="103">
        <v>18.175809649702579</v>
      </c>
      <c r="AH1088" s="103">
        <v>26.007931262392596</v>
      </c>
      <c r="AI1088" s="103">
        <v>24.190350297422338</v>
      </c>
      <c r="AJ1088" s="103">
        <v>12.095175148711169</v>
      </c>
      <c r="AK1088" s="103">
        <v>6.9398545935228029</v>
      </c>
      <c r="AL1088" s="103">
        <v>3.9656311962987441</v>
      </c>
      <c r="AM1088" s="103">
        <v>1.288830138797092</v>
      </c>
      <c r="AN1088" s="103">
        <v>0.33046926635822871</v>
      </c>
      <c r="AO1088" s="103">
        <v>3.3046926635822864E-2</v>
      </c>
      <c r="AP1088" s="6"/>
      <c r="AQ1088" s="110"/>
      <c r="AR1088" s="46" t="s">
        <v>5</v>
      </c>
      <c r="AS1088" s="103">
        <v>5.2075176194205168</v>
      </c>
      <c r="AT1088" s="103">
        <v>15.779169929522318</v>
      </c>
      <c r="AU1088" s="103">
        <v>25.176194205168361</v>
      </c>
      <c r="AV1088" s="103">
        <v>24.745497259201251</v>
      </c>
      <c r="AW1088" s="103">
        <v>12.333594361785433</v>
      </c>
      <c r="AX1088" s="103">
        <v>8.4573218480814401</v>
      </c>
      <c r="AY1088" s="103">
        <v>5.1292090837901334</v>
      </c>
      <c r="AZ1088" s="103">
        <v>2.3884103367267033</v>
      </c>
      <c r="BA1088" s="103">
        <v>0.5873140172278779</v>
      </c>
      <c r="BB1088" s="103">
        <v>0.19577133907595928</v>
      </c>
      <c r="BC1088" s="42"/>
      <c r="BD1088" s="110"/>
      <c r="BE1088" s="46" t="s">
        <v>5</v>
      </c>
      <c r="BF1088" s="103">
        <v>3.6328871892925432</v>
      </c>
      <c r="BG1088" s="103">
        <v>11.54397705544933</v>
      </c>
      <c r="BH1088" s="103">
        <v>22.27533460803059</v>
      </c>
      <c r="BI1088" s="103">
        <v>26.099426386233272</v>
      </c>
      <c r="BJ1088" s="103">
        <v>15.368068833652007</v>
      </c>
      <c r="BK1088" s="103">
        <v>11.304971319311663</v>
      </c>
      <c r="BL1088" s="103">
        <v>6.3814531548757172</v>
      </c>
      <c r="BM1088" s="103">
        <v>2.4856596558317401</v>
      </c>
      <c r="BN1088" s="103">
        <v>0.81261950286806894</v>
      </c>
      <c r="BO1088" s="103">
        <v>9.5602294455066919E-2</v>
      </c>
      <c r="BQ1088" s="110"/>
      <c r="BR1088" s="46" t="s">
        <v>5</v>
      </c>
      <c r="BS1088" s="103">
        <v>6.4548663640948067</v>
      </c>
      <c r="BT1088" s="103">
        <v>17.044881492687846</v>
      </c>
      <c r="BU1088" s="103">
        <v>27.181038830055471</v>
      </c>
      <c r="BV1088" s="103">
        <v>24.306606152294503</v>
      </c>
      <c r="BW1088" s="103">
        <v>11.548159354513365</v>
      </c>
      <c r="BX1088" s="103">
        <v>7.4634392334846185</v>
      </c>
      <c r="BY1088" s="103">
        <v>3.7317196167423092</v>
      </c>
      <c r="BZ1088" s="103">
        <v>1.7145738779626829</v>
      </c>
      <c r="CA1088" s="103">
        <v>0.3530005042864347</v>
      </c>
      <c r="CB1088" s="103">
        <v>0.20171457387796271</v>
      </c>
      <c r="CC1088" s="42"/>
      <c r="CD1088" s="110"/>
      <c r="CE1088" s="46" t="s">
        <v>5</v>
      </c>
      <c r="CF1088" s="103">
        <v>3.3017875920084121</v>
      </c>
      <c r="CG1088" s="103">
        <v>11.524710830704521</v>
      </c>
      <c r="CH1088" s="103">
        <v>21.787592008412197</v>
      </c>
      <c r="CI1088" s="103">
        <v>26.119873817034701</v>
      </c>
      <c r="CJ1088" s="103">
        <v>15.331230283911673</v>
      </c>
      <c r="CK1088" s="103">
        <v>11.377497371188223</v>
      </c>
      <c r="CL1088" s="103">
        <v>6.8138801261829656</v>
      </c>
      <c r="CM1088" s="103">
        <v>2.754994742376446</v>
      </c>
      <c r="CN1088" s="103">
        <v>0.88328075709779175</v>
      </c>
      <c r="CO1088" s="103">
        <v>0.10515247108307045</v>
      </c>
      <c r="CQ1088" s="110"/>
      <c r="CR1088" s="46" t="s">
        <v>5</v>
      </c>
      <c r="CS1088" s="103">
        <v>1.4831717056474614</v>
      </c>
      <c r="CT1088" s="103">
        <v>6.1038220193953228</v>
      </c>
      <c r="CU1088" s="103">
        <v>15.288077581289219</v>
      </c>
      <c r="CV1088" s="103">
        <v>25.670279520821449</v>
      </c>
      <c r="CW1088" s="103">
        <v>17.569880205362239</v>
      </c>
      <c r="CX1088" s="103">
        <v>16.77124928693668</v>
      </c>
      <c r="CY1088" s="103">
        <v>11.123787792355962</v>
      </c>
      <c r="CZ1088" s="103">
        <v>4.1642897889332575</v>
      </c>
      <c r="DA1088" s="103">
        <v>1.5972618368511124</v>
      </c>
      <c r="DB1088" s="103">
        <v>0.22818026240730174</v>
      </c>
      <c r="DC1088" s="42"/>
      <c r="DD1088" s="110"/>
      <c r="DE1088" s="46" t="s">
        <v>5</v>
      </c>
      <c r="DF1088" s="103">
        <v>5.1955867602808423</v>
      </c>
      <c r="DG1088" s="103">
        <v>15.626880641925778</v>
      </c>
      <c r="DH1088" s="103">
        <v>26.218655967903707</v>
      </c>
      <c r="DI1088" s="103">
        <v>25.556670010030093</v>
      </c>
      <c r="DJ1088" s="103">
        <v>13.039117352056168</v>
      </c>
      <c r="DK1088" s="103">
        <v>7.9237713139418258</v>
      </c>
      <c r="DL1088" s="103">
        <v>4.0722166499498496</v>
      </c>
      <c r="DM1088" s="103">
        <v>1.8455366098294883</v>
      </c>
      <c r="DN1088" s="103">
        <v>0.42126379137412234</v>
      </c>
      <c r="DO1088" s="103">
        <v>0.10030090270812438</v>
      </c>
    </row>
    <row r="1089" spans="2:119" ht="16.5" customHeight="1" x14ac:dyDescent="0.45">
      <c r="B1089" s="99"/>
      <c r="C1089" s="42"/>
      <c r="D1089" s="110"/>
      <c r="E1089" s="47" t="s">
        <v>6</v>
      </c>
      <c r="F1089" s="103">
        <v>2.9066630698678178</v>
      </c>
      <c r="G1089" s="103">
        <v>9.4078769894793641</v>
      </c>
      <c r="H1089" s="103">
        <v>18.593202050175346</v>
      </c>
      <c r="I1089" s="103">
        <v>25.930671702185055</v>
      </c>
      <c r="J1089" s="103">
        <v>15.753978958726734</v>
      </c>
      <c r="K1089" s="103">
        <v>13.265443755057998</v>
      </c>
      <c r="L1089" s="103">
        <v>8.6458052333423261</v>
      </c>
      <c r="M1089" s="103">
        <v>3.6957108173725386</v>
      </c>
      <c r="N1089" s="103">
        <v>1.4432155381710279</v>
      </c>
      <c r="O1089" s="103">
        <v>0.35743188562179656</v>
      </c>
      <c r="P1089" s="42"/>
      <c r="Q1089" s="110"/>
      <c r="R1089" s="46" t="s">
        <v>6</v>
      </c>
      <c r="S1089" s="103">
        <v>1.4167073766487541</v>
      </c>
      <c r="T1089" s="103">
        <v>5.9110893991206641</v>
      </c>
      <c r="U1089" s="103">
        <v>15.583781143136296</v>
      </c>
      <c r="V1089" s="103">
        <v>25.35417684416219</v>
      </c>
      <c r="W1089" s="103">
        <v>17.293600390815829</v>
      </c>
      <c r="X1089" s="103">
        <v>15.876893014167074</v>
      </c>
      <c r="Y1089" s="103">
        <v>10.735222276502199</v>
      </c>
      <c r="Z1089" s="103">
        <v>5.2027357107962873</v>
      </c>
      <c r="AA1089" s="103">
        <v>2.1128480703468488</v>
      </c>
      <c r="AB1089" s="103">
        <v>0.51294577430385924</v>
      </c>
      <c r="AC1089" s="42"/>
      <c r="AD1089" s="110"/>
      <c r="AE1089" s="46" t="s">
        <v>6</v>
      </c>
      <c r="AF1089" s="103">
        <v>4.7439759036144578</v>
      </c>
      <c r="AG1089" s="103">
        <v>13.71987951807229</v>
      </c>
      <c r="AH1089" s="103">
        <v>22.304216867469879</v>
      </c>
      <c r="AI1089" s="103">
        <v>26.641566265060241</v>
      </c>
      <c r="AJ1089" s="103">
        <v>13.855421686746988</v>
      </c>
      <c r="AK1089" s="103">
        <v>10.045180722891567</v>
      </c>
      <c r="AL1089" s="103">
        <v>6.0692771084337345</v>
      </c>
      <c r="AM1089" s="103">
        <v>1.8373493975903616</v>
      </c>
      <c r="AN1089" s="103">
        <v>0.61746987951807231</v>
      </c>
      <c r="AO1089" s="103">
        <v>0.16566265060240964</v>
      </c>
      <c r="AP1089" s="6"/>
      <c r="AQ1089" s="110"/>
      <c r="AR1089" s="46" t="s">
        <v>6</v>
      </c>
      <c r="AS1089" s="103">
        <v>3.8627450980392157</v>
      </c>
      <c r="AT1089" s="103">
        <v>11.803921568627452</v>
      </c>
      <c r="AU1089" s="103">
        <v>20.117647058823529</v>
      </c>
      <c r="AV1089" s="103">
        <v>25.274509803921568</v>
      </c>
      <c r="AW1089" s="103">
        <v>14.392156862745098</v>
      </c>
      <c r="AX1089" s="103">
        <v>12.03921568627451</v>
      </c>
      <c r="AY1089" s="103">
        <v>7.764705882352942</v>
      </c>
      <c r="AZ1089" s="103">
        <v>3.2352941176470593</v>
      </c>
      <c r="BA1089" s="103">
        <v>1.196078431372549</v>
      </c>
      <c r="BB1089" s="103">
        <v>0.31372549019607843</v>
      </c>
      <c r="BC1089" s="42"/>
      <c r="BD1089" s="110"/>
      <c r="BE1089" s="46" t="s">
        <v>6</v>
      </c>
      <c r="BF1089" s="103">
        <v>2.4054276315789473</v>
      </c>
      <c r="BG1089" s="103">
        <v>8.1517269736842106</v>
      </c>
      <c r="BH1089" s="103">
        <v>17.793996710526315</v>
      </c>
      <c r="BI1089" s="103">
        <v>26.274671052631575</v>
      </c>
      <c r="BJ1089" s="103">
        <v>16.467927631578945</v>
      </c>
      <c r="BK1089" s="103">
        <v>13.908305921052634</v>
      </c>
      <c r="BL1089" s="103">
        <v>9.1077302631578938</v>
      </c>
      <c r="BM1089" s="103">
        <v>3.9370888157894739</v>
      </c>
      <c r="BN1089" s="103">
        <v>1.5727796052631577</v>
      </c>
      <c r="BO1089" s="103">
        <v>0.38034539473684209</v>
      </c>
      <c r="BQ1089" s="110"/>
      <c r="BR1089" s="46" t="s">
        <v>6</v>
      </c>
      <c r="BS1089" s="103">
        <v>4.7827674333698429</v>
      </c>
      <c r="BT1089" s="103">
        <v>14.129244249726177</v>
      </c>
      <c r="BU1089" s="103">
        <v>23.037604965315808</v>
      </c>
      <c r="BV1089" s="103">
        <v>26.067907995618839</v>
      </c>
      <c r="BW1089" s="103">
        <v>13.070463672873311</v>
      </c>
      <c r="BX1089" s="103">
        <v>10.551296093464767</v>
      </c>
      <c r="BY1089" s="103">
        <v>5.4764512595837891</v>
      </c>
      <c r="BZ1089" s="103">
        <v>2.154070828769624</v>
      </c>
      <c r="CA1089" s="103">
        <v>0.62066447608616282</v>
      </c>
      <c r="CB1089" s="103">
        <v>0.10952902519167579</v>
      </c>
      <c r="CC1089" s="42"/>
      <c r="CD1089" s="110"/>
      <c r="CE1089" s="46" t="s">
        <v>6</v>
      </c>
      <c r="CF1089" s="103">
        <v>2.4815948382827364</v>
      </c>
      <c r="CG1089" s="103">
        <v>8.3381586566299948</v>
      </c>
      <c r="CH1089" s="103">
        <v>17.586235420630324</v>
      </c>
      <c r="CI1089" s="103">
        <v>25.899578128877494</v>
      </c>
      <c r="CJ1089" s="103">
        <v>16.361981967077508</v>
      </c>
      <c r="CK1089" s="103">
        <v>13.880387128794771</v>
      </c>
      <c r="CL1089" s="103">
        <v>9.3638845231201913</v>
      </c>
      <c r="CM1089" s="103">
        <v>4.0449995864008601</v>
      </c>
      <c r="CN1089" s="103">
        <v>1.6295806104723303</v>
      </c>
      <c r="CO1089" s="103">
        <v>0.41359913971378942</v>
      </c>
      <c r="CQ1089" s="110"/>
      <c r="CR1089" s="46" t="s">
        <v>6</v>
      </c>
      <c r="CS1089" s="103">
        <v>0.99722991689750684</v>
      </c>
      <c r="CT1089" s="103">
        <v>4.3767313019390581</v>
      </c>
      <c r="CU1089" s="103">
        <v>11.828254847645429</v>
      </c>
      <c r="CV1089" s="103">
        <v>23.462603878116344</v>
      </c>
      <c r="CW1089" s="103">
        <v>17.86703601108033</v>
      </c>
      <c r="CX1089" s="103">
        <v>17.534626038781166</v>
      </c>
      <c r="CY1089" s="103">
        <v>13.157894736842104</v>
      </c>
      <c r="CZ1089" s="103">
        <v>6.5927977839335181</v>
      </c>
      <c r="DA1089" s="103">
        <v>3.32409972299169</v>
      </c>
      <c r="DB1089" s="103">
        <v>0.8587257617728532</v>
      </c>
      <c r="DC1089" s="42"/>
      <c r="DD1089" s="110"/>
      <c r="DE1089" s="46" t="s">
        <v>6</v>
      </c>
      <c r="DF1089" s="103">
        <v>3.5211267605633805</v>
      </c>
      <c r="DG1089" s="103">
        <v>11.026921019789624</v>
      </c>
      <c r="DH1089" s="103">
        <v>20.770190764842216</v>
      </c>
      <c r="DI1089" s="103">
        <v>26.724906400427884</v>
      </c>
      <c r="DJ1089" s="103">
        <v>15.073988233196648</v>
      </c>
      <c r="DK1089" s="103">
        <v>11.891602781244428</v>
      </c>
      <c r="DL1089" s="103">
        <v>7.193795685505437</v>
      </c>
      <c r="DM1089" s="103">
        <v>2.7634159386699944</v>
      </c>
      <c r="DN1089" s="103">
        <v>0.83793902656444996</v>
      </c>
      <c r="DO1089" s="103">
        <v>0.1961133891959351</v>
      </c>
    </row>
    <row r="1090" spans="2:119" ht="16.5" customHeight="1" x14ac:dyDescent="0.45">
      <c r="B1090" s="99"/>
      <c r="C1090" s="42"/>
      <c r="D1090" s="110"/>
      <c r="E1090" s="47" t="s">
        <v>7</v>
      </c>
      <c r="F1090" s="103">
        <v>1.962989469379409</v>
      </c>
      <c r="G1090" s="103">
        <v>6.0934464778652488</v>
      </c>
      <c r="H1090" s="103">
        <v>13.219507207851958</v>
      </c>
      <c r="I1090" s="103">
        <v>22.775448999761441</v>
      </c>
      <c r="J1090" s="103">
        <v>16.576355519203897</v>
      </c>
      <c r="K1090" s="103">
        <v>16.491156323484308</v>
      </c>
      <c r="L1090" s="103">
        <v>12.766247486623728</v>
      </c>
      <c r="M1090" s="103">
        <v>6.505810585148077</v>
      </c>
      <c r="N1090" s="103">
        <v>2.8320212657192516</v>
      </c>
      <c r="O1090" s="103">
        <v>0.77701666496268273</v>
      </c>
      <c r="P1090" s="42"/>
      <c r="Q1090" s="110"/>
      <c r="R1090" s="46" t="s">
        <v>7</v>
      </c>
      <c r="S1090" s="103">
        <v>0.83117842630217964</v>
      </c>
      <c r="T1090" s="103">
        <v>3.5217337766284942</v>
      </c>
      <c r="U1090" s="103">
        <v>9.7340229035833037</v>
      </c>
      <c r="V1090" s="103">
        <v>20.385420514714937</v>
      </c>
      <c r="W1090" s="103">
        <v>16.949883019332596</v>
      </c>
      <c r="X1090" s="103">
        <v>18.704593030414973</v>
      </c>
      <c r="Y1090" s="103">
        <v>16.087920206871075</v>
      </c>
      <c r="Z1090" s="103">
        <v>8.6688831424701398</v>
      </c>
      <c r="AA1090" s="103">
        <v>3.989656446250462</v>
      </c>
      <c r="AB1090" s="103">
        <v>1.1267085334318434</v>
      </c>
      <c r="AC1090" s="42"/>
      <c r="AD1090" s="110"/>
      <c r="AE1090" s="46" t="s">
        <v>7</v>
      </c>
      <c r="AF1090" s="103">
        <v>3.3661552553240206</v>
      </c>
      <c r="AG1090" s="103">
        <v>9.2817342187619261</v>
      </c>
      <c r="AH1090" s="103">
        <v>17.540645752232653</v>
      </c>
      <c r="AI1090" s="103">
        <v>25.738493244790472</v>
      </c>
      <c r="AJ1090" s="103">
        <v>16.113273795893441</v>
      </c>
      <c r="AK1090" s="103">
        <v>13.747042210518282</v>
      </c>
      <c r="AL1090" s="103">
        <v>8.6481947942905126</v>
      </c>
      <c r="AM1090" s="103">
        <v>3.8241355621708264</v>
      </c>
      <c r="AN1090" s="103">
        <v>1.396839935882757</v>
      </c>
      <c r="AO1090" s="103">
        <v>0.34348523013510418</v>
      </c>
      <c r="AP1090" s="6"/>
      <c r="AQ1090" s="110"/>
      <c r="AR1090" s="46" t="s">
        <v>7</v>
      </c>
      <c r="AS1090" s="103">
        <v>2.921397861316283</v>
      </c>
      <c r="AT1090" s="103">
        <v>7.8050931540072757</v>
      </c>
      <c r="AU1090" s="103">
        <v>14.849520449785029</v>
      </c>
      <c r="AV1090" s="103">
        <v>23.547569176496527</v>
      </c>
      <c r="AW1090" s="103">
        <v>15.907838165582627</v>
      </c>
      <c r="AX1090" s="103">
        <v>14.717230735310331</v>
      </c>
      <c r="AY1090" s="103">
        <v>11.47613273068019</v>
      </c>
      <c r="AZ1090" s="103">
        <v>5.6884577224120827</v>
      </c>
      <c r="BA1090" s="103">
        <v>2.3591665747988091</v>
      </c>
      <c r="BB1090" s="103">
        <v>0.72759342961084772</v>
      </c>
      <c r="BC1090" s="42"/>
      <c r="BD1090" s="110"/>
      <c r="BE1090" s="46" t="s">
        <v>7</v>
      </c>
      <c r="BF1090" s="103">
        <v>1.5341357537490135</v>
      </c>
      <c r="BG1090" s="103">
        <v>5.3275453827940016</v>
      </c>
      <c r="BH1090" s="103">
        <v>12.490134175217047</v>
      </c>
      <c r="BI1090" s="103">
        <v>22.429952644041045</v>
      </c>
      <c r="BJ1090" s="103">
        <v>16.875493291239145</v>
      </c>
      <c r="BK1090" s="103">
        <v>17.284925019731652</v>
      </c>
      <c r="BL1090" s="103">
        <v>13.343528018942383</v>
      </c>
      <c r="BM1090" s="103">
        <v>6.8715469613259668</v>
      </c>
      <c r="BN1090" s="103">
        <v>3.0436069455406471</v>
      </c>
      <c r="BO1090" s="103">
        <v>0.79913180741910028</v>
      </c>
      <c r="BQ1090" s="110"/>
      <c r="BR1090" s="46" t="s">
        <v>7</v>
      </c>
      <c r="BS1090" s="103">
        <v>3.7147102526002973</v>
      </c>
      <c r="BT1090" s="103">
        <v>10.282317979197622</v>
      </c>
      <c r="BU1090" s="103">
        <v>18.038632986627043</v>
      </c>
      <c r="BV1090" s="103">
        <v>25.586924219910845</v>
      </c>
      <c r="BW1090" s="103">
        <v>16.166419019316493</v>
      </c>
      <c r="BX1090" s="103">
        <v>11.738484398216938</v>
      </c>
      <c r="BY1090" s="103">
        <v>8.4101040118870731</v>
      </c>
      <c r="BZ1090" s="103">
        <v>3.9227340267459136</v>
      </c>
      <c r="CA1090" s="103">
        <v>1.7533432392273403</v>
      </c>
      <c r="CB1090" s="103">
        <v>0.38632986627043092</v>
      </c>
      <c r="CC1090" s="42"/>
      <c r="CD1090" s="110"/>
      <c r="CE1090" s="46" t="s">
        <v>7</v>
      </c>
      <c r="CF1090" s="103">
        <v>1.7360843790899991</v>
      </c>
      <c r="CG1090" s="103">
        <v>5.5508507198398647</v>
      </c>
      <c r="CH1090" s="103">
        <v>12.595272923242746</v>
      </c>
      <c r="CI1090" s="103">
        <v>22.411271075525445</v>
      </c>
      <c r="CJ1090" s="103">
        <v>16.629455693278928</v>
      </c>
      <c r="CK1090" s="103">
        <v>17.106782662252677</v>
      </c>
      <c r="CL1090" s="103">
        <v>13.330510431903919</v>
      </c>
      <c r="CM1090" s="103">
        <v>6.8404034182770035</v>
      </c>
      <c r="CN1090" s="103">
        <v>2.9717453229655861</v>
      </c>
      <c r="CO1090" s="103">
        <v>0.82762337362383565</v>
      </c>
      <c r="CQ1090" s="110"/>
      <c r="CR1090" s="46" t="s">
        <v>7</v>
      </c>
      <c r="CS1090" s="103">
        <v>0.60707239338291086</v>
      </c>
      <c r="CT1090" s="103">
        <v>2.4586431932007895</v>
      </c>
      <c r="CU1090" s="103">
        <v>6.9358020943997563</v>
      </c>
      <c r="CV1090" s="103">
        <v>17.802397935953863</v>
      </c>
      <c r="CW1090" s="103">
        <v>16.132948854150857</v>
      </c>
      <c r="CX1090" s="103">
        <v>18.758536955531945</v>
      </c>
      <c r="CY1090" s="103">
        <v>18.910305053877675</v>
      </c>
      <c r="CZ1090" s="103">
        <v>11.44331461526787</v>
      </c>
      <c r="DA1090" s="103">
        <v>5.357413871604189</v>
      </c>
      <c r="DB1090" s="103">
        <v>1.5935650326301412</v>
      </c>
      <c r="DC1090" s="42"/>
      <c r="DD1090" s="110"/>
      <c r="DE1090" s="46" t="s">
        <v>7</v>
      </c>
      <c r="DF1090" s="103">
        <v>2.3556297793794498</v>
      </c>
      <c r="DG1090" s="103">
        <v>7.14599630834139</v>
      </c>
      <c r="DH1090" s="103">
        <v>15.039114001933726</v>
      </c>
      <c r="DI1090" s="103">
        <v>24.215522545486508</v>
      </c>
      <c r="DJ1090" s="103">
        <v>16.704755207875539</v>
      </c>
      <c r="DK1090" s="103">
        <v>15.834578535642086</v>
      </c>
      <c r="DL1090" s="103">
        <v>10.987079194866837</v>
      </c>
      <c r="DM1090" s="103">
        <v>5.0760305880284786</v>
      </c>
      <c r="DN1090" s="103">
        <v>2.1007295420585392</v>
      </c>
      <c r="DO1090" s="103">
        <v>0.5405642963874483</v>
      </c>
    </row>
    <row r="1091" spans="2:119" ht="16.5" customHeight="1" x14ac:dyDescent="0.45">
      <c r="B1091" s="99"/>
      <c r="C1091" s="42"/>
      <c r="D1091" s="110"/>
      <c r="E1091" s="47" t="s">
        <v>8</v>
      </c>
      <c r="F1091" s="103">
        <v>1.1750910023697261</v>
      </c>
      <c r="G1091" s="103">
        <v>3.5912344563066476</v>
      </c>
      <c r="H1091" s="103">
        <v>8.4430654972760362</v>
      </c>
      <c r="I1091" s="103">
        <v>17.37229130530379</v>
      </c>
      <c r="J1091" s="103">
        <v>14.934160701634378</v>
      </c>
      <c r="K1091" s="103">
        <v>18.522952141304081</v>
      </c>
      <c r="L1091" s="103">
        <v>17.433366721227372</v>
      </c>
      <c r="M1091" s="103">
        <v>10.463440256028143</v>
      </c>
      <c r="N1091" s="103">
        <v>5.9487455109569289</v>
      </c>
      <c r="O1091" s="103">
        <v>2.1156524075928957</v>
      </c>
      <c r="P1091" s="42"/>
      <c r="Q1091" s="110"/>
      <c r="R1091" s="46" t="s">
        <v>8</v>
      </c>
      <c r="S1091" s="103">
        <v>0.43654778015453793</v>
      </c>
      <c r="T1091" s="103">
        <v>1.6763434757934255</v>
      </c>
      <c r="U1091" s="103">
        <v>5.3564412624961806</v>
      </c>
      <c r="V1091" s="103">
        <v>13.393285895141224</v>
      </c>
      <c r="W1091" s="103">
        <v>13.943336098135942</v>
      </c>
      <c r="X1091" s="103">
        <v>19.408914305670756</v>
      </c>
      <c r="Y1091" s="103">
        <v>20.495918278255555</v>
      </c>
      <c r="Z1091" s="103">
        <v>13.80364080848649</v>
      </c>
      <c r="AA1091" s="103">
        <v>8.3467935565547648</v>
      </c>
      <c r="AB1091" s="103">
        <v>3.1387785393111276</v>
      </c>
      <c r="AC1091" s="42"/>
      <c r="AD1091" s="110"/>
      <c r="AE1091" s="46" t="s">
        <v>8</v>
      </c>
      <c r="AF1091" s="103">
        <v>2.1136136691445691</v>
      </c>
      <c r="AG1091" s="103">
        <v>6.0246310884278262</v>
      </c>
      <c r="AH1091" s="103">
        <v>12.365472095861534</v>
      </c>
      <c r="AI1091" s="103">
        <v>22.428714079662708</v>
      </c>
      <c r="AJ1091" s="103">
        <v>16.193276378564295</v>
      </c>
      <c r="AK1091" s="103">
        <v>17.397093087762123</v>
      </c>
      <c r="AL1091" s="103">
        <v>13.541551092865861</v>
      </c>
      <c r="AM1091" s="103">
        <v>6.2187950737823146</v>
      </c>
      <c r="AN1091" s="103">
        <v>2.9013646954399204</v>
      </c>
      <c r="AO1091" s="103">
        <v>0.8154887384888494</v>
      </c>
      <c r="AP1091" s="6"/>
      <c r="AQ1091" s="110"/>
      <c r="AR1091" s="46" t="s">
        <v>8</v>
      </c>
      <c r="AS1091" s="103">
        <v>2.0545990678207935</v>
      </c>
      <c r="AT1091" s="103">
        <v>5.5264910111290781</v>
      </c>
      <c r="AU1091" s="103">
        <v>11.014933891372586</v>
      </c>
      <c r="AV1091" s="103">
        <v>18.767240559307524</v>
      </c>
      <c r="AW1091" s="103">
        <v>13.925615904118709</v>
      </c>
      <c r="AX1091" s="103">
        <v>17.11214686578522</v>
      </c>
      <c r="AY1091" s="103">
        <v>15.26681251783506</v>
      </c>
      <c r="AZ1091" s="103">
        <v>9.3503281651288876</v>
      </c>
      <c r="BA1091" s="103">
        <v>5.260154094930086</v>
      </c>
      <c r="BB1091" s="103">
        <v>1.7216779225720538</v>
      </c>
      <c r="BC1091" s="42"/>
      <c r="BD1091" s="110"/>
      <c r="BE1091" s="46" t="s">
        <v>8</v>
      </c>
      <c r="BF1091" s="103">
        <v>0.87113740959894814</v>
      </c>
      <c r="BG1091" s="103">
        <v>2.9224194608809992</v>
      </c>
      <c r="BH1091" s="103">
        <v>7.554240631163708</v>
      </c>
      <c r="BI1091" s="103">
        <v>16.890203813280735</v>
      </c>
      <c r="BJ1091" s="103">
        <v>15.282708744247206</v>
      </c>
      <c r="BK1091" s="103">
        <v>19.010519395134779</v>
      </c>
      <c r="BL1091" s="103">
        <v>18.182117028270874</v>
      </c>
      <c r="BM1091" s="103">
        <v>10.848126232741617</v>
      </c>
      <c r="BN1091" s="103">
        <v>6.1867192636423409</v>
      </c>
      <c r="BO1091" s="103">
        <v>2.2518080210387903</v>
      </c>
      <c r="BQ1091" s="110"/>
      <c r="BR1091" s="46" t="s">
        <v>8</v>
      </c>
      <c r="BS1091" s="103">
        <v>3.100031959092362</v>
      </c>
      <c r="BT1091" s="103">
        <v>7.574304889741132</v>
      </c>
      <c r="BU1091" s="103">
        <v>14.924896132949824</v>
      </c>
      <c r="BV1091" s="103">
        <v>21.668264621284756</v>
      </c>
      <c r="BW1091" s="103">
        <v>13.902205177372961</v>
      </c>
      <c r="BX1091" s="103">
        <v>16.043464365612017</v>
      </c>
      <c r="BY1091" s="103">
        <v>12.623841482901884</v>
      </c>
      <c r="BZ1091" s="103">
        <v>5.656759348034516</v>
      </c>
      <c r="CA1091" s="103">
        <v>3.1959092361776924</v>
      </c>
      <c r="CB1091" s="103">
        <v>1.310322786832854</v>
      </c>
      <c r="CC1091" s="42"/>
      <c r="CD1091" s="110"/>
      <c r="CE1091" s="46" t="s">
        <v>8</v>
      </c>
      <c r="CF1091" s="103">
        <v>1.0157655274574118</v>
      </c>
      <c r="CG1091" s="103">
        <v>3.2615596233202835</v>
      </c>
      <c r="CH1091" s="103">
        <v>7.90657073325574</v>
      </c>
      <c r="CI1091" s="103">
        <v>17.016717807639402</v>
      </c>
      <c r="CJ1091" s="103">
        <v>15.019574648185378</v>
      </c>
      <c r="CK1091" s="103">
        <v>18.728176912496032</v>
      </c>
      <c r="CL1091" s="103">
        <v>17.831446407787535</v>
      </c>
      <c r="CM1091" s="103">
        <v>10.861284520156596</v>
      </c>
      <c r="CN1091" s="103">
        <v>6.1765950693048355</v>
      </c>
      <c r="CO1091" s="103">
        <v>2.1823087503967833</v>
      </c>
      <c r="CQ1091" s="110"/>
      <c r="CR1091" s="46" t="s">
        <v>8</v>
      </c>
      <c r="CS1091" s="103">
        <v>0.38158229458153142</v>
      </c>
      <c r="CT1091" s="103">
        <v>1.3100992113965912</v>
      </c>
      <c r="CU1091" s="103">
        <v>4.184685830577461</v>
      </c>
      <c r="CV1091" s="103">
        <v>11.523785296362249</v>
      </c>
      <c r="CW1091" s="103">
        <v>12.058000508776393</v>
      </c>
      <c r="CX1091" s="103">
        <v>17.947087255151363</v>
      </c>
      <c r="CY1091" s="103">
        <v>22.169931315186975</v>
      </c>
      <c r="CZ1091" s="103">
        <v>16.522513355380312</v>
      </c>
      <c r="DA1091" s="103">
        <v>9.9592978885779697</v>
      </c>
      <c r="DB1091" s="103">
        <v>3.9430170440091583</v>
      </c>
      <c r="DC1091" s="42"/>
      <c r="DD1091" s="110"/>
      <c r="DE1091" s="46" t="s">
        <v>8</v>
      </c>
      <c r="DF1091" s="103">
        <v>1.3637325753681473</v>
      </c>
      <c r="DG1091" s="103">
        <v>4.1335308880892621</v>
      </c>
      <c r="DH1091" s="103">
        <v>9.455414109038129</v>
      </c>
      <c r="DI1091" s="103">
        <v>18.762662151129391</v>
      </c>
      <c r="DJ1091" s="103">
        <v>15.617912975114148</v>
      </c>
      <c r="DK1091" s="103">
        <v>18.659853043451967</v>
      </c>
      <c r="DL1091" s="103">
        <v>16.307338756009798</v>
      </c>
      <c r="DM1091" s="103">
        <v>9.0230110973360347</v>
      </c>
      <c r="DN1091" s="103">
        <v>4.9953131142088232</v>
      </c>
      <c r="DO1091" s="103">
        <v>1.6812312902543012</v>
      </c>
    </row>
    <row r="1092" spans="2:119" ht="16.5" customHeight="1" x14ac:dyDescent="0.45">
      <c r="B1092" s="99"/>
      <c r="C1092" s="42"/>
      <c r="D1092" s="110"/>
      <c r="E1092" s="47" t="s">
        <v>9</v>
      </c>
      <c r="F1092" s="103">
        <v>0.569135829390087</v>
      </c>
      <c r="G1092" s="103">
        <v>1.641989576746113</v>
      </c>
      <c r="H1092" s="103">
        <v>4.3350269303735356</v>
      </c>
      <c r="I1092" s="103">
        <v>10.970583745829607</v>
      </c>
      <c r="J1092" s="103">
        <v>11.910421073289868</v>
      </c>
      <c r="K1092" s="103">
        <v>17.117686822652043</v>
      </c>
      <c r="L1092" s="103">
        <v>20.700407771647878</v>
      </c>
      <c r="M1092" s="103">
        <v>15.850759938071043</v>
      </c>
      <c r="N1092" s="103">
        <v>11.426328528751171</v>
      </c>
      <c r="O1092" s="103">
        <v>5.4776597832486535</v>
      </c>
      <c r="P1092" s="42"/>
      <c r="Q1092" s="110"/>
      <c r="R1092" s="46" t="s">
        <v>9</v>
      </c>
      <c r="S1092" s="103">
        <v>0.20847532373812291</v>
      </c>
      <c r="T1092" s="103">
        <v>0.64146253457883973</v>
      </c>
      <c r="U1092" s="103">
        <v>2.2691737160726455</v>
      </c>
      <c r="V1092" s="103">
        <v>7.060097021208354</v>
      </c>
      <c r="W1092" s="103">
        <v>9.2170147937297031</v>
      </c>
      <c r="X1092" s="103">
        <v>15.443210519985568</v>
      </c>
      <c r="Y1092" s="103">
        <v>22.074329471194325</v>
      </c>
      <c r="Z1092" s="103">
        <v>19.580643868019084</v>
      </c>
      <c r="AA1092" s="103">
        <v>15.419155674938862</v>
      </c>
      <c r="AB1092" s="103">
        <v>8.0864370765344979</v>
      </c>
      <c r="AC1092" s="42"/>
      <c r="AD1092" s="110"/>
      <c r="AE1092" s="46" t="s">
        <v>9</v>
      </c>
      <c r="AF1092" s="103">
        <v>0.99923503537961367</v>
      </c>
      <c r="AG1092" s="103">
        <v>2.8351501243067507</v>
      </c>
      <c r="AH1092" s="103">
        <v>6.7986230636833049</v>
      </c>
      <c r="AI1092" s="103">
        <v>15.633964429145152</v>
      </c>
      <c r="AJ1092" s="103">
        <v>15.12239433926181</v>
      </c>
      <c r="AK1092" s="103">
        <v>19.11455345190285</v>
      </c>
      <c r="AL1092" s="103">
        <v>19.061962134251289</v>
      </c>
      <c r="AM1092" s="103">
        <v>11.40275387263339</v>
      </c>
      <c r="AN1092" s="103">
        <v>6.6647542551157013</v>
      </c>
      <c r="AO1092" s="103">
        <v>2.3666092943201376</v>
      </c>
      <c r="AP1092" s="6"/>
      <c r="AQ1092" s="110"/>
      <c r="AR1092" s="46" t="s">
        <v>9</v>
      </c>
      <c r="AS1092" s="103">
        <v>0.95017125179538175</v>
      </c>
      <c r="AT1092" s="103">
        <v>2.6405921997569326</v>
      </c>
      <c r="AU1092" s="103">
        <v>6.2534526571649538</v>
      </c>
      <c r="AV1092" s="103">
        <v>13.49022207490885</v>
      </c>
      <c r="AW1092" s="103">
        <v>12.396420285051375</v>
      </c>
      <c r="AX1092" s="103">
        <v>16.440172356645675</v>
      </c>
      <c r="AY1092" s="103">
        <v>19.235443597392553</v>
      </c>
      <c r="AZ1092" s="103">
        <v>14.097889735940781</v>
      </c>
      <c r="BA1092" s="103">
        <v>9.7889735940780032</v>
      </c>
      <c r="BB1092" s="103">
        <v>4.7066622472654949</v>
      </c>
      <c r="BC1092" s="42"/>
      <c r="BD1092" s="110"/>
      <c r="BE1092" s="46" t="s">
        <v>9</v>
      </c>
      <c r="BF1092" s="103">
        <v>0.47544012171267119</v>
      </c>
      <c r="BG1092" s="103">
        <v>1.3964355574875027</v>
      </c>
      <c r="BH1092" s="103">
        <v>3.863290589002391</v>
      </c>
      <c r="BI1092" s="103">
        <v>10.351010649858726</v>
      </c>
      <c r="BJ1092" s="103">
        <v>11.790915018474244</v>
      </c>
      <c r="BK1092" s="103">
        <v>17.284286024777224</v>
      </c>
      <c r="BL1092" s="103">
        <v>21.060638991523582</v>
      </c>
      <c r="BM1092" s="103">
        <v>16.28178656813736</v>
      </c>
      <c r="BN1092" s="103">
        <v>11.828950228211259</v>
      </c>
      <c r="BO1092" s="103">
        <v>5.6672462508150403</v>
      </c>
      <c r="BQ1092" s="110"/>
      <c r="BR1092" s="46" t="s">
        <v>9</v>
      </c>
      <c r="BS1092" s="103">
        <v>1.5599343185550083</v>
      </c>
      <c r="BT1092" s="103">
        <v>3.8177339901477834</v>
      </c>
      <c r="BU1092" s="103">
        <v>7.7175697865353037</v>
      </c>
      <c r="BV1092" s="103">
        <v>16.379310344827587</v>
      </c>
      <c r="BW1092" s="103">
        <v>14.532019704433496</v>
      </c>
      <c r="BX1092" s="103">
        <v>16.707717569786535</v>
      </c>
      <c r="BY1092" s="103">
        <v>16.58456486042693</v>
      </c>
      <c r="BZ1092" s="103">
        <v>11.206896551724139</v>
      </c>
      <c r="CA1092" s="103">
        <v>7.7175697865353037</v>
      </c>
      <c r="CB1092" s="103">
        <v>3.7766830870279149</v>
      </c>
      <c r="CC1092" s="42"/>
      <c r="CD1092" s="110"/>
      <c r="CE1092" s="46" t="s">
        <v>9</v>
      </c>
      <c r="CF1092" s="103">
        <v>0.51355272551412845</v>
      </c>
      <c r="CG1092" s="103">
        <v>1.5199318333602008</v>
      </c>
      <c r="CH1092" s="103">
        <v>4.1452686364369118</v>
      </c>
      <c r="CI1092" s="103">
        <v>10.667157957764319</v>
      </c>
      <c r="CJ1092" s="103">
        <v>11.763351219399858</v>
      </c>
      <c r="CK1092" s="103">
        <v>17.140685811666629</v>
      </c>
      <c r="CL1092" s="103">
        <v>20.931303686986162</v>
      </c>
      <c r="CM1092" s="103">
        <v>16.111277433618127</v>
      </c>
      <c r="CN1092" s="103">
        <v>11.634387306266264</v>
      </c>
      <c r="CO1092" s="103">
        <v>5.5730833889874027</v>
      </c>
      <c r="CQ1092" s="110"/>
      <c r="CR1092" s="46" t="s">
        <v>9</v>
      </c>
      <c r="CS1092" s="103">
        <v>0.17953321364452424</v>
      </c>
      <c r="CT1092" s="103">
        <v>0.61554244678122594</v>
      </c>
      <c r="CU1092" s="103">
        <v>1.8850987432675044</v>
      </c>
      <c r="CV1092" s="103">
        <v>6.3990766863298285</v>
      </c>
      <c r="CW1092" s="103">
        <v>8.3867658373942042</v>
      </c>
      <c r="CX1092" s="103">
        <v>14.555014106181071</v>
      </c>
      <c r="CY1092" s="103">
        <v>22.46729930751475</v>
      </c>
      <c r="CZ1092" s="103">
        <v>20.607848166196462</v>
      </c>
      <c r="DA1092" s="103">
        <v>16.299051038727878</v>
      </c>
      <c r="DB1092" s="103">
        <v>8.6047704539625549</v>
      </c>
      <c r="DC1092" s="42"/>
      <c r="DD1092" s="110"/>
      <c r="DE1092" s="46" t="s">
        <v>9</v>
      </c>
      <c r="DF1092" s="103">
        <v>0.64895825122829143</v>
      </c>
      <c r="DG1092" s="103">
        <v>1.8522897454086862</v>
      </c>
      <c r="DH1092" s="103">
        <v>4.8369722287906258</v>
      </c>
      <c r="DI1092" s="103">
        <v>11.907201597435696</v>
      </c>
      <c r="DJ1092" s="103">
        <v>12.632353327553139</v>
      </c>
      <c r="DK1092" s="103">
        <v>17.64273140485011</v>
      </c>
      <c r="DL1092" s="103">
        <v>20.338404140721472</v>
      </c>
      <c r="DM1092" s="103">
        <v>14.876119912771605</v>
      </c>
      <c r="DN1092" s="103">
        <v>10.427997162449753</v>
      </c>
      <c r="DO1092" s="103">
        <v>4.8369722287906258</v>
      </c>
    </row>
    <row r="1093" spans="2:119" ht="16.5" customHeight="1" x14ac:dyDescent="0.45">
      <c r="B1093" s="99"/>
      <c r="C1093" s="42"/>
      <c r="D1093" s="110"/>
      <c r="E1093" s="47" t="s">
        <v>10</v>
      </c>
      <c r="F1093" s="103">
        <v>0.2176587489353648</v>
      </c>
      <c r="G1093" s="103">
        <v>0.64824453487271694</v>
      </c>
      <c r="H1093" s="103">
        <v>1.5827576417147726</v>
      </c>
      <c r="I1093" s="103">
        <v>5.0392732090470336</v>
      </c>
      <c r="J1093" s="103">
        <v>6.9177628465979</v>
      </c>
      <c r="K1093" s="103">
        <v>12.484621936216524</v>
      </c>
      <c r="L1093" s="103">
        <v>19.624775243683164</v>
      </c>
      <c r="M1093" s="103">
        <v>20.024604902053564</v>
      </c>
      <c r="N1093" s="103">
        <v>19.047506387811111</v>
      </c>
      <c r="O1093" s="103">
        <v>14.412794549067854</v>
      </c>
      <c r="P1093" s="42"/>
      <c r="Q1093" s="110"/>
      <c r="R1093" s="46" t="s">
        <v>10</v>
      </c>
      <c r="S1093" s="103">
        <v>5.0414776112562447E-2</v>
      </c>
      <c r="T1093" s="103">
        <v>0.25207388056281221</v>
      </c>
      <c r="U1093" s="103">
        <v>0.6874742197167607</v>
      </c>
      <c r="V1093" s="103">
        <v>2.5619872588111279</v>
      </c>
      <c r="W1093" s="103">
        <v>4.3402539071451489</v>
      </c>
      <c r="X1093" s="103">
        <v>8.905082726064439</v>
      </c>
      <c r="Y1093" s="103">
        <v>17.076859617764335</v>
      </c>
      <c r="Z1093" s="103">
        <v>21.485860946881157</v>
      </c>
      <c r="AA1093" s="103">
        <v>24.254090471607313</v>
      </c>
      <c r="AB1093" s="103">
        <v>20.385902195334342</v>
      </c>
      <c r="AC1093" s="42"/>
      <c r="AD1093" s="110"/>
      <c r="AE1093" s="46" t="s">
        <v>10</v>
      </c>
      <c r="AF1093" s="103">
        <v>0.39610738911438209</v>
      </c>
      <c r="AG1093" s="103">
        <v>1.070957015012959</v>
      </c>
      <c r="AH1093" s="103">
        <v>2.5380214191403003</v>
      </c>
      <c r="AI1093" s="103">
        <v>7.6825272629468433</v>
      </c>
      <c r="AJ1093" s="103">
        <v>9.6679544231991787</v>
      </c>
      <c r="AK1093" s="103">
        <v>16.303975744535183</v>
      </c>
      <c r="AL1093" s="103">
        <v>22.343390874859406</v>
      </c>
      <c r="AM1093" s="103">
        <v>18.465450633282803</v>
      </c>
      <c r="AN1093" s="103">
        <v>13.492102303291114</v>
      </c>
      <c r="AO1093" s="103">
        <v>8.0395129346178305</v>
      </c>
      <c r="AP1093" s="6"/>
      <c r="AQ1093" s="110"/>
      <c r="AR1093" s="46" t="s">
        <v>10</v>
      </c>
      <c r="AS1093" s="103">
        <v>0.55424924420557609</v>
      </c>
      <c r="AT1093" s="103">
        <v>1.3436345314074571</v>
      </c>
      <c r="AU1093" s="103">
        <v>2.9056096741686259</v>
      </c>
      <c r="AV1093" s="103">
        <v>7.3396036278132346</v>
      </c>
      <c r="AW1093" s="103">
        <v>8.800806180718844</v>
      </c>
      <c r="AX1093" s="103">
        <v>14.141753443063488</v>
      </c>
      <c r="AY1093" s="103">
        <v>19.230769230769234</v>
      </c>
      <c r="AZ1093" s="103">
        <v>19.163587504198858</v>
      </c>
      <c r="BA1093" s="103">
        <v>16.106818945246893</v>
      </c>
      <c r="BB1093" s="103">
        <v>10.413167618407792</v>
      </c>
      <c r="BC1093" s="42"/>
      <c r="BD1093" s="110"/>
      <c r="BE1093" s="46" t="s">
        <v>10</v>
      </c>
      <c r="BF1093" s="103">
        <v>0.16247177397147106</v>
      </c>
      <c r="BG1093" s="103">
        <v>0.53422922288924379</v>
      </c>
      <c r="BH1093" s="103">
        <v>1.3658644049127058</v>
      </c>
      <c r="BI1093" s="103">
        <v>4.6621137853169579</v>
      </c>
      <c r="BJ1093" s="103">
        <v>6.6090213140937379</v>
      </c>
      <c r="BK1093" s="103">
        <v>12.212920636669052</v>
      </c>
      <c r="BL1093" s="103">
        <v>19.689375998237594</v>
      </c>
      <c r="BM1093" s="103">
        <v>20.165776284628517</v>
      </c>
      <c r="BN1093" s="103">
        <v>19.529657983146993</v>
      </c>
      <c r="BO1093" s="103">
        <v>15.068568596133721</v>
      </c>
      <c r="BQ1093" s="110"/>
      <c r="BR1093" s="46" t="s">
        <v>10</v>
      </c>
      <c r="BS1093" s="103">
        <v>0.63091482649842268</v>
      </c>
      <c r="BT1093" s="103">
        <v>1.7665615141955835</v>
      </c>
      <c r="BU1093" s="103">
        <v>3.9747634069400628</v>
      </c>
      <c r="BV1093" s="103">
        <v>8.8328075709779181</v>
      </c>
      <c r="BW1093" s="103">
        <v>10.28391167192429</v>
      </c>
      <c r="BX1093" s="103">
        <v>13.249211356466878</v>
      </c>
      <c r="BY1093" s="103">
        <v>19.747634069400629</v>
      </c>
      <c r="BZ1093" s="103">
        <v>17.350157728706623</v>
      </c>
      <c r="CA1093" s="103">
        <v>13.312302839116718</v>
      </c>
      <c r="CB1093" s="103">
        <v>10.851735015772871</v>
      </c>
      <c r="CC1093" s="42"/>
      <c r="CD1093" s="110"/>
      <c r="CE1093" s="46" t="s">
        <v>10</v>
      </c>
      <c r="CF1093" s="103">
        <v>0.20155839048251112</v>
      </c>
      <c r="CG1093" s="103">
        <v>0.60467517144753336</v>
      </c>
      <c r="CH1093" s="103">
        <v>1.4895656662488017</v>
      </c>
      <c r="CI1093" s="103">
        <v>4.891478012929233</v>
      </c>
      <c r="CJ1093" s="103">
        <v>6.7866184892952832</v>
      </c>
      <c r="CK1093" s="103">
        <v>12.454833714327853</v>
      </c>
      <c r="CL1093" s="103">
        <v>19.619988693065899</v>
      </c>
      <c r="CM1093" s="103">
        <v>20.128800727576628</v>
      </c>
      <c r="CN1093" s="103">
        <v>19.270948553449845</v>
      </c>
      <c r="CO1093" s="103">
        <v>14.551532581176414</v>
      </c>
      <c r="CQ1093" s="110"/>
      <c r="CR1093" s="46" t="s">
        <v>10</v>
      </c>
      <c r="CS1093" s="103">
        <v>0.10441527446300716</v>
      </c>
      <c r="CT1093" s="103">
        <v>0.13424821002386633</v>
      </c>
      <c r="CU1093" s="103">
        <v>0.70107398568019086</v>
      </c>
      <c r="CV1093" s="103">
        <v>2.8042959427207634</v>
      </c>
      <c r="CW1093" s="103">
        <v>4.4451073985680187</v>
      </c>
      <c r="CX1093" s="103">
        <v>8.8305489260143197</v>
      </c>
      <c r="CY1093" s="103">
        <v>17.049522673031024</v>
      </c>
      <c r="CZ1093" s="103">
        <v>21.658711217183772</v>
      </c>
      <c r="DA1093" s="103">
        <v>23.955847255369928</v>
      </c>
      <c r="DB1093" s="103">
        <v>20.316229116945109</v>
      </c>
      <c r="DC1093" s="42"/>
      <c r="DD1093" s="110"/>
      <c r="DE1093" s="46" t="s">
        <v>10</v>
      </c>
      <c r="DF1093" s="103">
        <v>0.23900573613766732</v>
      </c>
      <c r="DG1093" s="103">
        <v>0.745135530311551</v>
      </c>
      <c r="DH1093" s="103">
        <v>1.7489596220897536</v>
      </c>
      <c r="DI1093" s="103">
        <v>5.4605781126982338</v>
      </c>
      <c r="DJ1093" s="103">
        <v>7.3838713305589927</v>
      </c>
      <c r="DK1093" s="103">
        <v>13.17343380947025</v>
      </c>
      <c r="DL1093" s="103">
        <v>20.110223821842315</v>
      </c>
      <c r="DM1093" s="103">
        <v>19.716567315262626</v>
      </c>
      <c r="DN1093" s="103">
        <v>18.122258463614891</v>
      </c>
      <c r="DO1093" s="103">
        <v>13.29996625801372</v>
      </c>
    </row>
    <row r="1094" spans="2:119" ht="16.5" customHeight="1" x14ac:dyDescent="0.45">
      <c r="B1094" s="99"/>
      <c r="C1094" s="42"/>
      <c r="D1094" s="111"/>
      <c r="E1094" s="47" t="s">
        <v>11</v>
      </c>
      <c r="F1094" s="103">
        <v>4.6926325668700142E-2</v>
      </c>
      <c r="G1094" s="103">
        <v>0.20647583294228061</v>
      </c>
      <c r="H1094" s="103">
        <v>0.50680431722196151</v>
      </c>
      <c r="I1094" s="103">
        <v>1.5391834819333645</v>
      </c>
      <c r="J1094" s="103">
        <v>2.4026278742374472</v>
      </c>
      <c r="K1094" s="103">
        <v>5.9784138901923978</v>
      </c>
      <c r="L1094" s="103">
        <v>13.402158610980761</v>
      </c>
      <c r="M1094" s="103">
        <v>18.488972313467855</v>
      </c>
      <c r="N1094" s="103">
        <v>24.655091506335054</v>
      </c>
      <c r="O1094" s="103">
        <v>32.773345847020181</v>
      </c>
      <c r="P1094" s="42"/>
      <c r="Q1094" s="111"/>
      <c r="R1094" s="46" t="s">
        <v>11</v>
      </c>
      <c r="S1094" s="103">
        <v>0</v>
      </c>
      <c r="T1094" s="103">
        <v>6.9601531233687147E-2</v>
      </c>
      <c r="U1094" s="103">
        <v>0.19140421089263965</v>
      </c>
      <c r="V1094" s="103">
        <v>0.52201148425265353</v>
      </c>
      <c r="W1094" s="103">
        <v>1.0788237341221507</v>
      </c>
      <c r="X1094" s="103">
        <v>3.636680006960153</v>
      </c>
      <c r="Y1094" s="103">
        <v>9.3788063337393428</v>
      </c>
      <c r="Z1094" s="103">
        <v>15.573342613537497</v>
      </c>
      <c r="AA1094" s="103">
        <v>26.639986079693756</v>
      </c>
      <c r="AB1094" s="103">
        <v>42.909344005568123</v>
      </c>
      <c r="AC1094" s="42"/>
      <c r="AD1094" s="111"/>
      <c r="AE1094" s="46" t="s">
        <v>11</v>
      </c>
      <c r="AF1094" s="103">
        <v>0.10187449062754686</v>
      </c>
      <c r="AG1094" s="103">
        <v>0.36674816625916873</v>
      </c>
      <c r="AH1094" s="103">
        <v>0.87612061939690311</v>
      </c>
      <c r="AI1094" s="103">
        <v>2.7302363488182562</v>
      </c>
      <c r="AJ1094" s="103">
        <v>3.9527302363488186</v>
      </c>
      <c r="AK1094" s="103">
        <v>8.7204563977180118</v>
      </c>
      <c r="AL1094" s="103">
        <v>18.113284433577832</v>
      </c>
      <c r="AM1094" s="103">
        <v>21.903015484922577</v>
      </c>
      <c r="AN1094" s="103">
        <v>22.330888345558272</v>
      </c>
      <c r="AO1094" s="103">
        <v>20.904645476772615</v>
      </c>
      <c r="AP1094" s="6"/>
      <c r="AQ1094" s="111"/>
      <c r="AR1094" s="46" t="s">
        <v>11</v>
      </c>
      <c r="AS1094" s="103">
        <v>0.21097046413502107</v>
      </c>
      <c r="AT1094" s="103">
        <v>0.8438818565400843</v>
      </c>
      <c r="AU1094" s="103">
        <v>1.0548523206751055</v>
      </c>
      <c r="AV1094" s="103">
        <v>2.8481012658227849</v>
      </c>
      <c r="AW1094" s="103">
        <v>3.5864978902953584</v>
      </c>
      <c r="AX1094" s="103">
        <v>8.1223628691983123</v>
      </c>
      <c r="AY1094" s="103">
        <v>13.185654008438819</v>
      </c>
      <c r="AZ1094" s="103">
        <v>20.042194092827003</v>
      </c>
      <c r="BA1094" s="103">
        <v>22.679324894514767</v>
      </c>
      <c r="BB1094" s="103">
        <v>27.426160337552741</v>
      </c>
      <c r="BC1094" s="42"/>
      <c r="BD1094" s="111"/>
      <c r="BE1094" s="46" t="s">
        <v>11</v>
      </c>
      <c r="BF1094" s="103">
        <v>3.0905532090244152E-2</v>
      </c>
      <c r="BG1094" s="103">
        <v>0.14422581642113938</v>
      </c>
      <c r="BH1094" s="103">
        <v>0.45328113732358088</v>
      </c>
      <c r="BI1094" s="103">
        <v>1.4113526321211496</v>
      </c>
      <c r="BJ1094" s="103">
        <v>2.2870093746780675</v>
      </c>
      <c r="BK1094" s="103">
        <v>5.7690326568455754</v>
      </c>
      <c r="BL1094" s="103">
        <v>13.423302771196044</v>
      </c>
      <c r="BM1094" s="103">
        <v>18.337282373544863</v>
      </c>
      <c r="BN1094" s="103">
        <v>24.848047800556301</v>
      </c>
      <c r="BO1094" s="103">
        <v>33.29555990522303</v>
      </c>
      <c r="BQ1094" s="111"/>
      <c r="BR1094" s="46" t="s">
        <v>11</v>
      </c>
      <c r="BS1094" s="103">
        <v>0.34482758620689657</v>
      </c>
      <c r="BT1094" s="103">
        <v>0</v>
      </c>
      <c r="BU1094" s="103">
        <v>1.7241379310344827</v>
      </c>
      <c r="BV1094" s="103">
        <v>3.7931034482758621</v>
      </c>
      <c r="BW1094" s="103">
        <v>6.2068965517241379</v>
      </c>
      <c r="BX1094" s="103">
        <v>7.931034482758621</v>
      </c>
      <c r="BY1094" s="103">
        <v>15.172413793103448</v>
      </c>
      <c r="BZ1094" s="103">
        <v>20.689655172413794</v>
      </c>
      <c r="CA1094" s="103">
        <v>17.931034482758619</v>
      </c>
      <c r="CB1094" s="103">
        <v>26.206896551724139</v>
      </c>
      <c r="CC1094" s="42"/>
      <c r="CD1094" s="111"/>
      <c r="CE1094" s="46" t="s">
        <v>11</v>
      </c>
      <c r="CF1094" s="103">
        <v>3.8591413410516161E-2</v>
      </c>
      <c r="CG1094" s="103">
        <v>0.21225277375783888</v>
      </c>
      <c r="CH1094" s="103">
        <v>0.47274481427882298</v>
      </c>
      <c r="CI1094" s="103">
        <v>1.4761215629522433</v>
      </c>
      <c r="CJ1094" s="103">
        <v>2.2961890979257116</v>
      </c>
      <c r="CK1094" s="103">
        <v>5.9237819585142306</v>
      </c>
      <c r="CL1094" s="103">
        <v>13.352629040038591</v>
      </c>
      <c r="CM1094" s="103">
        <v>18.427399903521465</v>
      </c>
      <c r="CN1094" s="103">
        <v>24.843222383019778</v>
      </c>
      <c r="CO1094" s="103">
        <v>32.957067052580804</v>
      </c>
      <c r="CQ1094" s="111"/>
      <c r="CR1094" s="46" t="s">
        <v>11</v>
      </c>
      <c r="CS1094" s="103">
        <v>0</v>
      </c>
      <c r="CT1094" s="103">
        <v>0</v>
      </c>
      <c r="CU1094" s="103">
        <v>0.42075736325385693</v>
      </c>
      <c r="CV1094" s="103">
        <v>0.70126227208976155</v>
      </c>
      <c r="CW1094" s="103">
        <v>1.2622720897615709</v>
      </c>
      <c r="CX1094" s="103">
        <v>3.6465638148667603</v>
      </c>
      <c r="CY1094" s="103">
        <v>11.009817671809257</v>
      </c>
      <c r="CZ1094" s="103">
        <v>16.129032258064516</v>
      </c>
      <c r="DA1094" s="103">
        <v>27.910238429172512</v>
      </c>
      <c r="DB1094" s="103">
        <v>38.920056100981768</v>
      </c>
      <c r="DC1094" s="42"/>
      <c r="DD1094" s="111"/>
      <c r="DE1094" s="46" t="s">
        <v>11</v>
      </c>
      <c r="DF1094" s="103">
        <v>5.4177050601365268E-2</v>
      </c>
      <c r="DG1094" s="103">
        <v>0.23837902264600713</v>
      </c>
      <c r="DH1094" s="103">
        <v>0.5200996857731065</v>
      </c>
      <c r="DI1094" s="103">
        <v>1.6686531585220501</v>
      </c>
      <c r="DJ1094" s="103">
        <v>2.5788276086249864</v>
      </c>
      <c r="DK1094" s="103">
        <v>6.3387149203597355</v>
      </c>
      <c r="DL1094" s="103">
        <v>13.771806262867051</v>
      </c>
      <c r="DM1094" s="103">
        <v>18.853613609275111</v>
      </c>
      <c r="DN1094" s="103">
        <v>24.152129158088634</v>
      </c>
      <c r="DO1094" s="103">
        <v>31.823599523241953</v>
      </c>
    </row>
    <row r="1095" spans="2:119" x14ac:dyDescent="0.45">
      <c r="B1095" s="99"/>
      <c r="C1095" s="42"/>
      <c r="D1095" s="42"/>
      <c r="E1095" s="42"/>
      <c r="F1095" s="42"/>
      <c r="G1095" s="42"/>
      <c r="H1095" s="42"/>
      <c r="I1095" s="42"/>
      <c r="J1095" s="42"/>
      <c r="K1095" s="42"/>
      <c r="L1095" s="42"/>
      <c r="M1095" s="42"/>
      <c r="N1095" s="42"/>
      <c r="O1095" s="42"/>
      <c r="P1095" s="42"/>
      <c r="Q1095" s="42"/>
      <c r="R1095" s="42"/>
      <c r="S1095" s="42"/>
      <c r="T1095" s="42"/>
      <c r="U1095" s="42"/>
      <c r="V1095" s="42"/>
      <c r="W1095" s="42"/>
      <c r="X1095" s="42"/>
      <c r="Y1095" s="42"/>
      <c r="Z1095" s="42"/>
      <c r="AA1095" s="42"/>
      <c r="AB1095" s="42"/>
      <c r="AC1095" s="42"/>
      <c r="AD1095" s="42"/>
      <c r="AE1095" s="42"/>
      <c r="AF1095" s="42"/>
      <c r="AG1095" s="42"/>
      <c r="AH1095" s="42"/>
      <c r="AI1095" s="42"/>
      <c r="AJ1095" s="42"/>
      <c r="AK1095" s="42"/>
      <c r="AL1095" s="42"/>
      <c r="AM1095" s="42"/>
      <c r="AN1095" s="42"/>
      <c r="AO1095" s="42"/>
      <c r="AQ1095" s="42"/>
      <c r="AR1095" s="42"/>
      <c r="AS1095" s="42"/>
      <c r="AT1095" s="42"/>
      <c r="AU1095" s="42"/>
      <c r="AV1095" s="42"/>
      <c r="AW1095" s="42"/>
      <c r="AX1095" s="42"/>
      <c r="AY1095" s="42"/>
      <c r="AZ1095" s="42"/>
      <c r="BA1095" s="42"/>
      <c r="BB1095" s="42"/>
      <c r="BC1095" s="42"/>
      <c r="BD1095" s="42"/>
      <c r="BE1095" s="42"/>
      <c r="BF1095" s="42"/>
      <c r="BG1095" s="42"/>
      <c r="BH1095" s="42"/>
      <c r="BI1095" s="42"/>
      <c r="BJ1095" s="42"/>
      <c r="BK1095" s="42"/>
      <c r="BL1095" s="42"/>
      <c r="BM1095" s="42"/>
      <c r="BN1095" s="42"/>
      <c r="BO1095" s="42"/>
      <c r="BQ1095" s="42"/>
      <c r="BR1095" s="42"/>
      <c r="BS1095" s="42"/>
      <c r="BT1095" s="42"/>
      <c r="BU1095" s="42"/>
      <c r="BV1095" s="42"/>
      <c r="BW1095" s="42"/>
      <c r="BX1095" s="42"/>
      <c r="BY1095" s="42"/>
      <c r="BZ1095" s="42"/>
      <c r="CA1095" s="42"/>
      <c r="CB1095" s="42"/>
      <c r="CC1095" s="42"/>
      <c r="CD1095" s="42"/>
      <c r="CE1095" s="42"/>
      <c r="CF1095" s="42"/>
      <c r="CG1095" s="42"/>
      <c r="CH1095" s="42"/>
      <c r="CI1095" s="42"/>
      <c r="CJ1095" s="42"/>
      <c r="CK1095" s="42"/>
      <c r="CL1095" s="42"/>
      <c r="CM1095" s="42"/>
      <c r="CN1095" s="42"/>
      <c r="CO1095" s="42"/>
      <c r="CQ1095" s="42"/>
      <c r="CR1095" s="42"/>
      <c r="CS1095" s="42"/>
      <c r="CT1095" s="42"/>
      <c r="CU1095" s="42"/>
      <c r="CV1095" s="42"/>
      <c r="CW1095" s="42"/>
      <c r="CX1095" s="42"/>
      <c r="CY1095" s="42"/>
      <c r="CZ1095" s="42"/>
      <c r="DA1095" s="42"/>
      <c r="DB1095" s="42"/>
      <c r="DC1095" s="42"/>
      <c r="DD1095" s="42"/>
      <c r="DE1095" s="42"/>
      <c r="DF1095" s="42"/>
      <c r="DG1095" s="42"/>
      <c r="DH1095" s="42"/>
      <c r="DI1095" s="42"/>
      <c r="DJ1095" s="42"/>
      <c r="DK1095" s="42"/>
      <c r="DL1095" s="42"/>
      <c r="DM1095" s="42"/>
      <c r="DN1095" s="42"/>
      <c r="DO1095" s="42"/>
    </row>
    <row r="1096" spans="2:119" x14ac:dyDescent="0.45">
      <c r="B1096" s="99"/>
      <c r="C1096" s="42"/>
      <c r="D1096" s="42"/>
      <c r="E1096" s="42"/>
      <c r="F1096" s="42"/>
      <c r="G1096" s="42"/>
      <c r="H1096" s="42"/>
      <c r="I1096" s="42"/>
      <c r="J1096" s="42"/>
      <c r="K1096" s="42"/>
      <c r="L1096" s="42"/>
      <c r="M1096" s="42"/>
      <c r="N1096" s="42"/>
      <c r="O1096" s="42"/>
      <c r="P1096" s="42"/>
      <c r="Q1096" s="42"/>
      <c r="R1096" s="42"/>
      <c r="S1096" s="42"/>
      <c r="T1096" s="42"/>
      <c r="U1096" s="42"/>
      <c r="V1096" s="42"/>
      <c r="W1096" s="42"/>
      <c r="X1096" s="42"/>
      <c r="Y1096" s="42"/>
      <c r="Z1096" s="42"/>
      <c r="AA1096" s="42"/>
      <c r="AB1096" s="42"/>
      <c r="AC1096" s="42"/>
      <c r="AD1096" s="42"/>
      <c r="AE1096" s="42"/>
      <c r="AF1096" s="42"/>
      <c r="AG1096" s="42"/>
      <c r="AH1096" s="42"/>
      <c r="AI1096" s="42"/>
      <c r="AJ1096" s="42"/>
      <c r="AK1096" s="42"/>
      <c r="AL1096" s="42"/>
      <c r="AM1096" s="42"/>
      <c r="AN1096" s="42"/>
      <c r="AO1096" s="42"/>
      <c r="AQ1096" s="42"/>
      <c r="AR1096" s="42"/>
      <c r="AS1096" s="42"/>
      <c r="AT1096" s="42"/>
      <c r="AU1096" s="42"/>
      <c r="AV1096" s="42"/>
      <c r="AW1096" s="42"/>
      <c r="AX1096" s="42"/>
      <c r="AY1096" s="42"/>
      <c r="AZ1096" s="42"/>
      <c r="BA1096" s="42"/>
      <c r="BB1096" s="42"/>
      <c r="BC1096" s="42"/>
      <c r="BD1096" s="42"/>
      <c r="BE1096" s="42"/>
      <c r="BF1096" s="42"/>
      <c r="BG1096" s="42"/>
      <c r="BH1096" s="42"/>
      <c r="BI1096" s="42"/>
      <c r="BJ1096" s="42"/>
      <c r="BK1096" s="42"/>
      <c r="BL1096" s="42"/>
      <c r="BM1096" s="42"/>
      <c r="BN1096" s="42"/>
      <c r="BO1096" s="42"/>
      <c r="BQ1096" s="42"/>
      <c r="BR1096" s="42"/>
      <c r="BS1096" s="42"/>
      <c r="BT1096" s="42"/>
      <c r="BU1096" s="42"/>
      <c r="BV1096" s="42"/>
      <c r="BW1096" s="42"/>
      <c r="BX1096" s="42"/>
      <c r="BY1096" s="42"/>
      <c r="BZ1096" s="42"/>
      <c r="CA1096" s="42"/>
      <c r="CB1096" s="42"/>
      <c r="CC1096" s="42"/>
      <c r="CD1096" s="42"/>
      <c r="CE1096" s="42"/>
      <c r="CF1096" s="42"/>
      <c r="CG1096" s="42"/>
      <c r="CH1096" s="42"/>
      <c r="CI1096" s="42"/>
      <c r="CJ1096" s="42"/>
      <c r="CK1096" s="42"/>
      <c r="CL1096" s="42"/>
      <c r="CM1096" s="42"/>
      <c r="CN1096" s="42"/>
      <c r="CO1096" s="42"/>
      <c r="CQ1096" s="42"/>
      <c r="CR1096" s="42"/>
      <c r="CS1096" s="42"/>
      <c r="CT1096" s="42"/>
      <c r="CU1096" s="42"/>
      <c r="CV1096" s="42"/>
      <c r="CW1096" s="42"/>
      <c r="CX1096" s="42"/>
      <c r="CY1096" s="42"/>
      <c r="CZ1096" s="42"/>
      <c r="DA1096" s="42"/>
      <c r="DB1096" s="42"/>
      <c r="DC1096" s="42"/>
      <c r="DD1096" s="42"/>
      <c r="DE1096" s="42"/>
      <c r="DF1096" s="42"/>
      <c r="DG1096" s="42"/>
      <c r="DH1096" s="42"/>
      <c r="DI1096" s="42"/>
      <c r="DJ1096" s="42"/>
      <c r="DK1096" s="42"/>
      <c r="DL1096" s="42"/>
      <c r="DM1096" s="42"/>
      <c r="DN1096" s="42"/>
      <c r="DO1096" s="42"/>
    </row>
    <row r="1097" spans="2:119" ht="18.75" customHeight="1" x14ac:dyDescent="0.55000000000000004">
      <c r="B1097" s="99"/>
      <c r="C1097" s="42"/>
      <c r="D1097" s="112" t="s">
        <v>24</v>
      </c>
      <c r="E1097" s="112"/>
      <c r="F1097" s="45"/>
      <c r="G1097" s="45"/>
      <c r="H1097" s="45"/>
      <c r="I1097" s="45"/>
      <c r="J1097" s="45"/>
      <c r="K1097" s="45"/>
      <c r="L1097" s="45"/>
      <c r="M1097" s="45"/>
      <c r="N1097" s="45"/>
      <c r="O1097" s="45"/>
      <c r="P1097" s="42"/>
      <c r="Q1097" s="112" t="s">
        <v>24</v>
      </c>
      <c r="R1097" s="112"/>
      <c r="S1097" s="45"/>
      <c r="T1097" s="45"/>
      <c r="U1097" s="45"/>
      <c r="V1097" s="45"/>
      <c r="W1097" s="45"/>
      <c r="X1097" s="45"/>
      <c r="Y1097" s="45"/>
      <c r="Z1097" s="45"/>
      <c r="AA1097" s="45"/>
      <c r="AB1097" s="45"/>
      <c r="AC1097" s="42"/>
      <c r="AD1097" s="112" t="s">
        <v>24</v>
      </c>
      <c r="AE1097" s="112"/>
      <c r="AF1097" s="45"/>
      <c r="AG1097" s="45"/>
      <c r="AH1097" s="45"/>
      <c r="AI1097" s="45"/>
      <c r="AJ1097" s="45"/>
      <c r="AK1097" s="45"/>
      <c r="AL1097" s="45"/>
      <c r="AM1097" s="45"/>
      <c r="AN1097" s="45"/>
      <c r="AO1097" s="45"/>
      <c r="AP1097" s="6"/>
      <c r="AQ1097" s="112" t="s">
        <v>24</v>
      </c>
      <c r="AR1097" s="112"/>
      <c r="AS1097" s="45"/>
      <c r="AT1097" s="45"/>
      <c r="AU1097" s="45"/>
      <c r="AV1097" s="45"/>
      <c r="AW1097" s="45"/>
      <c r="AX1097" s="45"/>
      <c r="AY1097" s="45"/>
      <c r="AZ1097" s="45"/>
      <c r="BA1097" s="45"/>
      <c r="BB1097" s="45"/>
      <c r="BC1097" s="42"/>
      <c r="BD1097" s="112" t="s">
        <v>24</v>
      </c>
      <c r="BE1097" s="112"/>
      <c r="BF1097" s="45"/>
      <c r="BG1097" s="45"/>
      <c r="BH1097" s="45"/>
      <c r="BI1097" s="45"/>
      <c r="BJ1097" s="45"/>
      <c r="BK1097" s="45"/>
      <c r="BL1097" s="45"/>
      <c r="BM1097" s="45"/>
      <c r="BN1097" s="45"/>
      <c r="BO1097" s="45"/>
      <c r="BQ1097" s="112" t="s">
        <v>24</v>
      </c>
      <c r="BR1097" s="112"/>
      <c r="BS1097" s="45"/>
      <c r="BT1097" s="45"/>
      <c r="BU1097" s="45"/>
      <c r="BV1097" s="45"/>
      <c r="BW1097" s="45"/>
      <c r="BX1097" s="45"/>
      <c r="BY1097" s="45"/>
      <c r="BZ1097" s="45"/>
      <c r="CA1097" s="45"/>
      <c r="CB1097" s="45"/>
      <c r="CC1097" s="42"/>
      <c r="CD1097" s="112" t="s">
        <v>24</v>
      </c>
      <c r="CE1097" s="112"/>
      <c r="CF1097" s="45"/>
      <c r="CG1097" s="45"/>
      <c r="CH1097" s="45"/>
      <c r="CI1097" s="45"/>
      <c r="CJ1097" s="45"/>
      <c r="CK1097" s="45"/>
      <c r="CL1097" s="45"/>
      <c r="CM1097" s="45"/>
      <c r="CN1097" s="45"/>
      <c r="CO1097" s="45"/>
      <c r="CQ1097" s="112" t="s">
        <v>24</v>
      </c>
      <c r="CR1097" s="112"/>
      <c r="CS1097" s="45"/>
      <c r="CT1097" s="45"/>
      <c r="CU1097" s="45"/>
      <c r="CV1097" s="45"/>
      <c r="CW1097" s="45"/>
      <c r="CX1097" s="45"/>
      <c r="CY1097" s="45"/>
      <c r="CZ1097" s="45"/>
      <c r="DA1097" s="45"/>
      <c r="DB1097" s="45"/>
      <c r="DC1097" s="42"/>
      <c r="DD1097" s="112" t="s">
        <v>24</v>
      </c>
      <c r="DE1097" s="112"/>
      <c r="DF1097" s="45"/>
      <c r="DG1097" s="45"/>
      <c r="DH1097" s="45"/>
      <c r="DI1097" s="45"/>
      <c r="DJ1097" s="45"/>
      <c r="DK1097" s="45"/>
      <c r="DL1097" s="45"/>
      <c r="DM1097" s="45"/>
      <c r="DN1097" s="45"/>
      <c r="DO1097" s="45"/>
    </row>
    <row r="1098" spans="2:119" ht="28.9" customHeight="1" x14ac:dyDescent="0.45">
      <c r="B1098" s="99"/>
      <c r="C1098" s="42"/>
      <c r="D1098" s="112"/>
      <c r="E1098" s="112"/>
      <c r="F1098" s="108" t="s">
        <v>12</v>
      </c>
      <c r="G1098" s="108"/>
      <c r="H1098" s="108"/>
      <c r="I1098" s="108"/>
      <c r="J1098" s="108"/>
      <c r="K1098" s="108"/>
      <c r="L1098" s="108"/>
      <c r="M1098" s="108"/>
      <c r="N1098" s="108"/>
      <c r="O1098" s="108"/>
      <c r="P1098" s="42"/>
      <c r="Q1098" s="112"/>
      <c r="R1098" s="112"/>
      <c r="S1098" s="108" t="s">
        <v>12</v>
      </c>
      <c r="T1098" s="108"/>
      <c r="U1098" s="108"/>
      <c r="V1098" s="108"/>
      <c r="W1098" s="108"/>
      <c r="X1098" s="108"/>
      <c r="Y1098" s="108"/>
      <c r="Z1098" s="108"/>
      <c r="AA1098" s="108"/>
      <c r="AB1098" s="108"/>
      <c r="AC1098" s="42"/>
      <c r="AD1098" s="112"/>
      <c r="AE1098" s="112"/>
      <c r="AF1098" s="108" t="s">
        <v>12</v>
      </c>
      <c r="AG1098" s="108"/>
      <c r="AH1098" s="108"/>
      <c r="AI1098" s="108"/>
      <c r="AJ1098" s="108"/>
      <c r="AK1098" s="108"/>
      <c r="AL1098" s="108"/>
      <c r="AM1098" s="108"/>
      <c r="AN1098" s="108"/>
      <c r="AO1098" s="108"/>
      <c r="AP1098" s="6"/>
      <c r="AQ1098" s="112"/>
      <c r="AR1098" s="112"/>
      <c r="AS1098" s="108" t="s">
        <v>12</v>
      </c>
      <c r="AT1098" s="108"/>
      <c r="AU1098" s="108"/>
      <c r="AV1098" s="108"/>
      <c r="AW1098" s="108"/>
      <c r="AX1098" s="108"/>
      <c r="AY1098" s="108"/>
      <c r="AZ1098" s="108"/>
      <c r="BA1098" s="108"/>
      <c r="BB1098" s="108"/>
      <c r="BC1098" s="42"/>
      <c r="BD1098" s="112"/>
      <c r="BE1098" s="112"/>
      <c r="BF1098" s="108" t="s">
        <v>12</v>
      </c>
      <c r="BG1098" s="108"/>
      <c r="BH1098" s="108"/>
      <c r="BI1098" s="108"/>
      <c r="BJ1098" s="108"/>
      <c r="BK1098" s="108"/>
      <c r="BL1098" s="108"/>
      <c r="BM1098" s="108"/>
      <c r="BN1098" s="108"/>
      <c r="BO1098" s="108"/>
      <c r="BQ1098" s="112"/>
      <c r="BR1098" s="112"/>
      <c r="BS1098" s="108" t="s">
        <v>12</v>
      </c>
      <c r="BT1098" s="108"/>
      <c r="BU1098" s="108"/>
      <c r="BV1098" s="108"/>
      <c r="BW1098" s="108"/>
      <c r="BX1098" s="108"/>
      <c r="BY1098" s="108"/>
      <c r="BZ1098" s="108"/>
      <c r="CA1098" s="108"/>
      <c r="CB1098" s="108"/>
      <c r="CC1098" s="42"/>
      <c r="CD1098" s="112"/>
      <c r="CE1098" s="112"/>
      <c r="CF1098" s="108" t="s">
        <v>12</v>
      </c>
      <c r="CG1098" s="108"/>
      <c r="CH1098" s="108"/>
      <c r="CI1098" s="108"/>
      <c r="CJ1098" s="108"/>
      <c r="CK1098" s="108"/>
      <c r="CL1098" s="108"/>
      <c r="CM1098" s="108"/>
      <c r="CN1098" s="108"/>
      <c r="CO1098" s="108"/>
      <c r="CQ1098" s="112"/>
      <c r="CR1098" s="112"/>
      <c r="CS1098" s="108" t="s">
        <v>12</v>
      </c>
      <c r="CT1098" s="108"/>
      <c r="CU1098" s="108"/>
      <c r="CV1098" s="108"/>
      <c r="CW1098" s="108"/>
      <c r="CX1098" s="108"/>
      <c r="CY1098" s="108"/>
      <c r="CZ1098" s="108"/>
      <c r="DA1098" s="108"/>
      <c r="DB1098" s="108"/>
      <c r="DC1098" s="42"/>
      <c r="DD1098" s="112"/>
      <c r="DE1098" s="112"/>
      <c r="DF1098" s="108" t="s">
        <v>12</v>
      </c>
      <c r="DG1098" s="108"/>
      <c r="DH1098" s="108"/>
      <c r="DI1098" s="108"/>
      <c r="DJ1098" s="108"/>
      <c r="DK1098" s="108"/>
      <c r="DL1098" s="108"/>
      <c r="DM1098" s="108"/>
      <c r="DN1098" s="108"/>
      <c r="DO1098" s="108"/>
    </row>
    <row r="1099" spans="2:119" ht="15" customHeight="1" x14ac:dyDescent="0.45">
      <c r="B1099" s="99"/>
      <c r="C1099" s="42"/>
      <c r="D1099" s="113"/>
      <c r="E1099" s="113"/>
      <c r="F1099" s="9" t="s">
        <v>0</v>
      </c>
      <c r="G1099" s="9">
        <v>1</v>
      </c>
      <c r="H1099" s="9">
        <v>2</v>
      </c>
      <c r="I1099" s="9">
        <v>3</v>
      </c>
      <c r="J1099" s="9">
        <v>4</v>
      </c>
      <c r="K1099" s="9">
        <v>5</v>
      </c>
      <c r="L1099" s="9">
        <v>6</v>
      </c>
      <c r="M1099" s="9">
        <v>7</v>
      </c>
      <c r="N1099" s="9">
        <v>8</v>
      </c>
      <c r="O1099" s="9">
        <v>9</v>
      </c>
      <c r="P1099" s="42"/>
      <c r="Q1099" s="113"/>
      <c r="R1099" s="113"/>
      <c r="S1099" s="9" t="s">
        <v>0</v>
      </c>
      <c r="T1099" s="9">
        <v>1</v>
      </c>
      <c r="U1099" s="9">
        <v>2</v>
      </c>
      <c r="V1099" s="9">
        <v>3</v>
      </c>
      <c r="W1099" s="9">
        <v>4</v>
      </c>
      <c r="X1099" s="9">
        <v>5</v>
      </c>
      <c r="Y1099" s="9">
        <v>6</v>
      </c>
      <c r="Z1099" s="9">
        <v>7</v>
      </c>
      <c r="AA1099" s="9">
        <v>8</v>
      </c>
      <c r="AB1099" s="9">
        <v>9</v>
      </c>
      <c r="AC1099" s="42"/>
      <c r="AD1099" s="113"/>
      <c r="AE1099" s="113"/>
      <c r="AF1099" s="9" t="s">
        <v>0</v>
      </c>
      <c r="AG1099" s="9">
        <v>1</v>
      </c>
      <c r="AH1099" s="9">
        <v>2</v>
      </c>
      <c r="AI1099" s="9">
        <v>3</v>
      </c>
      <c r="AJ1099" s="9">
        <v>4</v>
      </c>
      <c r="AK1099" s="9">
        <v>5</v>
      </c>
      <c r="AL1099" s="9">
        <v>6</v>
      </c>
      <c r="AM1099" s="9">
        <v>7</v>
      </c>
      <c r="AN1099" s="9">
        <v>8</v>
      </c>
      <c r="AO1099" s="9">
        <v>9</v>
      </c>
      <c r="AP1099" s="6"/>
      <c r="AQ1099" s="113"/>
      <c r="AR1099" s="113"/>
      <c r="AS1099" s="9" t="s">
        <v>0</v>
      </c>
      <c r="AT1099" s="9">
        <v>1</v>
      </c>
      <c r="AU1099" s="9">
        <v>2</v>
      </c>
      <c r="AV1099" s="9">
        <v>3</v>
      </c>
      <c r="AW1099" s="9">
        <v>4</v>
      </c>
      <c r="AX1099" s="9">
        <v>5</v>
      </c>
      <c r="AY1099" s="9">
        <v>6</v>
      </c>
      <c r="AZ1099" s="9">
        <v>7</v>
      </c>
      <c r="BA1099" s="9">
        <v>8</v>
      </c>
      <c r="BB1099" s="9">
        <v>9</v>
      </c>
      <c r="BC1099" s="42"/>
      <c r="BD1099" s="113"/>
      <c r="BE1099" s="113"/>
      <c r="BF1099" s="9" t="s">
        <v>0</v>
      </c>
      <c r="BG1099" s="9">
        <v>1</v>
      </c>
      <c r="BH1099" s="9">
        <v>2</v>
      </c>
      <c r="BI1099" s="9">
        <v>3</v>
      </c>
      <c r="BJ1099" s="9">
        <v>4</v>
      </c>
      <c r="BK1099" s="9">
        <v>5</v>
      </c>
      <c r="BL1099" s="9">
        <v>6</v>
      </c>
      <c r="BM1099" s="9">
        <v>7</v>
      </c>
      <c r="BN1099" s="9">
        <v>8</v>
      </c>
      <c r="BO1099" s="9">
        <v>9</v>
      </c>
      <c r="BQ1099" s="113"/>
      <c r="BR1099" s="113"/>
      <c r="BS1099" s="9" t="s">
        <v>0</v>
      </c>
      <c r="BT1099" s="9">
        <v>1</v>
      </c>
      <c r="BU1099" s="9">
        <v>2</v>
      </c>
      <c r="BV1099" s="9">
        <v>3</v>
      </c>
      <c r="BW1099" s="9">
        <v>4</v>
      </c>
      <c r="BX1099" s="9">
        <v>5</v>
      </c>
      <c r="BY1099" s="9">
        <v>6</v>
      </c>
      <c r="BZ1099" s="9">
        <v>7</v>
      </c>
      <c r="CA1099" s="9">
        <v>8</v>
      </c>
      <c r="CB1099" s="9">
        <v>9</v>
      </c>
      <c r="CC1099" s="42"/>
      <c r="CD1099" s="113"/>
      <c r="CE1099" s="113"/>
      <c r="CF1099" s="9" t="s">
        <v>0</v>
      </c>
      <c r="CG1099" s="9">
        <v>1</v>
      </c>
      <c r="CH1099" s="9">
        <v>2</v>
      </c>
      <c r="CI1099" s="9">
        <v>3</v>
      </c>
      <c r="CJ1099" s="9">
        <v>4</v>
      </c>
      <c r="CK1099" s="9">
        <v>5</v>
      </c>
      <c r="CL1099" s="9">
        <v>6</v>
      </c>
      <c r="CM1099" s="9">
        <v>7</v>
      </c>
      <c r="CN1099" s="9">
        <v>8</v>
      </c>
      <c r="CO1099" s="9">
        <v>9</v>
      </c>
      <c r="CQ1099" s="113"/>
      <c r="CR1099" s="113"/>
      <c r="CS1099" s="9" t="s">
        <v>0</v>
      </c>
      <c r="CT1099" s="9">
        <v>1</v>
      </c>
      <c r="CU1099" s="9">
        <v>2</v>
      </c>
      <c r="CV1099" s="9">
        <v>3</v>
      </c>
      <c r="CW1099" s="9">
        <v>4</v>
      </c>
      <c r="CX1099" s="9">
        <v>5</v>
      </c>
      <c r="CY1099" s="9">
        <v>6</v>
      </c>
      <c r="CZ1099" s="9">
        <v>7</v>
      </c>
      <c r="DA1099" s="9">
        <v>8</v>
      </c>
      <c r="DB1099" s="9">
        <v>9</v>
      </c>
      <c r="DC1099" s="42"/>
      <c r="DD1099" s="113"/>
      <c r="DE1099" s="113"/>
      <c r="DF1099" s="9" t="s">
        <v>0</v>
      </c>
      <c r="DG1099" s="9">
        <v>1</v>
      </c>
      <c r="DH1099" s="9">
        <v>2</v>
      </c>
      <c r="DI1099" s="9">
        <v>3</v>
      </c>
      <c r="DJ1099" s="9">
        <v>4</v>
      </c>
      <c r="DK1099" s="9">
        <v>5</v>
      </c>
      <c r="DL1099" s="9">
        <v>6</v>
      </c>
      <c r="DM1099" s="9">
        <v>7</v>
      </c>
      <c r="DN1099" s="9">
        <v>8</v>
      </c>
      <c r="DO1099" s="9">
        <v>9</v>
      </c>
    </row>
    <row r="1100" spans="2:119" ht="16.25" customHeight="1" x14ac:dyDescent="0.45">
      <c r="B1100" s="134" t="s">
        <v>47</v>
      </c>
      <c r="C1100" s="42"/>
      <c r="D1100" s="109" t="s">
        <v>13</v>
      </c>
      <c r="E1100" s="46" t="s">
        <v>1</v>
      </c>
      <c r="F1100" s="103">
        <v>0</v>
      </c>
      <c r="G1100" s="103">
        <v>0</v>
      </c>
      <c r="H1100" s="103">
        <v>1</v>
      </c>
      <c r="I1100" s="103">
        <v>1</v>
      </c>
      <c r="J1100" s="103">
        <v>0</v>
      </c>
      <c r="K1100" s="103">
        <v>0</v>
      </c>
      <c r="L1100" s="103">
        <v>0</v>
      </c>
      <c r="M1100" s="103">
        <v>0</v>
      </c>
      <c r="N1100" s="103">
        <v>0</v>
      </c>
      <c r="O1100" s="17">
        <v>0</v>
      </c>
      <c r="P1100" s="42"/>
      <c r="Q1100" s="109" t="s">
        <v>13</v>
      </c>
      <c r="R1100" s="46" t="s">
        <v>1</v>
      </c>
      <c r="S1100" s="103">
        <v>0</v>
      </c>
      <c r="T1100" s="103">
        <v>0</v>
      </c>
      <c r="U1100" s="103">
        <v>0</v>
      </c>
      <c r="V1100" s="103">
        <v>0</v>
      </c>
      <c r="W1100" s="103">
        <v>0</v>
      </c>
      <c r="X1100" s="103">
        <v>0</v>
      </c>
      <c r="Y1100" s="103">
        <v>0</v>
      </c>
      <c r="Z1100" s="103">
        <v>0</v>
      </c>
      <c r="AA1100" s="103">
        <v>0</v>
      </c>
      <c r="AB1100" s="17">
        <v>0</v>
      </c>
      <c r="AC1100" s="42"/>
      <c r="AD1100" s="109" t="s">
        <v>13</v>
      </c>
      <c r="AE1100" s="46" t="s">
        <v>1</v>
      </c>
      <c r="AF1100" s="103">
        <v>0</v>
      </c>
      <c r="AG1100" s="103">
        <v>0</v>
      </c>
      <c r="AH1100" s="103">
        <v>1</v>
      </c>
      <c r="AI1100" s="103">
        <v>1</v>
      </c>
      <c r="AJ1100" s="103">
        <v>0</v>
      </c>
      <c r="AK1100" s="103">
        <v>0</v>
      </c>
      <c r="AL1100" s="103">
        <v>0</v>
      </c>
      <c r="AM1100" s="103">
        <v>0</v>
      </c>
      <c r="AN1100" s="103">
        <v>0</v>
      </c>
      <c r="AO1100" s="17">
        <v>0</v>
      </c>
      <c r="AP1100" s="6"/>
      <c r="AQ1100" s="109" t="s">
        <v>13</v>
      </c>
      <c r="AR1100" s="46" t="s">
        <v>1</v>
      </c>
      <c r="AS1100" s="103">
        <v>0</v>
      </c>
      <c r="AT1100" s="103">
        <v>0</v>
      </c>
      <c r="AU1100" s="103">
        <v>0</v>
      </c>
      <c r="AV1100" s="103">
        <v>0</v>
      </c>
      <c r="AW1100" s="103">
        <v>0</v>
      </c>
      <c r="AX1100" s="103">
        <v>0</v>
      </c>
      <c r="AY1100" s="103">
        <v>0</v>
      </c>
      <c r="AZ1100" s="103">
        <v>0</v>
      </c>
      <c r="BA1100" s="103">
        <v>0</v>
      </c>
      <c r="BB1100" s="17">
        <v>0</v>
      </c>
      <c r="BC1100" s="42"/>
      <c r="BD1100" s="109" t="s">
        <v>13</v>
      </c>
      <c r="BE1100" s="46" t="s">
        <v>1</v>
      </c>
      <c r="BF1100" s="103">
        <v>0</v>
      </c>
      <c r="BG1100" s="103">
        <v>0</v>
      </c>
      <c r="BH1100" s="103">
        <v>1</v>
      </c>
      <c r="BI1100" s="103">
        <v>1</v>
      </c>
      <c r="BJ1100" s="103">
        <v>0</v>
      </c>
      <c r="BK1100" s="103">
        <v>0</v>
      </c>
      <c r="BL1100" s="103">
        <v>0</v>
      </c>
      <c r="BM1100" s="103">
        <v>0</v>
      </c>
      <c r="BN1100" s="103">
        <v>0</v>
      </c>
      <c r="BO1100" s="17">
        <v>0</v>
      </c>
      <c r="BQ1100" s="109" t="s">
        <v>13</v>
      </c>
      <c r="BR1100" s="46" t="s">
        <v>1</v>
      </c>
      <c r="BS1100" s="103">
        <v>0</v>
      </c>
      <c r="BT1100" s="103">
        <v>0</v>
      </c>
      <c r="BU1100" s="103">
        <v>0</v>
      </c>
      <c r="BV1100" s="103">
        <v>0</v>
      </c>
      <c r="BW1100" s="103">
        <v>0</v>
      </c>
      <c r="BX1100" s="103">
        <v>0</v>
      </c>
      <c r="BY1100" s="103">
        <v>0</v>
      </c>
      <c r="BZ1100" s="103">
        <v>0</v>
      </c>
      <c r="CA1100" s="103">
        <v>0</v>
      </c>
      <c r="CB1100" s="17">
        <v>0</v>
      </c>
      <c r="CC1100" s="42"/>
      <c r="CD1100" s="109" t="s">
        <v>13</v>
      </c>
      <c r="CE1100" s="46" t="s">
        <v>1</v>
      </c>
      <c r="CF1100" s="103">
        <v>0</v>
      </c>
      <c r="CG1100" s="103">
        <v>0</v>
      </c>
      <c r="CH1100" s="103">
        <v>1</v>
      </c>
      <c r="CI1100" s="103">
        <v>1</v>
      </c>
      <c r="CJ1100" s="103">
        <v>0</v>
      </c>
      <c r="CK1100" s="103">
        <v>0</v>
      </c>
      <c r="CL1100" s="103">
        <v>0</v>
      </c>
      <c r="CM1100" s="103">
        <v>0</v>
      </c>
      <c r="CN1100" s="103">
        <v>0</v>
      </c>
      <c r="CO1100" s="17">
        <v>0</v>
      </c>
      <c r="CQ1100" s="109" t="s">
        <v>13</v>
      </c>
      <c r="CR1100" s="46" t="s">
        <v>1</v>
      </c>
      <c r="CS1100" s="103">
        <v>0</v>
      </c>
      <c r="CT1100" s="103">
        <v>0</v>
      </c>
      <c r="CU1100" s="103">
        <v>1</v>
      </c>
      <c r="CV1100" s="103">
        <v>1</v>
      </c>
      <c r="CW1100" s="103">
        <v>0</v>
      </c>
      <c r="CX1100" s="103">
        <v>0</v>
      </c>
      <c r="CY1100" s="103">
        <v>0</v>
      </c>
      <c r="CZ1100" s="103">
        <v>0</v>
      </c>
      <c r="DA1100" s="103">
        <v>0</v>
      </c>
      <c r="DB1100" s="17">
        <v>0</v>
      </c>
      <c r="DC1100" s="42"/>
      <c r="DD1100" s="109" t="s">
        <v>13</v>
      </c>
      <c r="DE1100" s="46" t="s">
        <v>1</v>
      </c>
      <c r="DF1100" s="103">
        <v>0</v>
      </c>
      <c r="DG1100" s="103">
        <v>0</v>
      </c>
      <c r="DH1100" s="103">
        <v>0</v>
      </c>
      <c r="DI1100" s="103">
        <v>0</v>
      </c>
      <c r="DJ1100" s="103">
        <v>0</v>
      </c>
      <c r="DK1100" s="103">
        <v>0</v>
      </c>
      <c r="DL1100" s="103">
        <v>0</v>
      </c>
      <c r="DM1100" s="103">
        <v>0</v>
      </c>
      <c r="DN1100" s="103">
        <v>0</v>
      </c>
      <c r="DO1100" s="17">
        <v>0</v>
      </c>
    </row>
    <row r="1101" spans="2:119" ht="16.25" customHeight="1" x14ac:dyDescent="0.45">
      <c r="B1101" s="134"/>
      <c r="C1101" s="42"/>
      <c r="D1101" s="110"/>
      <c r="E1101" s="46">
        <v>1</v>
      </c>
      <c r="F1101" s="103">
        <v>1</v>
      </c>
      <c r="G1101" s="103">
        <v>0</v>
      </c>
      <c r="H1101" s="103">
        <v>0</v>
      </c>
      <c r="I1101" s="103">
        <v>1</v>
      </c>
      <c r="J1101" s="103">
        <v>0</v>
      </c>
      <c r="K1101" s="103">
        <v>0</v>
      </c>
      <c r="L1101" s="103">
        <v>0</v>
      </c>
      <c r="M1101" s="103">
        <v>0</v>
      </c>
      <c r="N1101" s="103">
        <v>0</v>
      </c>
      <c r="O1101" s="103">
        <v>0</v>
      </c>
      <c r="P1101" s="42"/>
      <c r="Q1101" s="110"/>
      <c r="R1101" s="46">
        <v>1</v>
      </c>
      <c r="S1101" s="103">
        <v>1</v>
      </c>
      <c r="T1101" s="103">
        <v>0</v>
      </c>
      <c r="U1101" s="103">
        <v>0</v>
      </c>
      <c r="V1101" s="103">
        <v>1</v>
      </c>
      <c r="W1101" s="103">
        <v>0</v>
      </c>
      <c r="X1101" s="103">
        <v>0</v>
      </c>
      <c r="Y1101" s="103">
        <v>0</v>
      </c>
      <c r="Z1101" s="103">
        <v>0</v>
      </c>
      <c r="AA1101" s="103">
        <v>0</v>
      </c>
      <c r="AB1101" s="103">
        <v>0</v>
      </c>
      <c r="AC1101" s="42"/>
      <c r="AD1101" s="110"/>
      <c r="AE1101" s="46">
        <v>1</v>
      </c>
      <c r="AF1101" s="103">
        <v>0</v>
      </c>
      <c r="AG1101" s="103">
        <v>0</v>
      </c>
      <c r="AH1101" s="103">
        <v>0</v>
      </c>
      <c r="AI1101" s="103">
        <v>0</v>
      </c>
      <c r="AJ1101" s="103">
        <v>0</v>
      </c>
      <c r="AK1101" s="103">
        <v>0</v>
      </c>
      <c r="AL1101" s="103">
        <v>0</v>
      </c>
      <c r="AM1101" s="103">
        <v>0</v>
      </c>
      <c r="AN1101" s="103">
        <v>0</v>
      </c>
      <c r="AO1101" s="103">
        <v>0</v>
      </c>
      <c r="AP1101" s="6"/>
      <c r="AQ1101" s="110"/>
      <c r="AR1101" s="46">
        <v>1</v>
      </c>
      <c r="AS1101" s="103">
        <v>1</v>
      </c>
      <c r="AT1101" s="103">
        <v>0</v>
      </c>
      <c r="AU1101" s="103">
        <v>0</v>
      </c>
      <c r="AV1101" s="103">
        <v>1</v>
      </c>
      <c r="AW1101" s="103">
        <v>0</v>
      </c>
      <c r="AX1101" s="103">
        <v>0</v>
      </c>
      <c r="AY1101" s="103">
        <v>0</v>
      </c>
      <c r="AZ1101" s="103">
        <v>0</v>
      </c>
      <c r="BA1101" s="103">
        <v>0</v>
      </c>
      <c r="BB1101" s="103">
        <v>0</v>
      </c>
      <c r="BC1101" s="42"/>
      <c r="BD1101" s="110"/>
      <c r="BE1101" s="46">
        <v>1</v>
      </c>
      <c r="BF1101" s="103">
        <v>0</v>
      </c>
      <c r="BG1101" s="103">
        <v>0</v>
      </c>
      <c r="BH1101" s="103">
        <v>0</v>
      </c>
      <c r="BI1101" s="103">
        <v>0</v>
      </c>
      <c r="BJ1101" s="103">
        <v>0</v>
      </c>
      <c r="BK1101" s="103">
        <v>0</v>
      </c>
      <c r="BL1101" s="103">
        <v>0</v>
      </c>
      <c r="BM1101" s="103">
        <v>0</v>
      </c>
      <c r="BN1101" s="103">
        <v>0</v>
      </c>
      <c r="BO1101" s="103">
        <v>0</v>
      </c>
      <c r="BQ1101" s="110"/>
      <c r="BR1101" s="46">
        <v>1</v>
      </c>
      <c r="BS1101" s="103">
        <v>1</v>
      </c>
      <c r="BT1101" s="103">
        <v>0</v>
      </c>
      <c r="BU1101" s="103">
        <v>0</v>
      </c>
      <c r="BV1101" s="103">
        <v>1</v>
      </c>
      <c r="BW1101" s="103">
        <v>0</v>
      </c>
      <c r="BX1101" s="103">
        <v>0</v>
      </c>
      <c r="BY1101" s="103">
        <v>0</v>
      </c>
      <c r="BZ1101" s="103">
        <v>0</v>
      </c>
      <c r="CA1101" s="103">
        <v>0</v>
      </c>
      <c r="CB1101" s="103">
        <v>0</v>
      </c>
      <c r="CC1101" s="42"/>
      <c r="CD1101" s="110"/>
      <c r="CE1101" s="46">
        <v>1</v>
      </c>
      <c r="CF1101" s="103">
        <v>0</v>
      </c>
      <c r="CG1101" s="103">
        <v>0</v>
      </c>
      <c r="CH1101" s="103">
        <v>0</v>
      </c>
      <c r="CI1101" s="103">
        <v>0</v>
      </c>
      <c r="CJ1101" s="103">
        <v>0</v>
      </c>
      <c r="CK1101" s="103">
        <v>0</v>
      </c>
      <c r="CL1101" s="103">
        <v>0</v>
      </c>
      <c r="CM1101" s="103">
        <v>0</v>
      </c>
      <c r="CN1101" s="103">
        <v>0</v>
      </c>
      <c r="CO1101" s="103">
        <v>0</v>
      </c>
      <c r="CQ1101" s="110"/>
      <c r="CR1101" s="46">
        <v>1</v>
      </c>
      <c r="CS1101" s="103">
        <v>0</v>
      </c>
      <c r="CT1101" s="103">
        <v>0</v>
      </c>
      <c r="CU1101" s="103">
        <v>0</v>
      </c>
      <c r="CV1101" s="103">
        <v>1</v>
      </c>
      <c r="CW1101" s="103">
        <v>0</v>
      </c>
      <c r="CX1101" s="103">
        <v>0</v>
      </c>
      <c r="CY1101" s="103">
        <v>0</v>
      </c>
      <c r="CZ1101" s="103">
        <v>0</v>
      </c>
      <c r="DA1101" s="103">
        <v>0</v>
      </c>
      <c r="DB1101" s="103">
        <v>0</v>
      </c>
      <c r="DC1101" s="42"/>
      <c r="DD1101" s="110"/>
      <c r="DE1101" s="46">
        <v>1</v>
      </c>
      <c r="DF1101" s="103">
        <v>1</v>
      </c>
      <c r="DG1101" s="103">
        <v>0</v>
      </c>
      <c r="DH1101" s="103">
        <v>0</v>
      </c>
      <c r="DI1101" s="103">
        <v>0</v>
      </c>
      <c r="DJ1101" s="103">
        <v>0</v>
      </c>
      <c r="DK1101" s="103">
        <v>0</v>
      </c>
      <c r="DL1101" s="103">
        <v>0</v>
      </c>
      <c r="DM1101" s="103">
        <v>0</v>
      </c>
      <c r="DN1101" s="103">
        <v>0</v>
      </c>
      <c r="DO1101" s="103">
        <v>0</v>
      </c>
    </row>
    <row r="1102" spans="2:119" ht="16.25" customHeight="1" x14ac:dyDescent="0.45">
      <c r="B1102" s="134"/>
      <c r="C1102" s="42"/>
      <c r="D1102" s="110"/>
      <c r="E1102" s="46" t="s">
        <v>2</v>
      </c>
      <c r="F1102" s="103">
        <v>23</v>
      </c>
      <c r="G1102" s="103">
        <v>56</v>
      </c>
      <c r="H1102" s="103">
        <v>43</v>
      </c>
      <c r="I1102" s="103">
        <v>15</v>
      </c>
      <c r="J1102" s="103">
        <v>8</v>
      </c>
      <c r="K1102" s="103">
        <v>4</v>
      </c>
      <c r="L1102" s="103">
        <v>0</v>
      </c>
      <c r="M1102" s="103">
        <v>0</v>
      </c>
      <c r="N1102" s="103">
        <v>0</v>
      </c>
      <c r="O1102" s="103">
        <v>0</v>
      </c>
      <c r="P1102" s="42"/>
      <c r="Q1102" s="110"/>
      <c r="R1102" s="46" t="s">
        <v>2</v>
      </c>
      <c r="S1102" s="103">
        <v>6</v>
      </c>
      <c r="T1102" s="103">
        <v>23</v>
      </c>
      <c r="U1102" s="103">
        <v>18</v>
      </c>
      <c r="V1102" s="103">
        <v>7</v>
      </c>
      <c r="W1102" s="103">
        <v>3</v>
      </c>
      <c r="X1102" s="103">
        <v>1</v>
      </c>
      <c r="Y1102" s="103">
        <v>0</v>
      </c>
      <c r="Z1102" s="103">
        <v>0</v>
      </c>
      <c r="AA1102" s="103">
        <v>0</v>
      </c>
      <c r="AB1102" s="103">
        <v>0</v>
      </c>
      <c r="AC1102" s="42"/>
      <c r="AD1102" s="110"/>
      <c r="AE1102" s="46" t="s">
        <v>2</v>
      </c>
      <c r="AF1102" s="103">
        <v>17</v>
      </c>
      <c r="AG1102" s="103">
        <v>33</v>
      </c>
      <c r="AH1102" s="103">
        <v>25</v>
      </c>
      <c r="AI1102" s="103">
        <v>8</v>
      </c>
      <c r="AJ1102" s="103">
        <v>5</v>
      </c>
      <c r="AK1102" s="103">
        <v>3</v>
      </c>
      <c r="AL1102" s="103">
        <v>0</v>
      </c>
      <c r="AM1102" s="103">
        <v>0</v>
      </c>
      <c r="AN1102" s="103">
        <v>0</v>
      </c>
      <c r="AO1102" s="103">
        <v>0</v>
      </c>
      <c r="AP1102" s="6"/>
      <c r="AQ1102" s="110"/>
      <c r="AR1102" s="46" t="s">
        <v>2</v>
      </c>
      <c r="AS1102" s="103">
        <v>15</v>
      </c>
      <c r="AT1102" s="103">
        <v>31</v>
      </c>
      <c r="AU1102" s="103">
        <v>22</v>
      </c>
      <c r="AV1102" s="103">
        <v>7</v>
      </c>
      <c r="AW1102" s="103">
        <v>1</v>
      </c>
      <c r="AX1102" s="103">
        <v>0</v>
      </c>
      <c r="AY1102" s="103">
        <v>0</v>
      </c>
      <c r="AZ1102" s="103">
        <v>0</v>
      </c>
      <c r="BA1102" s="103">
        <v>0</v>
      </c>
      <c r="BB1102" s="103">
        <v>0</v>
      </c>
      <c r="BC1102" s="42"/>
      <c r="BD1102" s="110"/>
      <c r="BE1102" s="46" t="s">
        <v>2</v>
      </c>
      <c r="BF1102" s="103">
        <v>8</v>
      </c>
      <c r="BG1102" s="103">
        <v>25</v>
      </c>
      <c r="BH1102" s="103">
        <v>21</v>
      </c>
      <c r="BI1102" s="103">
        <v>8</v>
      </c>
      <c r="BJ1102" s="103">
        <v>7</v>
      </c>
      <c r="BK1102" s="103">
        <v>4</v>
      </c>
      <c r="BL1102" s="103">
        <v>0</v>
      </c>
      <c r="BM1102" s="103">
        <v>0</v>
      </c>
      <c r="BN1102" s="103">
        <v>0</v>
      </c>
      <c r="BO1102" s="103">
        <v>0</v>
      </c>
      <c r="BQ1102" s="110"/>
      <c r="BR1102" s="46" t="s">
        <v>2</v>
      </c>
      <c r="BS1102" s="103">
        <v>18</v>
      </c>
      <c r="BT1102" s="103">
        <v>38</v>
      </c>
      <c r="BU1102" s="103">
        <v>32</v>
      </c>
      <c r="BV1102" s="103">
        <v>6</v>
      </c>
      <c r="BW1102" s="103">
        <v>2</v>
      </c>
      <c r="BX1102" s="103">
        <v>1</v>
      </c>
      <c r="BY1102" s="103">
        <v>0</v>
      </c>
      <c r="BZ1102" s="103">
        <v>0</v>
      </c>
      <c r="CA1102" s="103">
        <v>0</v>
      </c>
      <c r="CB1102" s="103">
        <v>0</v>
      </c>
      <c r="CC1102" s="42"/>
      <c r="CD1102" s="110"/>
      <c r="CE1102" s="46" t="s">
        <v>2</v>
      </c>
      <c r="CF1102" s="103">
        <v>5</v>
      </c>
      <c r="CG1102" s="103">
        <v>18</v>
      </c>
      <c r="CH1102" s="103">
        <v>11</v>
      </c>
      <c r="CI1102" s="103">
        <v>9</v>
      </c>
      <c r="CJ1102" s="103">
        <v>6</v>
      </c>
      <c r="CK1102" s="103">
        <v>3</v>
      </c>
      <c r="CL1102" s="103">
        <v>0</v>
      </c>
      <c r="CM1102" s="103">
        <v>0</v>
      </c>
      <c r="CN1102" s="103">
        <v>0</v>
      </c>
      <c r="CO1102" s="103">
        <v>0</v>
      </c>
      <c r="CQ1102" s="110"/>
      <c r="CR1102" s="46" t="s">
        <v>2</v>
      </c>
      <c r="CS1102" s="103">
        <v>6</v>
      </c>
      <c r="CT1102" s="103">
        <v>15</v>
      </c>
      <c r="CU1102" s="103">
        <v>12</v>
      </c>
      <c r="CV1102" s="103">
        <v>8</v>
      </c>
      <c r="CW1102" s="103">
        <v>7</v>
      </c>
      <c r="CX1102" s="103">
        <v>3</v>
      </c>
      <c r="CY1102" s="103">
        <v>0</v>
      </c>
      <c r="CZ1102" s="103">
        <v>0</v>
      </c>
      <c r="DA1102" s="103">
        <v>0</v>
      </c>
      <c r="DB1102" s="103">
        <v>0</v>
      </c>
      <c r="DC1102" s="42"/>
      <c r="DD1102" s="110"/>
      <c r="DE1102" s="46" t="s">
        <v>2</v>
      </c>
      <c r="DF1102" s="103">
        <v>17</v>
      </c>
      <c r="DG1102" s="103">
        <v>41</v>
      </c>
      <c r="DH1102" s="103">
        <v>31</v>
      </c>
      <c r="DI1102" s="103">
        <v>7</v>
      </c>
      <c r="DJ1102" s="103">
        <v>1</v>
      </c>
      <c r="DK1102" s="103">
        <v>1</v>
      </c>
      <c r="DL1102" s="103">
        <v>0</v>
      </c>
      <c r="DM1102" s="103">
        <v>0</v>
      </c>
      <c r="DN1102" s="103">
        <v>0</v>
      </c>
      <c r="DO1102" s="103">
        <v>0</v>
      </c>
    </row>
    <row r="1103" spans="2:119" ht="16.25" customHeight="1" x14ac:dyDescent="0.45">
      <c r="B1103" s="134"/>
      <c r="C1103" s="42"/>
      <c r="D1103" s="110"/>
      <c r="E1103" s="46" t="s">
        <v>3</v>
      </c>
      <c r="F1103" s="103">
        <v>5</v>
      </c>
      <c r="G1103" s="103">
        <v>27</v>
      </c>
      <c r="H1103" s="103">
        <v>31</v>
      </c>
      <c r="I1103" s="103">
        <v>12</v>
      </c>
      <c r="J1103" s="103">
        <v>1</v>
      </c>
      <c r="K1103" s="103">
        <v>1</v>
      </c>
      <c r="L1103" s="103">
        <v>1</v>
      </c>
      <c r="M1103" s="103">
        <v>2</v>
      </c>
      <c r="N1103" s="103">
        <v>0</v>
      </c>
      <c r="O1103" s="103">
        <v>0</v>
      </c>
      <c r="P1103" s="42"/>
      <c r="Q1103" s="110"/>
      <c r="R1103" s="46" t="s">
        <v>3</v>
      </c>
      <c r="S1103" s="103">
        <v>3</v>
      </c>
      <c r="T1103" s="103">
        <v>6</v>
      </c>
      <c r="U1103" s="103">
        <v>15</v>
      </c>
      <c r="V1103" s="103">
        <v>7</v>
      </c>
      <c r="W1103" s="103">
        <v>1</v>
      </c>
      <c r="X1103" s="103">
        <v>0</v>
      </c>
      <c r="Y1103" s="103">
        <v>0</v>
      </c>
      <c r="Z1103" s="103">
        <v>0</v>
      </c>
      <c r="AA1103" s="103">
        <v>0</v>
      </c>
      <c r="AB1103" s="103">
        <v>0</v>
      </c>
      <c r="AC1103" s="42"/>
      <c r="AD1103" s="110"/>
      <c r="AE1103" s="46" t="s">
        <v>3</v>
      </c>
      <c r="AF1103" s="103">
        <v>2</v>
      </c>
      <c r="AG1103" s="103">
        <v>21</v>
      </c>
      <c r="AH1103" s="103">
        <v>16</v>
      </c>
      <c r="AI1103" s="103">
        <v>5</v>
      </c>
      <c r="AJ1103" s="103">
        <v>0</v>
      </c>
      <c r="AK1103" s="103">
        <v>1</v>
      </c>
      <c r="AL1103" s="103">
        <v>1</v>
      </c>
      <c r="AM1103" s="103">
        <v>2</v>
      </c>
      <c r="AN1103" s="103">
        <v>0</v>
      </c>
      <c r="AO1103" s="103">
        <v>0</v>
      </c>
      <c r="AP1103" s="6"/>
      <c r="AQ1103" s="110"/>
      <c r="AR1103" s="46" t="s">
        <v>3</v>
      </c>
      <c r="AS1103" s="103">
        <v>3</v>
      </c>
      <c r="AT1103" s="103">
        <v>11</v>
      </c>
      <c r="AU1103" s="103">
        <v>16</v>
      </c>
      <c r="AV1103" s="103">
        <v>5</v>
      </c>
      <c r="AW1103" s="103">
        <v>0</v>
      </c>
      <c r="AX1103" s="103">
        <v>1</v>
      </c>
      <c r="AY1103" s="103">
        <v>0</v>
      </c>
      <c r="AZ1103" s="103">
        <v>0</v>
      </c>
      <c r="BA1103" s="103">
        <v>0</v>
      </c>
      <c r="BB1103" s="103">
        <v>0</v>
      </c>
      <c r="BC1103" s="42"/>
      <c r="BD1103" s="110"/>
      <c r="BE1103" s="46" t="s">
        <v>3</v>
      </c>
      <c r="BF1103" s="103">
        <v>2</v>
      </c>
      <c r="BG1103" s="103">
        <v>16</v>
      </c>
      <c r="BH1103" s="103">
        <v>15</v>
      </c>
      <c r="BI1103" s="103">
        <v>7</v>
      </c>
      <c r="BJ1103" s="103">
        <v>1</v>
      </c>
      <c r="BK1103" s="103">
        <v>0</v>
      </c>
      <c r="BL1103" s="103">
        <v>1</v>
      </c>
      <c r="BM1103" s="103">
        <v>2</v>
      </c>
      <c r="BN1103" s="103">
        <v>0</v>
      </c>
      <c r="BO1103" s="103">
        <v>0</v>
      </c>
      <c r="BQ1103" s="110"/>
      <c r="BR1103" s="46" t="s">
        <v>3</v>
      </c>
      <c r="BS1103" s="103">
        <v>1</v>
      </c>
      <c r="BT1103" s="103">
        <v>14</v>
      </c>
      <c r="BU1103" s="103">
        <v>13</v>
      </c>
      <c r="BV1103" s="103">
        <v>7</v>
      </c>
      <c r="BW1103" s="103">
        <v>0</v>
      </c>
      <c r="BX1103" s="103">
        <v>0</v>
      </c>
      <c r="BY1103" s="103">
        <v>0</v>
      </c>
      <c r="BZ1103" s="103">
        <v>0</v>
      </c>
      <c r="CA1103" s="103">
        <v>0</v>
      </c>
      <c r="CB1103" s="103">
        <v>0</v>
      </c>
      <c r="CC1103" s="42"/>
      <c r="CD1103" s="110"/>
      <c r="CE1103" s="46" t="s">
        <v>3</v>
      </c>
      <c r="CF1103" s="103">
        <v>4</v>
      </c>
      <c r="CG1103" s="103">
        <v>13</v>
      </c>
      <c r="CH1103" s="103">
        <v>18</v>
      </c>
      <c r="CI1103" s="103">
        <v>5</v>
      </c>
      <c r="CJ1103" s="103">
        <v>1</v>
      </c>
      <c r="CK1103" s="103">
        <v>1</v>
      </c>
      <c r="CL1103" s="103">
        <v>1</v>
      </c>
      <c r="CM1103" s="103">
        <v>2</v>
      </c>
      <c r="CN1103" s="103">
        <v>0</v>
      </c>
      <c r="CO1103" s="103">
        <v>0</v>
      </c>
      <c r="CQ1103" s="110"/>
      <c r="CR1103" s="46" t="s">
        <v>3</v>
      </c>
      <c r="CS1103" s="103">
        <v>0</v>
      </c>
      <c r="CT1103" s="103">
        <v>3</v>
      </c>
      <c r="CU1103" s="103">
        <v>5</v>
      </c>
      <c r="CV1103" s="103">
        <v>3</v>
      </c>
      <c r="CW1103" s="103">
        <v>1</v>
      </c>
      <c r="CX1103" s="103">
        <v>1</v>
      </c>
      <c r="CY1103" s="103">
        <v>1</v>
      </c>
      <c r="CZ1103" s="103">
        <v>2</v>
      </c>
      <c r="DA1103" s="103">
        <v>0</v>
      </c>
      <c r="DB1103" s="103">
        <v>0</v>
      </c>
      <c r="DC1103" s="42"/>
      <c r="DD1103" s="110"/>
      <c r="DE1103" s="46" t="s">
        <v>3</v>
      </c>
      <c r="DF1103" s="103">
        <v>5</v>
      </c>
      <c r="DG1103" s="103">
        <v>24</v>
      </c>
      <c r="DH1103" s="103">
        <v>26</v>
      </c>
      <c r="DI1103" s="103">
        <v>9</v>
      </c>
      <c r="DJ1103" s="103">
        <v>0</v>
      </c>
      <c r="DK1103" s="103">
        <v>0</v>
      </c>
      <c r="DL1103" s="103">
        <v>0</v>
      </c>
      <c r="DM1103" s="103">
        <v>0</v>
      </c>
      <c r="DN1103" s="103">
        <v>0</v>
      </c>
      <c r="DO1103" s="103">
        <v>0</v>
      </c>
    </row>
    <row r="1104" spans="2:119" ht="16.25" customHeight="1" x14ac:dyDescent="0.45">
      <c r="B1104" s="134"/>
      <c r="C1104" s="42"/>
      <c r="D1104" s="110"/>
      <c r="E1104" s="46" t="s">
        <v>4</v>
      </c>
      <c r="F1104" s="103">
        <v>5</v>
      </c>
      <c r="G1104" s="103">
        <v>39</v>
      </c>
      <c r="H1104" s="103">
        <v>61</v>
      </c>
      <c r="I1104" s="103">
        <v>32</v>
      </c>
      <c r="J1104" s="103">
        <v>12</v>
      </c>
      <c r="K1104" s="103">
        <v>5</v>
      </c>
      <c r="L1104" s="103">
        <v>1</v>
      </c>
      <c r="M1104" s="103">
        <v>1</v>
      </c>
      <c r="N1104" s="103">
        <v>0</v>
      </c>
      <c r="O1104" s="103">
        <v>0</v>
      </c>
      <c r="P1104" s="42"/>
      <c r="Q1104" s="110"/>
      <c r="R1104" s="46" t="s">
        <v>4</v>
      </c>
      <c r="S1104" s="103">
        <v>0</v>
      </c>
      <c r="T1104" s="103">
        <v>16</v>
      </c>
      <c r="U1104" s="103">
        <v>26</v>
      </c>
      <c r="V1104" s="103">
        <v>12</v>
      </c>
      <c r="W1104" s="103">
        <v>1</v>
      </c>
      <c r="X1104" s="103">
        <v>2</v>
      </c>
      <c r="Y1104" s="103">
        <v>1</v>
      </c>
      <c r="Z1104" s="103">
        <v>1</v>
      </c>
      <c r="AA1104" s="103">
        <v>0</v>
      </c>
      <c r="AB1104" s="103">
        <v>0</v>
      </c>
      <c r="AC1104" s="42"/>
      <c r="AD1104" s="110"/>
      <c r="AE1104" s="46" t="s">
        <v>4</v>
      </c>
      <c r="AF1104" s="103">
        <v>5</v>
      </c>
      <c r="AG1104" s="103">
        <v>23</v>
      </c>
      <c r="AH1104" s="103">
        <v>35</v>
      </c>
      <c r="AI1104" s="103">
        <v>20</v>
      </c>
      <c r="AJ1104" s="103">
        <v>11</v>
      </c>
      <c r="AK1104" s="103">
        <v>3</v>
      </c>
      <c r="AL1104" s="103">
        <v>0</v>
      </c>
      <c r="AM1104" s="103">
        <v>0</v>
      </c>
      <c r="AN1104" s="103">
        <v>0</v>
      </c>
      <c r="AO1104" s="103">
        <v>0</v>
      </c>
      <c r="AP1104" s="6"/>
      <c r="AQ1104" s="110"/>
      <c r="AR1104" s="46" t="s">
        <v>4</v>
      </c>
      <c r="AS1104" s="103">
        <v>3</v>
      </c>
      <c r="AT1104" s="103">
        <v>23</v>
      </c>
      <c r="AU1104" s="103">
        <v>30</v>
      </c>
      <c r="AV1104" s="103">
        <v>12</v>
      </c>
      <c r="AW1104" s="103">
        <v>3</v>
      </c>
      <c r="AX1104" s="103">
        <v>0</v>
      </c>
      <c r="AY1104" s="103">
        <v>0</v>
      </c>
      <c r="AZ1104" s="103">
        <v>0</v>
      </c>
      <c r="BA1104" s="103">
        <v>0</v>
      </c>
      <c r="BB1104" s="103">
        <v>0</v>
      </c>
      <c r="BC1104" s="42"/>
      <c r="BD1104" s="110"/>
      <c r="BE1104" s="46" t="s">
        <v>4</v>
      </c>
      <c r="BF1104" s="103">
        <v>2</v>
      </c>
      <c r="BG1104" s="103">
        <v>16</v>
      </c>
      <c r="BH1104" s="103">
        <v>31</v>
      </c>
      <c r="BI1104" s="103">
        <v>20</v>
      </c>
      <c r="BJ1104" s="103">
        <v>9</v>
      </c>
      <c r="BK1104" s="103">
        <v>5</v>
      </c>
      <c r="BL1104" s="103">
        <v>1</v>
      </c>
      <c r="BM1104" s="103">
        <v>1</v>
      </c>
      <c r="BN1104" s="103">
        <v>0</v>
      </c>
      <c r="BO1104" s="103">
        <v>0</v>
      </c>
      <c r="BQ1104" s="110"/>
      <c r="BR1104" s="46" t="s">
        <v>4</v>
      </c>
      <c r="BS1104" s="103">
        <v>2</v>
      </c>
      <c r="BT1104" s="103">
        <v>13</v>
      </c>
      <c r="BU1104" s="103">
        <v>31</v>
      </c>
      <c r="BV1104" s="103">
        <v>14</v>
      </c>
      <c r="BW1104" s="103">
        <v>8</v>
      </c>
      <c r="BX1104" s="103">
        <v>5</v>
      </c>
      <c r="BY1104" s="103">
        <v>0</v>
      </c>
      <c r="BZ1104" s="103">
        <v>0</v>
      </c>
      <c r="CA1104" s="103">
        <v>0</v>
      </c>
      <c r="CB1104" s="103">
        <v>0</v>
      </c>
      <c r="CC1104" s="42"/>
      <c r="CD1104" s="110"/>
      <c r="CE1104" s="46" t="s">
        <v>4</v>
      </c>
      <c r="CF1104" s="103">
        <v>3</v>
      </c>
      <c r="CG1104" s="103">
        <v>26</v>
      </c>
      <c r="CH1104" s="103">
        <v>30</v>
      </c>
      <c r="CI1104" s="103">
        <v>18</v>
      </c>
      <c r="CJ1104" s="103">
        <v>4</v>
      </c>
      <c r="CK1104" s="103">
        <v>0</v>
      </c>
      <c r="CL1104" s="103">
        <v>1</v>
      </c>
      <c r="CM1104" s="103">
        <v>1</v>
      </c>
      <c r="CN1104" s="103">
        <v>0</v>
      </c>
      <c r="CO1104" s="103">
        <v>0</v>
      </c>
      <c r="CQ1104" s="110"/>
      <c r="CR1104" s="46" t="s">
        <v>4</v>
      </c>
      <c r="CS1104" s="103">
        <v>2</v>
      </c>
      <c r="CT1104" s="103">
        <v>11</v>
      </c>
      <c r="CU1104" s="103">
        <v>20</v>
      </c>
      <c r="CV1104" s="103">
        <v>6</v>
      </c>
      <c r="CW1104" s="103">
        <v>3</v>
      </c>
      <c r="CX1104" s="103">
        <v>1</v>
      </c>
      <c r="CY1104" s="103">
        <v>1</v>
      </c>
      <c r="CZ1104" s="103">
        <v>1</v>
      </c>
      <c r="DA1104" s="103">
        <v>0</v>
      </c>
      <c r="DB1104" s="103">
        <v>0</v>
      </c>
      <c r="DC1104" s="42"/>
      <c r="DD1104" s="110"/>
      <c r="DE1104" s="46" t="s">
        <v>4</v>
      </c>
      <c r="DF1104" s="103">
        <v>3</v>
      </c>
      <c r="DG1104" s="103">
        <v>28</v>
      </c>
      <c r="DH1104" s="103">
        <v>41</v>
      </c>
      <c r="DI1104" s="103">
        <v>26</v>
      </c>
      <c r="DJ1104" s="103">
        <v>9</v>
      </c>
      <c r="DK1104" s="103">
        <v>4</v>
      </c>
      <c r="DL1104" s="103">
        <v>0</v>
      </c>
      <c r="DM1104" s="103">
        <v>0</v>
      </c>
      <c r="DN1104" s="103">
        <v>0</v>
      </c>
      <c r="DO1104" s="103">
        <v>0</v>
      </c>
    </row>
    <row r="1105" spans="2:119" ht="16.25" customHeight="1" x14ac:dyDescent="0.45">
      <c r="B1105" s="134"/>
      <c r="C1105" s="42"/>
      <c r="D1105" s="110"/>
      <c r="E1105" s="46" t="s">
        <v>5</v>
      </c>
      <c r="F1105" s="103">
        <v>16</v>
      </c>
      <c r="G1105" s="103">
        <v>60</v>
      </c>
      <c r="H1105" s="103">
        <v>126</v>
      </c>
      <c r="I1105" s="103">
        <v>76</v>
      </c>
      <c r="J1105" s="103">
        <v>28</v>
      </c>
      <c r="K1105" s="103">
        <v>11</v>
      </c>
      <c r="L1105" s="103">
        <v>2</v>
      </c>
      <c r="M1105" s="103">
        <v>0</v>
      </c>
      <c r="N1105" s="103">
        <v>0</v>
      </c>
      <c r="O1105" s="103">
        <v>1</v>
      </c>
      <c r="P1105" s="42"/>
      <c r="Q1105" s="110"/>
      <c r="R1105" s="46" t="s">
        <v>5</v>
      </c>
      <c r="S1105" s="103">
        <v>3</v>
      </c>
      <c r="T1105" s="103">
        <v>23</v>
      </c>
      <c r="U1105" s="103">
        <v>55</v>
      </c>
      <c r="V1105" s="103">
        <v>38</v>
      </c>
      <c r="W1105" s="103">
        <v>13</v>
      </c>
      <c r="X1105" s="103">
        <v>4</v>
      </c>
      <c r="Y1105" s="103">
        <v>0</v>
      </c>
      <c r="Z1105" s="103">
        <v>0</v>
      </c>
      <c r="AA1105" s="103">
        <v>0</v>
      </c>
      <c r="AB1105" s="103">
        <v>1</v>
      </c>
      <c r="AC1105" s="42"/>
      <c r="AD1105" s="110"/>
      <c r="AE1105" s="46" t="s">
        <v>5</v>
      </c>
      <c r="AF1105" s="103">
        <v>13</v>
      </c>
      <c r="AG1105" s="103">
        <v>37</v>
      </c>
      <c r="AH1105" s="103">
        <v>71</v>
      </c>
      <c r="AI1105" s="103">
        <v>38</v>
      </c>
      <c r="AJ1105" s="103">
        <v>15</v>
      </c>
      <c r="AK1105" s="103">
        <v>7</v>
      </c>
      <c r="AL1105" s="103">
        <v>2</v>
      </c>
      <c r="AM1105" s="103">
        <v>0</v>
      </c>
      <c r="AN1105" s="103">
        <v>0</v>
      </c>
      <c r="AO1105" s="103">
        <v>0</v>
      </c>
      <c r="AP1105" s="6"/>
      <c r="AQ1105" s="110"/>
      <c r="AR1105" s="46" t="s">
        <v>5</v>
      </c>
      <c r="AS1105" s="103">
        <v>12</v>
      </c>
      <c r="AT1105" s="103">
        <v>30</v>
      </c>
      <c r="AU1105" s="103">
        <v>49</v>
      </c>
      <c r="AV1105" s="103">
        <v>25</v>
      </c>
      <c r="AW1105" s="103">
        <v>9</v>
      </c>
      <c r="AX1105" s="103">
        <v>4</v>
      </c>
      <c r="AY1105" s="103">
        <v>1</v>
      </c>
      <c r="AZ1105" s="103">
        <v>0</v>
      </c>
      <c r="BA1105" s="103">
        <v>0</v>
      </c>
      <c r="BB1105" s="103">
        <v>0</v>
      </c>
      <c r="BC1105" s="42"/>
      <c r="BD1105" s="110"/>
      <c r="BE1105" s="46" t="s">
        <v>5</v>
      </c>
      <c r="BF1105" s="103">
        <v>4</v>
      </c>
      <c r="BG1105" s="103">
        <v>30</v>
      </c>
      <c r="BH1105" s="103">
        <v>77</v>
      </c>
      <c r="BI1105" s="103">
        <v>51</v>
      </c>
      <c r="BJ1105" s="103">
        <v>19</v>
      </c>
      <c r="BK1105" s="103">
        <v>7</v>
      </c>
      <c r="BL1105" s="103">
        <v>1</v>
      </c>
      <c r="BM1105" s="103">
        <v>0</v>
      </c>
      <c r="BN1105" s="103">
        <v>0</v>
      </c>
      <c r="BO1105" s="103">
        <v>1</v>
      </c>
      <c r="BQ1105" s="110"/>
      <c r="BR1105" s="46" t="s">
        <v>5</v>
      </c>
      <c r="BS1105" s="103">
        <v>4</v>
      </c>
      <c r="BT1105" s="103">
        <v>16</v>
      </c>
      <c r="BU1105" s="103">
        <v>34</v>
      </c>
      <c r="BV1105" s="103">
        <v>15</v>
      </c>
      <c r="BW1105" s="103">
        <v>10</v>
      </c>
      <c r="BX1105" s="103">
        <v>3</v>
      </c>
      <c r="BY1105" s="103">
        <v>0</v>
      </c>
      <c r="BZ1105" s="103">
        <v>0</v>
      </c>
      <c r="CA1105" s="103">
        <v>0</v>
      </c>
      <c r="CB1105" s="103">
        <v>0</v>
      </c>
      <c r="CC1105" s="42"/>
      <c r="CD1105" s="110"/>
      <c r="CE1105" s="46" t="s">
        <v>5</v>
      </c>
      <c r="CF1105" s="103">
        <v>12</v>
      </c>
      <c r="CG1105" s="103">
        <v>44</v>
      </c>
      <c r="CH1105" s="103">
        <v>92</v>
      </c>
      <c r="CI1105" s="103">
        <v>61</v>
      </c>
      <c r="CJ1105" s="103">
        <v>18</v>
      </c>
      <c r="CK1105" s="103">
        <v>8</v>
      </c>
      <c r="CL1105" s="103">
        <v>2</v>
      </c>
      <c r="CM1105" s="103">
        <v>0</v>
      </c>
      <c r="CN1105" s="103">
        <v>0</v>
      </c>
      <c r="CO1105" s="103">
        <v>1</v>
      </c>
      <c r="CQ1105" s="110"/>
      <c r="CR1105" s="46" t="s">
        <v>5</v>
      </c>
      <c r="CS1105" s="103">
        <v>3</v>
      </c>
      <c r="CT1105" s="103">
        <v>11</v>
      </c>
      <c r="CU1105" s="103">
        <v>27</v>
      </c>
      <c r="CV1105" s="103">
        <v>19</v>
      </c>
      <c r="CW1105" s="103">
        <v>12</v>
      </c>
      <c r="CX1105" s="103">
        <v>3</v>
      </c>
      <c r="CY1105" s="103">
        <v>2</v>
      </c>
      <c r="CZ1105" s="103">
        <v>0</v>
      </c>
      <c r="DA1105" s="103">
        <v>0</v>
      </c>
      <c r="DB1105" s="103">
        <v>1</v>
      </c>
      <c r="DC1105" s="42"/>
      <c r="DD1105" s="110"/>
      <c r="DE1105" s="46" t="s">
        <v>5</v>
      </c>
      <c r="DF1105" s="103">
        <v>13</v>
      </c>
      <c r="DG1105" s="103">
        <v>49</v>
      </c>
      <c r="DH1105" s="103">
        <v>99</v>
      </c>
      <c r="DI1105" s="103">
        <v>57</v>
      </c>
      <c r="DJ1105" s="103">
        <v>16</v>
      </c>
      <c r="DK1105" s="103">
        <v>8</v>
      </c>
      <c r="DL1105" s="103">
        <v>0</v>
      </c>
      <c r="DM1105" s="103">
        <v>0</v>
      </c>
      <c r="DN1105" s="103">
        <v>0</v>
      </c>
      <c r="DO1105" s="103">
        <v>0</v>
      </c>
    </row>
    <row r="1106" spans="2:119" ht="16.25" customHeight="1" x14ac:dyDescent="0.45">
      <c r="B1106" s="134"/>
      <c r="C1106" s="42"/>
      <c r="D1106" s="110"/>
      <c r="E1106" s="46" t="s">
        <v>6</v>
      </c>
      <c r="F1106" s="103">
        <v>27</v>
      </c>
      <c r="G1106" s="103">
        <v>65</v>
      </c>
      <c r="H1106" s="103">
        <v>198</v>
      </c>
      <c r="I1106" s="103">
        <v>239</v>
      </c>
      <c r="J1106" s="103">
        <v>117</v>
      </c>
      <c r="K1106" s="103">
        <v>55</v>
      </c>
      <c r="L1106" s="103">
        <v>6</v>
      </c>
      <c r="M1106" s="103">
        <v>3</v>
      </c>
      <c r="N1106" s="103">
        <v>2</v>
      </c>
      <c r="O1106" s="103">
        <v>0</v>
      </c>
      <c r="P1106" s="42"/>
      <c r="Q1106" s="110"/>
      <c r="R1106" s="46" t="s">
        <v>6</v>
      </c>
      <c r="S1106" s="103">
        <v>7</v>
      </c>
      <c r="T1106" s="103">
        <v>15</v>
      </c>
      <c r="U1106" s="103">
        <v>85</v>
      </c>
      <c r="V1106" s="103">
        <v>116</v>
      </c>
      <c r="W1106" s="103">
        <v>56</v>
      </c>
      <c r="X1106" s="103">
        <v>13</v>
      </c>
      <c r="Y1106" s="103">
        <v>1</v>
      </c>
      <c r="Z1106" s="103">
        <v>3</v>
      </c>
      <c r="AA1106" s="103">
        <v>0</v>
      </c>
      <c r="AB1106" s="103">
        <v>0</v>
      </c>
      <c r="AC1106" s="42"/>
      <c r="AD1106" s="110"/>
      <c r="AE1106" s="46" t="s">
        <v>6</v>
      </c>
      <c r="AF1106" s="103">
        <v>20</v>
      </c>
      <c r="AG1106" s="103">
        <v>50</v>
      </c>
      <c r="AH1106" s="103">
        <v>113</v>
      </c>
      <c r="AI1106" s="103">
        <v>123</v>
      </c>
      <c r="AJ1106" s="103">
        <v>61</v>
      </c>
      <c r="AK1106" s="103">
        <v>42</v>
      </c>
      <c r="AL1106" s="103">
        <v>5</v>
      </c>
      <c r="AM1106" s="103">
        <v>0</v>
      </c>
      <c r="AN1106" s="103">
        <v>2</v>
      </c>
      <c r="AO1106" s="103">
        <v>0</v>
      </c>
      <c r="AP1106" s="6"/>
      <c r="AQ1106" s="110"/>
      <c r="AR1106" s="46" t="s">
        <v>6</v>
      </c>
      <c r="AS1106" s="103">
        <v>6</v>
      </c>
      <c r="AT1106" s="103">
        <v>38</v>
      </c>
      <c r="AU1106" s="103">
        <v>92</v>
      </c>
      <c r="AV1106" s="103">
        <v>92</v>
      </c>
      <c r="AW1106" s="103">
        <v>35</v>
      </c>
      <c r="AX1106" s="103">
        <v>16</v>
      </c>
      <c r="AY1106" s="103">
        <v>2</v>
      </c>
      <c r="AZ1106" s="103">
        <v>1</v>
      </c>
      <c r="BA1106" s="103">
        <v>0</v>
      </c>
      <c r="BB1106" s="103">
        <v>0</v>
      </c>
      <c r="BC1106" s="42"/>
      <c r="BD1106" s="110"/>
      <c r="BE1106" s="46" t="s">
        <v>6</v>
      </c>
      <c r="BF1106" s="103">
        <v>21</v>
      </c>
      <c r="BG1106" s="103">
        <v>27</v>
      </c>
      <c r="BH1106" s="103">
        <v>106</v>
      </c>
      <c r="BI1106" s="103">
        <v>147</v>
      </c>
      <c r="BJ1106" s="103">
        <v>82</v>
      </c>
      <c r="BK1106" s="103">
        <v>39</v>
      </c>
      <c r="BL1106" s="103">
        <v>4</v>
      </c>
      <c r="BM1106" s="103">
        <v>2</v>
      </c>
      <c r="BN1106" s="103">
        <v>2</v>
      </c>
      <c r="BO1106" s="103">
        <v>0</v>
      </c>
      <c r="BQ1106" s="110"/>
      <c r="BR1106" s="46" t="s">
        <v>6</v>
      </c>
      <c r="BS1106" s="103">
        <v>7</v>
      </c>
      <c r="BT1106" s="103">
        <v>18</v>
      </c>
      <c r="BU1106" s="103">
        <v>51</v>
      </c>
      <c r="BV1106" s="103">
        <v>46</v>
      </c>
      <c r="BW1106" s="103">
        <v>10</v>
      </c>
      <c r="BX1106" s="103">
        <v>10</v>
      </c>
      <c r="BY1106" s="103">
        <v>1</v>
      </c>
      <c r="BZ1106" s="103">
        <v>0</v>
      </c>
      <c r="CA1106" s="103">
        <v>1</v>
      </c>
      <c r="CB1106" s="103">
        <v>0</v>
      </c>
      <c r="CC1106" s="42"/>
      <c r="CD1106" s="110"/>
      <c r="CE1106" s="46" t="s">
        <v>6</v>
      </c>
      <c r="CF1106" s="103">
        <v>20</v>
      </c>
      <c r="CG1106" s="103">
        <v>47</v>
      </c>
      <c r="CH1106" s="103">
        <v>147</v>
      </c>
      <c r="CI1106" s="103">
        <v>193</v>
      </c>
      <c r="CJ1106" s="103">
        <v>107</v>
      </c>
      <c r="CK1106" s="103">
        <v>45</v>
      </c>
      <c r="CL1106" s="103">
        <v>5</v>
      </c>
      <c r="CM1106" s="103">
        <v>3</v>
      </c>
      <c r="CN1106" s="103">
        <v>1</v>
      </c>
      <c r="CO1106" s="103">
        <v>0</v>
      </c>
      <c r="CQ1106" s="110"/>
      <c r="CR1106" s="46" t="s">
        <v>6</v>
      </c>
      <c r="CS1106" s="103">
        <v>8</v>
      </c>
      <c r="CT1106" s="103">
        <v>8</v>
      </c>
      <c r="CU1106" s="103">
        <v>38</v>
      </c>
      <c r="CV1106" s="103">
        <v>55</v>
      </c>
      <c r="CW1106" s="103">
        <v>37</v>
      </c>
      <c r="CX1106" s="103">
        <v>19</v>
      </c>
      <c r="CY1106" s="103">
        <v>1</v>
      </c>
      <c r="CZ1106" s="103">
        <v>2</v>
      </c>
      <c r="DA1106" s="103">
        <v>1</v>
      </c>
      <c r="DB1106" s="103">
        <v>0</v>
      </c>
      <c r="DC1106" s="42"/>
      <c r="DD1106" s="110"/>
      <c r="DE1106" s="46" t="s">
        <v>6</v>
      </c>
      <c r="DF1106" s="103">
        <v>19</v>
      </c>
      <c r="DG1106" s="103">
        <v>57</v>
      </c>
      <c r="DH1106" s="103">
        <v>160</v>
      </c>
      <c r="DI1106" s="103">
        <v>184</v>
      </c>
      <c r="DJ1106" s="103">
        <v>80</v>
      </c>
      <c r="DK1106" s="103">
        <v>36</v>
      </c>
      <c r="DL1106" s="103">
        <v>5</v>
      </c>
      <c r="DM1106" s="103">
        <v>1</v>
      </c>
      <c r="DN1106" s="103">
        <v>1</v>
      </c>
      <c r="DO1106" s="103">
        <v>0</v>
      </c>
    </row>
    <row r="1107" spans="2:119" ht="16.25" customHeight="1" x14ac:dyDescent="0.45">
      <c r="B1107" s="134"/>
      <c r="C1107" s="42"/>
      <c r="D1107" s="110"/>
      <c r="E1107" s="46" t="s">
        <v>7</v>
      </c>
      <c r="F1107" s="103">
        <v>42</v>
      </c>
      <c r="G1107" s="103">
        <v>70</v>
      </c>
      <c r="H1107" s="103">
        <v>253</v>
      </c>
      <c r="I1107" s="103">
        <v>455</v>
      </c>
      <c r="J1107" s="103">
        <v>377</v>
      </c>
      <c r="K1107" s="103">
        <v>161</v>
      </c>
      <c r="L1107" s="103">
        <v>45</v>
      </c>
      <c r="M1107" s="103">
        <v>12</v>
      </c>
      <c r="N1107" s="103">
        <v>4</v>
      </c>
      <c r="O1107" s="103">
        <v>0</v>
      </c>
      <c r="P1107" s="42"/>
      <c r="Q1107" s="110"/>
      <c r="R1107" s="46" t="s">
        <v>7</v>
      </c>
      <c r="S1107" s="103">
        <v>17</v>
      </c>
      <c r="T1107" s="103">
        <v>20</v>
      </c>
      <c r="U1107" s="103">
        <v>93</v>
      </c>
      <c r="V1107" s="103">
        <v>211</v>
      </c>
      <c r="W1107" s="103">
        <v>173</v>
      </c>
      <c r="X1107" s="103">
        <v>70</v>
      </c>
      <c r="Y1107" s="103">
        <v>16</v>
      </c>
      <c r="Z1107" s="103">
        <v>5</v>
      </c>
      <c r="AA1107" s="103">
        <v>2</v>
      </c>
      <c r="AB1107" s="103">
        <v>0</v>
      </c>
      <c r="AC1107" s="42"/>
      <c r="AD1107" s="110"/>
      <c r="AE1107" s="46" t="s">
        <v>7</v>
      </c>
      <c r="AF1107" s="103">
        <v>25</v>
      </c>
      <c r="AG1107" s="103">
        <v>50</v>
      </c>
      <c r="AH1107" s="103">
        <v>160</v>
      </c>
      <c r="AI1107" s="103">
        <v>244</v>
      </c>
      <c r="AJ1107" s="103">
        <v>204</v>
      </c>
      <c r="AK1107" s="103">
        <v>91</v>
      </c>
      <c r="AL1107" s="103">
        <v>29</v>
      </c>
      <c r="AM1107" s="103">
        <v>7</v>
      </c>
      <c r="AN1107" s="103">
        <v>2</v>
      </c>
      <c r="AO1107" s="103">
        <v>0</v>
      </c>
      <c r="AP1107" s="6"/>
      <c r="AQ1107" s="110"/>
      <c r="AR1107" s="46" t="s">
        <v>7</v>
      </c>
      <c r="AS1107" s="103">
        <v>16</v>
      </c>
      <c r="AT1107" s="103">
        <v>34</v>
      </c>
      <c r="AU1107" s="103">
        <v>108</v>
      </c>
      <c r="AV1107" s="103">
        <v>165</v>
      </c>
      <c r="AW1107" s="103">
        <v>117</v>
      </c>
      <c r="AX1107" s="103">
        <v>38</v>
      </c>
      <c r="AY1107" s="103">
        <v>16</v>
      </c>
      <c r="AZ1107" s="103">
        <v>3</v>
      </c>
      <c r="BA1107" s="103">
        <v>0</v>
      </c>
      <c r="BB1107" s="103">
        <v>0</v>
      </c>
      <c r="BC1107" s="42"/>
      <c r="BD1107" s="110"/>
      <c r="BE1107" s="46" t="s">
        <v>7</v>
      </c>
      <c r="BF1107" s="103">
        <v>26</v>
      </c>
      <c r="BG1107" s="103">
        <v>36</v>
      </c>
      <c r="BH1107" s="103">
        <v>145</v>
      </c>
      <c r="BI1107" s="103">
        <v>290</v>
      </c>
      <c r="BJ1107" s="103">
        <v>260</v>
      </c>
      <c r="BK1107" s="103">
        <v>123</v>
      </c>
      <c r="BL1107" s="103">
        <v>29</v>
      </c>
      <c r="BM1107" s="103">
        <v>9</v>
      </c>
      <c r="BN1107" s="103">
        <v>4</v>
      </c>
      <c r="BO1107" s="103">
        <v>0</v>
      </c>
      <c r="BQ1107" s="110"/>
      <c r="BR1107" s="46" t="s">
        <v>7</v>
      </c>
      <c r="BS1107" s="103">
        <v>8</v>
      </c>
      <c r="BT1107" s="103">
        <v>20</v>
      </c>
      <c r="BU1107" s="103">
        <v>51</v>
      </c>
      <c r="BV1107" s="103">
        <v>67</v>
      </c>
      <c r="BW1107" s="103">
        <v>30</v>
      </c>
      <c r="BX1107" s="103">
        <v>16</v>
      </c>
      <c r="BY1107" s="103">
        <v>2</v>
      </c>
      <c r="BZ1107" s="103">
        <v>2</v>
      </c>
      <c r="CA1107" s="103">
        <v>1</v>
      </c>
      <c r="CB1107" s="103">
        <v>0</v>
      </c>
      <c r="CC1107" s="42"/>
      <c r="CD1107" s="110"/>
      <c r="CE1107" s="46" t="s">
        <v>7</v>
      </c>
      <c r="CF1107" s="103">
        <v>34</v>
      </c>
      <c r="CG1107" s="103">
        <v>50</v>
      </c>
      <c r="CH1107" s="103">
        <v>202</v>
      </c>
      <c r="CI1107" s="103">
        <v>388</v>
      </c>
      <c r="CJ1107" s="103">
        <v>347</v>
      </c>
      <c r="CK1107" s="103">
        <v>145</v>
      </c>
      <c r="CL1107" s="103">
        <v>43</v>
      </c>
      <c r="CM1107" s="103">
        <v>10</v>
      </c>
      <c r="CN1107" s="103">
        <v>3</v>
      </c>
      <c r="CO1107" s="103">
        <v>0</v>
      </c>
      <c r="CQ1107" s="110"/>
      <c r="CR1107" s="46" t="s">
        <v>7</v>
      </c>
      <c r="CS1107" s="103">
        <v>6</v>
      </c>
      <c r="CT1107" s="103">
        <v>6</v>
      </c>
      <c r="CU1107" s="103">
        <v>49</v>
      </c>
      <c r="CV1107" s="103">
        <v>73</v>
      </c>
      <c r="CW1107" s="103">
        <v>83</v>
      </c>
      <c r="CX1107" s="103">
        <v>39</v>
      </c>
      <c r="CY1107" s="103">
        <v>22</v>
      </c>
      <c r="CZ1107" s="103">
        <v>9</v>
      </c>
      <c r="DA1107" s="103">
        <v>2</v>
      </c>
      <c r="DB1107" s="103">
        <v>0</v>
      </c>
      <c r="DC1107" s="42"/>
      <c r="DD1107" s="110"/>
      <c r="DE1107" s="46" t="s">
        <v>7</v>
      </c>
      <c r="DF1107" s="103">
        <v>36</v>
      </c>
      <c r="DG1107" s="103">
        <v>64</v>
      </c>
      <c r="DH1107" s="103">
        <v>204</v>
      </c>
      <c r="DI1107" s="103">
        <v>382</v>
      </c>
      <c r="DJ1107" s="103">
        <v>294</v>
      </c>
      <c r="DK1107" s="103">
        <v>122</v>
      </c>
      <c r="DL1107" s="103">
        <v>23</v>
      </c>
      <c r="DM1107" s="103">
        <v>3</v>
      </c>
      <c r="DN1107" s="103">
        <v>2</v>
      </c>
      <c r="DO1107" s="103">
        <v>0</v>
      </c>
    </row>
    <row r="1108" spans="2:119" ht="16.25" customHeight="1" x14ac:dyDescent="0.45">
      <c r="B1108" s="134"/>
      <c r="C1108" s="42"/>
      <c r="D1108" s="110"/>
      <c r="E1108" s="46" t="s">
        <v>8</v>
      </c>
      <c r="F1108" s="103">
        <v>45</v>
      </c>
      <c r="G1108" s="103">
        <v>46</v>
      </c>
      <c r="H1108" s="103">
        <v>135</v>
      </c>
      <c r="I1108" s="103">
        <v>491</v>
      </c>
      <c r="J1108" s="103">
        <v>706</v>
      </c>
      <c r="K1108" s="103">
        <v>475</v>
      </c>
      <c r="L1108" s="103">
        <v>172</v>
      </c>
      <c r="M1108" s="103">
        <v>52</v>
      </c>
      <c r="N1108" s="103">
        <v>22</v>
      </c>
      <c r="O1108" s="103">
        <v>3</v>
      </c>
      <c r="P1108" s="42"/>
      <c r="Q1108" s="110"/>
      <c r="R1108" s="46" t="s">
        <v>8</v>
      </c>
      <c r="S1108" s="103">
        <v>12</v>
      </c>
      <c r="T1108" s="103">
        <v>19</v>
      </c>
      <c r="U1108" s="103">
        <v>43</v>
      </c>
      <c r="V1108" s="103">
        <v>212</v>
      </c>
      <c r="W1108" s="103">
        <v>323</v>
      </c>
      <c r="X1108" s="103">
        <v>213</v>
      </c>
      <c r="Y1108" s="103">
        <v>84</v>
      </c>
      <c r="Z1108" s="103">
        <v>18</v>
      </c>
      <c r="AA1108" s="103">
        <v>7</v>
      </c>
      <c r="AB1108" s="103">
        <v>2</v>
      </c>
      <c r="AC1108" s="42"/>
      <c r="AD1108" s="110"/>
      <c r="AE1108" s="46" t="s">
        <v>8</v>
      </c>
      <c r="AF1108" s="103">
        <v>33</v>
      </c>
      <c r="AG1108" s="103">
        <v>27</v>
      </c>
      <c r="AH1108" s="103">
        <v>92</v>
      </c>
      <c r="AI1108" s="103">
        <v>279</v>
      </c>
      <c r="AJ1108" s="103">
        <v>383</v>
      </c>
      <c r="AK1108" s="103">
        <v>262</v>
      </c>
      <c r="AL1108" s="103">
        <v>88</v>
      </c>
      <c r="AM1108" s="103">
        <v>34</v>
      </c>
      <c r="AN1108" s="103">
        <v>15</v>
      </c>
      <c r="AO1108" s="103">
        <v>1</v>
      </c>
      <c r="AP1108" s="6"/>
      <c r="AQ1108" s="110"/>
      <c r="AR1108" s="46" t="s">
        <v>8</v>
      </c>
      <c r="AS1108" s="103">
        <v>18</v>
      </c>
      <c r="AT1108" s="103">
        <v>19</v>
      </c>
      <c r="AU1108" s="103">
        <v>54</v>
      </c>
      <c r="AV1108" s="103">
        <v>160</v>
      </c>
      <c r="AW1108" s="103">
        <v>181</v>
      </c>
      <c r="AX1108" s="103">
        <v>99</v>
      </c>
      <c r="AY1108" s="103">
        <v>33</v>
      </c>
      <c r="AZ1108" s="103">
        <v>7</v>
      </c>
      <c r="BA1108" s="103">
        <v>4</v>
      </c>
      <c r="BB1108" s="103">
        <v>0</v>
      </c>
      <c r="BC1108" s="42"/>
      <c r="BD1108" s="110"/>
      <c r="BE1108" s="46" t="s">
        <v>8</v>
      </c>
      <c r="BF1108" s="103">
        <v>27</v>
      </c>
      <c r="BG1108" s="103">
        <v>27</v>
      </c>
      <c r="BH1108" s="103">
        <v>81</v>
      </c>
      <c r="BI1108" s="103">
        <v>331</v>
      </c>
      <c r="BJ1108" s="103">
        <v>525</v>
      </c>
      <c r="BK1108" s="103">
        <v>376</v>
      </c>
      <c r="BL1108" s="103">
        <v>139</v>
      </c>
      <c r="BM1108" s="103">
        <v>45</v>
      </c>
      <c r="BN1108" s="103">
        <v>18</v>
      </c>
      <c r="BO1108" s="103">
        <v>3</v>
      </c>
      <c r="BQ1108" s="110"/>
      <c r="BR1108" s="46" t="s">
        <v>8</v>
      </c>
      <c r="BS1108" s="103">
        <v>12</v>
      </c>
      <c r="BT1108" s="103">
        <v>5</v>
      </c>
      <c r="BU1108" s="103">
        <v>23</v>
      </c>
      <c r="BV1108" s="103">
        <v>47</v>
      </c>
      <c r="BW1108" s="103">
        <v>41</v>
      </c>
      <c r="BX1108" s="103">
        <v>27</v>
      </c>
      <c r="BY1108" s="103">
        <v>7</v>
      </c>
      <c r="BZ1108" s="103">
        <v>4</v>
      </c>
      <c r="CA1108" s="103">
        <v>0</v>
      </c>
      <c r="CB1108" s="103">
        <v>0</v>
      </c>
      <c r="CC1108" s="42"/>
      <c r="CD1108" s="110"/>
      <c r="CE1108" s="46" t="s">
        <v>8</v>
      </c>
      <c r="CF1108" s="103">
        <v>33</v>
      </c>
      <c r="CG1108" s="103">
        <v>41</v>
      </c>
      <c r="CH1108" s="103">
        <v>112</v>
      </c>
      <c r="CI1108" s="103">
        <v>444</v>
      </c>
      <c r="CJ1108" s="103">
        <v>665</v>
      </c>
      <c r="CK1108" s="103">
        <v>448</v>
      </c>
      <c r="CL1108" s="103">
        <v>165</v>
      </c>
      <c r="CM1108" s="103">
        <v>48</v>
      </c>
      <c r="CN1108" s="103">
        <v>22</v>
      </c>
      <c r="CO1108" s="103">
        <v>3</v>
      </c>
      <c r="CQ1108" s="110"/>
      <c r="CR1108" s="46" t="s">
        <v>8</v>
      </c>
      <c r="CS1108" s="103">
        <v>9</v>
      </c>
      <c r="CT1108" s="103">
        <v>6</v>
      </c>
      <c r="CU1108" s="103">
        <v>13</v>
      </c>
      <c r="CV1108" s="103">
        <v>62</v>
      </c>
      <c r="CW1108" s="103">
        <v>133</v>
      </c>
      <c r="CX1108" s="103">
        <v>100</v>
      </c>
      <c r="CY1108" s="103">
        <v>47</v>
      </c>
      <c r="CZ1108" s="103">
        <v>16</v>
      </c>
      <c r="DA1108" s="103">
        <v>8</v>
      </c>
      <c r="DB1108" s="103">
        <v>1</v>
      </c>
      <c r="DC1108" s="42"/>
      <c r="DD1108" s="110"/>
      <c r="DE1108" s="46" t="s">
        <v>8</v>
      </c>
      <c r="DF1108" s="103">
        <v>36</v>
      </c>
      <c r="DG1108" s="103">
        <v>40</v>
      </c>
      <c r="DH1108" s="103">
        <v>122</v>
      </c>
      <c r="DI1108" s="103">
        <v>429</v>
      </c>
      <c r="DJ1108" s="103">
        <v>573</v>
      </c>
      <c r="DK1108" s="103">
        <v>375</v>
      </c>
      <c r="DL1108" s="103">
        <v>125</v>
      </c>
      <c r="DM1108" s="103">
        <v>36</v>
      </c>
      <c r="DN1108" s="103">
        <v>14</v>
      </c>
      <c r="DO1108" s="103">
        <v>2</v>
      </c>
    </row>
    <row r="1109" spans="2:119" ht="16.25" customHeight="1" x14ac:dyDescent="0.45">
      <c r="B1109" s="134"/>
      <c r="C1109" s="42"/>
      <c r="D1109" s="110"/>
      <c r="E1109" s="46" t="s">
        <v>9</v>
      </c>
      <c r="F1109" s="103">
        <v>39</v>
      </c>
      <c r="G1109" s="103">
        <v>17</v>
      </c>
      <c r="H1109" s="103">
        <v>54</v>
      </c>
      <c r="I1109" s="103">
        <v>266</v>
      </c>
      <c r="J1109" s="103">
        <v>661</v>
      </c>
      <c r="K1109" s="103">
        <v>867</v>
      </c>
      <c r="L1109" s="103">
        <v>517</v>
      </c>
      <c r="M1109" s="103">
        <v>239</v>
      </c>
      <c r="N1109" s="103">
        <v>71</v>
      </c>
      <c r="O1109" s="103">
        <v>22</v>
      </c>
      <c r="P1109" s="42"/>
      <c r="Q1109" s="110"/>
      <c r="R1109" s="46" t="s">
        <v>9</v>
      </c>
      <c r="S1109" s="103">
        <v>9</v>
      </c>
      <c r="T1109" s="103">
        <v>3</v>
      </c>
      <c r="U1109" s="103">
        <v>14</v>
      </c>
      <c r="V1109" s="103">
        <v>96</v>
      </c>
      <c r="W1109" s="103">
        <v>275</v>
      </c>
      <c r="X1109" s="103">
        <v>378</v>
      </c>
      <c r="Y1109" s="103">
        <v>216</v>
      </c>
      <c r="Z1109" s="103">
        <v>86</v>
      </c>
      <c r="AA1109" s="103">
        <v>27</v>
      </c>
      <c r="AB1109" s="103">
        <v>4</v>
      </c>
      <c r="AC1109" s="42"/>
      <c r="AD1109" s="110"/>
      <c r="AE1109" s="46" t="s">
        <v>9</v>
      </c>
      <c r="AF1109" s="103">
        <v>30</v>
      </c>
      <c r="AG1109" s="103">
        <v>14</v>
      </c>
      <c r="AH1109" s="103">
        <v>40</v>
      </c>
      <c r="AI1109" s="103">
        <v>170</v>
      </c>
      <c r="AJ1109" s="103">
        <v>386</v>
      </c>
      <c r="AK1109" s="103">
        <v>489</v>
      </c>
      <c r="AL1109" s="103">
        <v>301</v>
      </c>
      <c r="AM1109" s="103">
        <v>153</v>
      </c>
      <c r="AN1109" s="103">
        <v>44</v>
      </c>
      <c r="AO1109" s="103">
        <v>18</v>
      </c>
      <c r="AP1109" s="6"/>
      <c r="AQ1109" s="110"/>
      <c r="AR1109" s="46" t="s">
        <v>9</v>
      </c>
      <c r="AS1109" s="103">
        <v>17</v>
      </c>
      <c r="AT1109" s="103">
        <v>10</v>
      </c>
      <c r="AU1109" s="103">
        <v>23</v>
      </c>
      <c r="AV1109" s="103">
        <v>85</v>
      </c>
      <c r="AW1109" s="103">
        <v>166</v>
      </c>
      <c r="AX1109" s="103">
        <v>193</v>
      </c>
      <c r="AY1109" s="103">
        <v>90</v>
      </c>
      <c r="AZ1109" s="103">
        <v>32</v>
      </c>
      <c r="BA1109" s="103">
        <v>6</v>
      </c>
      <c r="BB1109" s="103">
        <v>3</v>
      </c>
      <c r="BC1109" s="42"/>
      <c r="BD1109" s="110"/>
      <c r="BE1109" s="46" t="s">
        <v>9</v>
      </c>
      <c r="BF1109" s="103">
        <v>22</v>
      </c>
      <c r="BG1109" s="103">
        <v>7</v>
      </c>
      <c r="BH1109" s="103">
        <v>31</v>
      </c>
      <c r="BI1109" s="103">
        <v>181</v>
      </c>
      <c r="BJ1109" s="103">
        <v>495</v>
      </c>
      <c r="BK1109" s="103">
        <v>674</v>
      </c>
      <c r="BL1109" s="103">
        <v>427</v>
      </c>
      <c r="BM1109" s="103">
        <v>207</v>
      </c>
      <c r="BN1109" s="103">
        <v>65</v>
      </c>
      <c r="BO1109" s="103">
        <v>19</v>
      </c>
      <c r="BQ1109" s="110"/>
      <c r="BR1109" s="46" t="s">
        <v>9</v>
      </c>
      <c r="BS1109" s="103">
        <v>5</v>
      </c>
      <c r="BT1109" s="103">
        <v>3</v>
      </c>
      <c r="BU1109" s="103">
        <v>13</v>
      </c>
      <c r="BV1109" s="103">
        <v>26</v>
      </c>
      <c r="BW1109" s="103">
        <v>39</v>
      </c>
      <c r="BX1109" s="103">
        <v>48</v>
      </c>
      <c r="BY1109" s="103">
        <v>27</v>
      </c>
      <c r="BZ1109" s="103">
        <v>14</v>
      </c>
      <c r="CA1109" s="103">
        <v>6</v>
      </c>
      <c r="CB1109" s="103">
        <v>2</v>
      </c>
      <c r="CC1109" s="42"/>
      <c r="CD1109" s="110"/>
      <c r="CE1109" s="46" t="s">
        <v>9</v>
      </c>
      <c r="CF1109" s="103">
        <v>34</v>
      </c>
      <c r="CG1109" s="103">
        <v>14</v>
      </c>
      <c r="CH1109" s="103">
        <v>41</v>
      </c>
      <c r="CI1109" s="103">
        <v>240</v>
      </c>
      <c r="CJ1109" s="103">
        <v>622</v>
      </c>
      <c r="CK1109" s="103">
        <v>819</v>
      </c>
      <c r="CL1109" s="103">
        <v>490</v>
      </c>
      <c r="CM1109" s="103">
        <v>225</v>
      </c>
      <c r="CN1109" s="103">
        <v>65</v>
      </c>
      <c r="CO1109" s="103">
        <v>20</v>
      </c>
      <c r="CQ1109" s="110"/>
      <c r="CR1109" s="46" t="s">
        <v>9</v>
      </c>
      <c r="CS1109" s="103">
        <v>4</v>
      </c>
      <c r="CT1109" s="103">
        <v>0</v>
      </c>
      <c r="CU1109" s="103">
        <v>7</v>
      </c>
      <c r="CV1109" s="103">
        <v>28</v>
      </c>
      <c r="CW1109" s="103">
        <v>101</v>
      </c>
      <c r="CX1109" s="103">
        <v>142</v>
      </c>
      <c r="CY1109" s="103">
        <v>109</v>
      </c>
      <c r="CZ1109" s="103">
        <v>47</v>
      </c>
      <c r="DA1109" s="103">
        <v>16</v>
      </c>
      <c r="DB1109" s="103">
        <v>7</v>
      </c>
      <c r="DC1109" s="42"/>
      <c r="DD1109" s="110"/>
      <c r="DE1109" s="46" t="s">
        <v>9</v>
      </c>
      <c r="DF1109" s="103">
        <v>35</v>
      </c>
      <c r="DG1109" s="103">
        <v>17</v>
      </c>
      <c r="DH1109" s="103">
        <v>47</v>
      </c>
      <c r="DI1109" s="103">
        <v>238</v>
      </c>
      <c r="DJ1109" s="103">
        <v>560</v>
      </c>
      <c r="DK1109" s="103">
        <v>725</v>
      </c>
      <c r="DL1109" s="103">
        <v>408</v>
      </c>
      <c r="DM1109" s="103">
        <v>192</v>
      </c>
      <c r="DN1109" s="103">
        <v>55</v>
      </c>
      <c r="DO1109" s="103">
        <v>15</v>
      </c>
    </row>
    <row r="1110" spans="2:119" ht="16.25" customHeight="1" x14ac:dyDescent="0.45">
      <c r="B1110" s="134"/>
      <c r="C1110" s="42"/>
      <c r="D1110" s="110"/>
      <c r="E1110" s="46" t="s">
        <v>10</v>
      </c>
      <c r="F1110" s="103">
        <v>13</v>
      </c>
      <c r="G1110" s="103">
        <v>5</v>
      </c>
      <c r="H1110" s="103">
        <v>12</v>
      </c>
      <c r="I1110" s="103">
        <v>66</v>
      </c>
      <c r="J1110" s="103">
        <v>312</v>
      </c>
      <c r="K1110" s="103">
        <v>715</v>
      </c>
      <c r="L1110" s="103">
        <v>815</v>
      </c>
      <c r="M1110" s="103">
        <v>679</v>
      </c>
      <c r="N1110" s="103">
        <v>448</v>
      </c>
      <c r="O1110" s="103">
        <v>188</v>
      </c>
      <c r="P1110" s="42"/>
      <c r="Q1110" s="110"/>
      <c r="R1110" s="46" t="s">
        <v>10</v>
      </c>
      <c r="S1110" s="103">
        <v>1</v>
      </c>
      <c r="T1110" s="103">
        <v>0</v>
      </c>
      <c r="U1110" s="103">
        <v>4</v>
      </c>
      <c r="V1110" s="103">
        <v>15</v>
      </c>
      <c r="W1110" s="103">
        <v>100</v>
      </c>
      <c r="X1110" s="103">
        <v>257</v>
      </c>
      <c r="Y1110" s="103">
        <v>312</v>
      </c>
      <c r="Z1110" s="103">
        <v>263</v>
      </c>
      <c r="AA1110" s="103">
        <v>160</v>
      </c>
      <c r="AB1110" s="103">
        <v>56</v>
      </c>
      <c r="AC1110" s="42"/>
      <c r="AD1110" s="110"/>
      <c r="AE1110" s="46" t="s">
        <v>10</v>
      </c>
      <c r="AF1110" s="103">
        <v>12</v>
      </c>
      <c r="AG1110" s="103">
        <v>5</v>
      </c>
      <c r="AH1110" s="103">
        <v>8</v>
      </c>
      <c r="AI1110" s="103">
        <v>51</v>
      </c>
      <c r="AJ1110" s="103">
        <v>212</v>
      </c>
      <c r="AK1110" s="103">
        <v>458</v>
      </c>
      <c r="AL1110" s="103">
        <v>503</v>
      </c>
      <c r="AM1110" s="103">
        <v>416</v>
      </c>
      <c r="AN1110" s="103">
        <v>288</v>
      </c>
      <c r="AO1110" s="103">
        <v>132</v>
      </c>
      <c r="AP1110" s="6"/>
      <c r="AQ1110" s="110"/>
      <c r="AR1110" s="46" t="s">
        <v>10</v>
      </c>
      <c r="AS1110" s="103">
        <v>6</v>
      </c>
      <c r="AT1110" s="103">
        <v>2</v>
      </c>
      <c r="AU1110" s="103">
        <v>6</v>
      </c>
      <c r="AV1110" s="103">
        <v>25</v>
      </c>
      <c r="AW1110" s="103">
        <v>78</v>
      </c>
      <c r="AX1110" s="103">
        <v>162</v>
      </c>
      <c r="AY1110" s="103">
        <v>105</v>
      </c>
      <c r="AZ1110" s="103">
        <v>80</v>
      </c>
      <c r="BA1110" s="103">
        <v>43</v>
      </c>
      <c r="BB1110" s="103">
        <v>20</v>
      </c>
      <c r="BC1110" s="42"/>
      <c r="BD1110" s="110"/>
      <c r="BE1110" s="46" t="s">
        <v>10</v>
      </c>
      <c r="BF1110" s="103">
        <v>7</v>
      </c>
      <c r="BG1110" s="103">
        <v>3</v>
      </c>
      <c r="BH1110" s="103">
        <v>6</v>
      </c>
      <c r="BI1110" s="103">
        <v>41</v>
      </c>
      <c r="BJ1110" s="103">
        <v>234</v>
      </c>
      <c r="BK1110" s="103">
        <v>553</v>
      </c>
      <c r="BL1110" s="103">
        <v>710</v>
      </c>
      <c r="BM1110" s="103">
        <v>599</v>
      </c>
      <c r="BN1110" s="103">
        <v>405</v>
      </c>
      <c r="BO1110" s="103">
        <v>168</v>
      </c>
      <c r="BQ1110" s="110"/>
      <c r="BR1110" s="46" t="s">
        <v>10</v>
      </c>
      <c r="BS1110" s="103">
        <v>2</v>
      </c>
      <c r="BT1110" s="103">
        <v>0</v>
      </c>
      <c r="BU1110" s="103">
        <v>3</v>
      </c>
      <c r="BV1110" s="103">
        <v>6</v>
      </c>
      <c r="BW1110" s="103">
        <v>22</v>
      </c>
      <c r="BX1110" s="103">
        <v>35</v>
      </c>
      <c r="BY1110" s="103">
        <v>29</v>
      </c>
      <c r="BZ1110" s="103">
        <v>38</v>
      </c>
      <c r="CA1110" s="103">
        <v>18</v>
      </c>
      <c r="CB1110" s="103">
        <v>7</v>
      </c>
      <c r="CC1110" s="42"/>
      <c r="CD1110" s="110"/>
      <c r="CE1110" s="46" t="s">
        <v>10</v>
      </c>
      <c r="CF1110" s="103">
        <v>11</v>
      </c>
      <c r="CG1110" s="103">
        <v>5</v>
      </c>
      <c r="CH1110" s="103">
        <v>9</v>
      </c>
      <c r="CI1110" s="103">
        <v>60</v>
      </c>
      <c r="CJ1110" s="103">
        <v>290</v>
      </c>
      <c r="CK1110" s="103">
        <v>680</v>
      </c>
      <c r="CL1110" s="103">
        <v>786</v>
      </c>
      <c r="CM1110" s="103">
        <v>641</v>
      </c>
      <c r="CN1110" s="103">
        <v>430</v>
      </c>
      <c r="CO1110" s="103">
        <v>181</v>
      </c>
      <c r="CQ1110" s="110"/>
      <c r="CR1110" s="46" t="s">
        <v>10</v>
      </c>
      <c r="CS1110" s="103">
        <v>3</v>
      </c>
      <c r="CT1110" s="103">
        <v>0</v>
      </c>
      <c r="CU1110" s="103">
        <v>3</v>
      </c>
      <c r="CV1110" s="103">
        <v>11</v>
      </c>
      <c r="CW1110" s="103">
        <v>50</v>
      </c>
      <c r="CX1110" s="103">
        <v>96</v>
      </c>
      <c r="CY1110" s="103">
        <v>95</v>
      </c>
      <c r="CZ1110" s="103">
        <v>86</v>
      </c>
      <c r="DA1110" s="103">
        <v>60</v>
      </c>
      <c r="DB1110" s="103">
        <v>26</v>
      </c>
      <c r="DC1110" s="42"/>
      <c r="DD1110" s="110"/>
      <c r="DE1110" s="46" t="s">
        <v>10</v>
      </c>
      <c r="DF1110" s="103">
        <v>10</v>
      </c>
      <c r="DG1110" s="103">
        <v>5</v>
      </c>
      <c r="DH1110" s="103">
        <v>9</v>
      </c>
      <c r="DI1110" s="103">
        <v>55</v>
      </c>
      <c r="DJ1110" s="103">
        <v>262</v>
      </c>
      <c r="DK1110" s="103">
        <v>619</v>
      </c>
      <c r="DL1110" s="103">
        <v>720</v>
      </c>
      <c r="DM1110" s="103">
        <v>593</v>
      </c>
      <c r="DN1110" s="103">
        <v>388</v>
      </c>
      <c r="DO1110" s="103">
        <v>162</v>
      </c>
    </row>
    <row r="1111" spans="2:119" ht="16.25" customHeight="1" x14ac:dyDescent="0.45">
      <c r="B1111" s="134"/>
      <c r="C1111" s="42"/>
      <c r="D1111" s="111"/>
      <c r="E1111" s="46" t="s">
        <v>11</v>
      </c>
      <c r="F1111" s="103">
        <v>2</v>
      </c>
      <c r="G1111" s="103">
        <v>1</v>
      </c>
      <c r="H1111" s="103">
        <v>0</v>
      </c>
      <c r="I1111" s="103">
        <v>1</v>
      </c>
      <c r="J1111" s="103">
        <v>15</v>
      </c>
      <c r="K1111" s="103">
        <v>68</v>
      </c>
      <c r="L1111" s="103">
        <v>141</v>
      </c>
      <c r="M1111" s="103">
        <v>232</v>
      </c>
      <c r="N1111" s="103">
        <v>249</v>
      </c>
      <c r="O1111" s="103">
        <v>225</v>
      </c>
      <c r="P1111" s="42"/>
      <c r="Q1111" s="111"/>
      <c r="R1111" s="46" t="s">
        <v>11</v>
      </c>
      <c r="S1111" s="103">
        <v>0</v>
      </c>
      <c r="T1111" s="103">
        <v>1</v>
      </c>
      <c r="U1111" s="103">
        <v>0</v>
      </c>
      <c r="V1111" s="103">
        <v>1</v>
      </c>
      <c r="W1111" s="103">
        <v>3</v>
      </c>
      <c r="X1111" s="103">
        <v>24</v>
      </c>
      <c r="Y1111" s="103">
        <v>45</v>
      </c>
      <c r="Z1111" s="103">
        <v>81</v>
      </c>
      <c r="AA1111" s="103">
        <v>76</v>
      </c>
      <c r="AB1111" s="103">
        <v>77</v>
      </c>
      <c r="AC1111" s="42"/>
      <c r="AD1111" s="111"/>
      <c r="AE1111" s="46" t="s">
        <v>11</v>
      </c>
      <c r="AF1111" s="103">
        <v>2</v>
      </c>
      <c r="AG1111" s="103">
        <v>0</v>
      </c>
      <c r="AH1111" s="103">
        <v>0</v>
      </c>
      <c r="AI1111" s="103">
        <v>0</v>
      </c>
      <c r="AJ1111" s="103">
        <v>12</v>
      </c>
      <c r="AK1111" s="103">
        <v>44</v>
      </c>
      <c r="AL1111" s="103">
        <v>96</v>
      </c>
      <c r="AM1111" s="103">
        <v>151</v>
      </c>
      <c r="AN1111" s="103">
        <v>173</v>
      </c>
      <c r="AO1111" s="103">
        <v>148</v>
      </c>
      <c r="AP1111" s="6"/>
      <c r="AQ1111" s="111"/>
      <c r="AR1111" s="46" t="s">
        <v>11</v>
      </c>
      <c r="AS1111" s="103">
        <v>1</v>
      </c>
      <c r="AT1111" s="103">
        <v>1</v>
      </c>
      <c r="AU1111" s="103">
        <v>0</v>
      </c>
      <c r="AV1111" s="103">
        <v>0</v>
      </c>
      <c r="AW1111" s="103">
        <v>4</v>
      </c>
      <c r="AX1111" s="103">
        <v>14</v>
      </c>
      <c r="AY1111" s="103">
        <v>18</v>
      </c>
      <c r="AZ1111" s="103">
        <v>18</v>
      </c>
      <c r="BA1111" s="103">
        <v>18</v>
      </c>
      <c r="BB1111" s="103">
        <v>10</v>
      </c>
      <c r="BC1111" s="42"/>
      <c r="BD1111" s="111"/>
      <c r="BE1111" s="46" t="s">
        <v>11</v>
      </c>
      <c r="BF1111" s="103">
        <v>1</v>
      </c>
      <c r="BG1111" s="103">
        <v>0</v>
      </c>
      <c r="BH1111" s="103">
        <v>0</v>
      </c>
      <c r="BI1111" s="103">
        <v>1</v>
      </c>
      <c r="BJ1111" s="103">
        <v>11</v>
      </c>
      <c r="BK1111" s="103">
        <v>54</v>
      </c>
      <c r="BL1111" s="103">
        <v>123</v>
      </c>
      <c r="BM1111" s="103">
        <v>214</v>
      </c>
      <c r="BN1111" s="103">
        <v>231</v>
      </c>
      <c r="BO1111" s="103">
        <v>215</v>
      </c>
      <c r="BQ1111" s="111"/>
      <c r="BR1111" s="46" t="s">
        <v>11</v>
      </c>
      <c r="BS1111" s="103">
        <v>2</v>
      </c>
      <c r="BT1111" s="103">
        <v>0</v>
      </c>
      <c r="BU1111" s="103">
        <v>0</v>
      </c>
      <c r="BV1111" s="103">
        <v>0</v>
      </c>
      <c r="BW1111" s="103">
        <v>3</v>
      </c>
      <c r="BX1111" s="103">
        <v>5</v>
      </c>
      <c r="BY1111" s="103">
        <v>3</v>
      </c>
      <c r="BZ1111" s="103">
        <v>5</v>
      </c>
      <c r="CA1111" s="103">
        <v>3</v>
      </c>
      <c r="CB1111" s="103">
        <v>7</v>
      </c>
      <c r="CC1111" s="42"/>
      <c r="CD1111" s="111"/>
      <c r="CE1111" s="46" t="s">
        <v>11</v>
      </c>
      <c r="CF1111" s="103">
        <v>0</v>
      </c>
      <c r="CG1111" s="103">
        <v>1</v>
      </c>
      <c r="CH1111" s="103">
        <v>0</v>
      </c>
      <c r="CI1111" s="103">
        <v>1</v>
      </c>
      <c r="CJ1111" s="103">
        <v>12</v>
      </c>
      <c r="CK1111" s="103">
        <v>63</v>
      </c>
      <c r="CL1111" s="103">
        <v>138</v>
      </c>
      <c r="CM1111" s="103">
        <v>227</v>
      </c>
      <c r="CN1111" s="103">
        <v>246</v>
      </c>
      <c r="CO1111" s="103">
        <v>218</v>
      </c>
      <c r="CQ1111" s="111"/>
      <c r="CR1111" s="46" t="s">
        <v>11</v>
      </c>
      <c r="CS1111" s="103">
        <v>0</v>
      </c>
      <c r="CT1111" s="103">
        <v>0</v>
      </c>
      <c r="CU1111" s="103">
        <v>0</v>
      </c>
      <c r="CV1111" s="103">
        <v>0</v>
      </c>
      <c r="CW1111" s="103">
        <v>1</v>
      </c>
      <c r="CX1111" s="103">
        <v>5</v>
      </c>
      <c r="CY1111" s="103">
        <v>17</v>
      </c>
      <c r="CZ1111" s="103">
        <v>19</v>
      </c>
      <c r="DA1111" s="103">
        <v>23</v>
      </c>
      <c r="DB1111" s="103">
        <v>19</v>
      </c>
      <c r="DC1111" s="42"/>
      <c r="DD1111" s="111"/>
      <c r="DE1111" s="46" t="s">
        <v>11</v>
      </c>
      <c r="DF1111" s="103">
        <v>2</v>
      </c>
      <c r="DG1111" s="103">
        <v>1</v>
      </c>
      <c r="DH1111" s="103">
        <v>0</v>
      </c>
      <c r="DI1111" s="103">
        <v>1</v>
      </c>
      <c r="DJ1111" s="103">
        <v>14</v>
      </c>
      <c r="DK1111" s="103">
        <v>63</v>
      </c>
      <c r="DL1111" s="103">
        <v>124</v>
      </c>
      <c r="DM1111" s="103">
        <v>213</v>
      </c>
      <c r="DN1111" s="103">
        <v>226</v>
      </c>
      <c r="DO1111" s="103">
        <v>206</v>
      </c>
    </row>
    <row r="1112" spans="2:119" ht="22.5" x14ac:dyDescent="0.45">
      <c r="B1112" s="99"/>
      <c r="C1112" s="42"/>
      <c r="D1112" s="42"/>
      <c r="E1112" s="42"/>
      <c r="F1112" s="42"/>
      <c r="G1112" s="42"/>
      <c r="H1112" s="42"/>
      <c r="I1112" s="42"/>
      <c r="J1112" s="42"/>
      <c r="K1112" s="42"/>
      <c r="L1112" s="42"/>
      <c r="M1112" s="42"/>
      <c r="N1112" s="42"/>
      <c r="O1112" s="42"/>
      <c r="P1112" s="42"/>
      <c r="Q1112" s="42"/>
      <c r="R1112" s="42"/>
      <c r="S1112" s="42"/>
      <c r="T1112" s="42"/>
      <c r="U1112" s="42"/>
      <c r="V1112" s="42"/>
      <c r="W1112" s="42"/>
      <c r="X1112" s="42"/>
      <c r="Y1112" s="42"/>
      <c r="Z1112" s="42"/>
      <c r="AA1112" s="42"/>
      <c r="AB1112" s="42"/>
      <c r="AC1112" s="42"/>
      <c r="AD1112" s="42"/>
      <c r="AE1112" s="42"/>
      <c r="AF1112" s="42"/>
      <c r="AG1112" s="42"/>
      <c r="AH1112" s="42"/>
      <c r="AI1112" s="42"/>
      <c r="AJ1112" s="42"/>
      <c r="AK1112" s="42"/>
      <c r="AL1112" s="42"/>
      <c r="AM1112" s="42"/>
      <c r="AN1112" s="42"/>
      <c r="AO1112" s="42"/>
      <c r="AP1112" s="6"/>
      <c r="AQ1112" s="42"/>
      <c r="AR1112" s="42"/>
      <c r="AS1112" s="42"/>
      <c r="AT1112" s="42"/>
      <c r="AU1112" s="42"/>
      <c r="AV1112" s="42"/>
      <c r="AW1112" s="42"/>
      <c r="AX1112" s="42"/>
      <c r="AY1112" s="42"/>
      <c r="AZ1112" s="42"/>
      <c r="BA1112" s="42"/>
      <c r="BB1112" s="42"/>
      <c r="BC1112" s="42"/>
      <c r="BD1112" s="42"/>
      <c r="BE1112" s="42"/>
      <c r="BF1112" s="42"/>
      <c r="BG1112" s="42"/>
      <c r="BH1112" s="42"/>
      <c r="BI1112" s="42"/>
      <c r="BJ1112" s="42"/>
      <c r="BK1112" s="42"/>
      <c r="BL1112" s="42"/>
      <c r="BM1112" s="42"/>
      <c r="BN1112" s="42"/>
      <c r="BO1112" s="42"/>
      <c r="BQ1112" s="42"/>
      <c r="BR1112" s="42"/>
      <c r="BS1112" s="42"/>
      <c r="BT1112" s="42"/>
      <c r="BU1112" s="42"/>
      <c r="BV1112" s="42"/>
      <c r="BW1112" s="42"/>
      <c r="BX1112" s="42"/>
      <c r="BY1112" s="42"/>
      <c r="BZ1112" s="42"/>
      <c r="CA1112" s="42"/>
      <c r="CB1112" s="42"/>
      <c r="CC1112" s="42"/>
      <c r="CD1112" s="42"/>
      <c r="CE1112" s="42"/>
      <c r="CF1112" s="42"/>
      <c r="CG1112" s="42"/>
      <c r="CH1112" s="42"/>
      <c r="CI1112" s="42"/>
      <c r="CJ1112" s="42"/>
      <c r="CK1112" s="42"/>
      <c r="CL1112" s="42"/>
      <c r="CM1112" s="42"/>
      <c r="CN1112" s="42"/>
      <c r="CO1112" s="42"/>
      <c r="CQ1112" s="42"/>
      <c r="CR1112" s="42"/>
      <c r="CS1112" s="42"/>
      <c r="CT1112" s="42"/>
      <c r="CU1112" s="42"/>
      <c r="CV1112" s="42"/>
      <c r="CW1112" s="42"/>
      <c r="CX1112" s="42"/>
      <c r="CY1112" s="42"/>
      <c r="CZ1112" s="42"/>
      <c r="DA1112" s="42"/>
      <c r="DB1112" s="42"/>
      <c r="DC1112" s="42"/>
      <c r="DD1112" s="42"/>
      <c r="DE1112" s="42"/>
      <c r="DF1112" s="42"/>
      <c r="DG1112" s="42"/>
      <c r="DH1112" s="42"/>
      <c r="DI1112" s="42"/>
      <c r="DJ1112" s="42"/>
      <c r="DK1112" s="42"/>
      <c r="DL1112" s="42"/>
      <c r="DM1112" s="42"/>
      <c r="DN1112" s="42"/>
      <c r="DO1112" s="42"/>
    </row>
    <row r="1113" spans="2:119" ht="18.75" customHeight="1" x14ac:dyDescent="0.55000000000000004">
      <c r="B1113" s="99"/>
      <c r="C1113" s="42"/>
      <c r="D1113" s="112" t="s">
        <v>16</v>
      </c>
      <c r="E1113" s="112"/>
      <c r="F1113" s="45"/>
      <c r="G1113" s="45"/>
      <c r="H1113" s="45"/>
      <c r="I1113" s="45"/>
      <c r="J1113" s="45"/>
      <c r="K1113" s="45"/>
      <c r="L1113" s="45"/>
      <c r="M1113" s="45"/>
      <c r="N1113" s="45"/>
      <c r="O1113" s="45"/>
      <c r="P1113" s="42"/>
      <c r="Q1113" s="112" t="s">
        <v>16</v>
      </c>
      <c r="R1113" s="112"/>
      <c r="S1113" s="45"/>
      <c r="T1113" s="45"/>
      <c r="U1113" s="45"/>
      <c r="V1113" s="45"/>
      <c r="W1113" s="45"/>
      <c r="X1113" s="45"/>
      <c r="Y1113" s="45"/>
      <c r="Z1113" s="45"/>
      <c r="AA1113" s="45"/>
      <c r="AB1113" s="45"/>
      <c r="AC1113" s="42"/>
      <c r="AD1113" s="112" t="s">
        <v>16</v>
      </c>
      <c r="AE1113" s="112"/>
      <c r="AF1113" s="45"/>
      <c r="AG1113" s="45"/>
      <c r="AH1113" s="45"/>
      <c r="AI1113" s="45"/>
      <c r="AJ1113" s="45"/>
      <c r="AK1113" s="45"/>
      <c r="AL1113" s="45"/>
      <c r="AM1113" s="45"/>
      <c r="AN1113" s="45"/>
      <c r="AO1113" s="45"/>
      <c r="AP1113" s="6"/>
      <c r="AQ1113" s="112" t="s">
        <v>16</v>
      </c>
      <c r="AR1113" s="112"/>
      <c r="AS1113" s="45"/>
      <c r="AT1113" s="45"/>
      <c r="AU1113" s="45"/>
      <c r="AV1113" s="45"/>
      <c r="AW1113" s="45"/>
      <c r="AX1113" s="45"/>
      <c r="AY1113" s="45"/>
      <c r="AZ1113" s="45"/>
      <c r="BA1113" s="45"/>
      <c r="BB1113" s="45"/>
      <c r="BC1113" s="42"/>
      <c r="BD1113" s="112" t="s">
        <v>16</v>
      </c>
      <c r="BE1113" s="112"/>
      <c r="BF1113" s="45"/>
      <c r="BG1113" s="45"/>
      <c r="BH1113" s="45"/>
      <c r="BI1113" s="45"/>
      <c r="BJ1113" s="45"/>
      <c r="BK1113" s="45"/>
      <c r="BL1113" s="45"/>
      <c r="BM1113" s="45"/>
      <c r="BN1113" s="45"/>
      <c r="BO1113" s="45"/>
      <c r="BQ1113" s="112" t="s">
        <v>16</v>
      </c>
      <c r="BR1113" s="112"/>
      <c r="BS1113" s="45"/>
      <c r="BT1113" s="45"/>
      <c r="BU1113" s="45"/>
      <c r="BV1113" s="45"/>
      <c r="BW1113" s="45"/>
      <c r="BX1113" s="45"/>
      <c r="BY1113" s="45"/>
      <c r="BZ1113" s="45"/>
      <c r="CA1113" s="45"/>
      <c r="CB1113" s="45"/>
      <c r="CC1113" s="42"/>
      <c r="CD1113" s="112" t="s">
        <v>16</v>
      </c>
      <c r="CE1113" s="112"/>
      <c r="CF1113" s="45"/>
      <c r="CG1113" s="45"/>
      <c r="CH1113" s="45"/>
      <c r="CI1113" s="45"/>
      <c r="CJ1113" s="45"/>
      <c r="CK1113" s="45"/>
      <c r="CL1113" s="45"/>
      <c r="CM1113" s="45"/>
      <c r="CN1113" s="45"/>
      <c r="CO1113" s="45"/>
      <c r="CQ1113" s="112" t="s">
        <v>16</v>
      </c>
      <c r="CR1113" s="112"/>
      <c r="CS1113" s="45"/>
      <c r="CT1113" s="45"/>
      <c r="CU1113" s="45"/>
      <c r="CV1113" s="45"/>
      <c r="CW1113" s="45"/>
      <c r="CX1113" s="45"/>
      <c r="CY1113" s="45"/>
      <c r="CZ1113" s="45"/>
      <c r="DA1113" s="45"/>
      <c r="DB1113" s="45"/>
      <c r="DC1113" s="42"/>
      <c r="DD1113" s="112" t="s">
        <v>16</v>
      </c>
      <c r="DE1113" s="112"/>
      <c r="DF1113" s="45"/>
      <c r="DG1113" s="45"/>
      <c r="DH1113" s="45"/>
      <c r="DI1113" s="45"/>
      <c r="DJ1113" s="45"/>
      <c r="DK1113" s="45"/>
      <c r="DL1113" s="45"/>
      <c r="DM1113" s="45"/>
      <c r="DN1113" s="45"/>
      <c r="DO1113" s="45"/>
    </row>
    <row r="1114" spans="2:119" ht="28.9" customHeight="1" x14ac:dyDescent="0.45">
      <c r="B1114" s="99"/>
      <c r="C1114" s="42"/>
      <c r="D1114" s="112"/>
      <c r="E1114" s="112"/>
      <c r="F1114" s="108" t="s">
        <v>12</v>
      </c>
      <c r="G1114" s="108"/>
      <c r="H1114" s="108"/>
      <c r="I1114" s="108"/>
      <c r="J1114" s="108"/>
      <c r="K1114" s="108"/>
      <c r="L1114" s="108"/>
      <c r="M1114" s="108"/>
      <c r="N1114" s="108"/>
      <c r="O1114" s="108"/>
      <c r="P1114" s="42"/>
      <c r="Q1114" s="112"/>
      <c r="R1114" s="112"/>
      <c r="S1114" s="108" t="s">
        <v>12</v>
      </c>
      <c r="T1114" s="108"/>
      <c r="U1114" s="108"/>
      <c r="V1114" s="108"/>
      <c r="W1114" s="108"/>
      <c r="X1114" s="108"/>
      <c r="Y1114" s="108"/>
      <c r="Z1114" s="108"/>
      <c r="AA1114" s="108"/>
      <c r="AB1114" s="108"/>
      <c r="AC1114" s="42"/>
      <c r="AD1114" s="112"/>
      <c r="AE1114" s="112"/>
      <c r="AF1114" s="131" t="s">
        <v>12</v>
      </c>
      <c r="AG1114" s="132"/>
      <c r="AH1114" s="132"/>
      <c r="AI1114" s="132"/>
      <c r="AJ1114" s="132"/>
      <c r="AK1114" s="132"/>
      <c r="AL1114" s="132"/>
      <c r="AM1114" s="132"/>
      <c r="AN1114" s="132"/>
      <c r="AO1114" s="133"/>
      <c r="AP1114" s="6"/>
      <c r="AQ1114" s="112"/>
      <c r="AR1114" s="112"/>
      <c r="AS1114" s="108" t="s">
        <v>12</v>
      </c>
      <c r="AT1114" s="108"/>
      <c r="AU1114" s="108"/>
      <c r="AV1114" s="108"/>
      <c r="AW1114" s="108"/>
      <c r="AX1114" s="108"/>
      <c r="AY1114" s="108"/>
      <c r="AZ1114" s="108"/>
      <c r="BA1114" s="108"/>
      <c r="BB1114" s="108"/>
      <c r="BC1114" s="42"/>
      <c r="BD1114" s="112"/>
      <c r="BE1114" s="112"/>
      <c r="BF1114" s="108" t="s">
        <v>12</v>
      </c>
      <c r="BG1114" s="108"/>
      <c r="BH1114" s="108"/>
      <c r="BI1114" s="108"/>
      <c r="BJ1114" s="108"/>
      <c r="BK1114" s="108"/>
      <c r="BL1114" s="108"/>
      <c r="BM1114" s="108"/>
      <c r="BN1114" s="108"/>
      <c r="BO1114" s="108"/>
      <c r="BQ1114" s="112"/>
      <c r="BR1114" s="112"/>
      <c r="BS1114" s="108" t="s">
        <v>12</v>
      </c>
      <c r="BT1114" s="108"/>
      <c r="BU1114" s="108"/>
      <c r="BV1114" s="108"/>
      <c r="BW1114" s="108"/>
      <c r="BX1114" s="108"/>
      <c r="BY1114" s="108"/>
      <c r="BZ1114" s="108"/>
      <c r="CA1114" s="108"/>
      <c r="CB1114" s="108"/>
      <c r="CC1114" s="42"/>
      <c r="CD1114" s="112"/>
      <c r="CE1114" s="112"/>
      <c r="CF1114" s="108" t="s">
        <v>12</v>
      </c>
      <c r="CG1114" s="108"/>
      <c r="CH1114" s="108"/>
      <c r="CI1114" s="108"/>
      <c r="CJ1114" s="108"/>
      <c r="CK1114" s="108"/>
      <c r="CL1114" s="108"/>
      <c r="CM1114" s="108"/>
      <c r="CN1114" s="108"/>
      <c r="CO1114" s="108"/>
      <c r="CQ1114" s="112"/>
      <c r="CR1114" s="112"/>
      <c r="CS1114" s="108" t="s">
        <v>12</v>
      </c>
      <c r="CT1114" s="108"/>
      <c r="CU1114" s="108"/>
      <c r="CV1114" s="108"/>
      <c r="CW1114" s="108"/>
      <c r="CX1114" s="108"/>
      <c r="CY1114" s="108"/>
      <c r="CZ1114" s="108"/>
      <c r="DA1114" s="108"/>
      <c r="DB1114" s="108"/>
      <c r="DC1114" s="42"/>
      <c r="DD1114" s="112"/>
      <c r="DE1114" s="112"/>
      <c r="DF1114" s="108" t="s">
        <v>12</v>
      </c>
      <c r="DG1114" s="108"/>
      <c r="DH1114" s="108"/>
      <c r="DI1114" s="108"/>
      <c r="DJ1114" s="108"/>
      <c r="DK1114" s="108"/>
      <c r="DL1114" s="108"/>
      <c r="DM1114" s="108"/>
      <c r="DN1114" s="108"/>
      <c r="DO1114" s="108"/>
    </row>
    <row r="1115" spans="2:119" ht="15" customHeight="1" x14ac:dyDescent="0.45">
      <c r="B1115" s="99"/>
      <c r="C1115" s="42"/>
      <c r="D1115" s="113"/>
      <c r="E1115" s="113"/>
      <c r="F1115" s="9" t="s">
        <v>0</v>
      </c>
      <c r="G1115" s="9">
        <v>1</v>
      </c>
      <c r="H1115" s="9">
        <v>2</v>
      </c>
      <c r="I1115" s="9">
        <v>3</v>
      </c>
      <c r="J1115" s="9">
        <v>4</v>
      </c>
      <c r="K1115" s="9">
        <v>5</v>
      </c>
      <c r="L1115" s="9">
        <v>6</v>
      </c>
      <c r="M1115" s="9">
        <v>7</v>
      </c>
      <c r="N1115" s="9">
        <v>8</v>
      </c>
      <c r="O1115" s="9">
        <v>9</v>
      </c>
      <c r="P1115" s="42"/>
      <c r="Q1115" s="113"/>
      <c r="R1115" s="113"/>
      <c r="S1115" s="9" t="s">
        <v>0</v>
      </c>
      <c r="T1115" s="9">
        <v>1</v>
      </c>
      <c r="U1115" s="9">
        <v>2</v>
      </c>
      <c r="V1115" s="9">
        <v>3</v>
      </c>
      <c r="W1115" s="9">
        <v>4</v>
      </c>
      <c r="X1115" s="9">
        <v>5</v>
      </c>
      <c r="Y1115" s="9">
        <v>6</v>
      </c>
      <c r="Z1115" s="9">
        <v>7</v>
      </c>
      <c r="AA1115" s="9">
        <v>8</v>
      </c>
      <c r="AB1115" s="9">
        <v>9</v>
      </c>
      <c r="AC1115" s="42"/>
      <c r="AD1115" s="113"/>
      <c r="AE1115" s="113"/>
      <c r="AF1115" s="9" t="s">
        <v>0</v>
      </c>
      <c r="AG1115" s="9">
        <v>1</v>
      </c>
      <c r="AH1115" s="9">
        <v>2</v>
      </c>
      <c r="AI1115" s="9">
        <v>3</v>
      </c>
      <c r="AJ1115" s="9">
        <v>4</v>
      </c>
      <c r="AK1115" s="9">
        <v>5</v>
      </c>
      <c r="AL1115" s="9">
        <v>6</v>
      </c>
      <c r="AM1115" s="9">
        <v>7</v>
      </c>
      <c r="AN1115" s="9">
        <v>8</v>
      </c>
      <c r="AO1115" s="9">
        <v>9</v>
      </c>
      <c r="AP1115" s="6"/>
      <c r="AQ1115" s="113"/>
      <c r="AR1115" s="113"/>
      <c r="AS1115" s="9" t="s">
        <v>0</v>
      </c>
      <c r="AT1115" s="9">
        <v>1</v>
      </c>
      <c r="AU1115" s="9">
        <v>2</v>
      </c>
      <c r="AV1115" s="9">
        <v>3</v>
      </c>
      <c r="AW1115" s="9">
        <v>4</v>
      </c>
      <c r="AX1115" s="9">
        <v>5</v>
      </c>
      <c r="AY1115" s="9">
        <v>6</v>
      </c>
      <c r="AZ1115" s="9">
        <v>7</v>
      </c>
      <c r="BA1115" s="9">
        <v>8</v>
      </c>
      <c r="BB1115" s="9">
        <v>9</v>
      </c>
      <c r="BC1115" s="42"/>
      <c r="BD1115" s="113"/>
      <c r="BE1115" s="113"/>
      <c r="BF1115" s="9" t="s">
        <v>0</v>
      </c>
      <c r="BG1115" s="9">
        <v>1</v>
      </c>
      <c r="BH1115" s="9">
        <v>2</v>
      </c>
      <c r="BI1115" s="9">
        <v>3</v>
      </c>
      <c r="BJ1115" s="9">
        <v>4</v>
      </c>
      <c r="BK1115" s="9">
        <v>5</v>
      </c>
      <c r="BL1115" s="9">
        <v>6</v>
      </c>
      <c r="BM1115" s="9">
        <v>7</v>
      </c>
      <c r="BN1115" s="9">
        <v>8</v>
      </c>
      <c r="BO1115" s="9">
        <v>9</v>
      </c>
      <c r="BQ1115" s="113"/>
      <c r="BR1115" s="113"/>
      <c r="BS1115" s="9" t="s">
        <v>0</v>
      </c>
      <c r="BT1115" s="9">
        <v>1</v>
      </c>
      <c r="BU1115" s="9">
        <v>2</v>
      </c>
      <c r="BV1115" s="9">
        <v>3</v>
      </c>
      <c r="BW1115" s="9">
        <v>4</v>
      </c>
      <c r="BX1115" s="9">
        <v>5</v>
      </c>
      <c r="BY1115" s="9">
        <v>6</v>
      </c>
      <c r="BZ1115" s="9">
        <v>7</v>
      </c>
      <c r="CA1115" s="9">
        <v>8</v>
      </c>
      <c r="CB1115" s="9">
        <v>9</v>
      </c>
      <c r="CC1115" s="42"/>
      <c r="CD1115" s="113"/>
      <c r="CE1115" s="113"/>
      <c r="CF1115" s="9" t="s">
        <v>0</v>
      </c>
      <c r="CG1115" s="9">
        <v>1</v>
      </c>
      <c r="CH1115" s="9">
        <v>2</v>
      </c>
      <c r="CI1115" s="9">
        <v>3</v>
      </c>
      <c r="CJ1115" s="9">
        <v>4</v>
      </c>
      <c r="CK1115" s="9">
        <v>5</v>
      </c>
      <c r="CL1115" s="9">
        <v>6</v>
      </c>
      <c r="CM1115" s="9">
        <v>7</v>
      </c>
      <c r="CN1115" s="9">
        <v>8</v>
      </c>
      <c r="CO1115" s="9">
        <v>9</v>
      </c>
      <c r="CQ1115" s="113"/>
      <c r="CR1115" s="113"/>
      <c r="CS1115" s="9" t="s">
        <v>0</v>
      </c>
      <c r="CT1115" s="9">
        <v>1</v>
      </c>
      <c r="CU1115" s="9">
        <v>2</v>
      </c>
      <c r="CV1115" s="9">
        <v>3</v>
      </c>
      <c r="CW1115" s="9">
        <v>4</v>
      </c>
      <c r="CX1115" s="9">
        <v>5</v>
      </c>
      <c r="CY1115" s="9">
        <v>6</v>
      </c>
      <c r="CZ1115" s="9">
        <v>7</v>
      </c>
      <c r="DA1115" s="9">
        <v>8</v>
      </c>
      <c r="DB1115" s="9">
        <v>9</v>
      </c>
      <c r="DC1115" s="42"/>
      <c r="DD1115" s="113"/>
      <c r="DE1115" s="113"/>
      <c r="DF1115" s="9" t="s">
        <v>0</v>
      </c>
      <c r="DG1115" s="9">
        <v>1</v>
      </c>
      <c r="DH1115" s="9">
        <v>2</v>
      </c>
      <c r="DI1115" s="9">
        <v>3</v>
      </c>
      <c r="DJ1115" s="9">
        <v>4</v>
      </c>
      <c r="DK1115" s="9">
        <v>5</v>
      </c>
      <c r="DL1115" s="9">
        <v>6</v>
      </c>
      <c r="DM1115" s="9">
        <v>7</v>
      </c>
      <c r="DN1115" s="9">
        <v>8</v>
      </c>
      <c r="DO1115" s="9">
        <v>9</v>
      </c>
    </row>
    <row r="1116" spans="2:119" ht="16.25" customHeight="1" x14ac:dyDescent="0.45">
      <c r="B1116" s="99"/>
      <c r="C1116" s="42"/>
      <c r="D1116" s="109" t="s">
        <v>13</v>
      </c>
      <c r="E1116" s="47" t="s">
        <v>1</v>
      </c>
      <c r="F1116" s="103">
        <v>0</v>
      </c>
      <c r="G1116" s="103">
        <v>0</v>
      </c>
      <c r="H1116" s="103">
        <v>50</v>
      </c>
      <c r="I1116" s="103">
        <v>50</v>
      </c>
      <c r="J1116" s="103">
        <v>0</v>
      </c>
      <c r="K1116" s="103">
        <v>0</v>
      </c>
      <c r="L1116" s="103">
        <v>0</v>
      </c>
      <c r="M1116" s="103">
        <v>0</v>
      </c>
      <c r="N1116" s="103">
        <v>0</v>
      </c>
      <c r="O1116" s="17">
        <v>0</v>
      </c>
      <c r="P1116" s="42"/>
      <c r="Q1116" s="109" t="s">
        <v>13</v>
      </c>
      <c r="R1116" s="46" t="s">
        <v>1</v>
      </c>
      <c r="S1116" s="103" t="s">
        <v>128</v>
      </c>
      <c r="T1116" s="103" t="s">
        <v>128</v>
      </c>
      <c r="U1116" s="103" t="s">
        <v>128</v>
      </c>
      <c r="V1116" s="103" t="s">
        <v>128</v>
      </c>
      <c r="W1116" s="103" t="s">
        <v>128</v>
      </c>
      <c r="X1116" s="103" t="s">
        <v>128</v>
      </c>
      <c r="Y1116" s="103" t="s">
        <v>128</v>
      </c>
      <c r="Z1116" s="103" t="s">
        <v>128</v>
      </c>
      <c r="AA1116" s="103" t="s">
        <v>128</v>
      </c>
      <c r="AB1116" s="17" t="s">
        <v>128</v>
      </c>
      <c r="AC1116" s="42"/>
      <c r="AD1116" s="109" t="s">
        <v>13</v>
      </c>
      <c r="AE1116" s="46" t="s">
        <v>1</v>
      </c>
      <c r="AF1116" s="103">
        <v>0</v>
      </c>
      <c r="AG1116" s="103">
        <v>0</v>
      </c>
      <c r="AH1116" s="103">
        <v>50</v>
      </c>
      <c r="AI1116" s="103">
        <v>50</v>
      </c>
      <c r="AJ1116" s="103">
        <v>0</v>
      </c>
      <c r="AK1116" s="103">
        <v>0</v>
      </c>
      <c r="AL1116" s="103">
        <v>0</v>
      </c>
      <c r="AM1116" s="103">
        <v>0</v>
      </c>
      <c r="AN1116" s="103">
        <v>0</v>
      </c>
      <c r="AO1116" s="17">
        <v>0</v>
      </c>
      <c r="AP1116" s="6"/>
      <c r="AQ1116" s="109" t="s">
        <v>13</v>
      </c>
      <c r="AR1116" s="46" t="s">
        <v>1</v>
      </c>
      <c r="AS1116" s="103" t="s">
        <v>128</v>
      </c>
      <c r="AT1116" s="103" t="s">
        <v>128</v>
      </c>
      <c r="AU1116" s="103" t="s">
        <v>128</v>
      </c>
      <c r="AV1116" s="103" t="s">
        <v>128</v>
      </c>
      <c r="AW1116" s="103" t="s">
        <v>128</v>
      </c>
      <c r="AX1116" s="103" t="s">
        <v>128</v>
      </c>
      <c r="AY1116" s="103" t="s">
        <v>128</v>
      </c>
      <c r="AZ1116" s="103" t="s">
        <v>128</v>
      </c>
      <c r="BA1116" s="103" t="s">
        <v>128</v>
      </c>
      <c r="BB1116" s="17" t="s">
        <v>128</v>
      </c>
      <c r="BC1116" s="42"/>
      <c r="BD1116" s="109" t="s">
        <v>13</v>
      </c>
      <c r="BE1116" s="46" t="s">
        <v>1</v>
      </c>
      <c r="BF1116" s="103">
        <v>0</v>
      </c>
      <c r="BG1116" s="103">
        <v>0</v>
      </c>
      <c r="BH1116" s="103">
        <v>50</v>
      </c>
      <c r="BI1116" s="103">
        <v>50</v>
      </c>
      <c r="BJ1116" s="103">
        <v>0</v>
      </c>
      <c r="BK1116" s="103">
        <v>0</v>
      </c>
      <c r="BL1116" s="103">
        <v>0</v>
      </c>
      <c r="BM1116" s="103">
        <v>0</v>
      </c>
      <c r="BN1116" s="103">
        <v>0</v>
      </c>
      <c r="BO1116" s="17">
        <v>0</v>
      </c>
      <c r="BQ1116" s="109" t="s">
        <v>13</v>
      </c>
      <c r="BR1116" s="46" t="s">
        <v>1</v>
      </c>
      <c r="BS1116" s="103" t="s">
        <v>128</v>
      </c>
      <c r="BT1116" s="103" t="s">
        <v>128</v>
      </c>
      <c r="BU1116" s="103" t="s">
        <v>128</v>
      </c>
      <c r="BV1116" s="103" t="s">
        <v>128</v>
      </c>
      <c r="BW1116" s="103" t="s">
        <v>128</v>
      </c>
      <c r="BX1116" s="103" t="s">
        <v>128</v>
      </c>
      <c r="BY1116" s="103" t="s">
        <v>128</v>
      </c>
      <c r="BZ1116" s="103" t="s">
        <v>128</v>
      </c>
      <c r="CA1116" s="103" t="s">
        <v>128</v>
      </c>
      <c r="CB1116" s="17" t="s">
        <v>128</v>
      </c>
      <c r="CC1116" s="42"/>
      <c r="CD1116" s="109" t="s">
        <v>13</v>
      </c>
      <c r="CE1116" s="46" t="s">
        <v>1</v>
      </c>
      <c r="CF1116" s="103">
        <v>0</v>
      </c>
      <c r="CG1116" s="103">
        <v>0</v>
      </c>
      <c r="CH1116" s="103">
        <v>50</v>
      </c>
      <c r="CI1116" s="103">
        <v>50</v>
      </c>
      <c r="CJ1116" s="103">
        <v>0</v>
      </c>
      <c r="CK1116" s="103">
        <v>0</v>
      </c>
      <c r="CL1116" s="103">
        <v>0</v>
      </c>
      <c r="CM1116" s="103">
        <v>0</v>
      </c>
      <c r="CN1116" s="103">
        <v>0</v>
      </c>
      <c r="CO1116" s="17">
        <v>0</v>
      </c>
      <c r="CQ1116" s="109" t="s">
        <v>13</v>
      </c>
      <c r="CR1116" s="46" t="s">
        <v>1</v>
      </c>
      <c r="CS1116" s="103">
        <v>0</v>
      </c>
      <c r="CT1116" s="103">
        <v>0</v>
      </c>
      <c r="CU1116" s="103">
        <v>50</v>
      </c>
      <c r="CV1116" s="103">
        <v>50</v>
      </c>
      <c r="CW1116" s="103">
        <v>0</v>
      </c>
      <c r="CX1116" s="103">
        <v>0</v>
      </c>
      <c r="CY1116" s="103">
        <v>0</v>
      </c>
      <c r="CZ1116" s="103">
        <v>0</v>
      </c>
      <c r="DA1116" s="103">
        <v>0</v>
      </c>
      <c r="DB1116" s="17">
        <v>0</v>
      </c>
      <c r="DC1116" s="42"/>
      <c r="DD1116" s="109" t="s">
        <v>13</v>
      </c>
      <c r="DE1116" s="46" t="s">
        <v>1</v>
      </c>
      <c r="DF1116" s="103" t="s">
        <v>128</v>
      </c>
      <c r="DG1116" s="103" t="s">
        <v>128</v>
      </c>
      <c r="DH1116" s="103" t="s">
        <v>128</v>
      </c>
      <c r="DI1116" s="103" t="s">
        <v>128</v>
      </c>
      <c r="DJ1116" s="103" t="s">
        <v>128</v>
      </c>
      <c r="DK1116" s="103" t="s">
        <v>128</v>
      </c>
      <c r="DL1116" s="103" t="s">
        <v>128</v>
      </c>
      <c r="DM1116" s="103" t="s">
        <v>128</v>
      </c>
      <c r="DN1116" s="103" t="s">
        <v>128</v>
      </c>
      <c r="DO1116" s="17" t="s">
        <v>128</v>
      </c>
    </row>
    <row r="1117" spans="2:119" ht="16.25" customHeight="1" x14ac:dyDescent="0.45">
      <c r="B1117" s="99"/>
      <c r="C1117" s="42"/>
      <c r="D1117" s="110"/>
      <c r="E1117" s="47">
        <v>1</v>
      </c>
      <c r="F1117" s="103">
        <v>50</v>
      </c>
      <c r="G1117" s="103">
        <v>0</v>
      </c>
      <c r="H1117" s="103">
        <v>0</v>
      </c>
      <c r="I1117" s="103">
        <v>50</v>
      </c>
      <c r="J1117" s="103">
        <v>0</v>
      </c>
      <c r="K1117" s="103">
        <v>0</v>
      </c>
      <c r="L1117" s="103">
        <v>0</v>
      </c>
      <c r="M1117" s="103">
        <v>0</v>
      </c>
      <c r="N1117" s="103">
        <v>0</v>
      </c>
      <c r="O1117" s="103">
        <v>0</v>
      </c>
      <c r="P1117" s="42"/>
      <c r="Q1117" s="110"/>
      <c r="R1117" s="46">
        <v>1</v>
      </c>
      <c r="S1117" s="103">
        <v>50</v>
      </c>
      <c r="T1117" s="103">
        <v>0</v>
      </c>
      <c r="U1117" s="103">
        <v>0</v>
      </c>
      <c r="V1117" s="103">
        <v>50</v>
      </c>
      <c r="W1117" s="103">
        <v>0</v>
      </c>
      <c r="X1117" s="103">
        <v>0</v>
      </c>
      <c r="Y1117" s="103">
        <v>0</v>
      </c>
      <c r="Z1117" s="103">
        <v>0</v>
      </c>
      <c r="AA1117" s="103">
        <v>0</v>
      </c>
      <c r="AB1117" s="103">
        <v>0</v>
      </c>
      <c r="AC1117" s="42"/>
      <c r="AD1117" s="110"/>
      <c r="AE1117" s="46">
        <v>1</v>
      </c>
      <c r="AF1117" s="103" t="s">
        <v>128</v>
      </c>
      <c r="AG1117" s="103" t="s">
        <v>128</v>
      </c>
      <c r="AH1117" s="103" t="s">
        <v>128</v>
      </c>
      <c r="AI1117" s="103" t="s">
        <v>128</v>
      </c>
      <c r="AJ1117" s="103" t="s">
        <v>128</v>
      </c>
      <c r="AK1117" s="103" t="s">
        <v>128</v>
      </c>
      <c r="AL1117" s="103" t="s">
        <v>128</v>
      </c>
      <c r="AM1117" s="103" t="s">
        <v>128</v>
      </c>
      <c r="AN1117" s="103" t="s">
        <v>128</v>
      </c>
      <c r="AO1117" s="103" t="s">
        <v>128</v>
      </c>
      <c r="AP1117" s="6"/>
      <c r="AQ1117" s="110"/>
      <c r="AR1117" s="46">
        <v>1</v>
      </c>
      <c r="AS1117" s="103">
        <v>50</v>
      </c>
      <c r="AT1117" s="103">
        <v>0</v>
      </c>
      <c r="AU1117" s="103">
        <v>0</v>
      </c>
      <c r="AV1117" s="103">
        <v>50</v>
      </c>
      <c r="AW1117" s="103">
        <v>0</v>
      </c>
      <c r="AX1117" s="103">
        <v>0</v>
      </c>
      <c r="AY1117" s="103">
        <v>0</v>
      </c>
      <c r="AZ1117" s="103">
        <v>0</v>
      </c>
      <c r="BA1117" s="103">
        <v>0</v>
      </c>
      <c r="BB1117" s="103">
        <v>0</v>
      </c>
      <c r="BC1117" s="42"/>
      <c r="BD1117" s="110"/>
      <c r="BE1117" s="46">
        <v>1</v>
      </c>
      <c r="BF1117" s="103" t="s">
        <v>128</v>
      </c>
      <c r="BG1117" s="103" t="s">
        <v>128</v>
      </c>
      <c r="BH1117" s="103" t="s">
        <v>128</v>
      </c>
      <c r="BI1117" s="103" t="s">
        <v>128</v>
      </c>
      <c r="BJ1117" s="103" t="s">
        <v>128</v>
      </c>
      <c r="BK1117" s="103" t="s">
        <v>128</v>
      </c>
      <c r="BL1117" s="103" t="s">
        <v>128</v>
      </c>
      <c r="BM1117" s="103" t="s">
        <v>128</v>
      </c>
      <c r="BN1117" s="103" t="s">
        <v>128</v>
      </c>
      <c r="BO1117" s="103" t="s">
        <v>128</v>
      </c>
      <c r="BQ1117" s="110"/>
      <c r="BR1117" s="46">
        <v>1</v>
      </c>
      <c r="BS1117" s="103">
        <v>50</v>
      </c>
      <c r="BT1117" s="103">
        <v>0</v>
      </c>
      <c r="BU1117" s="103">
        <v>0</v>
      </c>
      <c r="BV1117" s="103">
        <v>50</v>
      </c>
      <c r="BW1117" s="103">
        <v>0</v>
      </c>
      <c r="BX1117" s="103">
        <v>0</v>
      </c>
      <c r="BY1117" s="103">
        <v>0</v>
      </c>
      <c r="BZ1117" s="103">
        <v>0</v>
      </c>
      <c r="CA1117" s="103">
        <v>0</v>
      </c>
      <c r="CB1117" s="103">
        <v>0</v>
      </c>
      <c r="CC1117" s="42"/>
      <c r="CD1117" s="110"/>
      <c r="CE1117" s="46">
        <v>1</v>
      </c>
      <c r="CF1117" s="103" t="s">
        <v>128</v>
      </c>
      <c r="CG1117" s="103" t="s">
        <v>128</v>
      </c>
      <c r="CH1117" s="103" t="s">
        <v>128</v>
      </c>
      <c r="CI1117" s="103" t="s">
        <v>128</v>
      </c>
      <c r="CJ1117" s="103" t="s">
        <v>128</v>
      </c>
      <c r="CK1117" s="103" t="s">
        <v>128</v>
      </c>
      <c r="CL1117" s="103" t="s">
        <v>128</v>
      </c>
      <c r="CM1117" s="103" t="s">
        <v>128</v>
      </c>
      <c r="CN1117" s="103" t="s">
        <v>128</v>
      </c>
      <c r="CO1117" s="103" t="s">
        <v>128</v>
      </c>
      <c r="CQ1117" s="110"/>
      <c r="CR1117" s="46">
        <v>1</v>
      </c>
      <c r="CS1117" s="103">
        <v>0</v>
      </c>
      <c r="CT1117" s="103">
        <v>0</v>
      </c>
      <c r="CU1117" s="103">
        <v>0</v>
      </c>
      <c r="CV1117" s="103">
        <v>100</v>
      </c>
      <c r="CW1117" s="103">
        <v>0</v>
      </c>
      <c r="CX1117" s="103">
        <v>0</v>
      </c>
      <c r="CY1117" s="103">
        <v>0</v>
      </c>
      <c r="CZ1117" s="103">
        <v>0</v>
      </c>
      <c r="DA1117" s="103">
        <v>0</v>
      </c>
      <c r="DB1117" s="103">
        <v>0</v>
      </c>
      <c r="DC1117" s="42"/>
      <c r="DD1117" s="110"/>
      <c r="DE1117" s="46">
        <v>1</v>
      </c>
      <c r="DF1117" s="103">
        <v>100</v>
      </c>
      <c r="DG1117" s="103">
        <v>0</v>
      </c>
      <c r="DH1117" s="103">
        <v>0</v>
      </c>
      <c r="DI1117" s="103">
        <v>0</v>
      </c>
      <c r="DJ1117" s="103">
        <v>0</v>
      </c>
      <c r="DK1117" s="103">
        <v>0</v>
      </c>
      <c r="DL1117" s="103">
        <v>0</v>
      </c>
      <c r="DM1117" s="103">
        <v>0</v>
      </c>
      <c r="DN1117" s="103">
        <v>0</v>
      </c>
      <c r="DO1117" s="103">
        <v>0</v>
      </c>
    </row>
    <row r="1118" spans="2:119" ht="16.25" customHeight="1" x14ac:dyDescent="0.45">
      <c r="B1118" s="99"/>
      <c r="C1118" s="42"/>
      <c r="D1118" s="110"/>
      <c r="E1118" s="47" t="s">
        <v>2</v>
      </c>
      <c r="F1118" s="103">
        <v>15.436241610738255</v>
      </c>
      <c r="G1118" s="103">
        <v>37.583892617449663</v>
      </c>
      <c r="H1118" s="103">
        <v>28.859060402684566</v>
      </c>
      <c r="I1118" s="103">
        <v>10.067114093959731</v>
      </c>
      <c r="J1118" s="103">
        <v>5.3691275167785237</v>
      </c>
      <c r="K1118" s="103">
        <v>2.6845637583892619</v>
      </c>
      <c r="L1118" s="103">
        <v>0</v>
      </c>
      <c r="M1118" s="103">
        <v>0</v>
      </c>
      <c r="N1118" s="103">
        <v>0</v>
      </c>
      <c r="O1118" s="103">
        <v>0</v>
      </c>
      <c r="P1118" s="42"/>
      <c r="Q1118" s="110"/>
      <c r="R1118" s="46" t="s">
        <v>2</v>
      </c>
      <c r="S1118" s="103">
        <v>10.344827586206897</v>
      </c>
      <c r="T1118" s="103">
        <v>39.655172413793103</v>
      </c>
      <c r="U1118" s="103">
        <v>31.03448275862069</v>
      </c>
      <c r="V1118" s="103">
        <v>12.068965517241379</v>
      </c>
      <c r="W1118" s="103">
        <v>5.1724137931034484</v>
      </c>
      <c r="X1118" s="103">
        <v>1.7241379310344827</v>
      </c>
      <c r="Y1118" s="103">
        <v>0</v>
      </c>
      <c r="Z1118" s="103">
        <v>0</v>
      </c>
      <c r="AA1118" s="103">
        <v>0</v>
      </c>
      <c r="AB1118" s="103">
        <v>0</v>
      </c>
      <c r="AC1118" s="42"/>
      <c r="AD1118" s="110"/>
      <c r="AE1118" s="46" t="s">
        <v>2</v>
      </c>
      <c r="AF1118" s="103">
        <v>18.681318681318682</v>
      </c>
      <c r="AG1118" s="103">
        <v>36.263736263736263</v>
      </c>
      <c r="AH1118" s="103">
        <v>27.472527472527474</v>
      </c>
      <c r="AI1118" s="103">
        <v>8.791208791208792</v>
      </c>
      <c r="AJ1118" s="103">
        <v>5.4945054945054945</v>
      </c>
      <c r="AK1118" s="103">
        <v>3.296703296703297</v>
      </c>
      <c r="AL1118" s="103">
        <v>0</v>
      </c>
      <c r="AM1118" s="103">
        <v>0</v>
      </c>
      <c r="AN1118" s="103">
        <v>0</v>
      </c>
      <c r="AO1118" s="103">
        <v>0</v>
      </c>
      <c r="AP1118" s="6"/>
      <c r="AQ1118" s="110"/>
      <c r="AR1118" s="46" t="s">
        <v>2</v>
      </c>
      <c r="AS1118" s="103">
        <v>19.736842105263158</v>
      </c>
      <c r="AT1118" s="103">
        <v>40.789473684210527</v>
      </c>
      <c r="AU1118" s="103">
        <v>28.947368421052634</v>
      </c>
      <c r="AV1118" s="103">
        <v>9.2105263157894726</v>
      </c>
      <c r="AW1118" s="103">
        <v>1.3157894736842104</v>
      </c>
      <c r="AX1118" s="103">
        <v>0</v>
      </c>
      <c r="AY1118" s="103">
        <v>0</v>
      </c>
      <c r="AZ1118" s="103">
        <v>0</v>
      </c>
      <c r="BA1118" s="103">
        <v>0</v>
      </c>
      <c r="BB1118" s="103">
        <v>0</v>
      </c>
      <c r="BC1118" s="42"/>
      <c r="BD1118" s="110"/>
      <c r="BE1118" s="46" t="s">
        <v>2</v>
      </c>
      <c r="BF1118" s="103">
        <v>10.95890410958904</v>
      </c>
      <c r="BG1118" s="103">
        <v>34.246575342465754</v>
      </c>
      <c r="BH1118" s="103">
        <v>28.767123287671232</v>
      </c>
      <c r="BI1118" s="103">
        <v>10.95890410958904</v>
      </c>
      <c r="BJ1118" s="103">
        <v>9.5890410958904102</v>
      </c>
      <c r="BK1118" s="103">
        <v>5.4794520547945202</v>
      </c>
      <c r="BL1118" s="103">
        <v>0</v>
      </c>
      <c r="BM1118" s="103">
        <v>0</v>
      </c>
      <c r="BN1118" s="103">
        <v>0</v>
      </c>
      <c r="BO1118" s="103">
        <v>0</v>
      </c>
      <c r="BQ1118" s="110"/>
      <c r="BR1118" s="46" t="s">
        <v>2</v>
      </c>
      <c r="BS1118" s="103">
        <v>18.556701030927837</v>
      </c>
      <c r="BT1118" s="103">
        <v>39.175257731958766</v>
      </c>
      <c r="BU1118" s="103">
        <v>32.989690721649481</v>
      </c>
      <c r="BV1118" s="103">
        <v>6.1855670103092786</v>
      </c>
      <c r="BW1118" s="103">
        <v>2.0618556701030926</v>
      </c>
      <c r="BX1118" s="103">
        <v>1.0309278350515463</v>
      </c>
      <c r="BY1118" s="103">
        <v>0</v>
      </c>
      <c r="BZ1118" s="103">
        <v>0</v>
      </c>
      <c r="CA1118" s="103">
        <v>0</v>
      </c>
      <c r="CB1118" s="103">
        <v>0</v>
      </c>
      <c r="CC1118" s="42"/>
      <c r="CD1118" s="110"/>
      <c r="CE1118" s="46" t="s">
        <v>2</v>
      </c>
      <c r="CF1118" s="103">
        <v>9.6153846153846168</v>
      </c>
      <c r="CG1118" s="103">
        <v>34.615384615384613</v>
      </c>
      <c r="CH1118" s="103">
        <v>21.153846153846153</v>
      </c>
      <c r="CI1118" s="103">
        <v>17.307692307692307</v>
      </c>
      <c r="CJ1118" s="103">
        <v>11.538461538461538</v>
      </c>
      <c r="CK1118" s="103">
        <v>5.7692307692307692</v>
      </c>
      <c r="CL1118" s="103">
        <v>0</v>
      </c>
      <c r="CM1118" s="103">
        <v>0</v>
      </c>
      <c r="CN1118" s="103">
        <v>0</v>
      </c>
      <c r="CO1118" s="103">
        <v>0</v>
      </c>
      <c r="CQ1118" s="110"/>
      <c r="CR1118" s="46" t="s">
        <v>2</v>
      </c>
      <c r="CS1118" s="103">
        <v>11.76470588235294</v>
      </c>
      <c r="CT1118" s="103">
        <v>29.411764705882355</v>
      </c>
      <c r="CU1118" s="103">
        <v>23.52941176470588</v>
      </c>
      <c r="CV1118" s="103">
        <v>15.686274509803921</v>
      </c>
      <c r="CW1118" s="103">
        <v>13.725490196078432</v>
      </c>
      <c r="CX1118" s="103">
        <v>5.8823529411764701</v>
      </c>
      <c r="CY1118" s="103">
        <v>0</v>
      </c>
      <c r="CZ1118" s="103">
        <v>0</v>
      </c>
      <c r="DA1118" s="103">
        <v>0</v>
      </c>
      <c r="DB1118" s="103">
        <v>0</v>
      </c>
      <c r="DC1118" s="42"/>
      <c r="DD1118" s="110"/>
      <c r="DE1118" s="46" t="s">
        <v>2</v>
      </c>
      <c r="DF1118" s="103">
        <v>17.346938775510203</v>
      </c>
      <c r="DG1118" s="103">
        <v>41.836734693877553</v>
      </c>
      <c r="DH1118" s="103">
        <v>31.632653061224492</v>
      </c>
      <c r="DI1118" s="103">
        <v>7.1428571428571423</v>
      </c>
      <c r="DJ1118" s="103">
        <v>1.0204081632653061</v>
      </c>
      <c r="DK1118" s="103">
        <v>1.0204081632653061</v>
      </c>
      <c r="DL1118" s="103">
        <v>0</v>
      </c>
      <c r="DM1118" s="103">
        <v>0</v>
      </c>
      <c r="DN1118" s="103">
        <v>0</v>
      </c>
      <c r="DO1118" s="103">
        <v>0</v>
      </c>
    </row>
    <row r="1119" spans="2:119" ht="16.25" customHeight="1" x14ac:dyDescent="0.45">
      <c r="B1119" s="99"/>
      <c r="C1119" s="42"/>
      <c r="D1119" s="110"/>
      <c r="E1119" s="47" t="s">
        <v>3</v>
      </c>
      <c r="F1119" s="103">
        <v>6.25</v>
      </c>
      <c r="G1119" s="103">
        <v>33.75</v>
      </c>
      <c r="H1119" s="103">
        <v>38.75</v>
      </c>
      <c r="I1119" s="103">
        <v>15</v>
      </c>
      <c r="J1119" s="103">
        <v>1.25</v>
      </c>
      <c r="K1119" s="103">
        <v>1.25</v>
      </c>
      <c r="L1119" s="103">
        <v>1.25</v>
      </c>
      <c r="M1119" s="103">
        <v>2.5</v>
      </c>
      <c r="N1119" s="103">
        <v>0</v>
      </c>
      <c r="O1119" s="103">
        <v>0</v>
      </c>
      <c r="P1119" s="42"/>
      <c r="Q1119" s="110"/>
      <c r="R1119" s="46" t="s">
        <v>3</v>
      </c>
      <c r="S1119" s="103">
        <v>9.375</v>
      </c>
      <c r="T1119" s="103">
        <v>18.75</v>
      </c>
      <c r="U1119" s="103">
        <v>46.875</v>
      </c>
      <c r="V1119" s="103">
        <v>21.875</v>
      </c>
      <c r="W1119" s="103">
        <v>3.125</v>
      </c>
      <c r="X1119" s="103">
        <v>0</v>
      </c>
      <c r="Y1119" s="103">
        <v>0</v>
      </c>
      <c r="Z1119" s="103">
        <v>0</v>
      </c>
      <c r="AA1119" s="103">
        <v>0</v>
      </c>
      <c r="AB1119" s="103">
        <v>0</v>
      </c>
      <c r="AC1119" s="42"/>
      <c r="AD1119" s="110"/>
      <c r="AE1119" s="46" t="s">
        <v>3</v>
      </c>
      <c r="AF1119" s="103">
        <v>4.1666666666666661</v>
      </c>
      <c r="AG1119" s="103">
        <v>43.75</v>
      </c>
      <c r="AH1119" s="103">
        <v>33.333333333333329</v>
      </c>
      <c r="AI1119" s="103">
        <v>10.416666666666668</v>
      </c>
      <c r="AJ1119" s="103">
        <v>0</v>
      </c>
      <c r="AK1119" s="103">
        <v>2.083333333333333</v>
      </c>
      <c r="AL1119" s="103">
        <v>2.083333333333333</v>
      </c>
      <c r="AM1119" s="103">
        <v>4.1666666666666661</v>
      </c>
      <c r="AN1119" s="103">
        <v>0</v>
      </c>
      <c r="AO1119" s="103">
        <v>0</v>
      </c>
      <c r="AP1119" s="6"/>
      <c r="AQ1119" s="110"/>
      <c r="AR1119" s="46" t="s">
        <v>3</v>
      </c>
      <c r="AS1119" s="103">
        <v>8.3333333333333321</v>
      </c>
      <c r="AT1119" s="103">
        <v>30.555555555555557</v>
      </c>
      <c r="AU1119" s="103">
        <v>44.444444444444443</v>
      </c>
      <c r="AV1119" s="103">
        <v>13.888888888888889</v>
      </c>
      <c r="AW1119" s="103">
        <v>0</v>
      </c>
      <c r="AX1119" s="103">
        <v>2.7777777777777777</v>
      </c>
      <c r="AY1119" s="103">
        <v>0</v>
      </c>
      <c r="AZ1119" s="103">
        <v>0</v>
      </c>
      <c r="BA1119" s="103">
        <v>0</v>
      </c>
      <c r="BB1119" s="103">
        <v>0</v>
      </c>
      <c r="BC1119" s="42"/>
      <c r="BD1119" s="110"/>
      <c r="BE1119" s="46" t="s">
        <v>3</v>
      </c>
      <c r="BF1119" s="103">
        <v>4.5454545454545459</v>
      </c>
      <c r="BG1119" s="103">
        <v>36.363636363636367</v>
      </c>
      <c r="BH1119" s="103">
        <v>34.090909090909086</v>
      </c>
      <c r="BI1119" s="103">
        <v>15.909090909090908</v>
      </c>
      <c r="BJ1119" s="103">
        <v>2.2727272727272729</v>
      </c>
      <c r="BK1119" s="103">
        <v>0</v>
      </c>
      <c r="BL1119" s="103">
        <v>2.2727272727272729</v>
      </c>
      <c r="BM1119" s="103">
        <v>4.5454545454545459</v>
      </c>
      <c r="BN1119" s="103">
        <v>0</v>
      </c>
      <c r="BO1119" s="103">
        <v>0</v>
      </c>
      <c r="BQ1119" s="110"/>
      <c r="BR1119" s="46" t="s">
        <v>3</v>
      </c>
      <c r="BS1119" s="103">
        <v>2.8571428571428572</v>
      </c>
      <c r="BT1119" s="103">
        <v>40</v>
      </c>
      <c r="BU1119" s="103">
        <v>37.142857142857146</v>
      </c>
      <c r="BV1119" s="103">
        <v>20</v>
      </c>
      <c r="BW1119" s="103">
        <v>0</v>
      </c>
      <c r="BX1119" s="103">
        <v>0</v>
      </c>
      <c r="BY1119" s="103">
        <v>0</v>
      </c>
      <c r="BZ1119" s="103">
        <v>0</v>
      </c>
      <c r="CA1119" s="103">
        <v>0</v>
      </c>
      <c r="CB1119" s="103">
        <v>0</v>
      </c>
      <c r="CC1119" s="42"/>
      <c r="CD1119" s="110"/>
      <c r="CE1119" s="46" t="s">
        <v>3</v>
      </c>
      <c r="CF1119" s="103">
        <v>8.8888888888888893</v>
      </c>
      <c r="CG1119" s="103">
        <v>28.888888888888886</v>
      </c>
      <c r="CH1119" s="103">
        <v>40</v>
      </c>
      <c r="CI1119" s="103">
        <v>11.111111111111111</v>
      </c>
      <c r="CJ1119" s="103">
        <v>2.2222222222222223</v>
      </c>
      <c r="CK1119" s="103">
        <v>2.2222222222222223</v>
      </c>
      <c r="CL1119" s="103">
        <v>2.2222222222222223</v>
      </c>
      <c r="CM1119" s="103">
        <v>4.4444444444444446</v>
      </c>
      <c r="CN1119" s="103">
        <v>0</v>
      </c>
      <c r="CO1119" s="103">
        <v>0</v>
      </c>
      <c r="CQ1119" s="110"/>
      <c r="CR1119" s="46" t="s">
        <v>3</v>
      </c>
      <c r="CS1119" s="103">
        <v>0</v>
      </c>
      <c r="CT1119" s="103">
        <v>18.75</v>
      </c>
      <c r="CU1119" s="103">
        <v>31.25</v>
      </c>
      <c r="CV1119" s="103">
        <v>18.75</v>
      </c>
      <c r="CW1119" s="103">
        <v>6.25</v>
      </c>
      <c r="CX1119" s="103">
        <v>6.25</v>
      </c>
      <c r="CY1119" s="103">
        <v>6.25</v>
      </c>
      <c r="CZ1119" s="103">
        <v>12.5</v>
      </c>
      <c r="DA1119" s="103">
        <v>0</v>
      </c>
      <c r="DB1119" s="103">
        <v>0</v>
      </c>
      <c r="DC1119" s="42"/>
      <c r="DD1119" s="110"/>
      <c r="DE1119" s="46" t="s">
        <v>3</v>
      </c>
      <c r="DF1119" s="103">
        <v>7.8125</v>
      </c>
      <c r="DG1119" s="103">
        <v>37.5</v>
      </c>
      <c r="DH1119" s="103">
        <v>40.625</v>
      </c>
      <c r="DI1119" s="103">
        <v>14.0625</v>
      </c>
      <c r="DJ1119" s="103">
        <v>0</v>
      </c>
      <c r="DK1119" s="103">
        <v>0</v>
      </c>
      <c r="DL1119" s="103">
        <v>0</v>
      </c>
      <c r="DM1119" s="103">
        <v>0</v>
      </c>
      <c r="DN1119" s="103">
        <v>0</v>
      </c>
      <c r="DO1119" s="103">
        <v>0</v>
      </c>
    </row>
    <row r="1120" spans="2:119" ht="16.25" customHeight="1" x14ac:dyDescent="0.45">
      <c r="B1120" s="99"/>
      <c r="C1120" s="42"/>
      <c r="D1120" s="110"/>
      <c r="E1120" s="47" t="s">
        <v>4</v>
      </c>
      <c r="F1120" s="103">
        <v>3.2051282051282048</v>
      </c>
      <c r="G1120" s="103">
        <v>25</v>
      </c>
      <c r="H1120" s="103">
        <v>39.102564102564102</v>
      </c>
      <c r="I1120" s="103">
        <v>20.512820512820511</v>
      </c>
      <c r="J1120" s="103">
        <v>7.6923076923076925</v>
      </c>
      <c r="K1120" s="103">
        <v>3.2051282051282048</v>
      </c>
      <c r="L1120" s="103">
        <v>0.64102564102564097</v>
      </c>
      <c r="M1120" s="103">
        <v>0.64102564102564097</v>
      </c>
      <c r="N1120" s="103">
        <v>0</v>
      </c>
      <c r="O1120" s="103">
        <v>0</v>
      </c>
      <c r="P1120" s="42"/>
      <c r="Q1120" s="110"/>
      <c r="R1120" s="46" t="s">
        <v>4</v>
      </c>
      <c r="S1120" s="103">
        <v>0</v>
      </c>
      <c r="T1120" s="103">
        <v>27.118644067796609</v>
      </c>
      <c r="U1120" s="103">
        <v>44.067796610169488</v>
      </c>
      <c r="V1120" s="103">
        <v>20.33898305084746</v>
      </c>
      <c r="W1120" s="103">
        <v>1.6949152542372881</v>
      </c>
      <c r="X1120" s="103">
        <v>3.3898305084745761</v>
      </c>
      <c r="Y1120" s="103">
        <v>1.6949152542372881</v>
      </c>
      <c r="Z1120" s="103">
        <v>1.6949152542372881</v>
      </c>
      <c r="AA1120" s="103">
        <v>0</v>
      </c>
      <c r="AB1120" s="103">
        <v>0</v>
      </c>
      <c r="AC1120" s="42"/>
      <c r="AD1120" s="110"/>
      <c r="AE1120" s="46" t="s">
        <v>4</v>
      </c>
      <c r="AF1120" s="103">
        <v>5.1546391752577314</v>
      </c>
      <c r="AG1120" s="103">
        <v>23.711340206185564</v>
      </c>
      <c r="AH1120" s="103">
        <v>36.082474226804123</v>
      </c>
      <c r="AI1120" s="103">
        <v>20.618556701030926</v>
      </c>
      <c r="AJ1120" s="103">
        <v>11.340206185567011</v>
      </c>
      <c r="AK1120" s="103">
        <v>3.0927835051546393</v>
      </c>
      <c r="AL1120" s="103">
        <v>0</v>
      </c>
      <c r="AM1120" s="103">
        <v>0</v>
      </c>
      <c r="AN1120" s="103">
        <v>0</v>
      </c>
      <c r="AO1120" s="103">
        <v>0</v>
      </c>
      <c r="AP1120" s="6"/>
      <c r="AQ1120" s="110"/>
      <c r="AR1120" s="46" t="s">
        <v>4</v>
      </c>
      <c r="AS1120" s="103">
        <v>4.225352112676056</v>
      </c>
      <c r="AT1120" s="103">
        <v>32.394366197183103</v>
      </c>
      <c r="AU1120" s="103">
        <v>42.25352112676056</v>
      </c>
      <c r="AV1120" s="103">
        <v>16.901408450704224</v>
      </c>
      <c r="AW1120" s="103">
        <v>4.225352112676056</v>
      </c>
      <c r="AX1120" s="103">
        <v>0</v>
      </c>
      <c r="AY1120" s="103">
        <v>0</v>
      </c>
      <c r="AZ1120" s="103">
        <v>0</v>
      </c>
      <c r="BA1120" s="103">
        <v>0</v>
      </c>
      <c r="BB1120" s="103">
        <v>0</v>
      </c>
      <c r="BC1120" s="42"/>
      <c r="BD1120" s="110"/>
      <c r="BE1120" s="46" t="s">
        <v>4</v>
      </c>
      <c r="BF1120" s="103">
        <v>2.3529411764705883</v>
      </c>
      <c r="BG1120" s="103">
        <v>18.823529411764707</v>
      </c>
      <c r="BH1120" s="103">
        <v>36.470588235294116</v>
      </c>
      <c r="BI1120" s="103">
        <v>23.52941176470588</v>
      </c>
      <c r="BJ1120" s="103">
        <v>10.588235294117647</v>
      </c>
      <c r="BK1120" s="103">
        <v>5.8823529411764701</v>
      </c>
      <c r="BL1120" s="103">
        <v>1.1764705882352942</v>
      </c>
      <c r="BM1120" s="103">
        <v>1.1764705882352942</v>
      </c>
      <c r="BN1120" s="103">
        <v>0</v>
      </c>
      <c r="BO1120" s="103">
        <v>0</v>
      </c>
      <c r="BQ1120" s="110"/>
      <c r="BR1120" s="46" t="s">
        <v>4</v>
      </c>
      <c r="BS1120" s="103">
        <v>2.7397260273972601</v>
      </c>
      <c r="BT1120" s="103">
        <v>17.80821917808219</v>
      </c>
      <c r="BU1120" s="103">
        <v>42.465753424657535</v>
      </c>
      <c r="BV1120" s="103">
        <v>19.17808219178082</v>
      </c>
      <c r="BW1120" s="103">
        <v>10.95890410958904</v>
      </c>
      <c r="BX1120" s="103">
        <v>6.8493150684931505</v>
      </c>
      <c r="BY1120" s="103">
        <v>0</v>
      </c>
      <c r="BZ1120" s="103">
        <v>0</v>
      </c>
      <c r="CA1120" s="103">
        <v>0</v>
      </c>
      <c r="CB1120" s="103">
        <v>0</v>
      </c>
      <c r="CC1120" s="42"/>
      <c r="CD1120" s="110"/>
      <c r="CE1120" s="46" t="s">
        <v>4</v>
      </c>
      <c r="CF1120" s="103">
        <v>3.6144578313253009</v>
      </c>
      <c r="CG1120" s="103">
        <v>31.325301204819279</v>
      </c>
      <c r="CH1120" s="103">
        <v>36.144578313253014</v>
      </c>
      <c r="CI1120" s="103">
        <v>21.686746987951807</v>
      </c>
      <c r="CJ1120" s="103">
        <v>4.8192771084337354</v>
      </c>
      <c r="CK1120" s="103">
        <v>0</v>
      </c>
      <c r="CL1120" s="103">
        <v>1.2048192771084338</v>
      </c>
      <c r="CM1120" s="103">
        <v>1.2048192771084338</v>
      </c>
      <c r="CN1120" s="103">
        <v>0</v>
      </c>
      <c r="CO1120" s="103">
        <v>0</v>
      </c>
      <c r="CQ1120" s="110"/>
      <c r="CR1120" s="46" t="s">
        <v>4</v>
      </c>
      <c r="CS1120" s="103">
        <v>4.4444444444444446</v>
      </c>
      <c r="CT1120" s="103">
        <v>24.444444444444443</v>
      </c>
      <c r="CU1120" s="103">
        <v>44.444444444444443</v>
      </c>
      <c r="CV1120" s="103">
        <v>13.333333333333334</v>
      </c>
      <c r="CW1120" s="103">
        <v>6.666666666666667</v>
      </c>
      <c r="CX1120" s="103">
        <v>2.2222222222222223</v>
      </c>
      <c r="CY1120" s="103">
        <v>2.2222222222222223</v>
      </c>
      <c r="CZ1120" s="103">
        <v>2.2222222222222223</v>
      </c>
      <c r="DA1120" s="103">
        <v>0</v>
      </c>
      <c r="DB1120" s="103">
        <v>0</v>
      </c>
      <c r="DC1120" s="42"/>
      <c r="DD1120" s="110"/>
      <c r="DE1120" s="46" t="s">
        <v>4</v>
      </c>
      <c r="DF1120" s="103">
        <v>2.7027027027027026</v>
      </c>
      <c r="DG1120" s="103">
        <v>25.225225225225223</v>
      </c>
      <c r="DH1120" s="103">
        <v>36.936936936936938</v>
      </c>
      <c r="DI1120" s="103">
        <v>23.423423423423422</v>
      </c>
      <c r="DJ1120" s="103">
        <v>8.1081081081081088</v>
      </c>
      <c r="DK1120" s="103">
        <v>3.6036036036036037</v>
      </c>
      <c r="DL1120" s="103">
        <v>0</v>
      </c>
      <c r="DM1120" s="103">
        <v>0</v>
      </c>
      <c r="DN1120" s="103">
        <v>0</v>
      </c>
      <c r="DO1120" s="103">
        <v>0</v>
      </c>
    </row>
    <row r="1121" spans="2:199" ht="16.25" customHeight="1" x14ac:dyDescent="0.45">
      <c r="B1121" s="99"/>
      <c r="C1121" s="42"/>
      <c r="D1121" s="110"/>
      <c r="E1121" s="47" t="s">
        <v>5</v>
      </c>
      <c r="F1121" s="103">
        <v>5</v>
      </c>
      <c r="G1121" s="103">
        <v>18.75</v>
      </c>
      <c r="H1121" s="103">
        <v>39.375</v>
      </c>
      <c r="I1121" s="103">
        <v>23.75</v>
      </c>
      <c r="J1121" s="103">
        <v>8.75</v>
      </c>
      <c r="K1121" s="103">
        <v>3.4375000000000004</v>
      </c>
      <c r="L1121" s="103">
        <v>0.625</v>
      </c>
      <c r="M1121" s="103">
        <v>0</v>
      </c>
      <c r="N1121" s="103">
        <v>0</v>
      </c>
      <c r="O1121" s="103">
        <v>0.3125</v>
      </c>
      <c r="P1121" s="42"/>
      <c r="Q1121" s="110"/>
      <c r="R1121" s="46" t="s">
        <v>5</v>
      </c>
      <c r="S1121" s="103">
        <v>2.1897810218978102</v>
      </c>
      <c r="T1121" s="103">
        <v>16.788321167883211</v>
      </c>
      <c r="U1121" s="103">
        <v>40.145985401459853</v>
      </c>
      <c r="V1121" s="103">
        <v>27.737226277372262</v>
      </c>
      <c r="W1121" s="103">
        <v>9.4890510948905096</v>
      </c>
      <c r="X1121" s="103">
        <v>2.9197080291970803</v>
      </c>
      <c r="Y1121" s="103">
        <v>0</v>
      </c>
      <c r="Z1121" s="103">
        <v>0</v>
      </c>
      <c r="AA1121" s="103">
        <v>0</v>
      </c>
      <c r="AB1121" s="103">
        <v>0.72992700729927007</v>
      </c>
      <c r="AC1121" s="42"/>
      <c r="AD1121" s="110"/>
      <c r="AE1121" s="46" t="s">
        <v>5</v>
      </c>
      <c r="AF1121" s="103">
        <v>7.1038251366120218</v>
      </c>
      <c r="AG1121" s="103">
        <v>20.21857923497268</v>
      </c>
      <c r="AH1121" s="103">
        <v>38.797814207650269</v>
      </c>
      <c r="AI1121" s="103">
        <v>20.765027322404372</v>
      </c>
      <c r="AJ1121" s="103">
        <v>8.1967213114754092</v>
      </c>
      <c r="AK1121" s="103">
        <v>3.8251366120218582</v>
      </c>
      <c r="AL1121" s="103">
        <v>1.0928961748633881</v>
      </c>
      <c r="AM1121" s="103">
        <v>0</v>
      </c>
      <c r="AN1121" s="103">
        <v>0</v>
      </c>
      <c r="AO1121" s="103">
        <v>0</v>
      </c>
      <c r="AP1121" s="6"/>
      <c r="AQ1121" s="110"/>
      <c r="AR1121" s="46" t="s">
        <v>5</v>
      </c>
      <c r="AS1121" s="103">
        <v>9.2307692307692317</v>
      </c>
      <c r="AT1121" s="103">
        <v>23.076923076923077</v>
      </c>
      <c r="AU1121" s="103">
        <v>37.692307692307693</v>
      </c>
      <c r="AV1121" s="103">
        <v>19.230769230769234</v>
      </c>
      <c r="AW1121" s="103">
        <v>6.9230769230769234</v>
      </c>
      <c r="AX1121" s="103">
        <v>3.0769230769230771</v>
      </c>
      <c r="AY1121" s="103">
        <v>0.76923076923076927</v>
      </c>
      <c r="AZ1121" s="103">
        <v>0</v>
      </c>
      <c r="BA1121" s="103">
        <v>0</v>
      </c>
      <c r="BB1121" s="103">
        <v>0</v>
      </c>
      <c r="BC1121" s="42"/>
      <c r="BD1121" s="110"/>
      <c r="BE1121" s="46" t="s">
        <v>5</v>
      </c>
      <c r="BF1121" s="103">
        <v>2.1052631578947367</v>
      </c>
      <c r="BG1121" s="103">
        <v>15.789473684210526</v>
      </c>
      <c r="BH1121" s="103">
        <v>40.526315789473685</v>
      </c>
      <c r="BI1121" s="103">
        <v>26.842105263157894</v>
      </c>
      <c r="BJ1121" s="103">
        <v>10</v>
      </c>
      <c r="BK1121" s="103">
        <v>3.6842105263157889</v>
      </c>
      <c r="BL1121" s="103">
        <v>0.52631578947368418</v>
      </c>
      <c r="BM1121" s="103">
        <v>0</v>
      </c>
      <c r="BN1121" s="103">
        <v>0</v>
      </c>
      <c r="BO1121" s="103">
        <v>0.52631578947368418</v>
      </c>
      <c r="BQ1121" s="110"/>
      <c r="BR1121" s="46" t="s">
        <v>5</v>
      </c>
      <c r="BS1121" s="103">
        <v>4.8780487804878048</v>
      </c>
      <c r="BT1121" s="103">
        <v>19.512195121951219</v>
      </c>
      <c r="BU1121" s="103">
        <v>41.463414634146339</v>
      </c>
      <c r="BV1121" s="103">
        <v>18.292682926829269</v>
      </c>
      <c r="BW1121" s="103">
        <v>12.195121951219512</v>
      </c>
      <c r="BX1121" s="103">
        <v>3.6585365853658534</v>
      </c>
      <c r="BY1121" s="103">
        <v>0</v>
      </c>
      <c r="BZ1121" s="103">
        <v>0</v>
      </c>
      <c r="CA1121" s="103">
        <v>0</v>
      </c>
      <c r="CB1121" s="103">
        <v>0</v>
      </c>
      <c r="CC1121" s="42"/>
      <c r="CD1121" s="110"/>
      <c r="CE1121" s="46" t="s">
        <v>5</v>
      </c>
      <c r="CF1121" s="103">
        <v>5.0420168067226889</v>
      </c>
      <c r="CG1121" s="103">
        <v>18.487394957983195</v>
      </c>
      <c r="CH1121" s="103">
        <v>38.655462184873954</v>
      </c>
      <c r="CI1121" s="103">
        <v>25.630252100840334</v>
      </c>
      <c r="CJ1121" s="103">
        <v>7.5630252100840334</v>
      </c>
      <c r="CK1121" s="103">
        <v>3.3613445378151261</v>
      </c>
      <c r="CL1121" s="103">
        <v>0.84033613445378152</v>
      </c>
      <c r="CM1121" s="103">
        <v>0</v>
      </c>
      <c r="CN1121" s="103">
        <v>0</v>
      </c>
      <c r="CO1121" s="103">
        <v>0.42016806722689076</v>
      </c>
      <c r="CQ1121" s="110"/>
      <c r="CR1121" s="46" t="s">
        <v>5</v>
      </c>
      <c r="CS1121" s="103">
        <v>3.8461538461538463</v>
      </c>
      <c r="CT1121" s="103">
        <v>14.102564102564102</v>
      </c>
      <c r="CU1121" s="103">
        <v>34.615384615384613</v>
      </c>
      <c r="CV1121" s="103">
        <v>24.358974358974358</v>
      </c>
      <c r="CW1121" s="103">
        <v>15.384615384615385</v>
      </c>
      <c r="CX1121" s="103">
        <v>3.8461538461538463</v>
      </c>
      <c r="CY1121" s="103">
        <v>2.5641025641025639</v>
      </c>
      <c r="CZ1121" s="103">
        <v>0</v>
      </c>
      <c r="DA1121" s="103">
        <v>0</v>
      </c>
      <c r="DB1121" s="103">
        <v>1.2820512820512819</v>
      </c>
      <c r="DC1121" s="42"/>
      <c r="DD1121" s="110"/>
      <c r="DE1121" s="46" t="s">
        <v>5</v>
      </c>
      <c r="DF1121" s="103">
        <v>5.3719008264462813</v>
      </c>
      <c r="DG1121" s="103">
        <v>20.24793388429752</v>
      </c>
      <c r="DH1121" s="103">
        <v>40.909090909090914</v>
      </c>
      <c r="DI1121" s="103">
        <v>23.553719008264462</v>
      </c>
      <c r="DJ1121" s="103">
        <v>6.6115702479338845</v>
      </c>
      <c r="DK1121" s="103">
        <v>3.3057851239669422</v>
      </c>
      <c r="DL1121" s="103">
        <v>0</v>
      </c>
      <c r="DM1121" s="103">
        <v>0</v>
      </c>
      <c r="DN1121" s="103">
        <v>0</v>
      </c>
      <c r="DO1121" s="103">
        <v>0</v>
      </c>
    </row>
    <row r="1122" spans="2:199" ht="16.25" customHeight="1" x14ac:dyDescent="0.45">
      <c r="B1122" s="99"/>
      <c r="C1122" s="42"/>
      <c r="D1122" s="110"/>
      <c r="E1122" s="47" t="s">
        <v>6</v>
      </c>
      <c r="F1122" s="103">
        <v>3.7921348314606744</v>
      </c>
      <c r="G1122" s="103">
        <v>9.1292134831460672</v>
      </c>
      <c r="H1122" s="103">
        <v>27.808988764044944</v>
      </c>
      <c r="I1122" s="103">
        <v>33.567415730337082</v>
      </c>
      <c r="J1122" s="103">
        <v>16.432584269662922</v>
      </c>
      <c r="K1122" s="103">
        <v>7.7247191011235952</v>
      </c>
      <c r="L1122" s="103">
        <v>0.84269662921348309</v>
      </c>
      <c r="M1122" s="103">
        <v>0.42134831460674155</v>
      </c>
      <c r="N1122" s="103">
        <v>0.2808988764044944</v>
      </c>
      <c r="O1122" s="103">
        <v>0</v>
      </c>
      <c r="P1122" s="42"/>
      <c r="Q1122" s="110"/>
      <c r="R1122" s="46" t="s">
        <v>6</v>
      </c>
      <c r="S1122" s="103">
        <v>2.3648648648648649</v>
      </c>
      <c r="T1122" s="103">
        <v>5.0675675675675675</v>
      </c>
      <c r="U1122" s="103">
        <v>28.716216216216218</v>
      </c>
      <c r="V1122" s="103">
        <v>39.189189189189186</v>
      </c>
      <c r="W1122" s="103">
        <v>18.918918918918919</v>
      </c>
      <c r="X1122" s="103">
        <v>4.3918918918918921</v>
      </c>
      <c r="Y1122" s="103">
        <v>0.33783783783783783</v>
      </c>
      <c r="Z1122" s="103">
        <v>1.0135135135135136</v>
      </c>
      <c r="AA1122" s="103">
        <v>0</v>
      </c>
      <c r="AB1122" s="103">
        <v>0</v>
      </c>
      <c r="AC1122" s="42"/>
      <c r="AD1122" s="110"/>
      <c r="AE1122" s="46" t="s">
        <v>6</v>
      </c>
      <c r="AF1122" s="103">
        <v>4.8076923076923084</v>
      </c>
      <c r="AG1122" s="103">
        <v>12.01923076923077</v>
      </c>
      <c r="AH1122" s="103">
        <v>27.163461538461537</v>
      </c>
      <c r="AI1122" s="103">
        <v>29.567307692307693</v>
      </c>
      <c r="AJ1122" s="103">
        <v>14.663461538461538</v>
      </c>
      <c r="AK1122" s="103">
        <v>10.096153846153847</v>
      </c>
      <c r="AL1122" s="103">
        <v>1.2019230769230771</v>
      </c>
      <c r="AM1122" s="103">
        <v>0</v>
      </c>
      <c r="AN1122" s="103">
        <v>0.48076923076923078</v>
      </c>
      <c r="AO1122" s="103">
        <v>0</v>
      </c>
      <c r="AP1122" s="6"/>
      <c r="AQ1122" s="110"/>
      <c r="AR1122" s="46" t="s">
        <v>6</v>
      </c>
      <c r="AS1122" s="103">
        <v>2.1276595744680851</v>
      </c>
      <c r="AT1122" s="103">
        <v>13.475177304964539</v>
      </c>
      <c r="AU1122" s="103">
        <v>32.62411347517731</v>
      </c>
      <c r="AV1122" s="103">
        <v>32.62411347517731</v>
      </c>
      <c r="AW1122" s="103">
        <v>12.411347517730496</v>
      </c>
      <c r="AX1122" s="103">
        <v>5.6737588652482271</v>
      </c>
      <c r="AY1122" s="103">
        <v>0.70921985815602839</v>
      </c>
      <c r="AZ1122" s="103">
        <v>0.3546099290780142</v>
      </c>
      <c r="BA1122" s="103">
        <v>0</v>
      </c>
      <c r="BB1122" s="103">
        <v>0</v>
      </c>
      <c r="BC1122" s="42"/>
      <c r="BD1122" s="110"/>
      <c r="BE1122" s="46" t="s">
        <v>6</v>
      </c>
      <c r="BF1122" s="103">
        <v>4.8837209302325579</v>
      </c>
      <c r="BG1122" s="103">
        <v>6.279069767441861</v>
      </c>
      <c r="BH1122" s="103">
        <v>24.651162790697676</v>
      </c>
      <c r="BI1122" s="103">
        <v>34.186046511627907</v>
      </c>
      <c r="BJ1122" s="103">
        <v>19.069767441860467</v>
      </c>
      <c r="BK1122" s="103">
        <v>9.0697674418604652</v>
      </c>
      <c r="BL1122" s="103">
        <v>0.93023255813953487</v>
      </c>
      <c r="BM1122" s="103">
        <v>0.46511627906976744</v>
      </c>
      <c r="BN1122" s="103">
        <v>0.46511627906976744</v>
      </c>
      <c r="BO1122" s="103">
        <v>0</v>
      </c>
      <c r="BQ1122" s="110"/>
      <c r="BR1122" s="46" t="s">
        <v>6</v>
      </c>
      <c r="BS1122" s="103">
        <v>4.8611111111111116</v>
      </c>
      <c r="BT1122" s="103">
        <v>12.5</v>
      </c>
      <c r="BU1122" s="103">
        <v>35.416666666666671</v>
      </c>
      <c r="BV1122" s="103">
        <v>31.944444444444443</v>
      </c>
      <c r="BW1122" s="103">
        <v>6.9444444444444446</v>
      </c>
      <c r="BX1122" s="103">
        <v>6.9444444444444446</v>
      </c>
      <c r="BY1122" s="103">
        <v>0.69444444444444442</v>
      </c>
      <c r="BZ1122" s="103">
        <v>0</v>
      </c>
      <c r="CA1122" s="103">
        <v>0.69444444444444442</v>
      </c>
      <c r="CB1122" s="103">
        <v>0</v>
      </c>
      <c r="CC1122" s="42"/>
      <c r="CD1122" s="110"/>
      <c r="CE1122" s="46" t="s">
        <v>6</v>
      </c>
      <c r="CF1122" s="103">
        <v>3.5211267605633805</v>
      </c>
      <c r="CG1122" s="103">
        <v>8.274647887323944</v>
      </c>
      <c r="CH1122" s="103">
        <v>25.880281690140844</v>
      </c>
      <c r="CI1122" s="103">
        <v>33.978873239436616</v>
      </c>
      <c r="CJ1122" s="103">
        <v>18.838028169014084</v>
      </c>
      <c r="CK1122" s="103">
        <v>7.922535211267606</v>
      </c>
      <c r="CL1122" s="103">
        <v>0.88028169014084512</v>
      </c>
      <c r="CM1122" s="103">
        <v>0.528169014084507</v>
      </c>
      <c r="CN1122" s="103">
        <v>0.17605633802816903</v>
      </c>
      <c r="CO1122" s="103">
        <v>0</v>
      </c>
      <c r="CQ1122" s="110"/>
      <c r="CR1122" s="46" t="s">
        <v>6</v>
      </c>
      <c r="CS1122" s="103">
        <v>4.7337278106508878</v>
      </c>
      <c r="CT1122" s="103">
        <v>4.7337278106508878</v>
      </c>
      <c r="CU1122" s="103">
        <v>22.485207100591715</v>
      </c>
      <c r="CV1122" s="103">
        <v>32.544378698224854</v>
      </c>
      <c r="CW1122" s="103">
        <v>21.893491124260358</v>
      </c>
      <c r="CX1122" s="103">
        <v>11.242603550295858</v>
      </c>
      <c r="CY1122" s="103">
        <v>0.59171597633136097</v>
      </c>
      <c r="CZ1122" s="103">
        <v>1.1834319526627219</v>
      </c>
      <c r="DA1122" s="103">
        <v>0.59171597633136097</v>
      </c>
      <c r="DB1122" s="103">
        <v>0</v>
      </c>
      <c r="DC1122" s="42"/>
      <c r="DD1122" s="110"/>
      <c r="DE1122" s="46" t="s">
        <v>6</v>
      </c>
      <c r="DF1122" s="103">
        <v>3.4990791896869244</v>
      </c>
      <c r="DG1122" s="103">
        <v>10.497237569060774</v>
      </c>
      <c r="DH1122" s="103">
        <v>29.465930018416209</v>
      </c>
      <c r="DI1122" s="103">
        <v>33.885819521178639</v>
      </c>
      <c r="DJ1122" s="103">
        <v>14.732965009208105</v>
      </c>
      <c r="DK1122" s="103">
        <v>6.6298342541436464</v>
      </c>
      <c r="DL1122" s="103">
        <v>0.92081031307550654</v>
      </c>
      <c r="DM1122" s="103">
        <v>0.18416206261510129</v>
      </c>
      <c r="DN1122" s="103">
        <v>0.18416206261510129</v>
      </c>
      <c r="DO1122" s="103">
        <v>0</v>
      </c>
    </row>
    <row r="1123" spans="2:199" ht="16.25" customHeight="1" x14ac:dyDescent="0.45">
      <c r="B1123" s="99"/>
      <c r="C1123" s="42"/>
      <c r="D1123" s="110"/>
      <c r="E1123" s="47" t="s">
        <v>7</v>
      </c>
      <c r="F1123" s="103">
        <v>2.9598308668076108</v>
      </c>
      <c r="G1123" s="103">
        <v>4.9330514446793519</v>
      </c>
      <c r="H1123" s="103">
        <v>17.829457364341085</v>
      </c>
      <c r="I1123" s="103">
        <v>32.064834390415783</v>
      </c>
      <c r="J1123" s="103">
        <v>26.56800563777308</v>
      </c>
      <c r="K1123" s="103">
        <v>11.346018322762509</v>
      </c>
      <c r="L1123" s="103">
        <v>3.1712473572938689</v>
      </c>
      <c r="M1123" s="103">
        <v>0.84566596194503174</v>
      </c>
      <c r="N1123" s="103">
        <v>0.28188865398167723</v>
      </c>
      <c r="O1123" s="103">
        <v>0</v>
      </c>
      <c r="P1123" s="42"/>
      <c r="Q1123" s="110"/>
      <c r="R1123" s="46" t="s">
        <v>7</v>
      </c>
      <c r="S1123" s="103">
        <v>2.8006589785831961</v>
      </c>
      <c r="T1123" s="103">
        <v>3.2948929159802307</v>
      </c>
      <c r="U1123" s="103">
        <v>15.321252059308071</v>
      </c>
      <c r="V1123" s="103">
        <v>34.76112026359143</v>
      </c>
      <c r="W1123" s="103">
        <v>28.500823723228997</v>
      </c>
      <c r="X1123" s="103">
        <v>11.532125205930807</v>
      </c>
      <c r="Y1123" s="103">
        <v>2.6359143327841847</v>
      </c>
      <c r="Z1123" s="103">
        <v>0.82372322899505768</v>
      </c>
      <c r="AA1123" s="103">
        <v>0.32948929159802309</v>
      </c>
      <c r="AB1123" s="103">
        <v>0</v>
      </c>
      <c r="AC1123" s="42"/>
      <c r="AD1123" s="110"/>
      <c r="AE1123" s="46" t="s">
        <v>7</v>
      </c>
      <c r="AF1123" s="103">
        <v>3.0788177339901477</v>
      </c>
      <c r="AG1123" s="103">
        <v>6.1576354679802954</v>
      </c>
      <c r="AH1123" s="103">
        <v>19.704433497536947</v>
      </c>
      <c r="AI1123" s="103">
        <v>30.049261083743843</v>
      </c>
      <c r="AJ1123" s="103">
        <v>25.123152709359609</v>
      </c>
      <c r="AK1123" s="103">
        <v>11.206896551724139</v>
      </c>
      <c r="AL1123" s="103">
        <v>3.5714285714285712</v>
      </c>
      <c r="AM1123" s="103">
        <v>0.86206896551724133</v>
      </c>
      <c r="AN1123" s="103">
        <v>0.24630541871921183</v>
      </c>
      <c r="AO1123" s="103">
        <v>0</v>
      </c>
      <c r="AP1123" s="6"/>
      <c r="AQ1123" s="110"/>
      <c r="AR1123" s="46" t="s">
        <v>7</v>
      </c>
      <c r="AS1123" s="103">
        <v>3.2193158953722336</v>
      </c>
      <c r="AT1123" s="103">
        <v>6.8410462776659964</v>
      </c>
      <c r="AU1123" s="103">
        <v>21.730382293762577</v>
      </c>
      <c r="AV1123" s="103">
        <v>33.199195171026155</v>
      </c>
      <c r="AW1123" s="103">
        <v>23.541247484909455</v>
      </c>
      <c r="AX1123" s="103">
        <v>7.6458752515090547</v>
      </c>
      <c r="AY1123" s="103">
        <v>3.2193158953722336</v>
      </c>
      <c r="AZ1123" s="103">
        <v>0.60362173038229372</v>
      </c>
      <c r="BA1123" s="103">
        <v>0</v>
      </c>
      <c r="BB1123" s="103">
        <v>0</v>
      </c>
      <c r="BC1123" s="42"/>
      <c r="BD1123" s="110"/>
      <c r="BE1123" s="46" t="s">
        <v>7</v>
      </c>
      <c r="BF1123" s="103">
        <v>2.8199566160520604</v>
      </c>
      <c r="BG1123" s="103">
        <v>3.9045553145336225</v>
      </c>
      <c r="BH1123" s="103">
        <v>15.726681127982648</v>
      </c>
      <c r="BI1123" s="103">
        <v>31.453362255965295</v>
      </c>
      <c r="BJ1123" s="103">
        <v>28.199566160520607</v>
      </c>
      <c r="BK1123" s="103">
        <v>13.34056399132321</v>
      </c>
      <c r="BL1123" s="103">
        <v>3.1453362255965298</v>
      </c>
      <c r="BM1123" s="103">
        <v>0.97613882863340562</v>
      </c>
      <c r="BN1123" s="103">
        <v>0.43383947939262474</v>
      </c>
      <c r="BO1123" s="103">
        <v>0</v>
      </c>
      <c r="BQ1123" s="110"/>
      <c r="BR1123" s="46" t="s">
        <v>7</v>
      </c>
      <c r="BS1123" s="103">
        <v>4.0609137055837561</v>
      </c>
      <c r="BT1123" s="103">
        <v>10.152284263959391</v>
      </c>
      <c r="BU1123" s="103">
        <v>25.888324873096447</v>
      </c>
      <c r="BV1123" s="103">
        <v>34.01015228426396</v>
      </c>
      <c r="BW1123" s="103">
        <v>15.228426395939088</v>
      </c>
      <c r="BX1123" s="103">
        <v>8.1218274111675122</v>
      </c>
      <c r="BY1123" s="103">
        <v>1.015228426395939</v>
      </c>
      <c r="BZ1123" s="103">
        <v>1.015228426395939</v>
      </c>
      <c r="CA1123" s="103">
        <v>0.50761421319796951</v>
      </c>
      <c r="CB1123" s="103">
        <v>0</v>
      </c>
      <c r="CC1123" s="42"/>
      <c r="CD1123" s="110"/>
      <c r="CE1123" s="46" t="s">
        <v>7</v>
      </c>
      <c r="CF1123" s="103">
        <v>2.7823240589198037</v>
      </c>
      <c r="CG1123" s="103">
        <v>4.0916530278232406</v>
      </c>
      <c r="CH1123" s="103">
        <v>16.530278232405891</v>
      </c>
      <c r="CI1123" s="103">
        <v>31.751227495908346</v>
      </c>
      <c r="CJ1123" s="103">
        <v>28.396072013093288</v>
      </c>
      <c r="CK1123" s="103">
        <v>11.865793780687397</v>
      </c>
      <c r="CL1123" s="103">
        <v>3.5188216039279872</v>
      </c>
      <c r="CM1123" s="103">
        <v>0.81833060556464821</v>
      </c>
      <c r="CN1123" s="103">
        <v>0.24549918166939444</v>
      </c>
      <c r="CO1123" s="103">
        <v>0</v>
      </c>
      <c r="CQ1123" s="110"/>
      <c r="CR1123" s="46" t="s">
        <v>7</v>
      </c>
      <c r="CS1123" s="103">
        <v>2.0761245674740483</v>
      </c>
      <c r="CT1123" s="103">
        <v>2.0761245674740483</v>
      </c>
      <c r="CU1123" s="103">
        <v>16.955017301038062</v>
      </c>
      <c r="CV1123" s="103">
        <v>25.259515570934255</v>
      </c>
      <c r="CW1123" s="103">
        <v>28.719723183391004</v>
      </c>
      <c r="CX1123" s="103">
        <v>13.494809688581316</v>
      </c>
      <c r="CY1123" s="103">
        <v>7.6124567474048446</v>
      </c>
      <c r="CZ1123" s="103">
        <v>3.1141868512110724</v>
      </c>
      <c r="DA1123" s="103">
        <v>0.69204152249134954</v>
      </c>
      <c r="DB1123" s="103">
        <v>0</v>
      </c>
      <c r="DC1123" s="42"/>
      <c r="DD1123" s="110"/>
      <c r="DE1123" s="46" t="s">
        <v>7</v>
      </c>
      <c r="DF1123" s="103">
        <v>3.1858407079646018</v>
      </c>
      <c r="DG1123" s="103">
        <v>5.663716814159292</v>
      </c>
      <c r="DH1123" s="103">
        <v>18.053097345132745</v>
      </c>
      <c r="DI1123" s="103">
        <v>33.805309734513273</v>
      </c>
      <c r="DJ1123" s="103">
        <v>26.017699115044245</v>
      </c>
      <c r="DK1123" s="103">
        <v>10.79646017699115</v>
      </c>
      <c r="DL1123" s="103">
        <v>2.0353982300884956</v>
      </c>
      <c r="DM1123" s="103">
        <v>0.26548672566371678</v>
      </c>
      <c r="DN1123" s="103">
        <v>0.17699115044247787</v>
      </c>
      <c r="DO1123" s="103">
        <v>0</v>
      </c>
    </row>
    <row r="1124" spans="2:199" ht="16.25" customHeight="1" x14ac:dyDescent="0.45">
      <c r="B1124" s="99"/>
      <c r="C1124" s="42"/>
      <c r="D1124" s="110"/>
      <c r="E1124" s="47" t="s">
        <v>8</v>
      </c>
      <c r="F1124" s="103">
        <v>2.0959478341872382</v>
      </c>
      <c r="G1124" s="103">
        <v>2.1425244527247322</v>
      </c>
      <c r="H1124" s="103">
        <v>6.2878435025617145</v>
      </c>
      <c r="I1124" s="103">
        <v>22.869119701909639</v>
      </c>
      <c r="J1124" s="103">
        <v>32.883092687470885</v>
      </c>
      <c r="K1124" s="103">
        <v>22.123893805309734</v>
      </c>
      <c r="L1124" s="103">
        <v>8.0111783884489984</v>
      </c>
      <c r="M1124" s="103">
        <v>2.4219841639496971</v>
      </c>
      <c r="N1124" s="103">
        <v>1.0246856078248718</v>
      </c>
      <c r="O1124" s="103">
        <v>0.13972985561248255</v>
      </c>
      <c r="P1124" s="42"/>
      <c r="Q1124" s="110"/>
      <c r="R1124" s="46" t="s">
        <v>8</v>
      </c>
      <c r="S1124" s="103">
        <v>1.2861736334405145</v>
      </c>
      <c r="T1124" s="103">
        <v>2.0364415862808145</v>
      </c>
      <c r="U1124" s="103">
        <v>4.6087888531618439</v>
      </c>
      <c r="V1124" s="103">
        <v>22.722400857449088</v>
      </c>
      <c r="W1124" s="103">
        <v>34.619506966773848</v>
      </c>
      <c r="X1124" s="103">
        <v>22.829581993569132</v>
      </c>
      <c r="Y1124" s="103">
        <v>9.0032154340836019</v>
      </c>
      <c r="Z1124" s="103">
        <v>1.929260450160772</v>
      </c>
      <c r="AA1124" s="103">
        <v>0.75026795284030012</v>
      </c>
      <c r="AB1124" s="103">
        <v>0.21436227224008575</v>
      </c>
      <c r="AC1124" s="42"/>
      <c r="AD1124" s="110"/>
      <c r="AE1124" s="46" t="s">
        <v>8</v>
      </c>
      <c r="AF1124" s="103">
        <v>2.7182866556836904</v>
      </c>
      <c r="AG1124" s="103">
        <v>2.2240527182866558</v>
      </c>
      <c r="AH1124" s="103">
        <v>7.5782537067545297</v>
      </c>
      <c r="AI1124" s="103">
        <v>22.981878088962109</v>
      </c>
      <c r="AJ1124" s="103">
        <v>31.548599670510708</v>
      </c>
      <c r="AK1124" s="103">
        <v>21.581548599670512</v>
      </c>
      <c r="AL1124" s="103">
        <v>7.2487644151565069</v>
      </c>
      <c r="AM1124" s="103">
        <v>2.8006589785831961</v>
      </c>
      <c r="AN1124" s="103">
        <v>1.2355848434925865</v>
      </c>
      <c r="AO1124" s="103">
        <v>8.2372322899505773E-2</v>
      </c>
      <c r="AP1124" s="6"/>
      <c r="AQ1124" s="110"/>
      <c r="AR1124" s="46" t="s">
        <v>8</v>
      </c>
      <c r="AS1124" s="103">
        <v>3.1304347826086958</v>
      </c>
      <c r="AT1124" s="103">
        <v>3.3043478260869561</v>
      </c>
      <c r="AU1124" s="103">
        <v>9.391304347826086</v>
      </c>
      <c r="AV1124" s="103">
        <v>27.826086956521738</v>
      </c>
      <c r="AW1124" s="103">
        <v>31.478260869565215</v>
      </c>
      <c r="AX1124" s="103">
        <v>17.217391304347824</v>
      </c>
      <c r="AY1124" s="103">
        <v>5.7391304347826084</v>
      </c>
      <c r="AZ1124" s="103">
        <v>1.2173913043478262</v>
      </c>
      <c r="BA1124" s="103">
        <v>0.69565217391304346</v>
      </c>
      <c r="BB1124" s="103">
        <v>0</v>
      </c>
      <c r="BC1124" s="42"/>
      <c r="BD1124" s="110"/>
      <c r="BE1124" s="46" t="s">
        <v>8</v>
      </c>
      <c r="BF1124" s="103">
        <v>1.717557251908397</v>
      </c>
      <c r="BG1124" s="103">
        <v>1.717557251908397</v>
      </c>
      <c r="BH1124" s="103">
        <v>5.1526717557251906</v>
      </c>
      <c r="BI1124" s="103">
        <v>21.055979643765905</v>
      </c>
      <c r="BJ1124" s="103">
        <v>33.396946564885496</v>
      </c>
      <c r="BK1124" s="103">
        <v>23.918575063613233</v>
      </c>
      <c r="BL1124" s="103">
        <v>8.8422391857506355</v>
      </c>
      <c r="BM1124" s="103">
        <v>2.8625954198473282</v>
      </c>
      <c r="BN1124" s="103">
        <v>1.1450381679389312</v>
      </c>
      <c r="BO1124" s="103">
        <v>0.19083969465648853</v>
      </c>
      <c r="BQ1124" s="110"/>
      <c r="BR1124" s="46" t="s">
        <v>8</v>
      </c>
      <c r="BS1124" s="103">
        <v>7.2289156626506017</v>
      </c>
      <c r="BT1124" s="103">
        <v>3.0120481927710845</v>
      </c>
      <c r="BU1124" s="103">
        <v>13.855421686746988</v>
      </c>
      <c r="BV1124" s="103">
        <v>28.313253012048197</v>
      </c>
      <c r="BW1124" s="103">
        <v>24.69879518072289</v>
      </c>
      <c r="BX1124" s="103">
        <v>16.265060240963855</v>
      </c>
      <c r="BY1124" s="103">
        <v>4.2168674698795181</v>
      </c>
      <c r="BZ1124" s="103">
        <v>2.4096385542168677</v>
      </c>
      <c r="CA1124" s="103">
        <v>0</v>
      </c>
      <c r="CB1124" s="103">
        <v>0</v>
      </c>
      <c r="CC1124" s="42"/>
      <c r="CD1124" s="110"/>
      <c r="CE1124" s="46" t="s">
        <v>8</v>
      </c>
      <c r="CF1124" s="103">
        <v>1.6658253407370014</v>
      </c>
      <c r="CG1124" s="103">
        <v>2.0696617869762743</v>
      </c>
      <c r="CH1124" s="103">
        <v>5.6537102473498235</v>
      </c>
      <c r="CI1124" s="103">
        <v>22.412922766279657</v>
      </c>
      <c r="CJ1124" s="103">
        <v>33.568904593639573</v>
      </c>
      <c r="CK1124" s="103">
        <v>22.614840989399294</v>
      </c>
      <c r="CL1124" s="103">
        <v>8.3291267036850076</v>
      </c>
      <c r="CM1124" s="103">
        <v>2.4230186774356386</v>
      </c>
      <c r="CN1124" s="103">
        <v>1.110550227158001</v>
      </c>
      <c r="CO1124" s="103">
        <v>0.15143866733972741</v>
      </c>
      <c r="CQ1124" s="110"/>
      <c r="CR1124" s="46" t="s">
        <v>8</v>
      </c>
      <c r="CS1124" s="103">
        <v>2.278481012658228</v>
      </c>
      <c r="CT1124" s="103">
        <v>1.5189873417721518</v>
      </c>
      <c r="CU1124" s="103">
        <v>3.2911392405063293</v>
      </c>
      <c r="CV1124" s="103">
        <v>15.69620253164557</v>
      </c>
      <c r="CW1124" s="103">
        <v>33.670886075949369</v>
      </c>
      <c r="CX1124" s="103">
        <v>25.316455696202532</v>
      </c>
      <c r="CY1124" s="103">
        <v>11.898734177215189</v>
      </c>
      <c r="CZ1124" s="103">
        <v>4.0506329113924053</v>
      </c>
      <c r="DA1124" s="103">
        <v>2.0253164556962027</v>
      </c>
      <c r="DB1124" s="103">
        <v>0.25316455696202533</v>
      </c>
      <c r="DC1124" s="42"/>
      <c r="DD1124" s="110"/>
      <c r="DE1124" s="46" t="s">
        <v>8</v>
      </c>
      <c r="DF1124" s="103">
        <v>2.054794520547945</v>
      </c>
      <c r="DG1124" s="103">
        <v>2.2831050228310499</v>
      </c>
      <c r="DH1124" s="103">
        <v>6.9634703196347028</v>
      </c>
      <c r="DI1124" s="103">
        <v>24.486301369863014</v>
      </c>
      <c r="DJ1124" s="103">
        <v>32.705479452054789</v>
      </c>
      <c r="DK1124" s="103">
        <v>21.404109589041095</v>
      </c>
      <c r="DL1124" s="103">
        <v>7.134703196347032</v>
      </c>
      <c r="DM1124" s="103">
        <v>2.054794520547945</v>
      </c>
      <c r="DN1124" s="103">
        <v>0.79908675799086759</v>
      </c>
      <c r="DO1124" s="103">
        <v>0.11415525114155251</v>
      </c>
    </row>
    <row r="1125" spans="2:199" ht="16.25" customHeight="1" x14ac:dyDescent="0.45">
      <c r="B1125" s="99"/>
      <c r="C1125" s="42"/>
      <c r="D1125" s="110"/>
      <c r="E1125" s="47" t="s">
        <v>9</v>
      </c>
      <c r="F1125" s="103">
        <v>1.4166363966581912</v>
      </c>
      <c r="G1125" s="103">
        <v>0.61750817290228843</v>
      </c>
      <c r="H1125" s="103">
        <v>1.9614965492190339</v>
      </c>
      <c r="I1125" s="103">
        <v>9.6621867054122781</v>
      </c>
      <c r="J1125" s="103">
        <v>24.0101707228478</v>
      </c>
      <c r="K1125" s="103">
        <v>31.49291681801671</v>
      </c>
      <c r="L1125" s="103">
        <v>18.779513258263712</v>
      </c>
      <c r="M1125" s="103">
        <v>8.6814384308027606</v>
      </c>
      <c r="N1125" s="103">
        <v>2.5790047221213221</v>
      </c>
      <c r="O1125" s="103">
        <v>0.79912822375590264</v>
      </c>
      <c r="P1125" s="42"/>
      <c r="Q1125" s="110"/>
      <c r="R1125" s="46" t="s">
        <v>9</v>
      </c>
      <c r="S1125" s="103">
        <v>0.81227436823104682</v>
      </c>
      <c r="T1125" s="103">
        <v>0.27075812274368227</v>
      </c>
      <c r="U1125" s="103">
        <v>1.2635379061371841</v>
      </c>
      <c r="V1125" s="103">
        <v>8.6642599277978327</v>
      </c>
      <c r="W1125" s="103">
        <v>24.819494584837546</v>
      </c>
      <c r="X1125" s="103">
        <v>34.115523465703973</v>
      </c>
      <c r="Y1125" s="103">
        <v>19.494584837545126</v>
      </c>
      <c r="Z1125" s="103">
        <v>7.7617328519855606</v>
      </c>
      <c r="AA1125" s="103">
        <v>2.4368231046931408</v>
      </c>
      <c r="AB1125" s="103">
        <v>0.36101083032490977</v>
      </c>
      <c r="AC1125" s="42"/>
      <c r="AD1125" s="110"/>
      <c r="AE1125" s="46" t="s">
        <v>9</v>
      </c>
      <c r="AF1125" s="103">
        <v>1.8237082066869299</v>
      </c>
      <c r="AG1125" s="103">
        <v>0.85106382978723405</v>
      </c>
      <c r="AH1125" s="103">
        <v>2.43161094224924</v>
      </c>
      <c r="AI1125" s="103">
        <v>10.334346504559271</v>
      </c>
      <c r="AJ1125" s="103">
        <v>23.465045592705167</v>
      </c>
      <c r="AK1125" s="103">
        <v>29.726443768996962</v>
      </c>
      <c r="AL1125" s="103">
        <v>18.297872340425531</v>
      </c>
      <c r="AM1125" s="103">
        <v>9.300911854103342</v>
      </c>
      <c r="AN1125" s="103">
        <v>2.6747720364741641</v>
      </c>
      <c r="AO1125" s="103">
        <v>1.094224924012158</v>
      </c>
      <c r="AP1125" s="6"/>
      <c r="AQ1125" s="110"/>
      <c r="AR1125" s="46" t="s">
        <v>9</v>
      </c>
      <c r="AS1125" s="103">
        <v>2.7199999999999998</v>
      </c>
      <c r="AT1125" s="103">
        <v>1.6</v>
      </c>
      <c r="AU1125" s="103">
        <v>3.6799999999999997</v>
      </c>
      <c r="AV1125" s="103">
        <v>13.600000000000001</v>
      </c>
      <c r="AW1125" s="103">
        <v>26.56</v>
      </c>
      <c r="AX1125" s="103">
        <v>30.880000000000003</v>
      </c>
      <c r="AY1125" s="103">
        <v>14.399999999999999</v>
      </c>
      <c r="AZ1125" s="103">
        <v>5.12</v>
      </c>
      <c r="BA1125" s="103">
        <v>0.96</v>
      </c>
      <c r="BB1125" s="103">
        <v>0.48</v>
      </c>
      <c r="BC1125" s="42"/>
      <c r="BD1125" s="110"/>
      <c r="BE1125" s="46" t="s">
        <v>9</v>
      </c>
      <c r="BF1125" s="103">
        <v>1.0338345864661653</v>
      </c>
      <c r="BG1125" s="103">
        <v>0.3289473684210526</v>
      </c>
      <c r="BH1125" s="103">
        <v>1.4567669172932329</v>
      </c>
      <c r="BI1125" s="103">
        <v>8.5056390977443606</v>
      </c>
      <c r="BJ1125" s="103">
        <v>23.261278195488721</v>
      </c>
      <c r="BK1125" s="103">
        <v>31.67293233082707</v>
      </c>
      <c r="BL1125" s="103">
        <v>20.065789473684212</v>
      </c>
      <c r="BM1125" s="103">
        <v>9.7274436090225578</v>
      </c>
      <c r="BN1125" s="103">
        <v>3.0545112781954886</v>
      </c>
      <c r="BO1125" s="103">
        <v>0.89285714285714279</v>
      </c>
      <c r="BQ1125" s="110"/>
      <c r="BR1125" s="46" t="s">
        <v>9</v>
      </c>
      <c r="BS1125" s="103">
        <v>2.7322404371584699</v>
      </c>
      <c r="BT1125" s="103">
        <v>1.639344262295082</v>
      </c>
      <c r="BU1125" s="103">
        <v>7.1038251366120218</v>
      </c>
      <c r="BV1125" s="103">
        <v>14.207650273224044</v>
      </c>
      <c r="BW1125" s="103">
        <v>21.311475409836063</v>
      </c>
      <c r="BX1125" s="103">
        <v>26.229508196721312</v>
      </c>
      <c r="BY1125" s="103">
        <v>14.754098360655737</v>
      </c>
      <c r="BZ1125" s="103">
        <v>7.6502732240437163</v>
      </c>
      <c r="CA1125" s="103">
        <v>3.278688524590164</v>
      </c>
      <c r="CB1125" s="103">
        <v>1.0928961748633881</v>
      </c>
      <c r="CC1125" s="42"/>
      <c r="CD1125" s="110"/>
      <c r="CE1125" s="46" t="s">
        <v>9</v>
      </c>
      <c r="CF1125" s="103">
        <v>1.3229571984435797</v>
      </c>
      <c r="CG1125" s="103">
        <v>0.54474708171206221</v>
      </c>
      <c r="CH1125" s="103">
        <v>1.5953307392996108</v>
      </c>
      <c r="CI1125" s="103">
        <v>9.3385214007782107</v>
      </c>
      <c r="CJ1125" s="103">
        <v>24.202334630350194</v>
      </c>
      <c r="CK1125" s="103">
        <v>31.867704280155639</v>
      </c>
      <c r="CL1125" s="103">
        <v>19.066147859922179</v>
      </c>
      <c r="CM1125" s="103">
        <v>8.7548638132295711</v>
      </c>
      <c r="CN1125" s="103">
        <v>2.5291828793774318</v>
      </c>
      <c r="CO1125" s="103">
        <v>0.77821011673151752</v>
      </c>
      <c r="CQ1125" s="110"/>
      <c r="CR1125" s="46" t="s">
        <v>9</v>
      </c>
      <c r="CS1125" s="103">
        <v>0.86767895878524948</v>
      </c>
      <c r="CT1125" s="103">
        <v>0</v>
      </c>
      <c r="CU1125" s="103">
        <v>1.5184381778741864</v>
      </c>
      <c r="CV1125" s="103">
        <v>6.0737527114967458</v>
      </c>
      <c r="CW1125" s="103">
        <v>21.908893709327547</v>
      </c>
      <c r="CX1125" s="103">
        <v>30.802603036876359</v>
      </c>
      <c r="CY1125" s="103">
        <v>23.644251626898047</v>
      </c>
      <c r="CZ1125" s="103">
        <v>10.195227765726681</v>
      </c>
      <c r="DA1125" s="103">
        <v>3.4707158351409979</v>
      </c>
      <c r="DB1125" s="103">
        <v>1.5184381778741864</v>
      </c>
      <c r="DC1125" s="42"/>
      <c r="DD1125" s="110"/>
      <c r="DE1125" s="46" t="s">
        <v>9</v>
      </c>
      <c r="DF1125" s="103">
        <v>1.5270506108202444</v>
      </c>
      <c r="DG1125" s="103">
        <v>0.7417102966841187</v>
      </c>
      <c r="DH1125" s="103">
        <v>2.0506108202443278</v>
      </c>
      <c r="DI1125" s="103">
        <v>10.38394415357766</v>
      </c>
      <c r="DJ1125" s="103">
        <v>24.43280977312391</v>
      </c>
      <c r="DK1125" s="103">
        <v>31.63176265270506</v>
      </c>
      <c r="DL1125" s="103">
        <v>17.801047120418847</v>
      </c>
      <c r="DM1125" s="103">
        <v>8.3769633507853403</v>
      </c>
      <c r="DN1125" s="103">
        <v>2.3996509598603839</v>
      </c>
      <c r="DO1125" s="103">
        <v>0.65445026178010468</v>
      </c>
    </row>
    <row r="1126" spans="2:199" ht="16.25" customHeight="1" x14ac:dyDescent="0.45">
      <c r="B1126" s="99"/>
      <c r="C1126" s="42"/>
      <c r="D1126" s="110"/>
      <c r="E1126" s="47" t="s">
        <v>10</v>
      </c>
      <c r="F1126" s="103">
        <v>0.39963110974485089</v>
      </c>
      <c r="G1126" s="103">
        <v>0.1537042729787888</v>
      </c>
      <c r="H1126" s="103">
        <v>0.36889025514909313</v>
      </c>
      <c r="I1126" s="103">
        <v>2.0288964033200121</v>
      </c>
      <c r="J1126" s="103">
        <v>9.5911466338764217</v>
      </c>
      <c r="K1126" s="103">
        <v>21.979711035966801</v>
      </c>
      <c r="L1126" s="103">
        <v>25.053796495542574</v>
      </c>
      <c r="M1126" s="103">
        <v>20.873040270519521</v>
      </c>
      <c r="N1126" s="103">
        <v>13.771902858899477</v>
      </c>
      <c r="O1126" s="103">
        <v>5.7792806640024592</v>
      </c>
      <c r="P1126" s="42"/>
      <c r="Q1126" s="110"/>
      <c r="R1126" s="46" t="s">
        <v>10</v>
      </c>
      <c r="S1126" s="103">
        <v>8.5616438356164379E-2</v>
      </c>
      <c r="T1126" s="103">
        <v>0</v>
      </c>
      <c r="U1126" s="103">
        <v>0.34246575342465752</v>
      </c>
      <c r="V1126" s="103">
        <v>1.2842465753424657</v>
      </c>
      <c r="W1126" s="103">
        <v>8.5616438356164384</v>
      </c>
      <c r="X1126" s="103">
        <v>22.003424657534246</v>
      </c>
      <c r="Y1126" s="103">
        <v>26.712328767123289</v>
      </c>
      <c r="Z1126" s="103">
        <v>22.517123287671232</v>
      </c>
      <c r="AA1126" s="103">
        <v>13.698630136986301</v>
      </c>
      <c r="AB1126" s="103">
        <v>4.7945205479452051</v>
      </c>
      <c r="AC1126" s="42"/>
      <c r="AD1126" s="110"/>
      <c r="AE1126" s="46" t="s">
        <v>10</v>
      </c>
      <c r="AF1126" s="103">
        <v>0.57553956834532372</v>
      </c>
      <c r="AG1126" s="103">
        <v>0.23980815347721821</v>
      </c>
      <c r="AH1126" s="103">
        <v>0.38369304556354916</v>
      </c>
      <c r="AI1126" s="103">
        <v>2.4460431654676258</v>
      </c>
      <c r="AJ1126" s="103">
        <v>10.167865707434052</v>
      </c>
      <c r="AK1126" s="103">
        <v>21.966426858513188</v>
      </c>
      <c r="AL1126" s="103">
        <v>24.124700239808153</v>
      </c>
      <c r="AM1126" s="103">
        <v>19.952038369304557</v>
      </c>
      <c r="AN1126" s="103">
        <v>13.812949640287769</v>
      </c>
      <c r="AO1126" s="103">
        <v>6.3309352517985609</v>
      </c>
      <c r="AP1126" s="6"/>
      <c r="AQ1126" s="110"/>
      <c r="AR1126" s="46" t="s">
        <v>10</v>
      </c>
      <c r="AS1126" s="103">
        <v>1.1385199240986716</v>
      </c>
      <c r="AT1126" s="103">
        <v>0.37950664136622392</v>
      </c>
      <c r="AU1126" s="103">
        <v>1.1385199240986716</v>
      </c>
      <c r="AV1126" s="103">
        <v>4.7438330170777991</v>
      </c>
      <c r="AW1126" s="103">
        <v>14.800759013282732</v>
      </c>
      <c r="AX1126" s="103">
        <v>30.740037950664135</v>
      </c>
      <c r="AY1126" s="103">
        <v>19.924098671726757</v>
      </c>
      <c r="AZ1126" s="103">
        <v>15.180265654648956</v>
      </c>
      <c r="BA1126" s="103">
        <v>8.159392789373813</v>
      </c>
      <c r="BB1126" s="103">
        <v>3.795066413662239</v>
      </c>
      <c r="BC1126" s="42"/>
      <c r="BD1126" s="110"/>
      <c r="BE1126" s="46" t="s">
        <v>10</v>
      </c>
      <c r="BF1126" s="103">
        <v>0.25678650036683787</v>
      </c>
      <c r="BG1126" s="103">
        <v>0.11005135730007337</v>
      </c>
      <c r="BH1126" s="103">
        <v>0.22010271460014674</v>
      </c>
      <c r="BI1126" s="103">
        <v>1.504035216434336</v>
      </c>
      <c r="BJ1126" s="103">
        <v>8.584005869405722</v>
      </c>
      <c r="BK1126" s="103">
        <v>20.286133528980191</v>
      </c>
      <c r="BL1126" s="103">
        <v>26.0454878943507</v>
      </c>
      <c r="BM1126" s="103">
        <v>21.973587674247984</v>
      </c>
      <c r="BN1126" s="103">
        <v>14.856933235509906</v>
      </c>
      <c r="BO1126" s="103">
        <v>6.1628760088041084</v>
      </c>
      <c r="BQ1126" s="110"/>
      <c r="BR1126" s="46" t="s">
        <v>10</v>
      </c>
      <c r="BS1126" s="103">
        <v>1.25</v>
      </c>
      <c r="BT1126" s="103">
        <v>0</v>
      </c>
      <c r="BU1126" s="103">
        <v>1.875</v>
      </c>
      <c r="BV1126" s="103">
        <v>3.75</v>
      </c>
      <c r="BW1126" s="103">
        <v>13.750000000000002</v>
      </c>
      <c r="BX1126" s="103">
        <v>21.875</v>
      </c>
      <c r="BY1126" s="103">
        <v>18.125</v>
      </c>
      <c r="BZ1126" s="103">
        <v>23.75</v>
      </c>
      <c r="CA1126" s="103">
        <v>11.25</v>
      </c>
      <c r="CB1126" s="103">
        <v>4.375</v>
      </c>
      <c r="CC1126" s="42"/>
      <c r="CD1126" s="110"/>
      <c r="CE1126" s="46" t="s">
        <v>10</v>
      </c>
      <c r="CF1126" s="103">
        <v>0.35564177174264466</v>
      </c>
      <c r="CG1126" s="103">
        <v>0.16165535079211121</v>
      </c>
      <c r="CH1126" s="103">
        <v>0.29097963142580019</v>
      </c>
      <c r="CI1126" s="103">
        <v>1.9398642095053349</v>
      </c>
      <c r="CJ1126" s="103">
        <v>9.3760103459424506</v>
      </c>
      <c r="CK1126" s="103">
        <v>21.985127707727127</v>
      </c>
      <c r="CL1126" s="103">
        <v>25.412221144519879</v>
      </c>
      <c r="CM1126" s="103">
        <v>20.724215971548659</v>
      </c>
      <c r="CN1126" s="103">
        <v>13.902360168121564</v>
      </c>
      <c r="CO1126" s="103">
        <v>5.8519236986744261</v>
      </c>
      <c r="CQ1126" s="110"/>
      <c r="CR1126" s="46" t="s">
        <v>10</v>
      </c>
      <c r="CS1126" s="103">
        <v>0.69767441860465118</v>
      </c>
      <c r="CT1126" s="103">
        <v>0</v>
      </c>
      <c r="CU1126" s="103">
        <v>0.69767441860465118</v>
      </c>
      <c r="CV1126" s="103">
        <v>2.558139534883721</v>
      </c>
      <c r="CW1126" s="103">
        <v>11.627906976744185</v>
      </c>
      <c r="CX1126" s="103">
        <v>22.325581395348838</v>
      </c>
      <c r="CY1126" s="103">
        <v>22.093023255813954</v>
      </c>
      <c r="CZ1126" s="103">
        <v>20</v>
      </c>
      <c r="DA1126" s="103">
        <v>13.953488372093023</v>
      </c>
      <c r="DB1126" s="103">
        <v>6.0465116279069768</v>
      </c>
      <c r="DC1126" s="42"/>
      <c r="DD1126" s="110"/>
      <c r="DE1126" s="46" t="s">
        <v>10</v>
      </c>
      <c r="DF1126" s="103">
        <v>0.35423308537017356</v>
      </c>
      <c r="DG1126" s="103">
        <v>0.17711654268508678</v>
      </c>
      <c r="DH1126" s="103">
        <v>0.3188097768331562</v>
      </c>
      <c r="DI1126" s="103">
        <v>1.9482819695359546</v>
      </c>
      <c r="DJ1126" s="103">
        <v>9.2809068366985485</v>
      </c>
      <c r="DK1126" s="103">
        <v>21.927027984413744</v>
      </c>
      <c r="DL1126" s="103">
        <v>25.504782146652499</v>
      </c>
      <c r="DM1126" s="103">
        <v>21.006021962451292</v>
      </c>
      <c r="DN1126" s="103">
        <v>13.744243712362735</v>
      </c>
      <c r="DO1126" s="103">
        <v>5.7385759829968119</v>
      </c>
    </row>
    <row r="1127" spans="2:199" ht="16.25" customHeight="1" x14ac:dyDescent="0.45">
      <c r="B1127" s="99"/>
      <c r="C1127" s="42"/>
      <c r="D1127" s="111"/>
      <c r="E1127" s="47" t="s">
        <v>11</v>
      </c>
      <c r="F1127" s="103">
        <v>0.21413276231263384</v>
      </c>
      <c r="G1127" s="103">
        <v>0.10706638115631692</v>
      </c>
      <c r="H1127" s="103">
        <v>0</v>
      </c>
      <c r="I1127" s="103">
        <v>0.10706638115631692</v>
      </c>
      <c r="J1127" s="103">
        <v>1.6059957173447537</v>
      </c>
      <c r="K1127" s="103">
        <v>7.2805139186295502</v>
      </c>
      <c r="L1127" s="103">
        <v>15.096359743040685</v>
      </c>
      <c r="M1127" s="103">
        <v>24.839400428265524</v>
      </c>
      <c r="N1127" s="103">
        <v>26.659528907922912</v>
      </c>
      <c r="O1127" s="103">
        <v>24.089935760171304</v>
      </c>
      <c r="P1127" s="42"/>
      <c r="Q1127" s="111"/>
      <c r="R1127" s="46" t="s">
        <v>11</v>
      </c>
      <c r="S1127" s="103">
        <v>0</v>
      </c>
      <c r="T1127" s="103">
        <v>0.32467532467532467</v>
      </c>
      <c r="U1127" s="103">
        <v>0</v>
      </c>
      <c r="V1127" s="103">
        <v>0.32467532467532467</v>
      </c>
      <c r="W1127" s="103">
        <v>0.97402597402597402</v>
      </c>
      <c r="X1127" s="103">
        <v>7.7922077922077921</v>
      </c>
      <c r="Y1127" s="103">
        <v>14.61038961038961</v>
      </c>
      <c r="Z1127" s="103">
        <v>26.2987012987013</v>
      </c>
      <c r="AA1127" s="103">
        <v>24.675324675324674</v>
      </c>
      <c r="AB1127" s="103">
        <v>25</v>
      </c>
      <c r="AC1127" s="42"/>
      <c r="AD1127" s="111"/>
      <c r="AE1127" s="46" t="s">
        <v>11</v>
      </c>
      <c r="AF1127" s="103">
        <v>0.31948881789137379</v>
      </c>
      <c r="AG1127" s="103">
        <v>0</v>
      </c>
      <c r="AH1127" s="103">
        <v>0</v>
      </c>
      <c r="AI1127" s="103">
        <v>0</v>
      </c>
      <c r="AJ1127" s="103">
        <v>1.9169329073482428</v>
      </c>
      <c r="AK1127" s="103">
        <v>7.0287539936102235</v>
      </c>
      <c r="AL1127" s="103">
        <v>15.335463258785943</v>
      </c>
      <c r="AM1127" s="103">
        <v>24.121405750798722</v>
      </c>
      <c r="AN1127" s="103">
        <v>27.635782747603834</v>
      </c>
      <c r="AO1127" s="103">
        <v>23.642172523961662</v>
      </c>
      <c r="AP1127" s="6"/>
      <c r="AQ1127" s="111"/>
      <c r="AR1127" s="46" t="s">
        <v>11</v>
      </c>
      <c r="AS1127" s="103">
        <v>1.1904761904761905</v>
      </c>
      <c r="AT1127" s="103">
        <v>1.1904761904761905</v>
      </c>
      <c r="AU1127" s="103">
        <v>0</v>
      </c>
      <c r="AV1127" s="103">
        <v>0</v>
      </c>
      <c r="AW1127" s="103">
        <v>4.7619047619047619</v>
      </c>
      <c r="AX1127" s="103">
        <v>16.666666666666664</v>
      </c>
      <c r="AY1127" s="103">
        <v>21.428571428571427</v>
      </c>
      <c r="AZ1127" s="103">
        <v>21.428571428571427</v>
      </c>
      <c r="BA1127" s="103">
        <v>21.428571428571427</v>
      </c>
      <c r="BB1127" s="103">
        <v>11.904761904761903</v>
      </c>
      <c r="BC1127" s="42"/>
      <c r="BD1127" s="111"/>
      <c r="BE1127" s="46" t="s">
        <v>11</v>
      </c>
      <c r="BF1127" s="103">
        <v>0.1176470588235294</v>
      </c>
      <c r="BG1127" s="103">
        <v>0</v>
      </c>
      <c r="BH1127" s="103">
        <v>0</v>
      </c>
      <c r="BI1127" s="103">
        <v>0.1176470588235294</v>
      </c>
      <c r="BJ1127" s="103">
        <v>1.2941176470588236</v>
      </c>
      <c r="BK1127" s="103">
        <v>6.3529411764705879</v>
      </c>
      <c r="BL1127" s="103">
        <v>14.470588235294118</v>
      </c>
      <c r="BM1127" s="103">
        <v>25.176470588235293</v>
      </c>
      <c r="BN1127" s="103">
        <v>27.176470588235297</v>
      </c>
      <c r="BO1127" s="103">
        <v>25.294117647058822</v>
      </c>
      <c r="BQ1127" s="111"/>
      <c r="BR1127" s="46" t="s">
        <v>11</v>
      </c>
      <c r="BS1127" s="103">
        <v>7.1428571428571423</v>
      </c>
      <c r="BT1127" s="103">
        <v>0</v>
      </c>
      <c r="BU1127" s="103">
        <v>0</v>
      </c>
      <c r="BV1127" s="103">
        <v>0</v>
      </c>
      <c r="BW1127" s="103">
        <v>10.714285714285714</v>
      </c>
      <c r="BX1127" s="103">
        <v>17.857142857142858</v>
      </c>
      <c r="BY1127" s="103">
        <v>10.714285714285714</v>
      </c>
      <c r="BZ1127" s="103">
        <v>17.857142857142858</v>
      </c>
      <c r="CA1127" s="103">
        <v>10.714285714285714</v>
      </c>
      <c r="CB1127" s="103">
        <v>25</v>
      </c>
      <c r="CC1127" s="42"/>
      <c r="CD1127" s="111"/>
      <c r="CE1127" s="46" t="s">
        <v>11</v>
      </c>
      <c r="CF1127" s="103">
        <v>0</v>
      </c>
      <c r="CG1127" s="103">
        <v>0.11037527593818984</v>
      </c>
      <c r="CH1127" s="103">
        <v>0</v>
      </c>
      <c r="CI1127" s="103">
        <v>0.11037527593818984</v>
      </c>
      <c r="CJ1127" s="103">
        <v>1.3245033112582782</v>
      </c>
      <c r="CK1127" s="103">
        <v>6.9536423841059598</v>
      </c>
      <c r="CL1127" s="103">
        <v>15.231788079470199</v>
      </c>
      <c r="CM1127" s="103">
        <v>25.055187637969095</v>
      </c>
      <c r="CN1127" s="103">
        <v>27.152317880794701</v>
      </c>
      <c r="CO1127" s="103">
        <v>24.061810154525386</v>
      </c>
      <c r="CQ1127" s="111"/>
      <c r="CR1127" s="46" t="s">
        <v>11</v>
      </c>
      <c r="CS1127" s="103">
        <v>0</v>
      </c>
      <c r="CT1127" s="103">
        <v>0</v>
      </c>
      <c r="CU1127" s="103">
        <v>0</v>
      </c>
      <c r="CV1127" s="103">
        <v>0</v>
      </c>
      <c r="CW1127" s="103">
        <v>1.1904761904761905</v>
      </c>
      <c r="CX1127" s="103">
        <v>5.9523809523809517</v>
      </c>
      <c r="CY1127" s="103">
        <v>20.238095238095237</v>
      </c>
      <c r="CZ1127" s="103">
        <v>22.61904761904762</v>
      </c>
      <c r="DA1127" s="103">
        <v>27.380952380952383</v>
      </c>
      <c r="DB1127" s="103">
        <v>22.61904761904762</v>
      </c>
      <c r="DC1127" s="42"/>
      <c r="DD1127" s="111"/>
      <c r="DE1127" s="46" t="s">
        <v>11</v>
      </c>
      <c r="DF1127" s="103">
        <v>0.23529411764705879</v>
      </c>
      <c r="DG1127" s="103">
        <v>0.1176470588235294</v>
      </c>
      <c r="DH1127" s="103">
        <v>0</v>
      </c>
      <c r="DI1127" s="103">
        <v>0.1176470588235294</v>
      </c>
      <c r="DJ1127" s="103">
        <v>1.6470588235294119</v>
      </c>
      <c r="DK1127" s="103">
        <v>7.4117647058823524</v>
      </c>
      <c r="DL1127" s="103">
        <v>14.588235294117647</v>
      </c>
      <c r="DM1127" s="103">
        <v>25.058823529411768</v>
      </c>
      <c r="DN1127" s="103">
        <v>26.588235294117645</v>
      </c>
      <c r="DO1127" s="103">
        <v>24.235294117647058</v>
      </c>
    </row>
    <row r="1128" spans="2:199" x14ac:dyDescent="0.45">
      <c r="B1128" s="99"/>
      <c r="C1128" s="42"/>
      <c r="D1128" s="42"/>
      <c r="E1128" s="42"/>
      <c r="F1128" s="42"/>
      <c r="G1128" s="42"/>
      <c r="H1128" s="42"/>
      <c r="I1128" s="42"/>
      <c r="J1128" s="42"/>
      <c r="K1128" s="42"/>
      <c r="L1128" s="42"/>
      <c r="M1128" s="42"/>
      <c r="N1128" s="42"/>
      <c r="O1128" s="42"/>
      <c r="P1128" s="42"/>
      <c r="Q1128" s="42"/>
      <c r="R1128" s="42"/>
      <c r="S1128" s="42"/>
      <c r="T1128" s="42"/>
      <c r="U1128" s="42"/>
      <c r="V1128" s="42"/>
      <c r="W1128" s="42"/>
      <c r="X1128" s="42"/>
      <c r="Y1128" s="42"/>
      <c r="Z1128" s="42"/>
      <c r="AA1128" s="42"/>
      <c r="AB1128" s="42"/>
      <c r="AC1128" s="42"/>
      <c r="AD1128" s="42"/>
      <c r="AE1128" s="42"/>
      <c r="AF1128" s="42"/>
      <c r="AG1128" s="42"/>
      <c r="AH1128" s="42"/>
      <c r="AI1128" s="42"/>
      <c r="AJ1128" s="42"/>
      <c r="AK1128" s="42"/>
      <c r="AL1128" s="42"/>
      <c r="AM1128" s="42"/>
      <c r="AN1128" s="42"/>
      <c r="AO1128" s="42"/>
      <c r="AQ1128" s="42"/>
      <c r="AR1128" s="42"/>
      <c r="AS1128" s="42"/>
      <c r="AT1128" s="42"/>
      <c r="AU1128" s="42"/>
      <c r="AV1128" s="42"/>
      <c r="AW1128" s="42"/>
      <c r="AX1128" s="42"/>
      <c r="AY1128" s="42"/>
      <c r="AZ1128" s="42"/>
      <c r="BA1128" s="42"/>
      <c r="BB1128" s="42"/>
      <c r="BC1128" s="42"/>
      <c r="BD1128" s="42"/>
      <c r="BE1128" s="42"/>
      <c r="BF1128" s="42"/>
      <c r="BG1128" s="42"/>
      <c r="BH1128" s="42"/>
      <c r="BI1128" s="42"/>
      <c r="BJ1128" s="42"/>
      <c r="BK1128" s="42"/>
      <c r="BL1128" s="42"/>
      <c r="BM1128" s="42"/>
      <c r="BN1128" s="42"/>
      <c r="BO1128" s="42"/>
      <c r="BQ1128" s="42"/>
      <c r="BR1128" s="42"/>
      <c r="BS1128" s="42"/>
      <c r="BT1128" s="42"/>
      <c r="BU1128" s="42"/>
      <c r="BV1128" s="42"/>
      <c r="BW1128" s="42"/>
      <c r="BX1128" s="42"/>
      <c r="BY1128" s="42"/>
      <c r="BZ1128" s="42"/>
      <c r="CA1128" s="42"/>
      <c r="CB1128" s="42"/>
      <c r="CC1128" s="42"/>
      <c r="CD1128" s="42"/>
      <c r="CE1128" s="42"/>
      <c r="CF1128" s="42"/>
      <c r="CG1128" s="42"/>
      <c r="CH1128" s="42"/>
      <c r="CI1128" s="42"/>
      <c r="CJ1128" s="42"/>
      <c r="CK1128" s="42"/>
      <c r="CL1128" s="42"/>
      <c r="CM1128" s="42"/>
      <c r="CN1128" s="42"/>
      <c r="CO1128" s="42"/>
      <c r="CQ1128" s="42"/>
      <c r="CR1128" s="42"/>
      <c r="CS1128" s="42"/>
      <c r="CT1128" s="42"/>
      <c r="CU1128" s="42"/>
      <c r="CV1128" s="42"/>
      <c r="CW1128" s="42"/>
      <c r="CX1128" s="42"/>
      <c r="CY1128" s="42"/>
      <c r="CZ1128" s="42"/>
      <c r="DA1128" s="42"/>
      <c r="DB1128" s="42"/>
      <c r="DC1128" s="42"/>
      <c r="DD1128" s="42"/>
      <c r="DE1128" s="42"/>
      <c r="DF1128" s="42"/>
      <c r="DG1128" s="42"/>
      <c r="DH1128" s="42"/>
      <c r="DI1128" s="42"/>
      <c r="DJ1128" s="42"/>
      <c r="DK1128" s="42"/>
      <c r="DL1128" s="42"/>
      <c r="DM1128" s="42"/>
      <c r="DN1128" s="42"/>
      <c r="DO1128" s="42"/>
    </row>
    <row r="1129" spans="2:199" x14ac:dyDescent="0.45">
      <c r="B1129" s="99"/>
      <c r="C1129" s="42"/>
      <c r="D1129" s="42"/>
      <c r="E1129" s="42"/>
      <c r="F1129" s="42"/>
      <c r="G1129" s="42"/>
      <c r="H1129" s="42"/>
      <c r="I1129" s="42"/>
      <c r="J1129" s="42"/>
      <c r="K1129" s="42"/>
      <c r="L1129" s="42"/>
      <c r="M1129" s="42"/>
      <c r="N1129" s="42"/>
      <c r="O1129" s="42"/>
      <c r="P1129" s="42"/>
      <c r="Q1129" s="42"/>
      <c r="R1129" s="42"/>
      <c r="S1129" s="42"/>
      <c r="T1129" s="42"/>
      <c r="U1129" s="42"/>
      <c r="V1129" s="42"/>
      <c r="W1129" s="42"/>
      <c r="X1129" s="42"/>
      <c r="Y1129" s="42"/>
      <c r="Z1129" s="42"/>
      <c r="AA1129" s="42"/>
      <c r="AB1129" s="42"/>
      <c r="AC1129" s="42"/>
      <c r="AD1129" s="42"/>
      <c r="AE1129" s="42"/>
      <c r="AF1129" s="42"/>
      <c r="AG1129" s="42"/>
      <c r="AH1129" s="42"/>
      <c r="AI1129" s="42"/>
      <c r="AJ1129" s="42"/>
      <c r="AK1129" s="42"/>
      <c r="AL1129" s="42"/>
      <c r="AM1129" s="42"/>
      <c r="AN1129" s="42"/>
      <c r="AO1129" s="42"/>
      <c r="AQ1129" s="42"/>
      <c r="AR1129" s="42"/>
      <c r="AS1129" s="42"/>
      <c r="AT1129" s="42"/>
      <c r="AU1129" s="42"/>
      <c r="AV1129" s="42"/>
      <c r="AW1129" s="42"/>
      <c r="AX1129" s="42"/>
      <c r="AY1129" s="42"/>
      <c r="AZ1129" s="42"/>
      <c r="BA1129" s="42"/>
      <c r="BB1129" s="42"/>
      <c r="BC1129" s="42"/>
      <c r="BD1129" s="42"/>
      <c r="BE1129" s="42"/>
      <c r="BF1129" s="42"/>
      <c r="BG1129" s="42"/>
      <c r="BH1129" s="42"/>
      <c r="BI1129" s="42"/>
      <c r="BJ1129" s="42"/>
      <c r="BK1129" s="42"/>
      <c r="BL1129" s="42"/>
      <c r="BM1129" s="42"/>
      <c r="BN1129" s="42"/>
      <c r="BO1129" s="42"/>
      <c r="BQ1129" s="42"/>
      <c r="BR1129" s="42"/>
      <c r="BS1129" s="42"/>
      <c r="BT1129" s="42"/>
      <c r="BU1129" s="42"/>
      <c r="BV1129" s="42"/>
      <c r="BW1129" s="42"/>
      <c r="BX1129" s="42"/>
      <c r="BY1129" s="42"/>
      <c r="BZ1129" s="42"/>
      <c r="CA1129" s="42"/>
      <c r="CB1129" s="42"/>
      <c r="CC1129" s="42"/>
      <c r="CD1129" s="42"/>
      <c r="CE1129" s="42"/>
      <c r="CF1129" s="42"/>
      <c r="CG1129" s="42"/>
      <c r="CH1129" s="42"/>
      <c r="CI1129" s="42"/>
      <c r="CJ1129" s="42"/>
      <c r="CK1129" s="42"/>
      <c r="CL1129" s="42"/>
      <c r="CM1129" s="42"/>
      <c r="CN1129" s="42"/>
      <c r="CO1129" s="42"/>
      <c r="CQ1129" s="42"/>
      <c r="CR1129" s="42"/>
      <c r="CS1129" s="42"/>
      <c r="CT1129" s="42"/>
      <c r="CU1129" s="42"/>
      <c r="CV1129" s="42"/>
      <c r="CW1129" s="42"/>
      <c r="CX1129" s="42"/>
      <c r="CY1129" s="42"/>
      <c r="CZ1129" s="42"/>
      <c r="DA1129" s="42"/>
      <c r="DB1129" s="42"/>
      <c r="DC1129" s="42"/>
      <c r="DD1129" s="42"/>
      <c r="DE1129" s="42"/>
      <c r="DF1129" s="42"/>
      <c r="DG1129" s="42"/>
      <c r="DH1129" s="42"/>
      <c r="DI1129" s="42"/>
      <c r="DJ1129" s="42"/>
      <c r="DK1129" s="42"/>
      <c r="DL1129" s="42"/>
      <c r="DM1129" s="42"/>
      <c r="DN1129" s="42"/>
      <c r="DO1129" s="42"/>
    </row>
    <row r="1130" spans="2:199" ht="15.75" customHeight="1" x14ac:dyDescent="0.55000000000000004">
      <c r="B1130" s="99"/>
      <c r="C1130" s="42"/>
      <c r="D1130" s="112" t="s">
        <v>24</v>
      </c>
      <c r="E1130" s="112"/>
      <c r="F1130" s="100"/>
      <c r="G1130" s="100"/>
      <c r="H1130" s="100"/>
      <c r="I1130" s="100"/>
      <c r="J1130" s="100"/>
      <c r="K1130" s="88"/>
      <c r="M1130" s="88"/>
      <c r="N1130" s="88" t="s">
        <v>23</v>
      </c>
      <c r="O1130" s="88"/>
      <c r="P1130" s="88"/>
      <c r="Q1130" s="88"/>
      <c r="R1130" s="88"/>
      <c r="S1130" s="88"/>
      <c r="Z1130" s="112" t="s">
        <v>24</v>
      </c>
      <c r="AA1130" s="112"/>
      <c r="AB1130" s="100"/>
      <c r="AC1130" s="100"/>
      <c r="AD1130" s="100"/>
      <c r="AE1130" s="100"/>
      <c r="AF1130" s="100"/>
      <c r="AJ1130" s="88" t="s">
        <v>25</v>
      </c>
      <c r="AK1130" s="88"/>
      <c r="AL1130" s="88"/>
      <c r="AM1130" s="88"/>
      <c r="AN1130" s="88"/>
      <c r="AO1130" s="88"/>
      <c r="AV1130" s="112" t="s">
        <v>24</v>
      </c>
      <c r="AW1130" s="112"/>
      <c r="AX1130" s="100"/>
      <c r="AY1130" s="100"/>
      <c r="AZ1130" s="100"/>
      <c r="BA1130" s="100"/>
      <c r="BB1130" s="100"/>
      <c r="BC1130" s="100"/>
      <c r="BD1130" s="88"/>
      <c r="BF1130" s="88" t="s">
        <v>26</v>
      </c>
      <c r="BG1130" s="88"/>
      <c r="BH1130" s="88"/>
      <c r="BI1130" s="88"/>
      <c r="BJ1130" s="88"/>
      <c r="BK1130" s="88"/>
      <c r="BL1130" s="88"/>
      <c r="BQ1130" s="42"/>
      <c r="BR1130" s="112" t="s">
        <v>24</v>
      </c>
      <c r="BS1130" s="112"/>
      <c r="BT1130" s="100"/>
      <c r="BU1130" s="100"/>
      <c r="BV1130" s="100"/>
      <c r="BW1130" s="100"/>
      <c r="BX1130" s="100"/>
      <c r="CB1130" s="90" t="s">
        <v>97</v>
      </c>
      <c r="CC1130" s="90"/>
      <c r="CD1130" s="90"/>
      <c r="CE1130" s="90"/>
      <c r="CF1130" s="90"/>
      <c r="CG1130" s="90"/>
      <c r="CN1130" s="112" t="s">
        <v>24</v>
      </c>
      <c r="CO1130" s="112"/>
      <c r="CP1130" s="100"/>
      <c r="CQ1130" s="100"/>
      <c r="CR1130" s="100"/>
      <c r="CS1130" s="100"/>
      <c r="CT1130" s="100"/>
      <c r="CU1130" s="100"/>
      <c r="CV1130" s="90"/>
      <c r="CX1130" s="90" t="s">
        <v>98</v>
      </c>
      <c r="CY1130" s="90"/>
      <c r="CZ1130" s="90"/>
      <c r="DA1130" s="90"/>
      <c r="DB1130" s="90"/>
      <c r="DC1130" s="90"/>
      <c r="DD1130" s="90"/>
      <c r="DI1130" s="42"/>
      <c r="DJ1130" s="112" t="s">
        <v>24</v>
      </c>
      <c r="DK1130" s="112"/>
      <c r="DL1130" s="100"/>
      <c r="DM1130" s="100"/>
      <c r="DN1130" s="100"/>
      <c r="DO1130" s="100"/>
      <c r="DP1130" s="100"/>
      <c r="DT1130" s="90" t="s">
        <v>99</v>
      </c>
      <c r="DU1130" s="90"/>
      <c r="DV1130" s="90"/>
      <c r="DW1130" s="90"/>
      <c r="DX1130" s="90"/>
      <c r="DY1130" s="90"/>
      <c r="EF1130" s="112" t="s">
        <v>24</v>
      </c>
      <c r="EG1130" s="112"/>
      <c r="EH1130" s="100"/>
      <c r="EI1130" s="100"/>
      <c r="EJ1130" s="100"/>
      <c r="EK1130" s="100"/>
      <c r="EL1130" s="100"/>
      <c r="EM1130" s="100"/>
      <c r="EN1130" s="90"/>
      <c r="EP1130" s="90" t="s">
        <v>100</v>
      </c>
      <c r="EQ1130" s="90"/>
      <c r="ER1130" s="90"/>
      <c r="ES1130" s="90"/>
      <c r="ET1130" s="90"/>
      <c r="EU1130" s="90"/>
      <c r="EV1130" s="90"/>
      <c r="FB1130" s="112" t="s">
        <v>24</v>
      </c>
      <c r="FC1130" s="112"/>
      <c r="FD1130" s="100"/>
      <c r="FE1130" s="100"/>
      <c r="FF1130" s="100"/>
      <c r="FG1130" s="100"/>
      <c r="FH1130" s="100"/>
      <c r="FL1130" s="90" t="s">
        <v>101</v>
      </c>
      <c r="FM1130" s="90"/>
      <c r="FN1130" s="90"/>
      <c r="FO1130" s="90"/>
      <c r="FP1130" s="90"/>
      <c r="FQ1130" s="90"/>
      <c r="FX1130" s="112" t="s">
        <v>24</v>
      </c>
      <c r="FY1130" s="112"/>
      <c r="FZ1130" s="100"/>
      <c r="GA1130" s="100"/>
      <c r="GB1130" s="100"/>
      <c r="GC1130" s="100"/>
      <c r="GD1130" s="100"/>
      <c r="GE1130" s="100"/>
      <c r="GF1130" s="90"/>
      <c r="GH1130" s="90" t="s">
        <v>102</v>
      </c>
      <c r="GI1130" s="90"/>
      <c r="GJ1130" s="90"/>
      <c r="GK1130" s="90"/>
      <c r="GL1130" s="90"/>
      <c r="GM1130" s="90"/>
      <c r="GN1130" s="90"/>
    </row>
    <row r="1131" spans="2:199" ht="28.5" customHeight="1" x14ac:dyDescent="0.45">
      <c r="B1131" s="99"/>
      <c r="C1131" s="42"/>
      <c r="D1131" s="112"/>
      <c r="E1131" s="112"/>
      <c r="F1131" s="101" t="s">
        <v>12</v>
      </c>
      <c r="G1131" s="101"/>
      <c r="H1131" s="101"/>
      <c r="I1131" s="101"/>
      <c r="J1131" s="101"/>
      <c r="K1131" s="101"/>
      <c r="L1131" s="101"/>
      <c r="M1131" s="101"/>
      <c r="N1131" s="101"/>
      <c r="O1131" s="101"/>
      <c r="P1131" s="101"/>
      <c r="Q1131" s="101"/>
      <c r="R1131" s="101"/>
      <c r="S1131" s="101"/>
      <c r="T1131" s="101"/>
      <c r="U1131" s="101"/>
      <c r="V1131" s="101"/>
      <c r="W1131" s="101"/>
      <c r="Z1131" s="112"/>
      <c r="AA1131" s="112"/>
      <c r="AB1131" s="101" t="s">
        <v>12</v>
      </c>
      <c r="AC1131" s="101"/>
      <c r="AD1131" s="101"/>
      <c r="AE1131" s="101"/>
      <c r="AF1131" s="101"/>
      <c r="AG1131" s="101"/>
      <c r="AH1131" s="101"/>
      <c r="AI1131" s="101"/>
      <c r="AJ1131" s="101"/>
      <c r="AK1131" s="101"/>
      <c r="AL1131" s="101"/>
      <c r="AM1131" s="101"/>
      <c r="AN1131" s="101"/>
      <c r="AO1131" s="101"/>
      <c r="AP1131" s="101"/>
      <c r="AQ1131" s="101"/>
      <c r="AR1131" s="101"/>
      <c r="AS1131" s="101"/>
      <c r="AV1131" s="112"/>
      <c r="AW1131" s="112"/>
      <c r="AX1131" s="101" t="s">
        <v>12</v>
      </c>
      <c r="AY1131" s="101"/>
      <c r="AZ1131" s="101"/>
      <c r="BA1131" s="101"/>
      <c r="BB1131" s="101"/>
      <c r="BC1131" s="101"/>
      <c r="BD1131" s="101"/>
      <c r="BE1131" s="101"/>
      <c r="BF1131" s="101"/>
      <c r="BG1131" s="101"/>
      <c r="BH1131" s="101"/>
      <c r="BI1131" s="101"/>
      <c r="BJ1131" s="101"/>
      <c r="BK1131" s="101"/>
      <c r="BL1131" s="101"/>
      <c r="BM1131" s="101"/>
      <c r="BN1131" s="101"/>
      <c r="BO1131" s="101"/>
      <c r="BQ1131" s="42"/>
      <c r="BR1131" s="112"/>
      <c r="BS1131" s="112"/>
      <c r="BT1131" s="101" t="s">
        <v>12</v>
      </c>
      <c r="BU1131" s="101"/>
      <c r="BV1131" s="101"/>
      <c r="BW1131" s="101"/>
      <c r="BX1131" s="101"/>
      <c r="BY1131" s="101"/>
      <c r="BZ1131" s="101"/>
      <c r="CA1131" s="101"/>
      <c r="CB1131" s="101"/>
      <c r="CC1131" s="101"/>
      <c r="CD1131" s="101"/>
      <c r="CE1131" s="101"/>
      <c r="CF1131" s="101"/>
      <c r="CG1131" s="101"/>
      <c r="CH1131" s="101"/>
      <c r="CI1131" s="101"/>
      <c r="CJ1131" s="101"/>
      <c r="CK1131" s="101"/>
      <c r="CN1131" s="112"/>
      <c r="CO1131" s="112"/>
      <c r="CP1131" s="101" t="s">
        <v>12</v>
      </c>
      <c r="CQ1131" s="101"/>
      <c r="CR1131" s="101"/>
      <c r="CS1131" s="101"/>
      <c r="CT1131" s="101"/>
      <c r="CU1131" s="101"/>
      <c r="CV1131" s="101"/>
      <c r="CW1131" s="101"/>
      <c r="CX1131" s="101"/>
      <c r="CY1131" s="101"/>
      <c r="CZ1131" s="101"/>
      <c r="DA1131" s="101"/>
      <c r="DB1131" s="101"/>
      <c r="DC1131" s="101"/>
      <c r="DD1131" s="101"/>
      <c r="DE1131" s="101"/>
      <c r="DF1131" s="101"/>
      <c r="DG1131" s="101"/>
      <c r="DI1131" s="42"/>
      <c r="DJ1131" s="112"/>
      <c r="DK1131" s="112"/>
      <c r="DL1131" s="101" t="s">
        <v>12</v>
      </c>
      <c r="DM1131" s="101"/>
      <c r="DN1131" s="101"/>
      <c r="DO1131" s="101"/>
      <c r="DP1131" s="101"/>
      <c r="DQ1131" s="101"/>
      <c r="DR1131" s="101"/>
      <c r="DS1131" s="101"/>
      <c r="DT1131" s="101"/>
      <c r="DU1131" s="101"/>
      <c r="DV1131" s="101"/>
      <c r="DW1131" s="101"/>
      <c r="DX1131" s="101"/>
      <c r="DY1131" s="101"/>
      <c r="DZ1131" s="101"/>
      <c r="EA1131" s="101"/>
      <c r="EB1131" s="101"/>
      <c r="EC1131" s="101"/>
      <c r="EF1131" s="112"/>
      <c r="EG1131" s="112"/>
      <c r="EH1131" s="101" t="s">
        <v>12</v>
      </c>
      <c r="EI1131" s="101"/>
      <c r="EJ1131" s="101"/>
      <c r="EK1131" s="101"/>
      <c r="EL1131" s="101"/>
      <c r="EM1131" s="101"/>
      <c r="EN1131" s="101"/>
      <c r="EO1131" s="101"/>
      <c r="EP1131" s="101"/>
      <c r="EQ1131" s="101"/>
      <c r="ER1131" s="101"/>
      <c r="ES1131" s="101"/>
      <c r="ET1131" s="101"/>
      <c r="EU1131" s="101"/>
      <c r="EV1131" s="101"/>
      <c r="EW1131" s="101"/>
      <c r="EX1131" s="101"/>
      <c r="EY1131" s="101"/>
      <c r="FB1131" s="112"/>
      <c r="FC1131" s="112"/>
      <c r="FD1131" s="101" t="s">
        <v>12</v>
      </c>
      <c r="FE1131" s="101"/>
      <c r="FF1131" s="101"/>
      <c r="FG1131" s="101"/>
      <c r="FH1131" s="101"/>
      <c r="FI1131" s="101"/>
      <c r="FJ1131" s="101"/>
      <c r="FK1131" s="101"/>
      <c r="FL1131" s="101"/>
      <c r="FM1131" s="101"/>
      <c r="FN1131" s="101"/>
      <c r="FO1131" s="101"/>
      <c r="FP1131" s="101"/>
      <c r="FQ1131" s="101"/>
      <c r="FR1131" s="101"/>
      <c r="FS1131" s="101"/>
      <c r="FT1131" s="101"/>
      <c r="FU1131" s="101"/>
      <c r="FX1131" s="112"/>
      <c r="FY1131" s="112"/>
      <c r="FZ1131" s="101" t="s">
        <v>12</v>
      </c>
      <c r="GA1131" s="101"/>
      <c r="GB1131" s="101"/>
      <c r="GC1131" s="101"/>
      <c r="GD1131" s="101"/>
      <c r="GE1131" s="101"/>
      <c r="GF1131" s="101"/>
      <c r="GG1131" s="101"/>
      <c r="GH1131" s="101"/>
      <c r="GI1131" s="101"/>
      <c r="GJ1131" s="101"/>
      <c r="GK1131" s="101"/>
      <c r="GL1131" s="101"/>
      <c r="GM1131" s="101"/>
      <c r="GN1131" s="101"/>
      <c r="GO1131" s="101"/>
      <c r="GP1131" s="101"/>
      <c r="GQ1131" s="101"/>
    </row>
    <row r="1132" spans="2:199" ht="15" x14ac:dyDescent="0.45">
      <c r="B1132" s="135" t="s">
        <v>103</v>
      </c>
      <c r="C1132" s="42"/>
      <c r="D1132" s="113"/>
      <c r="E1132" s="113"/>
      <c r="F1132" s="98" t="s">
        <v>0</v>
      </c>
      <c r="G1132" s="98">
        <v>11</v>
      </c>
      <c r="H1132" s="98">
        <v>21</v>
      </c>
      <c r="I1132" s="98">
        <v>22</v>
      </c>
      <c r="J1132" s="98">
        <v>32</v>
      </c>
      <c r="K1132" s="98">
        <v>33</v>
      </c>
      <c r="L1132" s="98">
        <v>43</v>
      </c>
      <c r="M1132" s="98">
        <v>44</v>
      </c>
      <c r="N1132" s="98">
        <v>54</v>
      </c>
      <c r="O1132" s="98">
        <v>55</v>
      </c>
      <c r="P1132" s="98">
        <v>65</v>
      </c>
      <c r="Q1132" s="98">
        <v>66</v>
      </c>
      <c r="R1132" s="98">
        <v>76</v>
      </c>
      <c r="S1132" s="98">
        <v>77</v>
      </c>
      <c r="T1132" s="98">
        <v>87</v>
      </c>
      <c r="U1132" s="98">
        <v>88</v>
      </c>
      <c r="V1132" s="98">
        <v>98</v>
      </c>
      <c r="W1132" s="98">
        <v>99</v>
      </c>
      <c r="Z1132" s="113"/>
      <c r="AA1132" s="113"/>
      <c r="AB1132" s="98" t="s">
        <v>0</v>
      </c>
      <c r="AC1132" s="98">
        <v>11</v>
      </c>
      <c r="AD1132" s="98">
        <v>21</v>
      </c>
      <c r="AE1132" s="98">
        <v>22</v>
      </c>
      <c r="AF1132" s="98">
        <v>32</v>
      </c>
      <c r="AG1132" s="98">
        <v>33</v>
      </c>
      <c r="AH1132" s="98">
        <v>43</v>
      </c>
      <c r="AI1132" s="98">
        <v>44</v>
      </c>
      <c r="AJ1132" s="98">
        <v>54</v>
      </c>
      <c r="AK1132" s="98">
        <v>55</v>
      </c>
      <c r="AL1132" s="98">
        <v>65</v>
      </c>
      <c r="AM1132" s="98">
        <v>66</v>
      </c>
      <c r="AN1132" s="98">
        <v>76</v>
      </c>
      <c r="AO1132" s="98">
        <v>77</v>
      </c>
      <c r="AP1132" s="98">
        <v>87</v>
      </c>
      <c r="AQ1132" s="98">
        <v>88</v>
      </c>
      <c r="AR1132" s="98">
        <v>98</v>
      </c>
      <c r="AS1132" s="98">
        <v>99</v>
      </c>
      <c r="AV1132" s="113"/>
      <c r="AW1132" s="113"/>
      <c r="AX1132" s="98" t="s">
        <v>0</v>
      </c>
      <c r="AY1132" s="98">
        <v>11</v>
      </c>
      <c r="AZ1132" s="98">
        <v>21</v>
      </c>
      <c r="BA1132" s="98">
        <v>22</v>
      </c>
      <c r="BB1132" s="98">
        <v>32</v>
      </c>
      <c r="BC1132" s="98">
        <v>33</v>
      </c>
      <c r="BD1132" s="98">
        <v>43</v>
      </c>
      <c r="BE1132" s="98">
        <v>44</v>
      </c>
      <c r="BF1132" s="98">
        <v>54</v>
      </c>
      <c r="BG1132" s="98">
        <v>55</v>
      </c>
      <c r="BH1132" s="98">
        <v>65</v>
      </c>
      <c r="BI1132" s="98">
        <v>66</v>
      </c>
      <c r="BJ1132" s="98">
        <v>76</v>
      </c>
      <c r="BK1132" s="98">
        <v>77</v>
      </c>
      <c r="BL1132" s="98">
        <v>87</v>
      </c>
      <c r="BM1132" s="98">
        <v>88</v>
      </c>
      <c r="BN1132" s="98">
        <v>98</v>
      </c>
      <c r="BO1132" s="98">
        <v>99</v>
      </c>
      <c r="BQ1132" s="42"/>
      <c r="BR1132" s="113"/>
      <c r="BS1132" s="113"/>
      <c r="BT1132" s="98" t="s">
        <v>0</v>
      </c>
      <c r="BU1132" s="98">
        <v>11</v>
      </c>
      <c r="BV1132" s="98">
        <v>21</v>
      </c>
      <c r="BW1132" s="98">
        <v>22</v>
      </c>
      <c r="BX1132" s="98">
        <v>32</v>
      </c>
      <c r="BY1132" s="98">
        <v>33</v>
      </c>
      <c r="BZ1132" s="98">
        <v>43</v>
      </c>
      <c r="CA1132" s="98">
        <v>44</v>
      </c>
      <c r="CB1132" s="98">
        <v>54</v>
      </c>
      <c r="CC1132" s="98">
        <v>55</v>
      </c>
      <c r="CD1132" s="98">
        <v>65</v>
      </c>
      <c r="CE1132" s="98">
        <v>66</v>
      </c>
      <c r="CF1132" s="98">
        <v>76</v>
      </c>
      <c r="CG1132" s="98">
        <v>77</v>
      </c>
      <c r="CH1132" s="98">
        <v>87</v>
      </c>
      <c r="CI1132" s="98">
        <v>88</v>
      </c>
      <c r="CJ1132" s="98">
        <v>98</v>
      </c>
      <c r="CK1132" s="98">
        <v>99</v>
      </c>
      <c r="CN1132" s="113"/>
      <c r="CO1132" s="113"/>
      <c r="CP1132" s="98" t="s">
        <v>0</v>
      </c>
      <c r="CQ1132" s="98">
        <v>11</v>
      </c>
      <c r="CR1132" s="98">
        <v>21</v>
      </c>
      <c r="CS1132" s="98">
        <v>22</v>
      </c>
      <c r="CT1132" s="98">
        <v>32</v>
      </c>
      <c r="CU1132" s="98">
        <v>33</v>
      </c>
      <c r="CV1132" s="98">
        <v>43</v>
      </c>
      <c r="CW1132" s="98">
        <v>44</v>
      </c>
      <c r="CX1132" s="98">
        <v>54</v>
      </c>
      <c r="CY1132" s="98">
        <v>55</v>
      </c>
      <c r="CZ1132" s="98">
        <v>65</v>
      </c>
      <c r="DA1132" s="98">
        <v>66</v>
      </c>
      <c r="DB1132" s="98">
        <v>76</v>
      </c>
      <c r="DC1132" s="98">
        <v>77</v>
      </c>
      <c r="DD1132" s="98">
        <v>87</v>
      </c>
      <c r="DE1132" s="98">
        <v>88</v>
      </c>
      <c r="DF1132" s="98">
        <v>98</v>
      </c>
      <c r="DG1132" s="98">
        <v>99</v>
      </c>
      <c r="DI1132" s="42"/>
      <c r="DJ1132" s="113"/>
      <c r="DK1132" s="113"/>
      <c r="DL1132" s="98" t="s">
        <v>0</v>
      </c>
      <c r="DM1132" s="98">
        <v>11</v>
      </c>
      <c r="DN1132" s="98">
        <v>21</v>
      </c>
      <c r="DO1132" s="98">
        <v>22</v>
      </c>
      <c r="DP1132" s="98">
        <v>32</v>
      </c>
      <c r="DQ1132" s="98">
        <v>33</v>
      </c>
      <c r="DR1132" s="98">
        <v>43</v>
      </c>
      <c r="DS1132" s="98">
        <v>44</v>
      </c>
      <c r="DT1132" s="98">
        <v>54</v>
      </c>
      <c r="DU1132" s="98">
        <v>55</v>
      </c>
      <c r="DV1132" s="98">
        <v>65</v>
      </c>
      <c r="DW1132" s="98">
        <v>66</v>
      </c>
      <c r="DX1132" s="98">
        <v>76</v>
      </c>
      <c r="DY1132" s="98">
        <v>77</v>
      </c>
      <c r="DZ1132" s="98">
        <v>87</v>
      </c>
      <c r="EA1132" s="98">
        <v>88</v>
      </c>
      <c r="EB1132" s="98">
        <v>98</v>
      </c>
      <c r="EC1132" s="98">
        <v>99</v>
      </c>
      <c r="EF1132" s="113"/>
      <c r="EG1132" s="113"/>
      <c r="EH1132" s="98" t="s">
        <v>0</v>
      </c>
      <c r="EI1132" s="98">
        <v>11</v>
      </c>
      <c r="EJ1132" s="98">
        <v>21</v>
      </c>
      <c r="EK1132" s="98">
        <v>22</v>
      </c>
      <c r="EL1132" s="98">
        <v>32</v>
      </c>
      <c r="EM1132" s="98">
        <v>33</v>
      </c>
      <c r="EN1132" s="98">
        <v>43</v>
      </c>
      <c r="EO1132" s="98">
        <v>44</v>
      </c>
      <c r="EP1132" s="98">
        <v>54</v>
      </c>
      <c r="EQ1132" s="98">
        <v>55</v>
      </c>
      <c r="ER1132" s="98">
        <v>65</v>
      </c>
      <c r="ES1132" s="98">
        <v>66</v>
      </c>
      <c r="ET1132" s="98">
        <v>76</v>
      </c>
      <c r="EU1132" s="98">
        <v>77</v>
      </c>
      <c r="EV1132" s="98">
        <v>87</v>
      </c>
      <c r="EW1132" s="98">
        <v>88</v>
      </c>
      <c r="EX1132" s="98">
        <v>98</v>
      </c>
      <c r="EY1132" s="98">
        <v>99</v>
      </c>
      <c r="FB1132" s="113"/>
      <c r="FC1132" s="113"/>
      <c r="FD1132" s="98" t="s">
        <v>0</v>
      </c>
      <c r="FE1132" s="98">
        <v>11</v>
      </c>
      <c r="FF1132" s="98">
        <v>21</v>
      </c>
      <c r="FG1132" s="98">
        <v>22</v>
      </c>
      <c r="FH1132" s="98">
        <v>32</v>
      </c>
      <c r="FI1132" s="98">
        <v>33</v>
      </c>
      <c r="FJ1132" s="98">
        <v>43</v>
      </c>
      <c r="FK1132" s="98">
        <v>44</v>
      </c>
      <c r="FL1132" s="98">
        <v>54</v>
      </c>
      <c r="FM1132" s="98">
        <v>55</v>
      </c>
      <c r="FN1132" s="98">
        <v>65</v>
      </c>
      <c r="FO1132" s="98">
        <v>66</v>
      </c>
      <c r="FP1132" s="98">
        <v>76</v>
      </c>
      <c r="FQ1132" s="98">
        <v>77</v>
      </c>
      <c r="FR1132" s="98">
        <v>87</v>
      </c>
      <c r="FS1132" s="98">
        <v>88</v>
      </c>
      <c r="FT1132" s="98">
        <v>98</v>
      </c>
      <c r="FU1132" s="98">
        <v>99</v>
      </c>
      <c r="FX1132" s="113"/>
      <c r="FY1132" s="113"/>
      <c r="FZ1132" s="98" t="s">
        <v>0</v>
      </c>
      <c r="GA1132" s="98">
        <v>11</v>
      </c>
      <c r="GB1132" s="98">
        <v>21</v>
      </c>
      <c r="GC1132" s="98">
        <v>22</v>
      </c>
      <c r="GD1132" s="98">
        <v>32</v>
      </c>
      <c r="GE1132" s="98">
        <v>33</v>
      </c>
      <c r="GF1132" s="98">
        <v>43</v>
      </c>
      <c r="GG1132" s="98">
        <v>44</v>
      </c>
      <c r="GH1132" s="98">
        <v>54</v>
      </c>
      <c r="GI1132" s="98">
        <v>55</v>
      </c>
      <c r="GJ1132" s="98">
        <v>65</v>
      </c>
      <c r="GK1132" s="98">
        <v>66</v>
      </c>
      <c r="GL1132" s="98">
        <v>76</v>
      </c>
      <c r="GM1132" s="98">
        <v>77</v>
      </c>
      <c r="GN1132" s="98">
        <v>87</v>
      </c>
      <c r="GO1132" s="98">
        <v>88</v>
      </c>
      <c r="GP1132" s="98">
        <v>98</v>
      </c>
      <c r="GQ1132" s="98">
        <v>99</v>
      </c>
    </row>
    <row r="1133" spans="2:199" ht="15.4" x14ac:dyDescent="0.45">
      <c r="B1133" s="135"/>
      <c r="C1133" s="42"/>
      <c r="D1133" s="136" t="s">
        <v>13</v>
      </c>
      <c r="E1133" s="47" t="s">
        <v>1</v>
      </c>
      <c r="F1133" s="89">
        <v>6</v>
      </c>
      <c r="G1133" s="89">
        <v>5</v>
      </c>
      <c r="H1133" s="89">
        <v>9</v>
      </c>
      <c r="I1133" s="89">
        <v>12</v>
      </c>
      <c r="J1133" s="89">
        <v>12</v>
      </c>
      <c r="K1133" s="89">
        <v>8</v>
      </c>
      <c r="L1133" s="89">
        <v>3</v>
      </c>
      <c r="M1133" s="89">
        <v>3</v>
      </c>
      <c r="N1133" s="89">
        <v>2</v>
      </c>
      <c r="O1133" s="89">
        <v>2</v>
      </c>
      <c r="P1133" s="89">
        <v>0</v>
      </c>
      <c r="Q1133" s="89">
        <v>2</v>
      </c>
      <c r="R1133" s="89">
        <v>1</v>
      </c>
      <c r="S1133" s="89">
        <v>2</v>
      </c>
      <c r="T1133" s="89">
        <v>0</v>
      </c>
      <c r="U1133" s="89">
        <v>0</v>
      </c>
      <c r="V1133" s="89">
        <v>0</v>
      </c>
      <c r="W1133" s="89">
        <v>0</v>
      </c>
      <c r="Z1133" s="136" t="s">
        <v>13</v>
      </c>
      <c r="AA1133" s="47" t="s">
        <v>1</v>
      </c>
      <c r="AB1133" s="89">
        <v>2</v>
      </c>
      <c r="AC1133" s="89">
        <v>1</v>
      </c>
      <c r="AD1133" s="89">
        <v>2</v>
      </c>
      <c r="AE1133" s="89">
        <v>5</v>
      </c>
      <c r="AF1133" s="89">
        <v>5</v>
      </c>
      <c r="AG1133" s="89">
        <v>4</v>
      </c>
      <c r="AH1133" s="89">
        <v>2</v>
      </c>
      <c r="AI1133" s="89">
        <v>1</v>
      </c>
      <c r="AJ1133" s="89">
        <v>1</v>
      </c>
      <c r="AK1133" s="89">
        <v>1</v>
      </c>
      <c r="AL1133" s="89">
        <v>0</v>
      </c>
      <c r="AM1133" s="89">
        <v>1</v>
      </c>
      <c r="AN1133" s="89">
        <v>1</v>
      </c>
      <c r="AO1133" s="89">
        <v>1</v>
      </c>
      <c r="AP1133" s="89">
        <v>0</v>
      </c>
      <c r="AQ1133" s="89">
        <v>0</v>
      </c>
      <c r="AR1133" s="89">
        <v>0</v>
      </c>
      <c r="AS1133" s="89">
        <v>0</v>
      </c>
      <c r="AV1133" s="136" t="s">
        <v>13</v>
      </c>
      <c r="AW1133" s="47" t="s">
        <v>1</v>
      </c>
      <c r="AX1133" s="89">
        <v>4</v>
      </c>
      <c r="AY1133" s="89">
        <v>4</v>
      </c>
      <c r="AZ1133" s="89">
        <v>7</v>
      </c>
      <c r="BA1133" s="89">
        <v>7</v>
      </c>
      <c r="BB1133" s="89">
        <v>7</v>
      </c>
      <c r="BC1133" s="89">
        <v>4</v>
      </c>
      <c r="BD1133" s="89">
        <v>1</v>
      </c>
      <c r="BE1133" s="89">
        <v>2</v>
      </c>
      <c r="BF1133" s="89">
        <v>1</v>
      </c>
      <c r="BG1133" s="89">
        <v>1</v>
      </c>
      <c r="BH1133" s="89">
        <v>0</v>
      </c>
      <c r="BI1133" s="89">
        <v>1</v>
      </c>
      <c r="BJ1133" s="89">
        <v>0</v>
      </c>
      <c r="BK1133" s="89">
        <v>1</v>
      </c>
      <c r="BL1133" s="89">
        <v>0</v>
      </c>
      <c r="BM1133" s="89">
        <v>0</v>
      </c>
      <c r="BN1133" s="89">
        <v>0</v>
      </c>
      <c r="BO1133" s="89">
        <v>0</v>
      </c>
      <c r="BQ1133" s="42"/>
      <c r="BR1133" s="136" t="s">
        <v>13</v>
      </c>
      <c r="BS1133" s="47" t="s">
        <v>1</v>
      </c>
      <c r="BT1133" s="91">
        <v>3</v>
      </c>
      <c r="BU1133" s="91">
        <v>2</v>
      </c>
      <c r="BV1133" s="91">
        <v>5</v>
      </c>
      <c r="BW1133" s="91">
        <v>7</v>
      </c>
      <c r="BX1133" s="91">
        <v>7</v>
      </c>
      <c r="BY1133" s="91">
        <v>3</v>
      </c>
      <c r="BZ1133" s="91">
        <v>1</v>
      </c>
      <c r="CA1133" s="91">
        <v>2</v>
      </c>
      <c r="CB1133" s="91">
        <v>1</v>
      </c>
      <c r="CC1133" s="91">
        <v>1</v>
      </c>
      <c r="CD1133" s="91">
        <v>0</v>
      </c>
      <c r="CE1133" s="91">
        <v>1</v>
      </c>
      <c r="CF1133" s="91">
        <v>0</v>
      </c>
      <c r="CG1133" s="91">
        <v>0</v>
      </c>
      <c r="CH1133" s="91">
        <v>0</v>
      </c>
      <c r="CI1133" s="91">
        <v>0</v>
      </c>
      <c r="CJ1133" s="91">
        <v>0</v>
      </c>
      <c r="CK1133" s="91">
        <v>0</v>
      </c>
      <c r="CN1133" s="136" t="s">
        <v>13</v>
      </c>
      <c r="CO1133" s="47" t="s">
        <v>1</v>
      </c>
      <c r="CP1133" s="91">
        <v>3</v>
      </c>
      <c r="CQ1133" s="91">
        <v>3</v>
      </c>
      <c r="CR1133" s="91">
        <v>4</v>
      </c>
      <c r="CS1133" s="91">
        <v>5</v>
      </c>
      <c r="CT1133" s="91">
        <v>5</v>
      </c>
      <c r="CU1133" s="91">
        <v>5</v>
      </c>
      <c r="CV1133" s="91">
        <v>2</v>
      </c>
      <c r="CW1133" s="91">
        <v>1</v>
      </c>
      <c r="CX1133" s="91">
        <v>1</v>
      </c>
      <c r="CY1133" s="91">
        <v>1</v>
      </c>
      <c r="CZ1133" s="91">
        <v>0</v>
      </c>
      <c r="DA1133" s="91">
        <v>1</v>
      </c>
      <c r="DB1133" s="91">
        <v>1</v>
      </c>
      <c r="DC1133" s="91">
        <v>2</v>
      </c>
      <c r="DD1133" s="91">
        <v>0</v>
      </c>
      <c r="DE1133" s="91">
        <v>0</v>
      </c>
      <c r="DF1133" s="91">
        <v>0</v>
      </c>
      <c r="DG1133" s="91">
        <v>0</v>
      </c>
      <c r="DI1133" s="42"/>
      <c r="DJ1133" s="136" t="s">
        <v>13</v>
      </c>
      <c r="DK1133" s="47" t="s">
        <v>1</v>
      </c>
      <c r="DL1133" s="91">
        <v>3</v>
      </c>
      <c r="DM1133" s="91">
        <v>3</v>
      </c>
      <c r="DN1133" s="91">
        <v>5</v>
      </c>
      <c r="DO1133" s="91">
        <v>6</v>
      </c>
      <c r="DP1133" s="91">
        <v>2</v>
      </c>
      <c r="DQ1133" s="91">
        <v>3</v>
      </c>
      <c r="DR1133" s="91">
        <v>1</v>
      </c>
      <c r="DS1133" s="91">
        <v>0</v>
      </c>
      <c r="DT1133" s="91">
        <v>0</v>
      </c>
      <c r="DU1133" s="91">
        <v>0</v>
      </c>
      <c r="DV1133" s="91">
        <v>0</v>
      </c>
      <c r="DW1133" s="91">
        <v>1</v>
      </c>
      <c r="DX1133" s="91">
        <v>0</v>
      </c>
      <c r="DY1133" s="91">
        <v>0</v>
      </c>
      <c r="DZ1133" s="91">
        <v>0</v>
      </c>
      <c r="EA1133" s="91">
        <v>0</v>
      </c>
      <c r="EB1133" s="91">
        <v>0</v>
      </c>
      <c r="EC1133" s="91">
        <v>0</v>
      </c>
      <c r="EF1133" s="136" t="s">
        <v>13</v>
      </c>
      <c r="EG1133" s="47" t="s">
        <v>1</v>
      </c>
      <c r="EH1133" s="91">
        <v>3</v>
      </c>
      <c r="EI1133" s="91">
        <v>2</v>
      </c>
      <c r="EJ1133" s="91">
        <v>4</v>
      </c>
      <c r="EK1133" s="91">
        <v>6</v>
      </c>
      <c r="EL1133" s="91">
        <v>10</v>
      </c>
      <c r="EM1133" s="91">
        <v>5</v>
      </c>
      <c r="EN1133" s="91">
        <v>2</v>
      </c>
      <c r="EO1133" s="91">
        <v>3</v>
      </c>
      <c r="EP1133" s="91">
        <v>2</v>
      </c>
      <c r="EQ1133" s="91">
        <v>2</v>
      </c>
      <c r="ER1133" s="91">
        <v>0</v>
      </c>
      <c r="ES1133" s="91">
        <v>1</v>
      </c>
      <c r="ET1133" s="91">
        <v>1</v>
      </c>
      <c r="EU1133" s="91">
        <v>2</v>
      </c>
      <c r="EV1133" s="91">
        <v>0</v>
      </c>
      <c r="EW1133" s="91">
        <v>0</v>
      </c>
      <c r="EX1133" s="91">
        <v>0</v>
      </c>
      <c r="EY1133" s="91">
        <v>0</v>
      </c>
      <c r="FB1133" s="136" t="s">
        <v>13</v>
      </c>
      <c r="FC1133" s="47" t="s">
        <v>1</v>
      </c>
      <c r="FD1133" s="91">
        <v>5</v>
      </c>
      <c r="FE1133" s="91">
        <v>5</v>
      </c>
      <c r="FF1133" s="91">
        <v>8</v>
      </c>
      <c r="FG1133" s="91">
        <v>10</v>
      </c>
      <c r="FH1133" s="91">
        <v>10</v>
      </c>
      <c r="FI1133" s="91">
        <v>7</v>
      </c>
      <c r="FJ1133" s="91">
        <v>2</v>
      </c>
      <c r="FK1133" s="91">
        <v>3</v>
      </c>
      <c r="FL1133" s="91">
        <v>2</v>
      </c>
      <c r="FM1133" s="91">
        <v>2</v>
      </c>
      <c r="FN1133" s="91">
        <v>0</v>
      </c>
      <c r="FO1133" s="91">
        <v>2</v>
      </c>
      <c r="FP1133" s="91">
        <v>1</v>
      </c>
      <c r="FQ1133" s="91">
        <v>2</v>
      </c>
      <c r="FR1133" s="91">
        <v>0</v>
      </c>
      <c r="FS1133" s="91">
        <v>0</v>
      </c>
      <c r="FT1133" s="91">
        <v>0</v>
      </c>
      <c r="FU1133" s="91">
        <v>0</v>
      </c>
      <c r="FX1133" s="136" t="s">
        <v>13</v>
      </c>
      <c r="FY1133" s="47" t="s">
        <v>1</v>
      </c>
      <c r="FZ1133" s="91">
        <v>1</v>
      </c>
      <c r="GA1133" s="91">
        <v>0</v>
      </c>
      <c r="GB1133" s="91">
        <v>1</v>
      </c>
      <c r="GC1133" s="91">
        <v>2</v>
      </c>
      <c r="GD1133" s="91">
        <v>2</v>
      </c>
      <c r="GE1133" s="91">
        <v>1</v>
      </c>
      <c r="GF1133" s="91">
        <v>1</v>
      </c>
      <c r="GG1133" s="91">
        <v>0</v>
      </c>
      <c r="GH1133" s="91">
        <v>0</v>
      </c>
      <c r="GI1133" s="91">
        <v>0</v>
      </c>
      <c r="GJ1133" s="91">
        <v>0</v>
      </c>
      <c r="GK1133" s="91">
        <v>0</v>
      </c>
      <c r="GL1133" s="91">
        <v>0</v>
      </c>
      <c r="GM1133" s="91">
        <v>0</v>
      </c>
      <c r="GN1133" s="91">
        <v>0</v>
      </c>
      <c r="GO1133" s="91">
        <v>0</v>
      </c>
      <c r="GP1133" s="91">
        <v>0</v>
      </c>
      <c r="GQ1133" s="91">
        <v>0</v>
      </c>
    </row>
    <row r="1134" spans="2:199" ht="15.4" x14ac:dyDescent="0.45">
      <c r="B1134" s="135"/>
      <c r="C1134" s="42"/>
      <c r="D1134" s="137"/>
      <c r="E1134" s="47">
        <v>1</v>
      </c>
      <c r="F1134" s="89">
        <v>45</v>
      </c>
      <c r="G1134" s="89">
        <v>61</v>
      </c>
      <c r="H1134" s="89">
        <v>60</v>
      </c>
      <c r="I1134" s="89">
        <v>41</v>
      </c>
      <c r="J1134" s="89">
        <v>22</v>
      </c>
      <c r="K1134" s="89">
        <v>28</v>
      </c>
      <c r="L1134" s="89">
        <v>13</v>
      </c>
      <c r="M1134" s="89">
        <v>4</v>
      </c>
      <c r="N1134" s="89">
        <v>4</v>
      </c>
      <c r="O1134" s="89">
        <v>10</v>
      </c>
      <c r="P1134" s="89">
        <v>1</v>
      </c>
      <c r="Q1134" s="89">
        <v>1</v>
      </c>
      <c r="R1134" s="89">
        <v>2</v>
      </c>
      <c r="S1134" s="89">
        <v>1</v>
      </c>
      <c r="T1134" s="89">
        <v>0</v>
      </c>
      <c r="U1134" s="89">
        <v>1</v>
      </c>
      <c r="V1134" s="89">
        <v>2</v>
      </c>
      <c r="W1134" s="89">
        <v>0</v>
      </c>
      <c r="Z1134" s="137"/>
      <c r="AA1134" s="47">
        <v>1</v>
      </c>
      <c r="AB1134" s="89">
        <v>19</v>
      </c>
      <c r="AC1134" s="89">
        <v>24</v>
      </c>
      <c r="AD1134" s="89">
        <v>35</v>
      </c>
      <c r="AE1134" s="89">
        <v>13</v>
      </c>
      <c r="AF1134" s="89">
        <v>10</v>
      </c>
      <c r="AG1134" s="89">
        <v>12</v>
      </c>
      <c r="AH1134" s="89">
        <v>9</v>
      </c>
      <c r="AI1134" s="89">
        <v>2</v>
      </c>
      <c r="AJ1134" s="89">
        <v>4</v>
      </c>
      <c r="AK1134" s="89">
        <v>5</v>
      </c>
      <c r="AL1134" s="89">
        <v>1</v>
      </c>
      <c r="AM1134" s="89">
        <v>0</v>
      </c>
      <c r="AN1134" s="89">
        <v>1</v>
      </c>
      <c r="AO1134" s="89">
        <v>1</v>
      </c>
      <c r="AP1134" s="89">
        <v>0</v>
      </c>
      <c r="AQ1134" s="89">
        <v>0</v>
      </c>
      <c r="AR1134" s="89">
        <v>1</v>
      </c>
      <c r="AS1134" s="89">
        <v>0</v>
      </c>
      <c r="AV1134" s="137"/>
      <c r="AW1134" s="47">
        <v>1</v>
      </c>
      <c r="AX1134" s="89">
        <v>26</v>
      </c>
      <c r="AY1134" s="89">
        <v>37</v>
      </c>
      <c r="AZ1134" s="89">
        <v>25</v>
      </c>
      <c r="BA1134" s="89">
        <v>28</v>
      </c>
      <c r="BB1134" s="89">
        <v>12</v>
      </c>
      <c r="BC1134" s="89">
        <v>16</v>
      </c>
      <c r="BD1134" s="89">
        <v>4</v>
      </c>
      <c r="BE1134" s="89">
        <v>2</v>
      </c>
      <c r="BF1134" s="89">
        <v>0</v>
      </c>
      <c r="BG1134" s="89">
        <v>5</v>
      </c>
      <c r="BH1134" s="89">
        <v>0</v>
      </c>
      <c r="BI1134" s="89">
        <v>1</v>
      </c>
      <c r="BJ1134" s="89">
        <v>1</v>
      </c>
      <c r="BK1134" s="89">
        <v>0</v>
      </c>
      <c r="BL1134" s="89">
        <v>0</v>
      </c>
      <c r="BM1134" s="89">
        <v>1</v>
      </c>
      <c r="BN1134" s="89">
        <v>1</v>
      </c>
      <c r="BO1134" s="89">
        <v>0</v>
      </c>
      <c r="BQ1134" s="42"/>
      <c r="BR1134" s="137"/>
      <c r="BS1134" s="47">
        <v>1</v>
      </c>
      <c r="BT1134" s="91">
        <v>32</v>
      </c>
      <c r="BU1134" s="91">
        <v>29</v>
      </c>
      <c r="BV1134" s="91">
        <v>35</v>
      </c>
      <c r="BW1134" s="91">
        <v>30</v>
      </c>
      <c r="BX1134" s="91">
        <v>12</v>
      </c>
      <c r="BY1134" s="91">
        <v>13</v>
      </c>
      <c r="BZ1134" s="91">
        <v>3</v>
      </c>
      <c r="CA1134" s="91">
        <v>1</v>
      </c>
      <c r="CB1134" s="91">
        <v>0</v>
      </c>
      <c r="CC1134" s="91">
        <v>3</v>
      </c>
      <c r="CD1134" s="91">
        <v>0</v>
      </c>
      <c r="CE1134" s="91">
        <v>0</v>
      </c>
      <c r="CF1134" s="91">
        <v>0</v>
      </c>
      <c r="CG1134" s="91">
        <v>0</v>
      </c>
      <c r="CH1134" s="91">
        <v>0</v>
      </c>
      <c r="CI1134" s="91">
        <v>1</v>
      </c>
      <c r="CJ1134" s="91">
        <v>0</v>
      </c>
      <c r="CK1134" s="91">
        <v>0</v>
      </c>
      <c r="CN1134" s="137"/>
      <c r="CO1134" s="47">
        <v>1</v>
      </c>
      <c r="CP1134" s="91">
        <v>13</v>
      </c>
      <c r="CQ1134" s="91">
        <v>32</v>
      </c>
      <c r="CR1134" s="91">
        <v>25</v>
      </c>
      <c r="CS1134" s="91">
        <v>11</v>
      </c>
      <c r="CT1134" s="91">
        <v>10</v>
      </c>
      <c r="CU1134" s="91">
        <v>15</v>
      </c>
      <c r="CV1134" s="91">
        <v>10</v>
      </c>
      <c r="CW1134" s="91">
        <v>3</v>
      </c>
      <c r="CX1134" s="91">
        <v>4</v>
      </c>
      <c r="CY1134" s="91">
        <v>7</v>
      </c>
      <c r="CZ1134" s="91">
        <v>1</v>
      </c>
      <c r="DA1134" s="91">
        <v>1</v>
      </c>
      <c r="DB1134" s="91">
        <v>2</v>
      </c>
      <c r="DC1134" s="91">
        <v>1</v>
      </c>
      <c r="DD1134" s="91">
        <v>0</v>
      </c>
      <c r="DE1134" s="91">
        <v>0</v>
      </c>
      <c r="DF1134" s="91">
        <v>2</v>
      </c>
      <c r="DG1134" s="91">
        <v>0</v>
      </c>
      <c r="DI1134" s="42"/>
      <c r="DJ1134" s="137"/>
      <c r="DK1134" s="47">
        <v>1</v>
      </c>
      <c r="DL1134" s="91">
        <v>27</v>
      </c>
      <c r="DM1134" s="91">
        <v>48</v>
      </c>
      <c r="DN1134" s="91">
        <v>44</v>
      </c>
      <c r="DO1134" s="91">
        <v>32</v>
      </c>
      <c r="DP1134" s="91">
        <v>12</v>
      </c>
      <c r="DQ1134" s="91">
        <v>10</v>
      </c>
      <c r="DR1134" s="91">
        <v>5</v>
      </c>
      <c r="DS1134" s="91">
        <v>1</v>
      </c>
      <c r="DT1134" s="91">
        <v>0</v>
      </c>
      <c r="DU1134" s="91">
        <v>0</v>
      </c>
      <c r="DV1134" s="91">
        <v>0</v>
      </c>
      <c r="DW1134" s="91">
        <v>0</v>
      </c>
      <c r="DX1134" s="91">
        <v>0</v>
      </c>
      <c r="DY1134" s="91">
        <v>0</v>
      </c>
      <c r="DZ1134" s="91">
        <v>0</v>
      </c>
      <c r="EA1134" s="91">
        <v>0</v>
      </c>
      <c r="EB1134" s="91">
        <v>0</v>
      </c>
      <c r="EC1134" s="91">
        <v>0</v>
      </c>
      <c r="EF1134" s="137"/>
      <c r="EG1134" s="47">
        <v>1</v>
      </c>
      <c r="EH1134" s="91">
        <v>18</v>
      </c>
      <c r="EI1134" s="91">
        <v>13</v>
      </c>
      <c r="EJ1134" s="91">
        <v>16</v>
      </c>
      <c r="EK1134" s="91">
        <v>9</v>
      </c>
      <c r="EL1134" s="91">
        <v>10</v>
      </c>
      <c r="EM1134" s="91">
        <v>18</v>
      </c>
      <c r="EN1134" s="91">
        <v>8</v>
      </c>
      <c r="EO1134" s="91">
        <v>3</v>
      </c>
      <c r="EP1134" s="91">
        <v>4</v>
      </c>
      <c r="EQ1134" s="91">
        <v>10</v>
      </c>
      <c r="ER1134" s="91">
        <v>1</v>
      </c>
      <c r="ES1134" s="91">
        <v>1</v>
      </c>
      <c r="ET1134" s="91">
        <v>2</v>
      </c>
      <c r="EU1134" s="91">
        <v>1</v>
      </c>
      <c r="EV1134" s="91">
        <v>0</v>
      </c>
      <c r="EW1134" s="91">
        <v>1</v>
      </c>
      <c r="EX1134" s="91">
        <v>2</v>
      </c>
      <c r="EY1134" s="91">
        <v>0</v>
      </c>
      <c r="FB1134" s="137"/>
      <c r="FC1134" s="47">
        <v>1</v>
      </c>
      <c r="FD1134" s="91">
        <v>28</v>
      </c>
      <c r="FE1134" s="91">
        <v>37</v>
      </c>
      <c r="FF1134" s="91">
        <v>29</v>
      </c>
      <c r="FG1134" s="91">
        <v>18</v>
      </c>
      <c r="FH1134" s="91">
        <v>16</v>
      </c>
      <c r="FI1134" s="91">
        <v>19</v>
      </c>
      <c r="FJ1134" s="91">
        <v>10</v>
      </c>
      <c r="FK1134" s="91">
        <v>4</v>
      </c>
      <c r="FL1134" s="91">
        <v>4</v>
      </c>
      <c r="FM1134" s="91">
        <v>10</v>
      </c>
      <c r="FN1134" s="91">
        <v>1</v>
      </c>
      <c r="FO1134" s="91">
        <v>1</v>
      </c>
      <c r="FP1134" s="91">
        <v>2</v>
      </c>
      <c r="FQ1134" s="91">
        <v>1</v>
      </c>
      <c r="FR1134" s="91">
        <v>0</v>
      </c>
      <c r="FS1134" s="91">
        <v>1</v>
      </c>
      <c r="FT1134" s="91">
        <v>2</v>
      </c>
      <c r="FU1134" s="91">
        <v>0</v>
      </c>
      <c r="FX1134" s="137"/>
      <c r="FY1134" s="47">
        <v>1</v>
      </c>
      <c r="FZ1134" s="91">
        <v>17</v>
      </c>
      <c r="GA1134" s="91">
        <v>24</v>
      </c>
      <c r="GB1134" s="91">
        <v>31</v>
      </c>
      <c r="GC1134" s="91">
        <v>23</v>
      </c>
      <c r="GD1134" s="91">
        <v>6</v>
      </c>
      <c r="GE1134" s="91">
        <v>9</v>
      </c>
      <c r="GF1134" s="91">
        <v>3</v>
      </c>
      <c r="GG1134" s="91">
        <v>0</v>
      </c>
      <c r="GH1134" s="91">
        <v>0</v>
      </c>
      <c r="GI1134" s="91">
        <v>0</v>
      </c>
      <c r="GJ1134" s="91">
        <v>0</v>
      </c>
      <c r="GK1134" s="91">
        <v>0</v>
      </c>
      <c r="GL1134" s="91">
        <v>0</v>
      </c>
      <c r="GM1134" s="91">
        <v>0</v>
      </c>
      <c r="GN1134" s="91">
        <v>0</v>
      </c>
      <c r="GO1134" s="91">
        <v>0</v>
      </c>
      <c r="GP1134" s="91">
        <v>0</v>
      </c>
      <c r="GQ1134" s="91">
        <v>0</v>
      </c>
    </row>
    <row r="1135" spans="2:199" ht="15.4" x14ac:dyDescent="0.45">
      <c r="B1135" s="135"/>
      <c r="C1135" s="42"/>
      <c r="D1135" s="137"/>
      <c r="E1135" s="47" t="s">
        <v>2</v>
      </c>
      <c r="F1135" s="89">
        <v>632</v>
      </c>
      <c r="G1135" s="89">
        <v>1650</v>
      </c>
      <c r="H1135" s="89">
        <v>2381</v>
      </c>
      <c r="I1135" s="89">
        <v>2041</v>
      </c>
      <c r="J1135" s="89">
        <v>1266</v>
      </c>
      <c r="K1135" s="89">
        <v>753</v>
      </c>
      <c r="L1135" s="89">
        <v>377</v>
      </c>
      <c r="M1135" s="89">
        <v>203</v>
      </c>
      <c r="N1135" s="89">
        <v>149</v>
      </c>
      <c r="O1135" s="89">
        <v>126</v>
      </c>
      <c r="P1135" s="89">
        <v>25</v>
      </c>
      <c r="Q1135" s="89">
        <v>24</v>
      </c>
      <c r="R1135" s="89">
        <v>22</v>
      </c>
      <c r="S1135" s="89">
        <v>11</v>
      </c>
      <c r="T1135" s="89">
        <v>9</v>
      </c>
      <c r="U1135" s="89">
        <v>8</v>
      </c>
      <c r="V1135" s="89">
        <v>3</v>
      </c>
      <c r="W1135" s="89">
        <v>3</v>
      </c>
      <c r="Z1135" s="137"/>
      <c r="AA1135" s="47" t="s">
        <v>2</v>
      </c>
      <c r="AB1135" s="89">
        <v>240</v>
      </c>
      <c r="AC1135" s="89">
        <v>723</v>
      </c>
      <c r="AD1135" s="89">
        <v>1111</v>
      </c>
      <c r="AE1135" s="89">
        <v>966</v>
      </c>
      <c r="AF1135" s="89">
        <v>575</v>
      </c>
      <c r="AG1135" s="89">
        <v>291</v>
      </c>
      <c r="AH1135" s="89">
        <v>134</v>
      </c>
      <c r="AI1135" s="89">
        <v>75</v>
      </c>
      <c r="AJ1135" s="89">
        <v>56</v>
      </c>
      <c r="AK1135" s="89">
        <v>48</v>
      </c>
      <c r="AL1135" s="89">
        <v>8</v>
      </c>
      <c r="AM1135" s="89">
        <v>7</v>
      </c>
      <c r="AN1135" s="89">
        <v>7</v>
      </c>
      <c r="AO1135" s="89">
        <v>6</v>
      </c>
      <c r="AP1135" s="89">
        <v>2</v>
      </c>
      <c r="AQ1135" s="89">
        <v>3</v>
      </c>
      <c r="AR1135" s="89">
        <v>1</v>
      </c>
      <c r="AS1135" s="89">
        <v>1</v>
      </c>
      <c r="AV1135" s="137"/>
      <c r="AW1135" s="47" t="s">
        <v>2</v>
      </c>
      <c r="AX1135" s="89">
        <v>392</v>
      </c>
      <c r="AY1135" s="89">
        <v>927</v>
      </c>
      <c r="AZ1135" s="89">
        <v>1270</v>
      </c>
      <c r="BA1135" s="89">
        <v>1075</v>
      </c>
      <c r="BB1135" s="89">
        <v>691</v>
      </c>
      <c r="BC1135" s="89">
        <v>462</v>
      </c>
      <c r="BD1135" s="89">
        <v>243</v>
      </c>
      <c r="BE1135" s="89">
        <v>128</v>
      </c>
      <c r="BF1135" s="89">
        <v>93</v>
      </c>
      <c r="BG1135" s="89">
        <v>78</v>
      </c>
      <c r="BH1135" s="89">
        <v>17</v>
      </c>
      <c r="BI1135" s="89">
        <v>17</v>
      </c>
      <c r="BJ1135" s="89">
        <v>15</v>
      </c>
      <c r="BK1135" s="89">
        <v>5</v>
      </c>
      <c r="BL1135" s="89">
        <v>7</v>
      </c>
      <c r="BM1135" s="89">
        <v>5</v>
      </c>
      <c r="BN1135" s="89">
        <v>2</v>
      </c>
      <c r="BO1135" s="89">
        <v>2</v>
      </c>
      <c r="BQ1135" s="42"/>
      <c r="BR1135" s="137"/>
      <c r="BS1135" s="47" t="s">
        <v>2</v>
      </c>
      <c r="BT1135" s="91">
        <v>416</v>
      </c>
      <c r="BU1135" s="91">
        <v>951</v>
      </c>
      <c r="BV1135" s="91">
        <v>1280</v>
      </c>
      <c r="BW1135" s="91">
        <v>989</v>
      </c>
      <c r="BX1135" s="91">
        <v>573</v>
      </c>
      <c r="BY1135" s="91">
        <v>323</v>
      </c>
      <c r="BZ1135" s="91">
        <v>140</v>
      </c>
      <c r="CA1135" s="91">
        <v>72</v>
      </c>
      <c r="CB1135" s="91">
        <v>47</v>
      </c>
      <c r="CC1135" s="91">
        <v>46</v>
      </c>
      <c r="CD1135" s="91">
        <v>7</v>
      </c>
      <c r="CE1135" s="91">
        <v>7</v>
      </c>
      <c r="CF1135" s="91">
        <v>9</v>
      </c>
      <c r="CG1135" s="91">
        <v>4</v>
      </c>
      <c r="CH1135" s="91">
        <v>2</v>
      </c>
      <c r="CI1135" s="91">
        <v>1</v>
      </c>
      <c r="CJ1135" s="91">
        <v>0</v>
      </c>
      <c r="CK1135" s="91">
        <v>1</v>
      </c>
      <c r="CN1135" s="137"/>
      <c r="CO1135" s="47" t="s">
        <v>2</v>
      </c>
      <c r="CP1135" s="91">
        <v>216</v>
      </c>
      <c r="CQ1135" s="91">
        <v>699</v>
      </c>
      <c r="CR1135" s="91">
        <v>1101</v>
      </c>
      <c r="CS1135" s="91">
        <v>1052</v>
      </c>
      <c r="CT1135" s="91">
        <v>693</v>
      </c>
      <c r="CU1135" s="91">
        <v>430</v>
      </c>
      <c r="CV1135" s="91">
        <v>237</v>
      </c>
      <c r="CW1135" s="91">
        <v>131</v>
      </c>
      <c r="CX1135" s="91">
        <v>102</v>
      </c>
      <c r="CY1135" s="91">
        <v>80</v>
      </c>
      <c r="CZ1135" s="91">
        <v>18</v>
      </c>
      <c r="DA1135" s="91">
        <v>17</v>
      </c>
      <c r="DB1135" s="91">
        <v>13</v>
      </c>
      <c r="DC1135" s="91">
        <v>7</v>
      </c>
      <c r="DD1135" s="91">
        <v>7</v>
      </c>
      <c r="DE1135" s="91">
        <v>7</v>
      </c>
      <c r="DF1135" s="91">
        <v>3</v>
      </c>
      <c r="DG1135" s="91">
        <v>2</v>
      </c>
      <c r="DI1135" s="42"/>
      <c r="DJ1135" s="137"/>
      <c r="DK1135" s="47" t="s">
        <v>2</v>
      </c>
      <c r="DL1135" s="91">
        <v>437</v>
      </c>
      <c r="DM1135" s="91">
        <v>1248</v>
      </c>
      <c r="DN1135" s="91">
        <v>1721</v>
      </c>
      <c r="DO1135" s="91">
        <v>1443</v>
      </c>
      <c r="DP1135" s="91">
        <v>869</v>
      </c>
      <c r="DQ1135" s="91">
        <v>505</v>
      </c>
      <c r="DR1135" s="91">
        <v>226</v>
      </c>
      <c r="DS1135" s="91">
        <v>102</v>
      </c>
      <c r="DT1135" s="91">
        <v>60</v>
      </c>
      <c r="DU1135" s="91">
        <v>45</v>
      </c>
      <c r="DV1135" s="91">
        <v>4</v>
      </c>
      <c r="DW1135" s="91">
        <v>6</v>
      </c>
      <c r="DX1135" s="91">
        <v>4</v>
      </c>
      <c r="DY1135" s="91">
        <v>2</v>
      </c>
      <c r="DZ1135" s="91">
        <v>1</v>
      </c>
      <c r="EA1135" s="91">
        <v>3</v>
      </c>
      <c r="EB1135" s="91">
        <v>0</v>
      </c>
      <c r="EC1135" s="91">
        <v>2</v>
      </c>
      <c r="EF1135" s="137"/>
      <c r="EG1135" s="47" t="s">
        <v>2</v>
      </c>
      <c r="EH1135" s="91">
        <v>195</v>
      </c>
      <c r="EI1135" s="91">
        <v>402</v>
      </c>
      <c r="EJ1135" s="91">
        <v>660</v>
      </c>
      <c r="EK1135" s="91">
        <v>598</v>
      </c>
      <c r="EL1135" s="91">
        <v>397</v>
      </c>
      <c r="EM1135" s="91">
        <v>248</v>
      </c>
      <c r="EN1135" s="91">
        <v>151</v>
      </c>
      <c r="EO1135" s="91">
        <v>101</v>
      </c>
      <c r="EP1135" s="91">
        <v>89</v>
      </c>
      <c r="EQ1135" s="91">
        <v>81</v>
      </c>
      <c r="ER1135" s="91">
        <v>21</v>
      </c>
      <c r="ES1135" s="91">
        <v>18</v>
      </c>
      <c r="ET1135" s="91">
        <v>18</v>
      </c>
      <c r="EU1135" s="91">
        <v>9</v>
      </c>
      <c r="EV1135" s="91">
        <v>8</v>
      </c>
      <c r="EW1135" s="91">
        <v>5</v>
      </c>
      <c r="EX1135" s="91">
        <v>3</v>
      </c>
      <c r="EY1135" s="91">
        <v>1</v>
      </c>
      <c r="FB1135" s="137"/>
      <c r="FC1135" s="47" t="s">
        <v>2</v>
      </c>
      <c r="FD1135" s="91">
        <v>208</v>
      </c>
      <c r="FE1135" s="91">
        <v>382</v>
      </c>
      <c r="FF1135" s="91">
        <v>526</v>
      </c>
      <c r="FG1135" s="91">
        <v>500</v>
      </c>
      <c r="FH1135" s="91">
        <v>363</v>
      </c>
      <c r="FI1135" s="91">
        <v>250</v>
      </c>
      <c r="FJ1135" s="91">
        <v>160</v>
      </c>
      <c r="FK1135" s="91">
        <v>102</v>
      </c>
      <c r="FL1135" s="91">
        <v>93</v>
      </c>
      <c r="FM1135" s="91">
        <v>87</v>
      </c>
      <c r="FN1135" s="91">
        <v>22</v>
      </c>
      <c r="FO1135" s="91">
        <v>21</v>
      </c>
      <c r="FP1135" s="91">
        <v>19</v>
      </c>
      <c r="FQ1135" s="91">
        <v>11</v>
      </c>
      <c r="FR1135" s="91">
        <v>9</v>
      </c>
      <c r="FS1135" s="91">
        <v>7</v>
      </c>
      <c r="FT1135" s="91">
        <v>2</v>
      </c>
      <c r="FU1135" s="91">
        <v>2</v>
      </c>
      <c r="FX1135" s="137"/>
      <c r="FY1135" s="47" t="s">
        <v>2</v>
      </c>
      <c r="FZ1135" s="91">
        <v>424</v>
      </c>
      <c r="GA1135" s="91">
        <v>1268</v>
      </c>
      <c r="GB1135" s="91">
        <v>1855</v>
      </c>
      <c r="GC1135" s="91">
        <v>1541</v>
      </c>
      <c r="GD1135" s="91">
        <v>903</v>
      </c>
      <c r="GE1135" s="91">
        <v>503</v>
      </c>
      <c r="GF1135" s="91">
        <v>217</v>
      </c>
      <c r="GG1135" s="91">
        <v>101</v>
      </c>
      <c r="GH1135" s="91">
        <v>56</v>
      </c>
      <c r="GI1135" s="91">
        <v>39</v>
      </c>
      <c r="GJ1135" s="91">
        <v>3</v>
      </c>
      <c r="GK1135" s="91">
        <v>3</v>
      </c>
      <c r="GL1135" s="91">
        <v>3</v>
      </c>
      <c r="GM1135" s="91">
        <v>0</v>
      </c>
      <c r="GN1135" s="91">
        <v>0</v>
      </c>
      <c r="GO1135" s="91">
        <v>1</v>
      </c>
      <c r="GP1135" s="91">
        <v>1</v>
      </c>
      <c r="GQ1135" s="91">
        <v>1</v>
      </c>
    </row>
    <row r="1136" spans="2:199" ht="15.4" x14ac:dyDescent="0.45">
      <c r="B1136" s="135"/>
      <c r="C1136" s="42"/>
      <c r="D1136" s="137"/>
      <c r="E1136" s="47" t="s">
        <v>3</v>
      </c>
      <c r="F1136" s="89">
        <v>257</v>
      </c>
      <c r="G1136" s="89">
        <v>681</v>
      </c>
      <c r="H1136" s="89">
        <v>1234</v>
      </c>
      <c r="I1136" s="89">
        <v>1566</v>
      </c>
      <c r="J1136" s="89">
        <v>1351</v>
      </c>
      <c r="K1136" s="89">
        <v>810</v>
      </c>
      <c r="L1136" s="89">
        <v>503</v>
      </c>
      <c r="M1136" s="89">
        <v>238</v>
      </c>
      <c r="N1136" s="89">
        <v>114</v>
      </c>
      <c r="O1136" s="89">
        <v>102</v>
      </c>
      <c r="P1136" s="89">
        <v>16</v>
      </c>
      <c r="Q1136" s="89">
        <v>13</v>
      </c>
      <c r="R1136" s="89">
        <v>12</v>
      </c>
      <c r="S1136" s="89">
        <v>3</v>
      </c>
      <c r="T1136" s="89">
        <v>3</v>
      </c>
      <c r="U1136" s="89">
        <v>1</v>
      </c>
      <c r="V1136" s="89">
        <v>1</v>
      </c>
      <c r="W1136" s="89">
        <v>0</v>
      </c>
      <c r="Z1136" s="137"/>
      <c r="AA1136" s="47" t="s">
        <v>3</v>
      </c>
      <c r="AB1136" s="89">
        <v>95</v>
      </c>
      <c r="AC1136" s="89">
        <v>274</v>
      </c>
      <c r="AD1136" s="89">
        <v>585</v>
      </c>
      <c r="AE1136" s="89">
        <v>771</v>
      </c>
      <c r="AF1136" s="89">
        <v>661</v>
      </c>
      <c r="AG1136" s="89">
        <v>371</v>
      </c>
      <c r="AH1136" s="89">
        <v>198</v>
      </c>
      <c r="AI1136" s="89">
        <v>88</v>
      </c>
      <c r="AJ1136" s="89">
        <v>44</v>
      </c>
      <c r="AK1136" s="89">
        <v>36</v>
      </c>
      <c r="AL1136" s="89">
        <v>6</v>
      </c>
      <c r="AM1136" s="89">
        <v>6</v>
      </c>
      <c r="AN1136" s="89">
        <v>4</v>
      </c>
      <c r="AO1136" s="89">
        <v>2</v>
      </c>
      <c r="AP1136" s="89">
        <v>1</v>
      </c>
      <c r="AQ1136" s="89">
        <v>0</v>
      </c>
      <c r="AR1136" s="89">
        <v>0</v>
      </c>
      <c r="AS1136" s="89">
        <v>0</v>
      </c>
      <c r="AV1136" s="137"/>
      <c r="AW1136" s="47" t="s">
        <v>3</v>
      </c>
      <c r="AX1136" s="89">
        <v>162</v>
      </c>
      <c r="AY1136" s="89">
        <v>407</v>
      </c>
      <c r="AZ1136" s="89">
        <v>649</v>
      </c>
      <c r="BA1136" s="89">
        <v>795</v>
      </c>
      <c r="BB1136" s="89">
        <v>690</v>
      </c>
      <c r="BC1136" s="89">
        <v>439</v>
      </c>
      <c r="BD1136" s="89">
        <v>305</v>
      </c>
      <c r="BE1136" s="89">
        <v>150</v>
      </c>
      <c r="BF1136" s="89">
        <v>70</v>
      </c>
      <c r="BG1136" s="89">
        <v>66</v>
      </c>
      <c r="BH1136" s="89">
        <v>10</v>
      </c>
      <c r="BI1136" s="89">
        <v>7</v>
      </c>
      <c r="BJ1136" s="89">
        <v>8</v>
      </c>
      <c r="BK1136" s="89">
        <v>1</v>
      </c>
      <c r="BL1136" s="89">
        <v>2</v>
      </c>
      <c r="BM1136" s="89">
        <v>1</v>
      </c>
      <c r="BN1136" s="89">
        <v>1</v>
      </c>
      <c r="BO1136" s="89">
        <v>0</v>
      </c>
      <c r="BQ1136" s="42"/>
      <c r="BR1136" s="137"/>
      <c r="BS1136" s="47" t="s">
        <v>3</v>
      </c>
      <c r="BT1136" s="91">
        <v>175</v>
      </c>
      <c r="BU1136" s="91">
        <v>398</v>
      </c>
      <c r="BV1136" s="91">
        <v>622</v>
      </c>
      <c r="BW1136" s="91">
        <v>731</v>
      </c>
      <c r="BX1136" s="91">
        <v>607</v>
      </c>
      <c r="BY1136" s="91">
        <v>302</v>
      </c>
      <c r="BZ1136" s="91">
        <v>198</v>
      </c>
      <c r="CA1136" s="91">
        <v>89</v>
      </c>
      <c r="CB1136" s="91">
        <v>29</v>
      </c>
      <c r="CC1136" s="91">
        <v>30</v>
      </c>
      <c r="CD1136" s="91">
        <v>5</v>
      </c>
      <c r="CE1136" s="91">
        <v>5</v>
      </c>
      <c r="CF1136" s="91">
        <v>4</v>
      </c>
      <c r="CG1136" s="91">
        <v>1</v>
      </c>
      <c r="CH1136" s="91">
        <v>1</v>
      </c>
      <c r="CI1136" s="91">
        <v>1</v>
      </c>
      <c r="CJ1136" s="91">
        <v>0</v>
      </c>
      <c r="CK1136" s="91">
        <v>0</v>
      </c>
      <c r="CN1136" s="137"/>
      <c r="CO1136" s="47" t="s">
        <v>3</v>
      </c>
      <c r="CP1136" s="91">
        <v>82</v>
      </c>
      <c r="CQ1136" s="91">
        <v>283</v>
      </c>
      <c r="CR1136" s="91">
        <v>612</v>
      </c>
      <c r="CS1136" s="91">
        <v>835</v>
      </c>
      <c r="CT1136" s="91">
        <v>744</v>
      </c>
      <c r="CU1136" s="91">
        <v>508</v>
      </c>
      <c r="CV1136" s="91">
        <v>305</v>
      </c>
      <c r="CW1136" s="91">
        <v>149</v>
      </c>
      <c r="CX1136" s="91">
        <v>85</v>
      </c>
      <c r="CY1136" s="91">
        <v>72</v>
      </c>
      <c r="CZ1136" s="91">
        <v>11</v>
      </c>
      <c r="DA1136" s="91">
        <v>8</v>
      </c>
      <c r="DB1136" s="91">
        <v>8</v>
      </c>
      <c r="DC1136" s="91">
        <v>2</v>
      </c>
      <c r="DD1136" s="91">
        <v>2</v>
      </c>
      <c r="DE1136" s="91">
        <v>0</v>
      </c>
      <c r="DF1136" s="91">
        <v>1</v>
      </c>
      <c r="DG1136" s="91">
        <v>0</v>
      </c>
      <c r="DI1136" s="42"/>
      <c r="DJ1136" s="137"/>
      <c r="DK1136" s="47" t="s">
        <v>3</v>
      </c>
      <c r="DL1136" s="91">
        <v>140</v>
      </c>
      <c r="DM1136" s="91">
        <v>400</v>
      </c>
      <c r="DN1136" s="91">
        <v>707</v>
      </c>
      <c r="DO1136" s="91">
        <v>874</v>
      </c>
      <c r="DP1136" s="91">
        <v>749</v>
      </c>
      <c r="DQ1136" s="91">
        <v>412</v>
      </c>
      <c r="DR1136" s="91">
        <v>263</v>
      </c>
      <c r="DS1136" s="91">
        <v>152</v>
      </c>
      <c r="DT1136" s="91">
        <v>60</v>
      </c>
      <c r="DU1136" s="91">
        <v>57</v>
      </c>
      <c r="DV1136" s="91">
        <v>4</v>
      </c>
      <c r="DW1136" s="91">
        <v>2</v>
      </c>
      <c r="DX1136" s="91">
        <v>4</v>
      </c>
      <c r="DY1136" s="91">
        <v>0</v>
      </c>
      <c r="DZ1136" s="91">
        <v>1</v>
      </c>
      <c r="EA1136" s="91">
        <v>0</v>
      </c>
      <c r="EB1136" s="91">
        <v>0</v>
      </c>
      <c r="EC1136" s="91">
        <v>0</v>
      </c>
      <c r="EF1136" s="137"/>
      <c r="EG1136" s="47" t="s">
        <v>3</v>
      </c>
      <c r="EH1136" s="91">
        <v>117</v>
      </c>
      <c r="EI1136" s="91">
        <v>281</v>
      </c>
      <c r="EJ1136" s="91">
        <v>527</v>
      </c>
      <c r="EK1136" s="91">
        <v>692</v>
      </c>
      <c r="EL1136" s="91">
        <v>602</v>
      </c>
      <c r="EM1136" s="91">
        <v>398</v>
      </c>
      <c r="EN1136" s="91">
        <v>240</v>
      </c>
      <c r="EO1136" s="91">
        <v>86</v>
      </c>
      <c r="EP1136" s="91">
        <v>54</v>
      </c>
      <c r="EQ1136" s="91">
        <v>45</v>
      </c>
      <c r="ER1136" s="91">
        <v>12</v>
      </c>
      <c r="ES1136" s="91">
        <v>11</v>
      </c>
      <c r="ET1136" s="91">
        <v>8</v>
      </c>
      <c r="EU1136" s="91">
        <v>3</v>
      </c>
      <c r="EV1136" s="91">
        <v>2</v>
      </c>
      <c r="EW1136" s="91">
        <v>1</v>
      </c>
      <c r="EX1136" s="91">
        <v>1</v>
      </c>
      <c r="EY1136" s="91">
        <v>0</v>
      </c>
      <c r="FB1136" s="137"/>
      <c r="FC1136" s="47" t="s">
        <v>3</v>
      </c>
      <c r="FD1136" s="91">
        <v>62</v>
      </c>
      <c r="FE1136" s="91">
        <v>107</v>
      </c>
      <c r="FF1136" s="91">
        <v>200</v>
      </c>
      <c r="FG1136" s="91">
        <v>280</v>
      </c>
      <c r="FH1136" s="91">
        <v>273</v>
      </c>
      <c r="FI1136" s="91">
        <v>191</v>
      </c>
      <c r="FJ1136" s="91">
        <v>152</v>
      </c>
      <c r="FK1136" s="91">
        <v>78</v>
      </c>
      <c r="FL1136" s="91">
        <v>42</v>
      </c>
      <c r="FM1136" s="91">
        <v>44</v>
      </c>
      <c r="FN1136" s="91">
        <v>15</v>
      </c>
      <c r="FO1136" s="91">
        <v>11</v>
      </c>
      <c r="FP1136" s="91">
        <v>9</v>
      </c>
      <c r="FQ1136" s="91">
        <v>3</v>
      </c>
      <c r="FR1136" s="91">
        <v>2</v>
      </c>
      <c r="FS1136" s="91">
        <v>1</v>
      </c>
      <c r="FT1136" s="91">
        <v>1</v>
      </c>
      <c r="FU1136" s="91">
        <v>0</v>
      </c>
      <c r="FX1136" s="137"/>
      <c r="FY1136" s="47" t="s">
        <v>3</v>
      </c>
      <c r="FZ1136" s="91">
        <v>195</v>
      </c>
      <c r="GA1136" s="91">
        <v>574</v>
      </c>
      <c r="GB1136" s="91">
        <v>1034</v>
      </c>
      <c r="GC1136" s="91">
        <v>1286</v>
      </c>
      <c r="GD1136" s="91">
        <v>1078</v>
      </c>
      <c r="GE1136" s="91">
        <v>619</v>
      </c>
      <c r="GF1136" s="91">
        <v>351</v>
      </c>
      <c r="GG1136" s="91">
        <v>160</v>
      </c>
      <c r="GH1136" s="91">
        <v>72</v>
      </c>
      <c r="GI1136" s="91">
        <v>58</v>
      </c>
      <c r="GJ1136" s="91">
        <v>1</v>
      </c>
      <c r="GK1136" s="91">
        <v>2</v>
      </c>
      <c r="GL1136" s="91">
        <v>3</v>
      </c>
      <c r="GM1136" s="91">
        <v>0</v>
      </c>
      <c r="GN1136" s="91">
        <v>1</v>
      </c>
      <c r="GO1136" s="91">
        <v>0</v>
      </c>
      <c r="GP1136" s="91">
        <v>0</v>
      </c>
      <c r="GQ1136" s="91">
        <v>0</v>
      </c>
    </row>
    <row r="1137" spans="2:199" ht="15.4" x14ac:dyDescent="0.45">
      <c r="B1137" s="135"/>
      <c r="C1137" s="42"/>
      <c r="D1137" s="137"/>
      <c r="E1137" s="47" t="s">
        <v>4</v>
      </c>
      <c r="F1137" s="89">
        <v>326</v>
      </c>
      <c r="G1137" s="89">
        <v>787</v>
      </c>
      <c r="H1137" s="89">
        <v>1623</v>
      </c>
      <c r="I1137" s="89">
        <v>2196</v>
      </c>
      <c r="J1137" s="89">
        <v>2188</v>
      </c>
      <c r="K1137" s="89">
        <v>1564</v>
      </c>
      <c r="L1137" s="89">
        <v>975</v>
      </c>
      <c r="M1137" s="89">
        <v>447</v>
      </c>
      <c r="N1137" s="89">
        <v>316</v>
      </c>
      <c r="O1137" s="89">
        <v>243</v>
      </c>
      <c r="P1137" s="89">
        <v>39</v>
      </c>
      <c r="Q1137" s="89">
        <v>29</v>
      </c>
      <c r="R1137" s="89">
        <v>15</v>
      </c>
      <c r="S1137" s="89">
        <v>11</v>
      </c>
      <c r="T1137" s="89">
        <v>8</v>
      </c>
      <c r="U1137" s="89">
        <v>3</v>
      </c>
      <c r="V1137" s="89">
        <v>2</v>
      </c>
      <c r="W1137" s="89">
        <v>0</v>
      </c>
      <c r="Z1137" s="137"/>
      <c r="AA1137" s="47" t="s">
        <v>4</v>
      </c>
      <c r="AB1137" s="89">
        <v>113</v>
      </c>
      <c r="AC1137" s="89">
        <v>301</v>
      </c>
      <c r="AD1137" s="89">
        <v>766</v>
      </c>
      <c r="AE1137" s="89">
        <v>1107</v>
      </c>
      <c r="AF1137" s="89">
        <v>1108</v>
      </c>
      <c r="AG1137" s="89">
        <v>741</v>
      </c>
      <c r="AH1137" s="89">
        <v>457</v>
      </c>
      <c r="AI1137" s="89">
        <v>195</v>
      </c>
      <c r="AJ1137" s="89">
        <v>144</v>
      </c>
      <c r="AK1137" s="89">
        <v>90</v>
      </c>
      <c r="AL1137" s="89">
        <v>26</v>
      </c>
      <c r="AM1137" s="89">
        <v>14</v>
      </c>
      <c r="AN1137" s="89">
        <v>9</v>
      </c>
      <c r="AO1137" s="89">
        <v>7</v>
      </c>
      <c r="AP1137" s="89">
        <v>5</v>
      </c>
      <c r="AQ1137" s="89">
        <v>2</v>
      </c>
      <c r="AR1137" s="89">
        <v>0</v>
      </c>
      <c r="AS1137" s="89">
        <v>0</v>
      </c>
      <c r="AV1137" s="137"/>
      <c r="AW1137" s="47" t="s">
        <v>4</v>
      </c>
      <c r="AX1137" s="89">
        <v>213</v>
      </c>
      <c r="AY1137" s="89">
        <v>486</v>
      </c>
      <c r="AZ1137" s="89">
        <v>857</v>
      </c>
      <c r="BA1137" s="89">
        <v>1089</v>
      </c>
      <c r="BB1137" s="89">
        <v>1080</v>
      </c>
      <c r="BC1137" s="89">
        <v>823</v>
      </c>
      <c r="BD1137" s="89">
        <v>518</v>
      </c>
      <c r="BE1137" s="89">
        <v>252</v>
      </c>
      <c r="BF1137" s="89">
        <v>172</v>
      </c>
      <c r="BG1137" s="89">
        <v>153</v>
      </c>
      <c r="BH1137" s="89">
        <v>13</v>
      </c>
      <c r="BI1137" s="89">
        <v>15</v>
      </c>
      <c r="BJ1137" s="89">
        <v>6</v>
      </c>
      <c r="BK1137" s="89">
        <v>4</v>
      </c>
      <c r="BL1137" s="89">
        <v>3</v>
      </c>
      <c r="BM1137" s="89">
        <v>1</v>
      </c>
      <c r="BN1137" s="89">
        <v>2</v>
      </c>
      <c r="BO1137" s="89">
        <v>0</v>
      </c>
      <c r="BQ1137" s="42"/>
      <c r="BR1137" s="137"/>
      <c r="BS1137" s="47" t="s">
        <v>4</v>
      </c>
      <c r="BT1137" s="91">
        <v>197</v>
      </c>
      <c r="BU1137" s="91">
        <v>429</v>
      </c>
      <c r="BV1137" s="91">
        <v>848</v>
      </c>
      <c r="BW1137" s="91">
        <v>1023</v>
      </c>
      <c r="BX1137" s="91">
        <v>958</v>
      </c>
      <c r="BY1137" s="91">
        <v>579</v>
      </c>
      <c r="BZ1137" s="91">
        <v>378</v>
      </c>
      <c r="CA1137" s="91">
        <v>166</v>
      </c>
      <c r="CB1137" s="91">
        <v>106</v>
      </c>
      <c r="CC1137" s="91">
        <v>71</v>
      </c>
      <c r="CD1137" s="91">
        <v>12</v>
      </c>
      <c r="CE1137" s="91">
        <v>7</v>
      </c>
      <c r="CF1137" s="91">
        <v>4</v>
      </c>
      <c r="CG1137" s="91">
        <v>5</v>
      </c>
      <c r="CH1137" s="91">
        <v>4</v>
      </c>
      <c r="CI1137" s="91">
        <v>2</v>
      </c>
      <c r="CJ1137" s="91">
        <v>0</v>
      </c>
      <c r="CK1137" s="91">
        <v>0</v>
      </c>
      <c r="CN1137" s="137"/>
      <c r="CO1137" s="47" t="s">
        <v>4</v>
      </c>
      <c r="CP1137" s="91">
        <v>129</v>
      </c>
      <c r="CQ1137" s="91">
        <v>358</v>
      </c>
      <c r="CR1137" s="91">
        <v>775</v>
      </c>
      <c r="CS1137" s="91">
        <v>1173</v>
      </c>
      <c r="CT1137" s="91">
        <v>1230</v>
      </c>
      <c r="CU1137" s="91">
        <v>985</v>
      </c>
      <c r="CV1137" s="91">
        <v>597</v>
      </c>
      <c r="CW1137" s="91">
        <v>281</v>
      </c>
      <c r="CX1137" s="91">
        <v>210</v>
      </c>
      <c r="CY1137" s="91">
        <v>172</v>
      </c>
      <c r="CZ1137" s="91">
        <v>27</v>
      </c>
      <c r="DA1137" s="91">
        <v>22</v>
      </c>
      <c r="DB1137" s="91">
        <v>11</v>
      </c>
      <c r="DC1137" s="91">
        <v>6</v>
      </c>
      <c r="DD1137" s="91">
        <v>4</v>
      </c>
      <c r="DE1137" s="91">
        <v>1</v>
      </c>
      <c r="DF1137" s="91">
        <v>2</v>
      </c>
      <c r="DG1137" s="91">
        <v>0</v>
      </c>
      <c r="DI1137" s="42"/>
      <c r="DJ1137" s="137"/>
      <c r="DK1137" s="47" t="s">
        <v>4</v>
      </c>
      <c r="DL1137" s="91">
        <v>155</v>
      </c>
      <c r="DM1137" s="91">
        <v>397</v>
      </c>
      <c r="DN1137" s="91">
        <v>803</v>
      </c>
      <c r="DO1137" s="91">
        <v>971</v>
      </c>
      <c r="DP1137" s="91">
        <v>934</v>
      </c>
      <c r="DQ1137" s="91">
        <v>649</v>
      </c>
      <c r="DR1137" s="91">
        <v>428</v>
      </c>
      <c r="DS1137" s="91">
        <v>161</v>
      </c>
      <c r="DT1137" s="91">
        <v>127</v>
      </c>
      <c r="DU1137" s="91">
        <v>96</v>
      </c>
      <c r="DV1137" s="91">
        <v>8</v>
      </c>
      <c r="DW1137" s="91">
        <v>9</v>
      </c>
      <c r="DX1137" s="91">
        <v>3</v>
      </c>
      <c r="DY1137" s="91">
        <v>2</v>
      </c>
      <c r="DZ1137" s="91">
        <v>1</v>
      </c>
      <c r="EA1137" s="91">
        <v>0</v>
      </c>
      <c r="EB1137" s="91">
        <v>0</v>
      </c>
      <c r="EC1137" s="91">
        <v>0</v>
      </c>
      <c r="EF1137" s="137"/>
      <c r="EG1137" s="47" t="s">
        <v>4</v>
      </c>
      <c r="EH1137" s="91">
        <v>171</v>
      </c>
      <c r="EI1137" s="91">
        <v>390</v>
      </c>
      <c r="EJ1137" s="91">
        <v>820</v>
      </c>
      <c r="EK1137" s="91">
        <v>1225</v>
      </c>
      <c r="EL1137" s="91">
        <v>1254</v>
      </c>
      <c r="EM1137" s="91">
        <v>915</v>
      </c>
      <c r="EN1137" s="91">
        <v>547</v>
      </c>
      <c r="EO1137" s="91">
        <v>286</v>
      </c>
      <c r="EP1137" s="91">
        <v>189</v>
      </c>
      <c r="EQ1137" s="91">
        <v>147</v>
      </c>
      <c r="ER1137" s="91">
        <v>31</v>
      </c>
      <c r="ES1137" s="91">
        <v>20</v>
      </c>
      <c r="ET1137" s="91">
        <v>12</v>
      </c>
      <c r="EU1137" s="91">
        <v>9</v>
      </c>
      <c r="EV1137" s="91">
        <v>7</v>
      </c>
      <c r="EW1137" s="91">
        <v>3</v>
      </c>
      <c r="EX1137" s="91">
        <v>2</v>
      </c>
      <c r="EY1137" s="91">
        <v>0</v>
      </c>
      <c r="FB1137" s="137"/>
      <c r="FC1137" s="47" t="s">
        <v>4</v>
      </c>
      <c r="FD1137" s="91">
        <v>60</v>
      </c>
      <c r="FE1137" s="91">
        <v>102</v>
      </c>
      <c r="FF1137" s="91">
        <v>245</v>
      </c>
      <c r="FG1137" s="91">
        <v>358</v>
      </c>
      <c r="FH1137" s="91">
        <v>366</v>
      </c>
      <c r="FI1137" s="91">
        <v>320</v>
      </c>
      <c r="FJ1137" s="91">
        <v>237</v>
      </c>
      <c r="FK1137" s="91">
        <v>145</v>
      </c>
      <c r="FL1137" s="91">
        <v>109</v>
      </c>
      <c r="FM1137" s="91">
        <v>103</v>
      </c>
      <c r="FN1137" s="91">
        <v>30</v>
      </c>
      <c r="FO1137" s="91">
        <v>17</v>
      </c>
      <c r="FP1137" s="91">
        <v>12</v>
      </c>
      <c r="FQ1137" s="91">
        <v>9</v>
      </c>
      <c r="FR1137" s="91">
        <v>6</v>
      </c>
      <c r="FS1137" s="91">
        <v>3</v>
      </c>
      <c r="FT1137" s="91">
        <v>2</v>
      </c>
      <c r="FU1137" s="91">
        <v>0</v>
      </c>
      <c r="FX1137" s="137"/>
      <c r="FY1137" s="47" t="s">
        <v>4</v>
      </c>
      <c r="FZ1137" s="91">
        <v>266</v>
      </c>
      <c r="GA1137" s="91">
        <v>685</v>
      </c>
      <c r="GB1137" s="91">
        <v>1378</v>
      </c>
      <c r="GC1137" s="91">
        <v>1838</v>
      </c>
      <c r="GD1137" s="91">
        <v>1822</v>
      </c>
      <c r="GE1137" s="91">
        <v>1244</v>
      </c>
      <c r="GF1137" s="91">
        <v>738</v>
      </c>
      <c r="GG1137" s="91">
        <v>302</v>
      </c>
      <c r="GH1137" s="91">
        <v>207</v>
      </c>
      <c r="GI1137" s="91">
        <v>140</v>
      </c>
      <c r="GJ1137" s="91">
        <v>9</v>
      </c>
      <c r="GK1137" s="91">
        <v>12</v>
      </c>
      <c r="GL1137" s="91">
        <v>3</v>
      </c>
      <c r="GM1137" s="91">
        <v>2</v>
      </c>
      <c r="GN1137" s="91">
        <v>2</v>
      </c>
      <c r="GO1137" s="91">
        <v>0</v>
      </c>
      <c r="GP1137" s="91">
        <v>0</v>
      </c>
      <c r="GQ1137" s="91">
        <v>0</v>
      </c>
    </row>
    <row r="1138" spans="2:199" ht="15.4" x14ac:dyDescent="0.45">
      <c r="B1138" s="135"/>
      <c r="C1138" s="42"/>
      <c r="D1138" s="137"/>
      <c r="E1138" s="47" t="s">
        <v>5</v>
      </c>
      <c r="F1138" s="89">
        <v>479</v>
      </c>
      <c r="G1138" s="89">
        <v>931</v>
      </c>
      <c r="H1138" s="89">
        <v>1990</v>
      </c>
      <c r="I1138" s="89">
        <v>3290</v>
      </c>
      <c r="J1138" s="89">
        <v>3895</v>
      </c>
      <c r="K1138" s="89">
        <v>3355</v>
      </c>
      <c r="L1138" s="89">
        <v>2424</v>
      </c>
      <c r="M1138" s="89">
        <v>1228</v>
      </c>
      <c r="N1138" s="89">
        <v>793</v>
      </c>
      <c r="O1138" s="89">
        <v>624</v>
      </c>
      <c r="P1138" s="89">
        <v>107</v>
      </c>
      <c r="Q1138" s="89">
        <v>81</v>
      </c>
      <c r="R1138" s="89">
        <v>56</v>
      </c>
      <c r="S1138" s="89">
        <v>31</v>
      </c>
      <c r="T1138" s="89">
        <v>16</v>
      </c>
      <c r="U1138" s="89">
        <v>9</v>
      </c>
      <c r="V1138" s="89">
        <v>1</v>
      </c>
      <c r="W1138" s="89">
        <v>6</v>
      </c>
      <c r="Z1138" s="137"/>
      <c r="AA1138" s="47" t="s">
        <v>5</v>
      </c>
      <c r="AB1138" s="89">
        <v>196</v>
      </c>
      <c r="AC1138" s="89">
        <v>337</v>
      </c>
      <c r="AD1138" s="89">
        <v>922</v>
      </c>
      <c r="AE1138" s="89">
        <v>1702</v>
      </c>
      <c r="AF1138" s="89">
        <v>2046</v>
      </c>
      <c r="AG1138" s="89">
        <v>1774</v>
      </c>
      <c r="AH1138" s="89">
        <v>1210</v>
      </c>
      <c r="AI1138" s="89">
        <v>590</v>
      </c>
      <c r="AJ1138" s="89">
        <v>410</v>
      </c>
      <c r="AK1138" s="89">
        <v>296</v>
      </c>
      <c r="AL1138" s="89">
        <v>46</v>
      </c>
      <c r="AM1138" s="89">
        <v>45</v>
      </c>
      <c r="AN1138" s="89">
        <v>29</v>
      </c>
      <c r="AO1138" s="89">
        <v>14</v>
      </c>
      <c r="AP1138" s="89">
        <v>6</v>
      </c>
      <c r="AQ1138" s="89">
        <v>1</v>
      </c>
      <c r="AR1138" s="89">
        <v>0</v>
      </c>
      <c r="AS1138" s="89">
        <v>3</v>
      </c>
      <c r="AV1138" s="137"/>
      <c r="AW1138" s="47" t="s">
        <v>5</v>
      </c>
      <c r="AX1138" s="89">
        <v>283</v>
      </c>
      <c r="AY1138" s="89">
        <v>594</v>
      </c>
      <c r="AZ1138" s="89">
        <v>1068</v>
      </c>
      <c r="BA1138" s="89">
        <v>1588</v>
      </c>
      <c r="BB1138" s="89">
        <v>1849</v>
      </c>
      <c r="BC1138" s="89">
        <v>1581</v>
      </c>
      <c r="BD1138" s="89">
        <v>1214</v>
      </c>
      <c r="BE1138" s="89">
        <v>638</v>
      </c>
      <c r="BF1138" s="89">
        <v>383</v>
      </c>
      <c r="BG1138" s="89">
        <v>328</v>
      </c>
      <c r="BH1138" s="89">
        <v>61</v>
      </c>
      <c r="BI1138" s="89">
        <v>36</v>
      </c>
      <c r="BJ1138" s="89">
        <v>27</v>
      </c>
      <c r="BK1138" s="89">
        <v>17</v>
      </c>
      <c r="BL1138" s="89">
        <v>10</v>
      </c>
      <c r="BM1138" s="89">
        <v>8</v>
      </c>
      <c r="BN1138" s="89">
        <v>1</v>
      </c>
      <c r="BO1138" s="89">
        <v>3</v>
      </c>
      <c r="BQ1138" s="42"/>
      <c r="BR1138" s="137"/>
      <c r="BS1138" s="47" t="s">
        <v>5</v>
      </c>
      <c r="BT1138" s="91">
        <v>263</v>
      </c>
      <c r="BU1138" s="91">
        <v>535</v>
      </c>
      <c r="BV1138" s="91">
        <v>1004</v>
      </c>
      <c r="BW1138" s="91">
        <v>1517</v>
      </c>
      <c r="BX1138" s="91">
        <v>1594</v>
      </c>
      <c r="BY1138" s="91">
        <v>1179</v>
      </c>
      <c r="BZ1138" s="91">
        <v>752</v>
      </c>
      <c r="CA1138" s="91">
        <v>369</v>
      </c>
      <c r="CB1138" s="91">
        <v>224</v>
      </c>
      <c r="CC1138" s="91">
        <v>146</v>
      </c>
      <c r="CD1138" s="91">
        <v>30</v>
      </c>
      <c r="CE1138" s="91">
        <v>25</v>
      </c>
      <c r="CF1138" s="91">
        <v>16</v>
      </c>
      <c r="CG1138" s="91">
        <v>9</v>
      </c>
      <c r="CH1138" s="91">
        <v>4</v>
      </c>
      <c r="CI1138" s="91">
        <v>4</v>
      </c>
      <c r="CJ1138" s="91">
        <v>0</v>
      </c>
      <c r="CK1138" s="91">
        <v>2</v>
      </c>
      <c r="CN1138" s="137"/>
      <c r="CO1138" s="47" t="s">
        <v>5</v>
      </c>
      <c r="CP1138" s="91">
        <v>216</v>
      </c>
      <c r="CQ1138" s="91">
        <v>396</v>
      </c>
      <c r="CR1138" s="91">
        <v>986</v>
      </c>
      <c r="CS1138" s="91">
        <v>1773</v>
      </c>
      <c r="CT1138" s="91">
        <v>2301</v>
      </c>
      <c r="CU1138" s="91">
        <v>2176</v>
      </c>
      <c r="CV1138" s="91">
        <v>1672</v>
      </c>
      <c r="CW1138" s="91">
        <v>859</v>
      </c>
      <c r="CX1138" s="91">
        <v>569</v>
      </c>
      <c r="CY1138" s="91">
        <v>478</v>
      </c>
      <c r="CZ1138" s="91">
        <v>77</v>
      </c>
      <c r="DA1138" s="91">
        <v>56</v>
      </c>
      <c r="DB1138" s="91">
        <v>40</v>
      </c>
      <c r="DC1138" s="91">
        <v>22</v>
      </c>
      <c r="DD1138" s="91">
        <v>12</v>
      </c>
      <c r="DE1138" s="91">
        <v>5</v>
      </c>
      <c r="DF1138" s="91">
        <v>1</v>
      </c>
      <c r="DG1138" s="91">
        <v>4</v>
      </c>
      <c r="DI1138" s="42"/>
      <c r="DJ1138" s="137"/>
      <c r="DK1138" s="47" t="s">
        <v>5</v>
      </c>
      <c r="DL1138" s="91">
        <v>169</v>
      </c>
      <c r="DM1138" s="91">
        <v>395</v>
      </c>
      <c r="DN1138" s="91">
        <v>788</v>
      </c>
      <c r="DO1138" s="91">
        <v>1112</v>
      </c>
      <c r="DP1138" s="91">
        <v>1174</v>
      </c>
      <c r="DQ1138" s="91">
        <v>951</v>
      </c>
      <c r="DR1138" s="91">
        <v>659</v>
      </c>
      <c r="DS1138" s="91">
        <v>335</v>
      </c>
      <c r="DT1138" s="91">
        <v>194</v>
      </c>
      <c r="DU1138" s="91">
        <v>173</v>
      </c>
      <c r="DV1138" s="91">
        <v>24</v>
      </c>
      <c r="DW1138" s="91">
        <v>16</v>
      </c>
      <c r="DX1138" s="91">
        <v>9</v>
      </c>
      <c r="DY1138" s="91">
        <v>8</v>
      </c>
      <c r="DZ1138" s="91">
        <v>4</v>
      </c>
      <c r="EA1138" s="91">
        <v>1</v>
      </c>
      <c r="EB1138" s="91">
        <v>0</v>
      </c>
      <c r="EC1138" s="91">
        <v>0</v>
      </c>
      <c r="EF1138" s="137"/>
      <c r="EG1138" s="47" t="s">
        <v>5</v>
      </c>
      <c r="EH1138" s="91">
        <v>310</v>
      </c>
      <c r="EI1138" s="91">
        <v>536</v>
      </c>
      <c r="EJ1138" s="91">
        <v>1202</v>
      </c>
      <c r="EK1138" s="91">
        <v>2178</v>
      </c>
      <c r="EL1138" s="91">
        <v>2721</v>
      </c>
      <c r="EM1138" s="91">
        <v>2404</v>
      </c>
      <c r="EN1138" s="91">
        <v>1765</v>
      </c>
      <c r="EO1138" s="91">
        <v>893</v>
      </c>
      <c r="EP1138" s="91">
        <v>599</v>
      </c>
      <c r="EQ1138" s="91">
        <v>451</v>
      </c>
      <c r="ER1138" s="91">
        <v>83</v>
      </c>
      <c r="ES1138" s="91">
        <v>65</v>
      </c>
      <c r="ET1138" s="91">
        <v>47</v>
      </c>
      <c r="EU1138" s="91">
        <v>23</v>
      </c>
      <c r="EV1138" s="91">
        <v>12</v>
      </c>
      <c r="EW1138" s="91">
        <v>8</v>
      </c>
      <c r="EX1138" s="91">
        <v>1</v>
      </c>
      <c r="EY1138" s="91">
        <v>6</v>
      </c>
      <c r="FB1138" s="137"/>
      <c r="FC1138" s="47" t="s">
        <v>5</v>
      </c>
      <c r="FD1138" s="91">
        <v>96</v>
      </c>
      <c r="FE1138" s="91">
        <v>102</v>
      </c>
      <c r="FF1138" s="91">
        <v>263</v>
      </c>
      <c r="FG1138" s="91">
        <v>436</v>
      </c>
      <c r="FH1138" s="91">
        <v>565</v>
      </c>
      <c r="FI1138" s="91">
        <v>521</v>
      </c>
      <c r="FJ1138" s="91">
        <v>473</v>
      </c>
      <c r="FK1138" s="91">
        <v>282</v>
      </c>
      <c r="FL1138" s="91">
        <v>216</v>
      </c>
      <c r="FM1138" s="91">
        <v>188</v>
      </c>
      <c r="FN1138" s="91">
        <v>43</v>
      </c>
      <c r="FO1138" s="91">
        <v>40</v>
      </c>
      <c r="FP1138" s="91">
        <v>32</v>
      </c>
      <c r="FQ1138" s="91">
        <v>19</v>
      </c>
      <c r="FR1138" s="91">
        <v>9</v>
      </c>
      <c r="FS1138" s="91">
        <v>6</v>
      </c>
      <c r="FT1138" s="91">
        <v>1</v>
      </c>
      <c r="FU1138" s="91">
        <v>6</v>
      </c>
      <c r="FX1138" s="137"/>
      <c r="FY1138" s="47" t="s">
        <v>5</v>
      </c>
      <c r="FZ1138" s="91">
        <v>383</v>
      </c>
      <c r="GA1138" s="91">
        <v>829</v>
      </c>
      <c r="GB1138" s="91">
        <v>1727</v>
      </c>
      <c r="GC1138" s="91">
        <v>2854</v>
      </c>
      <c r="GD1138" s="91">
        <v>3330</v>
      </c>
      <c r="GE1138" s="91">
        <v>2834</v>
      </c>
      <c r="GF1138" s="91">
        <v>1951</v>
      </c>
      <c r="GG1138" s="91">
        <v>946</v>
      </c>
      <c r="GH1138" s="91">
        <v>577</v>
      </c>
      <c r="GI1138" s="91">
        <v>436</v>
      </c>
      <c r="GJ1138" s="91">
        <v>64</v>
      </c>
      <c r="GK1138" s="91">
        <v>41</v>
      </c>
      <c r="GL1138" s="91">
        <v>24</v>
      </c>
      <c r="GM1138" s="91">
        <v>12</v>
      </c>
      <c r="GN1138" s="91">
        <v>7</v>
      </c>
      <c r="GO1138" s="91">
        <v>3</v>
      </c>
      <c r="GP1138" s="91">
        <v>0</v>
      </c>
      <c r="GQ1138" s="91">
        <v>0</v>
      </c>
    </row>
    <row r="1139" spans="2:199" ht="15.4" x14ac:dyDescent="0.45">
      <c r="B1139" s="135"/>
      <c r="C1139" s="42"/>
      <c r="D1139" s="137"/>
      <c r="E1139" s="47" t="s">
        <v>6</v>
      </c>
      <c r="F1139" s="89">
        <v>854</v>
      </c>
      <c r="G1139" s="89">
        <v>1127</v>
      </c>
      <c r="H1139" s="89">
        <v>2461</v>
      </c>
      <c r="I1139" s="89">
        <v>4603</v>
      </c>
      <c r="J1139" s="89">
        <v>6843</v>
      </c>
      <c r="K1139" s="89">
        <v>7277</v>
      </c>
      <c r="L1139" s="89">
        <v>6466</v>
      </c>
      <c r="M1139" s="89">
        <v>3965</v>
      </c>
      <c r="N1139" s="89">
        <v>2853</v>
      </c>
      <c r="O1139" s="89">
        <v>2248</v>
      </c>
      <c r="P1139" s="89">
        <v>517</v>
      </c>
      <c r="Q1139" s="89">
        <v>354</v>
      </c>
      <c r="R1139" s="89">
        <v>180</v>
      </c>
      <c r="S1139" s="89">
        <v>104</v>
      </c>
      <c r="T1139" s="89">
        <v>43</v>
      </c>
      <c r="U1139" s="89">
        <v>27</v>
      </c>
      <c r="V1139" s="89">
        <v>20</v>
      </c>
      <c r="W1139" s="89">
        <v>6</v>
      </c>
      <c r="Z1139" s="137"/>
      <c r="AA1139" s="47" t="s">
        <v>6</v>
      </c>
      <c r="AB1139" s="89">
        <v>359</v>
      </c>
      <c r="AC1139" s="89">
        <v>393</v>
      </c>
      <c r="AD1139" s="89">
        <v>1027</v>
      </c>
      <c r="AE1139" s="89">
        <v>2200</v>
      </c>
      <c r="AF1139" s="89">
        <v>3446</v>
      </c>
      <c r="AG1139" s="89">
        <v>3748</v>
      </c>
      <c r="AH1139" s="89">
        <v>3372</v>
      </c>
      <c r="AI1139" s="89">
        <v>2114</v>
      </c>
      <c r="AJ1139" s="89">
        <v>1522</v>
      </c>
      <c r="AK1139" s="89">
        <v>1157</v>
      </c>
      <c r="AL1139" s="89">
        <v>282</v>
      </c>
      <c r="AM1139" s="89">
        <v>191</v>
      </c>
      <c r="AN1139" s="89">
        <v>99</v>
      </c>
      <c r="AO1139" s="89">
        <v>54</v>
      </c>
      <c r="AP1139" s="89">
        <v>21</v>
      </c>
      <c r="AQ1139" s="89">
        <v>16</v>
      </c>
      <c r="AR1139" s="89">
        <v>8</v>
      </c>
      <c r="AS1139" s="89">
        <v>4</v>
      </c>
      <c r="AV1139" s="137"/>
      <c r="AW1139" s="47" t="s">
        <v>6</v>
      </c>
      <c r="AX1139" s="89">
        <v>495</v>
      </c>
      <c r="AY1139" s="89">
        <v>734</v>
      </c>
      <c r="AZ1139" s="89">
        <v>1434</v>
      </c>
      <c r="BA1139" s="89">
        <v>2403</v>
      </c>
      <c r="BB1139" s="89">
        <v>3397</v>
      </c>
      <c r="BC1139" s="89">
        <v>3529</v>
      </c>
      <c r="BD1139" s="89">
        <v>3094</v>
      </c>
      <c r="BE1139" s="89">
        <v>1851</v>
      </c>
      <c r="BF1139" s="89">
        <v>1331</v>
      </c>
      <c r="BG1139" s="89">
        <v>1091</v>
      </c>
      <c r="BH1139" s="89">
        <v>235</v>
      </c>
      <c r="BI1139" s="89">
        <v>163</v>
      </c>
      <c r="BJ1139" s="89">
        <v>81</v>
      </c>
      <c r="BK1139" s="89">
        <v>50</v>
      </c>
      <c r="BL1139" s="89">
        <v>22</v>
      </c>
      <c r="BM1139" s="89">
        <v>11</v>
      </c>
      <c r="BN1139" s="89">
        <v>12</v>
      </c>
      <c r="BO1139" s="89">
        <v>2</v>
      </c>
      <c r="BQ1139" s="42"/>
      <c r="BR1139" s="137"/>
      <c r="BS1139" s="47" t="s">
        <v>6</v>
      </c>
      <c r="BT1139" s="91">
        <v>437</v>
      </c>
      <c r="BU1139" s="91">
        <v>620</v>
      </c>
      <c r="BV1139" s="91">
        <v>1288</v>
      </c>
      <c r="BW1139" s="91">
        <v>2135</v>
      </c>
      <c r="BX1139" s="91">
        <v>2725</v>
      </c>
      <c r="BY1139" s="91">
        <v>2588</v>
      </c>
      <c r="BZ1139" s="91">
        <v>2032</v>
      </c>
      <c r="CA1139" s="91">
        <v>1160</v>
      </c>
      <c r="CB1139" s="91">
        <v>770</v>
      </c>
      <c r="CC1139" s="91">
        <v>548</v>
      </c>
      <c r="CD1139" s="91">
        <v>136</v>
      </c>
      <c r="CE1139" s="91">
        <v>100</v>
      </c>
      <c r="CF1139" s="91">
        <v>41</v>
      </c>
      <c r="CG1139" s="91">
        <v>26</v>
      </c>
      <c r="CH1139" s="91">
        <v>8</v>
      </c>
      <c r="CI1139" s="91">
        <v>6</v>
      </c>
      <c r="CJ1139" s="91">
        <v>8</v>
      </c>
      <c r="CK1139" s="91">
        <v>2</v>
      </c>
      <c r="CN1139" s="137"/>
      <c r="CO1139" s="47" t="s">
        <v>6</v>
      </c>
      <c r="CP1139" s="91">
        <v>417</v>
      </c>
      <c r="CQ1139" s="91">
        <v>507</v>
      </c>
      <c r="CR1139" s="91">
        <v>1173</v>
      </c>
      <c r="CS1139" s="91">
        <v>2468</v>
      </c>
      <c r="CT1139" s="91">
        <v>4118</v>
      </c>
      <c r="CU1139" s="91">
        <v>4689</v>
      </c>
      <c r="CV1139" s="91">
        <v>4434</v>
      </c>
      <c r="CW1139" s="91">
        <v>2805</v>
      </c>
      <c r="CX1139" s="91">
        <v>2083</v>
      </c>
      <c r="CY1139" s="91">
        <v>1700</v>
      </c>
      <c r="CZ1139" s="91">
        <v>381</v>
      </c>
      <c r="DA1139" s="91">
        <v>254</v>
      </c>
      <c r="DB1139" s="91">
        <v>139</v>
      </c>
      <c r="DC1139" s="91">
        <v>78</v>
      </c>
      <c r="DD1139" s="91">
        <v>35</v>
      </c>
      <c r="DE1139" s="91">
        <v>21</v>
      </c>
      <c r="DF1139" s="91">
        <v>12</v>
      </c>
      <c r="DG1139" s="91">
        <v>4</v>
      </c>
      <c r="DI1139" s="42"/>
      <c r="DJ1139" s="137"/>
      <c r="DK1139" s="47" t="s">
        <v>6</v>
      </c>
      <c r="DL1139" s="91">
        <v>198</v>
      </c>
      <c r="DM1139" s="91">
        <v>390</v>
      </c>
      <c r="DN1139" s="91">
        <v>755</v>
      </c>
      <c r="DO1139" s="91">
        <v>1163</v>
      </c>
      <c r="DP1139" s="91">
        <v>1371</v>
      </c>
      <c r="DQ1139" s="91">
        <v>1366</v>
      </c>
      <c r="DR1139" s="91">
        <v>1101</v>
      </c>
      <c r="DS1139" s="91">
        <v>666</v>
      </c>
      <c r="DT1139" s="91">
        <v>458</v>
      </c>
      <c r="DU1139" s="91">
        <v>408</v>
      </c>
      <c r="DV1139" s="91">
        <v>71</v>
      </c>
      <c r="DW1139" s="91">
        <v>45</v>
      </c>
      <c r="DX1139" s="91">
        <v>20</v>
      </c>
      <c r="DY1139" s="91">
        <v>16</v>
      </c>
      <c r="DZ1139" s="91">
        <v>7</v>
      </c>
      <c r="EA1139" s="91">
        <v>4</v>
      </c>
      <c r="EB1139" s="91">
        <v>3</v>
      </c>
      <c r="EC1139" s="91">
        <v>0</v>
      </c>
      <c r="EF1139" s="137"/>
      <c r="EG1139" s="47" t="s">
        <v>6</v>
      </c>
      <c r="EH1139" s="91">
        <v>656</v>
      </c>
      <c r="EI1139" s="91">
        <v>737</v>
      </c>
      <c r="EJ1139" s="91">
        <v>1706</v>
      </c>
      <c r="EK1139" s="91">
        <v>3440</v>
      </c>
      <c r="EL1139" s="91">
        <v>5472</v>
      </c>
      <c r="EM1139" s="91">
        <v>5911</v>
      </c>
      <c r="EN1139" s="91">
        <v>5365</v>
      </c>
      <c r="EO1139" s="91">
        <v>3299</v>
      </c>
      <c r="EP1139" s="91">
        <v>2395</v>
      </c>
      <c r="EQ1139" s="91">
        <v>1840</v>
      </c>
      <c r="ER1139" s="91">
        <v>446</v>
      </c>
      <c r="ES1139" s="91">
        <v>309</v>
      </c>
      <c r="ET1139" s="91">
        <v>160</v>
      </c>
      <c r="EU1139" s="91">
        <v>88</v>
      </c>
      <c r="EV1139" s="91">
        <v>36</v>
      </c>
      <c r="EW1139" s="91">
        <v>23</v>
      </c>
      <c r="EX1139" s="91">
        <v>17</v>
      </c>
      <c r="EY1139" s="91">
        <v>6</v>
      </c>
      <c r="FB1139" s="137"/>
      <c r="FC1139" s="47" t="s">
        <v>6</v>
      </c>
      <c r="FD1139" s="91">
        <v>139</v>
      </c>
      <c r="FE1139" s="91">
        <v>133</v>
      </c>
      <c r="FF1139" s="91">
        <v>292</v>
      </c>
      <c r="FG1139" s="91">
        <v>530</v>
      </c>
      <c r="FH1139" s="91">
        <v>848</v>
      </c>
      <c r="FI1139" s="91">
        <v>1039</v>
      </c>
      <c r="FJ1139" s="91">
        <v>979</v>
      </c>
      <c r="FK1139" s="91">
        <v>723</v>
      </c>
      <c r="FL1139" s="91">
        <v>600</v>
      </c>
      <c r="FM1139" s="91">
        <v>559</v>
      </c>
      <c r="FN1139" s="91">
        <v>190</v>
      </c>
      <c r="FO1139" s="91">
        <v>158</v>
      </c>
      <c r="FP1139" s="91">
        <v>84</v>
      </c>
      <c r="FQ1139" s="91">
        <v>56</v>
      </c>
      <c r="FR1139" s="91">
        <v>18</v>
      </c>
      <c r="FS1139" s="91">
        <v>12</v>
      </c>
      <c r="FT1139" s="91">
        <v>8</v>
      </c>
      <c r="FU1139" s="91">
        <v>5</v>
      </c>
      <c r="FX1139" s="137"/>
      <c r="FY1139" s="47" t="s">
        <v>6</v>
      </c>
      <c r="FZ1139" s="91">
        <v>715</v>
      </c>
      <c r="GA1139" s="91">
        <v>994</v>
      </c>
      <c r="GB1139" s="91">
        <v>2169</v>
      </c>
      <c r="GC1139" s="91">
        <v>4073</v>
      </c>
      <c r="GD1139" s="91">
        <v>5995</v>
      </c>
      <c r="GE1139" s="91">
        <v>6238</v>
      </c>
      <c r="GF1139" s="91">
        <v>5487</v>
      </c>
      <c r="GG1139" s="91">
        <v>3242</v>
      </c>
      <c r="GH1139" s="91">
        <v>2253</v>
      </c>
      <c r="GI1139" s="91">
        <v>1689</v>
      </c>
      <c r="GJ1139" s="91">
        <v>327</v>
      </c>
      <c r="GK1139" s="91">
        <v>196</v>
      </c>
      <c r="GL1139" s="91">
        <v>96</v>
      </c>
      <c r="GM1139" s="91">
        <v>48</v>
      </c>
      <c r="GN1139" s="91">
        <v>25</v>
      </c>
      <c r="GO1139" s="91">
        <v>15</v>
      </c>
      <c r="GP1139" s="91">
        <v>12</v>
      </c>
      <c r="GQ1139" s="91">
        <v>1</v>
      </c>
    </row>
    <row r="1140" spans="2:199" ht="15.4" x14ac:dyDescent="0.45">
      <c r="B1140" s="135"/>
      <c r="C1140" s="42"/>
      <c r="D1140" s="137"/>
      <c r="E1140" s="47" t="s">
        <v>7</v>
      </c>
      <c r="F1140" s="89">
        <v>1365</v>
      </c>
      <c r="G1140" s="89">
        <v>1111</v>
      </c>
      <c r="H1140" s="89">
        <v>2282</v>
      </c>
      <c r="I1140" s="89">
        <v>4702</v>
      </c>
      <c r="J1140" s="89">
        <v>7939</v>
      </c>
      <c r="K1140" s="89">
        <v>10863</v>
      </c>
      <c r="L1140" s="89">
        <v>12183</v>
      </c>
      <c r="M1140" s="89">
        <v>9785</v>
      </c>
      <c r="N1140" s="89">
        <v>8121</v>
      </c>
      <c r="O1140" s="89">
        <v>7138</v>
      </c>
      <c r="P1140" s="89">
        <v>2062</v>
      </c>
      <c r="Q1140" s="89">
        <v>1410</v>
      </c>
      <c r="R1140" s="89">
        <v>839</v>
      </c>
      <c r="S1140" s="89">
        <v>478</v>
      </c>
      <c r="T1140" s="89">
        <v>261</v>
      </c>
      <c r="U1140" s="89">
        <v>112</v>
      </c>
      <c r="V1140" s="89">
        <v>58</v>
      </c>
      <c r="W1140" s="89">
        <v>38</v>
      </c>
      <c r="Z1140" s="137"/>
      <c r="AA1140" s="47" t="s">
        <v>7</v>
      </c>
      <c r="AB1140" s="89">
        <v>613</v>
      </c>
      <c r="AC1140" s="89">
        <v>371</v>
      </c>
      <c r="AD1140" s="89">
        <v>905</v>
      </c>
      <c r="AE1140" s="89">
        <v>2056</v>
      </c>
      <c r="AF1140" s="89">
        <v>3882</v>
      </c>
      <c r="AG1140" s="89">
        <v>5451</v>
      </c>
      <c r="AH1140" s="89">
        <v>6252</v>
      </c>
      <c r="AI1140" s="89">
        <v>5097</v>
      </c>
      <c r="AJ1140" s="89">
        <v>4311</v>
      </c>
      <c r="AK1140" s="89">
        <v>3793</v>
      </c>
      <c r="AL1140" s="89">
        <v>1140</v>
      </c>
      <c r="AM1140" s="89">
        <v>799</v>
      </c>
      <c r="AN1140" s="89">
        <v>470</v>
      </c>
      <c r="AO1140" s="89">
        <v>241</v>
      </c>
      <c r="AP1140" s="89">
        <v>132</v>
      </c>
      <c r="AQ1140" s="89">
        <v>55</v>
      </c>
      <c r="AR1140" s="89">
        <v>21</v>
      </c>
      <c r="AS1140" s="89">
        <v>14</v>
      </c>
      <c r="AV1140" s="137"/>
      <c r="AW1140" s="47" t="s">
        <v>7</v>
      </c>
      <c r="AX1140" s="89">
        <v>752</v>
      </c>
      <c r="AY1140" s="89">
        <v>740</v>
      </c>
      <c r="AZ1140" s="89">
        <v>1377</v>
      </c>
      <c r="BA1140" s="89">
        <v>2646</v>
      </c>
      <c r="BB1140" s="89">
        <v>4057</v>
      </c>
      <c r="BC1140" s="89">
        <v>5412</v>
      </c>
      <c r="BD1140" s="89">
        <v>5931</v>
      </c>
      <c r="BE1140" s="89">
        <v>4688</v>
      </c>
      <c r="BF1140" s="89">
        <v>3810</v>
      </c>
      <c r="BG1140" s="89">
        <v>3345</v>
      </c>
      <c r="BH1140" s="89">
        <v>922</v>
      </c>
      <c r="BI1140" s="89">
        <v>611</v>
      </c>
      <c r="BJ1140" s="89">
        <v>369</v>
      </c>
      <c r="BK1140" s="89">
        <v>237</v>
      </c>
      <c r="BL1140" s="89">
        <v>129</v>
      </c>
      <c r="BM1140" s="89">
        <v>57</v>
      </c>
      <c r="BN1140" s="89">
        <v>37</v>
      </c>
      <c r="BO1140" s="89">
        <v>24</v>
      </c>
      <c r="BQ1140" s="42"/>
      <c r="BR1140" s="137"/>
      <c r="BS1140" s="47" t="s">
        <v>7</v>
      </c>
      <c r="BT1140" s="91">
        <v>596</v>
      </c>
      <c r="BU1140" s="91">
        <v>612</v>
      </c>
      <c r="BV1140" s="91">
        <v>1200</v>
      </c>
      <c r="BW1140" s="91">
        <v>2208</v>
      </c>
      <c r="BX1140" s="91">
        <v>3247</v>
      </c>
      <c r="BY1140" s="91">
        <v>3904</v>
      </c>
      <c r="BZ1140" s="91">
        <v>3700</v>
      </c>
      <c r="CA1140" s="91">
        <v>2705</v>
      </c>
      <c r="CB1140" s="91">
        <v>2132</v>
      </c>
      <c r="CC1140" s="91">
        <v>1652</v>
      </c>
      <c r="CD1140" s="91">
        <v>462</v>
      </c>
      <c r="CE1140" s="91">
        <v>315</v>
      </c>
      <c r="CF1140" s="91">
        <v>195</v>
      </c>
      <c r="CG1140" s="91">
        <v>112</v>
      </c>
      <c r="CH1140" s="91">
        <v>53</v>
      </c>
      <c r="CI1140" s="91">
        <v>27</v>
      </c>
      <c r="CJ1140" s="91">
        <v>9</v>
      </c>
      <c r="CK1140" s="91">
        <v>5</v>
      </c>
      <c r="CN1140" s="137"/>
      <c r="CO1140" s="47" t="s">
        <v>7</v>
      </c>
      <c r="CP1140" s="91">
        <v>769</v>
      </c>
      <c r="CQ1140" s="91">
        <v>499</v>
      </c>
      <c r="CR1140" s="91">
        <v>1082</v>
      </c>
      <c r="CS1140" s="91">
        <v>2494</v>
      </c>
      <c r="CT1140" s="91">
        <v>4692</v>
      </c>
      <c r="CU1140" s="91">
        <v>6959</v>
      </c>
      <c r="CV1140" s="91">
        <v>8483</v>
      </c>
      <c r="CW1140" s="91">
        <v>7080</v>
      </c>
      <c r="CX1140" s="91">
        <v>5989</v>
      </c>
      <c r="CY1140" s="91">
        <v>5486</v>
      </c>
      <c r="CZ1140" s="91">
        <v>1600</v>
      </c>
      <c r="DA1140" s="91">
        <v>1095</v>
      </c>
      <c r="DB1140" s="91">
        <v>644</v>
      </c>
      <c r="DC1140" s="91">
        <v>366</v>
      </c>
      <c r="DD1140" s="91">
        <v>208</v>
      </c>
      <c r="DE1140" s="91">
        <v>85</v>
      </c>
      <c r="DF1140" s="91">
        <v>49</v>
      </c>
      <c r="DG1140" s="91">
        <v>33</v>
      </c>
      <c r="DI1140" s="42"/>
      <c r="DJ1140" s="137"/>
      <c r="DK1140" s="47" t="s">
        <v>7</v>
      </c>
      <c r="DL1140" s="91">
        <v>236</v>
      </c>
      <c r="DM1140" s="91">
        <v>298</v>
      </c>
      <c r="DN1140" s="91">
        <v>553</v>
      </c>
      <c r="DO1140" s="91">
        <v>920</v>
      </c>
      <c r="DP1140" s="91">
        <v>1249</v>
      </c>
      <c r="DQ1140" s="91">
        <v>1394</v>
      </c>
      <c r="DR1140" s="91">
        <v>1392</v>
      </c>
      <c r="DS1140" s="91">
        <v>1047</v>
      </c>
      <c r="DT1140" s="91">
        <v>860</v>
      </c>
      <c r="DU1140" s="91">
        <v>775</v>
      </c>
      <c r="DV1140" s="91">
        <v>175</v>
      </c>
      <c r="DW1140" s="91">
        <v>135</v>
      </c>
      <c r="DX1140" s="91">
        <v>74</v>
      </c>
      <c r="DY1140" s="91">
        <v>47</v>
      </c>
      <c r="DZ1140" s="91">
        <v>26</v>
      </c>
      <c r="EA1140" s="91">
        <v>9</v>
      </c>
      <c r="EB1140" s="91">
        <v>4</v>
      </c>
      <c r="EC1140" s="91">
        <v>8</v>
      </c>
      <c r="EF1140" s="137"/>
      <c r="EG1140" s="47" t="s">
        <v>7</v>
      </c>
      <c r="EH1140" s="91">
        <v>1129</v>
      </c>
      <c r="EI1140" s="91">
        <v>813</v>
      </c>
      <c r="EJ1140" s="91">
        <v>1729</v>
      </c>
      <c r="EK1140" s="91">
        <v>3782</v>
      </c>
      <c r="EL1140" s="91">
        <v>6690</v>
      </c>
      <c r="EM1140" s="91">
        <v>9469</v>
      </c>
      <c r="EN1140" s="91">
        <v>10791</v>
      </c>
      <c r="EO1140" s="91">
        <v>8738</v>
      </c>
      <c r="EP1140" s="91">
        <v>7261</v>
      </c>
      <c r="EQ1140" s="91">
        <v>6363</v>
      </c>
      <c r="ER1140" s="91">
        <v>1887</v>
      </c>
      <c r="ES1140" s="91">
        <v>1275</v>
      </c>
      <c r="ET1140" s="91">
        <v>765</v>
      </c>
      <c r="EU1140" s="91">
        <v>431</v>
      </c>
      <c r="EV1140" s="91">
        <v>235</v>
      </c>
      <c r="EW1140" s="91">
        <v>103</v>
      </c>
      <c r="EX1140" s="91">
        <v>54</v>
      </c>
      <c r="EY1140" s="91">
        <v>30</v>
      </c>
      <c r="FB1140" s="137"/>
      <c r="FC1140" s="47" t="s">
        <v>7</v>
      </c>
      <c r="FD1140" s="91">
        <v>258</v>
      </c>
      <c r="FE1140" s="91">
        <v>108</v>
      </c>
      <c r="FF1140" s="91">
        <v>249</v>
      </c>
      <c r="FG1140" s="91">
        <v>507</v>
      </c>
      <c r="FH1140" s="91">
        <v>856</v>
      </c>
      <c r="FI1140" s="91">
        <v>1211</v>
      </c>
      <c r="FJ1140" s="91">
        <v>1549</v>
      </c>
      <c r="FK1140" s="91">
        <v>1468</v>
      </c>
      <c r="FL1140" s="91">
        <v>1330</v>
      </c>
      <c r="FM1140" s="91">
        <v>1229</v>
      </c>
      <c r="FN1140" s="91">
        <v>544</v>
      </c>
      <c r="FO1140" s="91">
        <v>443</v>
      </c>
      <c r="FP1140" s="91">
        <v>292</v>
      </c>
      <c r="FQ1140" s="91">
        <v>168</v>
      </c>
      <c r="FR1140" s="91">
        <v>113</v>
      </c>
      <c r="FS1140" s="91">
        <v>49</v>
      </c>
      <c r="FT1140" s="91">
        <v>26</v>
      </c>
      <c r="FU1140" s="91">
        <v>13</v>
      </c>
      <c r="FX1140" s="137"/>
      <c r="FY1140" s="47" t="s">
        <v>7</v>
      </c>
      <c r="FZ1140" s="91">
        <v>1107</v>
      </c>
      <c r="GA1140" s="91">
        <v>1003</v>
      </c>
      <c r="GB1140" s="91">
        <v>2033</v>
      </c>
      <c r="GC1140" s="91">
        <v>4195</v>
      </c>
      <c r="GD1140" s="91">
        <v>7083</v>
      </c>
      <c r="GE1140" s="91">
        <v>9652</v>
      </c>
      <c r="GF1140" s="91">
        <v>10634</v>
      </c>
      <c r="GG1140" s="91">
        <v>8317</v>
      </c>
      <c r="GH1140" s="91">
        <v>6791</v>
      </c>
      <c r="GI1140" s="91">
        <v>5909</v>
      </c>
      <c r="GJ1140" s="91">
        <v>1518</v>
      </c>
      <c r="GK1140" s="91">
        <v>967</v>
      </c>
      <c r="GL1140" s="91">
        <v>547</v>
      </c>
      <c r="GM1140" s="91">
        <v>310</v>
      </c>
      <c r="GN1140" s="91">
        <v>148</v>
      </c>
      <c r="GO1140" s="91">
        <v>63</v>
      </c>
      <c r="GP1140" s="91">
        <v>32</v>
      </c>
      <c r="GQ1140" s="91">
        <v>25</v>
      </c>
    </row>
    <row r="1141" spans="2:199" ht="15.4" x14ac:dyDescent="0.45">
      <c r="B1141" s="135"/>
      <c r="C1141" s="42"/>
      <c r="D1141" s="137"/>
      <c r="E1141" s="47" t="s">
        <v>8</v>
      </c>
      <c r="F1141" s="89">
        <v>1494</v>
      </c>
      <c r="G1141" s="89">
        <v>596</v>
      </c>
      <c r="H1141" s="89">
        <v>1201</v>
      </c>
      <c r="I1141" s="89">
        <v>2484</v>
      </c>
      <c r="J1141" s="89">
        <v>5039</v>
      </c>
      <c r="K1141" s="89">
        <v>8073</v>
      </c>
      <c r="L1141" s="89">
        <v>11859</v>
      </c>
      <c r="M1141" s="89">
        <v>12340</v>
      </c>
      <c r="N1141" s="89">
        <v>12714</v>
      </c>
      <c r="O1141" s="89">
        <v>13411</v>
      </c>
      <c r="P1141" s="89">
        <v>5267</v>
      </c>
      <c r="Q1141" s="89">
        <v>3922</v>
      </c>
      <c r="R1141" s="89">
        <v>2523</v>
      </c>
      <c r="S1141" s="89">
        <v>1406</v>
      </c>
      <c r="T1141" s="89">
        <v>867</v>
      </c>
      <c r="U1141" s="89">
        <v>456</v>
      </c>
      <c r="V1141" s="89">
        <v>226</v>
      </c>
      <c r="W1141" s="89">
        <v>116</v>
      </c>
      <c r="Z1141" s="137"/>
      <c r="AA1141" s="47" t="s">
        <v>8</v>
      </c>
      <c r="AB1141" s="89">
        <v>687</v>
      </c>
      <c r="AC1141" s="89">
        <v>176</v>
      </c>
      <c r="AD1141" s="89">
        <v>431</v>
      </c>
      <c r="AE1141" s="89">
        <v>1059</v>
      </c>
      <c r="AF1141" s="89">
        <v>2244</v>
      </c>
      <c r="AG1141" s="89">
        <v>3748</v>
      </c>
      <c r="AH1141" s="89">
        <v>5762</v>
      </c>
      <c r="AI1141" s="89">
        <v>6250</v>
      </c>
      <c r="AJ1141" s="89">
        <v>6635</v>
      </c>
      <c r="AK1141" s="89">
        <v>7208</v>
      </c>
      <c r="AL1141" s="89">
        <v>3088</v>
      </c>
      <c r="AM1141" s="89">
        <v>2231</v>
      </c>
      <c r="AN1141" s="89">
        <v>1462</v>
      </c>
      <c r="AO1141" s="89">
        <v>801</v>
      </c>
      <c r="AP1141" s="89">
        <v>487</v>
      </c>
      <c r="AQ1141" s="89">
        <v>244</v>
      </c>
      <c r="AR1141" s="89">
        <v>123</v>
      </c>
      <c r="AS1141" s="89">
        <v>45</v>
      </c>
      <c r="AV1141" s="137"/>
      <c r="AW1141" s="47" t="s">
        <v>8</v>
      </c>
      <c r="AX1141" s="89">
        <v>807</v>
      </c>
      <c r="AY1141" s="89">
        <v>420</v>
      </c>
      <c r="AZ1141" s="89">
        <v>770</v>
      </c>
      <c r="BA1141" s="89">
        <v>1425</v>
      </c>
      <c r="BB1141" s="89">
        <v>2795</v>
      </c>
      <c r="BC1141" s="89">
        <v>4325</v>
      </c>
      <c r="BD1141" s="89">
        <v>6097</v>
      </c>
      <c r="BE1141" s="89">
        <v>6090</v>
      </c>
      <c r="BF1141" s="89">
        <v>6079</v>
      </c>
      <c r="BG1141" s="89">
        <v>6203</v>
      </c>
      <c r="BH1141" s="89">
        <v>2179</v>
      </c>
      <c r="BI1141" s="89">
        <v>1691</v>
      </c>
      <c r="BJ1141" s="89">
        <v>1061</v>
      </c>
      <c r="BK1141" s="89">
        <v>605</v>
      </c>
      <c r="BL1141" s="89">
        <v>380</v>
      </c>
      <c r="BM1141" s="89">
        <v>212</v>
      </c>
      <c r="BN1141" s="89">
        <v>103</v>
      </c>
      <c r="BO1141" s="89">
        <v>71</v>
      </c>
      <c r="BQ1141" s="42"/>
      <c r="BR1141" s="137"/>
      <c r="BS1141" s="47" t="s">
        <v>8</v>
      </c>
      <c r="BT1141" s="91">
        <v>565</v>
      </c>
      <c r="BU1141" s="91">
        <v>323</v>
      </c>
      <c r="BV1141" s="91">
        <v>638</v>
      </c>
      <c r="BW1141" s="91">
        <v>1181</v>
      </c>
      <c r="BX1141" s="91">
        <v>2076</v>
      </c>
      <c r="BY1141" s="91">
        <v>2902</v>
      </c>
      <c r="BZ1141" s="91">
        <v>3603</v>
      </c>
      <c r="CA1141" s="91">
        <v>3295</v>
      </c>
      <c r="CB1141" s="91">
        <v>3036</v>
      </c>
      <c r="CC1141" s="91">
        <v>2945</v>
      </c>
      <c r="CD1141" s="91">
        <v>1052</v>
      </c>
      <c r="CE1141" s="91">
        <v>789</v>
      </c>
      <c r="CF1141" s="91">
        <v>503</v>
      </c>
      <c r="CG1141" s="91">
        <v>259</v>
      </c>
      <c r="CH1141" s="91">
        <v>151</v>
      </c>
      <c r="CI1141" s="91">
        <v>86</v>
      </c>
      <c r="CJ1141" s="91">
        <v>47</v>
      </c>
      <c r="CK1141" s="91">
        <v>22</v>
      </c>
      <c r="CN1141" s="137"/>
      <c r="CO1141" s="47" t="s">
        <v>8</v>
      </c>
      <c r="CP1141" s="91">
        <v>929</v>
      </c>
      <c r="CQ1141" s="91">
        <v>273</v>
      </c>
      <c r="CR1141" s="91">
        <v>563</v>
      </c>
      <c r="CS1141" s="91">
        <v>1303</v>
      </c>
      <c r="CT1141" s="91">
        <v>2963</v>
      </c>
      <c r="CU1141" s="91">
        <v>5171</v>
      </c>
      <c r="CV1141" s="91">
        <v>8256</v>
      </c>
      <c r="CW1141" s="91">
        <v>9045</v>
      </c>
      <c r="CX1141" s="91">
        <v>9678</v>
      </c>
      <c r="CY1141" s="91">
        <v>10466</v>
      </c>
      <c r="CZ1141" s="91">
        <v>4215</v>
      </c>
      <c r="DA1141" s="91">
        <v>3133</v>
      </c>
      <c r="DB1141" s="91">
        <v>2020</v>
      </c>
      <c r="DC1141" s="91">
        <v>1147</v>
      </c>
      <c r="DD1141" s="91">
        <v>716</v>
      </c>
      <c r="DE1141" s="91">
        <v>370</v>
      </c>
      <c r="DF1141" s="91">
        <v>179</v>
      </c>
      <c r="DG1141" s="91">
        <v>94</v>
      </c>
      <c r="DI1141" s="42"/>
      <c r="DJ1141" s="137"/>
      <c r="DK1141" s="47" t="s">
        <v>8</v>
      </c>
      <c r="DL1141" s="91">
        <v>189</v>
      </c>
      <c r="DM1141" s="91">
        <v>126</v>
      </c>
      <c r="DN1141" s="91">
        <v>269</v>
      </c>
      <c r="DO1141" s="91">
        <v>446</v>
      </c>
      <c r="DP1141" s="91">
        <v>711</v>
      </c>
      <c r="DQ1141" s="91">
        <v>856</v>
      </c>
      <c r="DR1141" s="91">
        <v>996</v>
      </c>
      <c r="DS1141" s="91">
        <v>931</v>
      </c>
      <c r="DT1141" s="91">
        <v>952</v>
      </c>
      <c r="DU1141" s="91">
        <v>966</v>
      </c>
      <c r="DV1141" s="91">
        <v>325</v>
      </c>
      <c r="DW1141" s="91">
        <v>227</v>
      </c>
      <c r="DX1141" s="91">
        <v>164</v>
      </c>
      <c r="DY1141" s="91">
        <v>80</v>
      </c>
      <c r="DZ1141" s="91">
        <v>48</v>
      </c>
      <c r="EA1141" s="91">
        <v>35</v>
      </c>
      <c r="EB1141" s="91">
        <v>16</v>
      </c>
      <c r="EC1141" s="91">
        <v>9</v>
      </c>
      <c r="EF1141" s="137"/>
      <c r="EG1141" s="47" t="s">
        <v>8</v>
      </c>
      <c r="EH1141" s="91">
        <v>1305</v>
      </c>
      <c r="EI1141" s="91">
        <v>470</v>
      </c>
      <c r="EJ1141" s="91">
        <v>932</v>
      </c>
      <c r="EK1141" s="91">
        <v>2038</v>
      </c>
      <c r="EL1141" s="91">
        <v>4328</v>
      </c>
      <c r="EM1141" s="91">
        <v>7217</v>
      </c>
      <c r="EN1141" s="91">
        <v>10863</v>
      </c>
      <c r="EO1141" s="91">
        <v>11409</v>
      </c>
      <c r="EP1141" s="91">
        <v>11762</v>
      </c>
      <c r="EQ1141" s="91">
        <v>12445</v>
      </c>
      <c r="ER1141" s="91">
        <v>4942</v>
      </c>
      <c r="ES1141" s="91">
        <v>3695</v>
      </c>
      <c r="ET1141" s="91">
        <v>2359</v>
      </c>
      <c r="EU1141" s="91">
        <v>1326</v>
      </c>
      <c r="EV1141" s="91">
        <v>819</v>
      </c>
      <c r="EW1141" s="91">
        <v>421</v>
      </c>
      <c r="EX1141" s="91">
        <v>210</v>
      </c>
      <c r="EY1141" s="91">
        <v>107</v>
      </c>
      <c r="FB1141" s="137"/>
      <c r="FC1141" s="47" t="s">
        <v>8</v>
      </c>
      <c r="FD1141" s="91">
        <v>228</v>
      </c>
      <c r="FE1141" s="91">
        <v>44</v>
      </c>
      <c r="FF1141" s="91">
        <v>112</v>
      </c>
      <c r="FG1141" s="91">
        <v>240</v>
      </c>
      <c r="FH1141" s="91">
        <v>457</v>
      </c>
      <c r="FI1141" s="91">
        <v>791</v>
      </c>
      <c r="FJ1141" s="91">
        <v>1151</v>
      </c>
      <c r="FK1141" s="91">
        <v>1373</v>
      </c>
      <c r="FL1141" s="91">
        <v>1483</v>
      </c>
      <c r="FM1141" s="91">
        <v>1729</v>
      </c>
      <c r="FN1141" s="91">
        <v>917</v>
      </c>
      <c r="FO1141" s="91">
        <v>816</v>
      </c>
      <c r="FP1141" s="91">
        <v>620</v>
      </c>
      <c r="FQ1141" s="91">
        <v>357</v>
      </c>
      <c r="FR1141" s="91">
        <v>250</v>
      </c>
      <c r="FS1141" s="91">
        <v>132</v>
      </c>
      <c r="FT1141" s="91">
        <v>74</v>
      </c>
      <c r="FU1141" s="91">
        <v>44</v>
      </c>
      <c r="FX1141" s="137"/>
      <c r="FY1141" s="47" t="s">
        <v>8</v>
      </c>
      <c r="FZ1141" s="91">
        <v>1266</v>
      </c>
      <c r="GA1141" s="91">
        <v>552</v>
      </c>
      <c r="GB1141" s="91">
        <v>1089</v>
      </c>
      <c r="GC1141" s="91">
        <v>2244</v>
      </c>
      <c r="GD1141" s="91">
        <v>4582</v>
      </c>
      <c r="GE1141" s="91">
        <v>7282</v>
      </c>
      <c r="GF1141" s="91">
        <v>10708</v>
      </c>
      <c r="GG1141" s="91">
        <v>10967</v>
      </c>
      <c r="GH1141" s="91">
        <v>11231</v>
      </c>
      <c r="GI1141" s="91">
        <v>11682</v>
      </c>
      <c r="GJ1141" s="91">
        <v>4350</v>
      </c>
      <c r="GK1141" s="91">
        <v>3106</v>
      </c>
      <c r="GL1141" s="91">
        <v>1903</v>
      </c>
      <c r="GM1141" s="91">
        <v>1049</v>
      </c>
      <c r="GN1141" s="91">
        <v>617</v>
      </c>
      <c r="GO1141" s="91">
        <v>324</v>
      </c>
      <c r="GP1141" s="91">
        <v>152</v>
      </c>
      <c r="GQ1141" s="91">
        <v>72</v>
      </c>
    </row>
    <row r="1142" spans="2:199" ht="15.4" x14ac:dyDescent="0.45">
      <c r="B1142" s="135"/>
      <c r="C1142" s="42"/>
      <c r="D1142" s="137"/>
      <c r="E1142" s="47" t="s">
        <v>9</v>
      </c>
      <c r="F1142" s="89">
        <v>893</v>
      </c>
      <c r="G1142" s="89">
        <v>158</v>
      </c>
      <c r="H1142" s="89">
        <v>391</v>
      </c>
      <c r="I1142" s="89">
        <v>755</v>
      </c>
      <c r="J1142" s="89">
        <v>1549</v>
      </c>
      <c r="K1142" s="89">
        <v>2961</v>
      </c>
      <c r="L1142" s="89">
        <v>5749</v>
      </c>
      <c r="M1142" s="89">
        <v>7725</v>
      </c>
      <c r="N1142" s="89">
        <v>10032</v>
      </c>
      <c r="O1142" s="89">
        <v>13113</v>
      </c>
      <c r="P1142" s="89">
        <v>7423</v>
      </c>
      <c r="Q1142" s="89">
        <v>6389</v>
      </c>
      <c r="R1142" s="89">
        <v>4843</v>
      </c>
      <c r="S1142" s="89">
        <v>3097</v>
      </c>
      <c r="T1142" s="89">
        <v>2001</v>
      </c>
      <c r="U1142" s="89">
        <v>1210</v>
      </c>
      <c r="V1142" s="89">
        <v>698</v>
      </c>
      <c r="W1142" s="89">
        <v>454</v>
      </c>
      <c r="Z1142" s="137"/>
      <c r="AA1142" s="47" t="s">
        <v>9</v>
      </c>
      <c r="AB1142" s="89">
        <v>387</v>
      </c>
      <c r="AC1142" s="89">
        <v>45</v>
      </c>
      <c r="AD1142" s="89">
        <v>102</v>
      </c>
      <c r="AE1142" s="89">
        <v>264</v>
      </c>
      <c r="AF1142" s="89">
        <v>614</v>
      </c>
      <c r="AG1142" s="89">
        <v>1238</v>
      </c>
      <c r="AH1142" s="89">
        <v>2506</v>
      </c>
      <c r="AI1142" s="89">
        <v>3533</v>
      </c>
      <c r="AJ1142" s="89">
        <v>4837</v>
      </c>
      <c r="AK1142" s="89">
        <v>6527</v>
      </c>
      <c r="AL1142" s="89">
        <v>4013</v>
      </c>
      <c r="AM1142" s="89">
        <v>3542</v>
      </c>
      <c r="AN1142" s="89">
        <v>2697</v>
      </c>
      <c r="AO1142" s="89">
        <v>1786</v>
      </c>
      <c r="AP1142" s="89">
        <v>1154</v>
      </c>
      <c r="AQ1142" s="89">
        <v>691</v>
      </c>
      <c r="AR1142" s="89">
        <v>402</v>
      </c>
      <c r="AS1142" s="89">
        <v>245</v>
      </c>
      <c r="AV1142" s="137"/>
      <c r="AW1142" s="47" t="s">
        <v>9</v>
      </c>
      <c r="AX1142" s="89">
        <v>506</v>
      </c>
      <c r="AY1142" s="89">
        <v>113</v>
      </c>
      <c r="AZ1142" s="89">
        <v>289</v>
      </c>
      <c r="BA1142" s="89">
        <v>491</v>
      </c>
      <c r="BB1142" s="89">
        <v>935</v>
      </c>
      <c r="BC1142" s="89">
        <v>1723</v>
      </c>
      <c r="BD1142" s="89">
        <v>3243</v>
      </c>
      <c r="BE1142" s="89">
        <v>4192</v>
      </c>
      <c r="BF1142" s="89">
        <v>5195</v>
      </c>
      <c r="BG1142" s="89">
        <v>6586</v>
      </c>
      <c r="BH1142" s="89">
        <v>3410</v>
      </c>
      <c r="BI1142" s="89">
        <v>2847</v>
      </c>
      <c r="BJ1142" s="89">
        <v>2146</v>
      </c>
      <c r="BK1142" s="89">
        <v>1311</v>
      </c>
      <c r="BL1142" s="89">
        <v>847</v>
      </c>
      <c r="BM1142" s="89">
        <v>519</v>
      </c>
      <c r="BN1142" s="89">
        <v>296</v>
      </c>
      <c r="BO1142" s="89">
        <v>209</v>
      </c>
      <c r="BQ1142" s="42"/>
      <c r="BR1142" s="137"/>
      <c r="BS1142" s="47" t="s">
        <v>9</v>
      </c>
      <c r="BT1142" s="91">
        <v>307</v>
      </c>
      <c r="BU1142" s="91">
        <v>72</v>
      </c>
      <c r="BV1142" s="91">
        <v>212</v>
      </c>
      <c r="BW1142" s="91">
        <v>344</v>
      </c>
      <c r="BX1142" s="91">
        <v>677</v>
      </c>
      <c r="BY1142" s="91">
        <v>1006</v>
      </c>
      <c r="BZ1142" s="91">
        <v>1771</v>
      </c>
      <c r="CA1142" s="91">
        <v>2067</v>
      </c>
      <c r="CB1142" s="91">
        <v>2369</v>
      </c>
      <c r="CC1142" s="91">
        <v>2713</v>
      </c>
      <c r="CD1142" s="91">
        <v>1372</v>
      </c>
      <c r="CE1142" s="91">
        <v>1108</v>
      </c>
      <c r="CF1142" s="91">
        <v>779</v>
      </c>
      <c r="CG1142" s="91">
        <v>506</v>
      </c>
      <c r="CH1142" s="91">
        <v>324</v>
      </c>
      <c r="CI1142" s="91">
        <v>181</v>
      </c>
      <c r="CJ1142" s="91">
        <v>91</v>
      </c>
      <c r="CK1142" s="91">
        <v>54</v>
      </c>
      <c r="CN1142" s="137"/>
      <c r="CO1142" s="47" t="s">
        <v>9</v>
      </c>
      <c r="CP1142" s="91">
        <v>586</v>
      </c>
      <c r="CQ1142" s="91">
        <v>86</v>
      </c>
      <c r="CR1142" s="91">
        <v>179</v>
      </c>
      <c r="CS1142" s="91">
        <v>411</v>
      </c>
      <c r="CT1142" s="91">
        <v>872</v>
      </c>
      <c r="CU1142" s="91">
        <v>1955</v>
      </c>
      <c r="CV1142" s="91">
        <v>3978</v>
      </c>
      <c r="CW1142" s="91">
        <v>5658</v>
      </c>
      <c r="CX1142" s="91">
        <v>7663</v>
      </c>
      <c r="CY1142" s="91">
        <v>10400</v>
      </c>
      <c r="CZ1142" s="91">
        <v>6051</v>
      </c>
      <c r="DA1142" s="91">
        <v>5281</v>
      </c>
      <c r="DB1142" s="91">
        <v>4064</v>
      </c>
      <c r="DC1142" s="91">
        <v>2591</v>
      </c>
      <c r="DD1142" s="91">
        <v>1677</v>
      </c>
      <c r="DE1142" s="91">
        <v>1029</v>
      </c>
      <c r="DF1142" s="91">
        <v>607</v>
      </c>
      <c r="DG1142" s="91">
        <v>400</v>
      </c>
      <c r="DI1142" s="42"/>
      <c r="DJ1142" s="137"/>
      <c r="DK1142" s="47" t="s">
        <v>9</v>
      </c>
      <c r="DL1142" s="91">
        <v>87</v>
      </c>
      <c r="DM1142" s="91">
        <v>33</v>
      </c>
      <c r="DN1142" s="91">
        <v>87</v>
      </c>
      <c r="DO1142" s="91">
        <v>132</v>
      </c>
      <c r="DP1142" s="91">
        <v>209</v>
      </c>
      <c r="DQ1142" s="91">
        <v>287</v>
      </c>
      <c r="DR1142" s="91">
        <v>459</v>
      </c>
      <c r="DS1142" s="91">
        <v>506</v>
      </c>
      <c r="DT1142" s="91">
        <v>595</v>
      </c>
      <c r="DU1142" s="91">
        <v>811</v>
      </c>
      <c r="DV1142" s="91">
        <v>334</v>
      </c>
      <c r="DW1142" s="91">
        <v>274</v>
      </c>
      <c r="DX1142" s="91">
        <v>210</v>
      </c>
      <c r="DY1142" s="91">
        <v>144</v>
      </c>
      <c r="DZ1142" s="91">
        <v>83</v>
      </c>
      <c r="EA1142" s="91">
        <v>44</v>
      </c>
      <c r="EB1142" s="91">
        <v>26</v>
      </c>
      <c r="EC1142" s="91">
        <v>24</v>
      </c>
      <c r="EF1142" s="137"/>
      <c r="EG1142" s="47" t="s">
        <v>9</v>
      </c>
      <c r="EH1142" s="91">
        <v>806</v>
      </c>
      <c r="EI1142" s="91">
        <v>125</v>
      </c>
      <c r="EJ1142" s="91">
        <v>304</v>
      </c>
      <c r="EK1142" s="91">
        <v>623</v>
      </c>
      <c r="EL1142" s="91">
        <v>1340</v>
      </c>
      <c r="EM1142" s="91">
        <v>2674</v>
      </c>
      <c r="EN1142" s="91">
        <v>5290</v>
      </c>
      <c r="EO1142" s="91">
        <v>7219</v>
      </c>
      <c r="EP1142" s="91">
        <v>9437</v>
      </c>
      <c r="EQ1142" s="91">
        <v>12302</v>
      </c>
      <c r="ER1142" s="91">
        <v>7089</v>
      </c>
      <c r="ES1142" s="91">
        <v>6115</v>
      </c>
      <c r="ET1142" s="91">
        <v>4633</v>
      </c>
      <c r="EU1142" s="91">
        <v>2953</v>
      </c>
      <c r="EV1142" s="91">
        <v>1918</v>
      </c>
      <c r="EW1142" s="91">
        <v>1166</v>
      </c>
      <c r="EX1142" s="91">
        <v>672</v>
      </c>
      <c r="EY1142" s="91">
        <v>430</v>
      </c>
      <c r="FB1142" s="137"/>
      <c r="FC1142" s="47" t="s">
        <v>9</v>
      </c>
      <c r="FD1142" s="91">
        <v>111</v>
      </c>
      <c r="FE1142" s="91">
        <v>16</v>
      </c>
      <c r="FF1142" s="91">
        <v>36</v>
      </c>
      <c r="FG1142" s="91">
        <v>70</v>
      </c>
      <c r="FH1142" s="91">
        <v>115</v>
      </c>
      <c r="FI1142" s="91">
        <v>229</v>
      </c>
      <c r="FJ1142" s="91">
        <v>461</v>
      </c>
      <c r="FK1142" s="91">
        <v>684</v>
      </c>
      <c r="FL1142" s="91">
        <v>951</v>
      </c>
      <c r="FM1142" s="91">
        <v>1293</v>
      </c>
      <c r="FN1142" s="91">
        <v>877</v>
      </c>
      <c r="FO1142" s="91">
        <v>843</v>
      </c>
      <c r="FP1142" s="91">
        <v>791</v>
      </c>
      <c r="FQ1142" s="91">
        <v>509</v>
      </c>
      <c r="FR1142" s="91">
        <v>362</v>
      </c>
      <c r="FS1142" s="91">
        <v>249</v>
      </c>
      <c r="FT1142" s="91">
        <v>172</v>
      </c>
      <c r="FU1142" s="91">
        <v>117</v>
      </c>
      <c r="FX1142" s="137"/>
      <c r="FY1142" s="47" t="s">
        <v>9</v>
      </c>
      <c r="FZ1142" s="91">
        <v>782</v>
      </c>
      <c r="GA1142" s="91">
        <v>142</v>
      </c>
      <c r="GB1142" s="91">
        <v>355</v>
      </c>
      <c r="GC1142" s="91">
        <v>685</v>
      </c>
      <c r="GD1142" s="91">
        <v>1434</v>
      </c>
      <c r="GE1142" s="91">
        <v>2732</v>
      </c>
      <c r="GF1142" s="91">
        <v>5288</v>
      </c>
      <c r="GG1142" s="91">
        <v>7041</v>
      </c>
      <c r="GH1142" s="91">
        <v>9081</v>
      </c>
      <c r="GI1142" s="91">
        <v>11820</v>
      </c>
      <c r="GJ1142" s="91">
        <v>6546</v>
      </c>
      <c r="GK1142" s="91">
        <v>5546</v>
      </c>
      <c r="GL1142" s="91">
        <v>4052</v>
      </c>
      <c r="GM1142" s="91">
        <v>2588</v>
      </c>
      <c r="GN1142" s="91">
        <v>1639</v>
      </c>
      <c r="GO1142" s="91">
        <v>961</v>
      </c>
      <c r="GP1142" s="91">
        <v>526</v>
      </c>
      <c r="GQ1142" s="91">
        <v>337</v>
      </c>
    </row>
    <row r="1143" spans="2:199" ht="15.4" x14ac:dyDescent="0.45">
      <c r="B1143" s="135"/>
      <c r="C1143" s="42"/>
      <c r="D1143" s="137"/>
      <c r="E1143" s="47" t="s">
        <v>10</v>
      </c>
      <c r="F1143" s="89">
        <v>283</v>
      </c>
      <c r="G1143" s="89">
        <v>38</v>
      </c>
      <c r="H1143" s="89">
        <v>59</v>
      </c>
      <c r="I1143" s="89">
        <v>106</v>
      </c>
      <c r="J1143" s="89">
        <v>253</v>
      </c>
      <c r="K1143" s="89">
        <v>511</v>
      </c>
      <c r="L1143" s="89">
        <v>1209</v>
      </c>
      <c r="M1143" s="89">
        <v>2167</v>
      </c>
      <c r="N1143" s="89">
        <v>3360</v>
      </c>
      <c r="O1143" s="89">
        <v>5413</v>
      </c>
      <c r="P1143" s="89">
        <v>4442</v>
      </c>
      <c r="Q1143" s="89">
        <v>4765</v>
      </c>
      <c r="R1143" s="89">
        <v>4248</v>
      </c>
      <c r="S1143" s="89">
        <v>3193</v>
      </c>
      <c r="T1143" s="89">
        <v>2541</v>
      </c>
      <c r="U1143" s="89">
        <v>2058</v>
      </c>
      <c r="V1143" s="89">
        <v>1373</v>
      </c>
      <c r="W1143" s="89">
        <v>1457</v>
      </c>
      <c r="Z1143" s="137"/>
      <c r="AA1143" s="47" t="s">
        <v>10</v>
      </c>
      <c r="AB1143" s="89">
        <v>104</v>
      </c>
      <c r="AC1143" s="89">
        <v>8</v>
      </c>
      <c r="AD1143" s="89">
        <v>15</v>
      </c>
      <c r="AE1143" s="89">
        <v>33</v>
      </c>
      <c r="AF1143" s="89">
        <v>80</v>
      </c>
      <c r="AG1143" s="89">
        <v>162</v>
      </c>
      <c r="AH1143" s="89">
        <v>494</v>
      </c>
      <c r="AI1143" s="89">
        <v>896</v>
      </c>
      <c r="AJ1143" s="89">
        <v>1412</v>
      </c>
      <c r="AK1143" s="89">
        <v>2408</v>
      </c>
      <c r="AL1143" s="89">
        <v>2156</v>
      </c>
      <c r="AM1143" s="89">
        <v>2362</v>
      </c>
      <c r="AN1143" s="89">
        <v>2184</v>
      </c>
      <c r="AO1143" s="89">
        <v>1749</v>
      </c>
      <c r="AP1143" s="89">
        <v>1364</v>
      </c>
      <c r="AQ1143" s="89">
        <v>1175</v>
      </c>
      <c r="AR1143" s="89">
        <v>791</v>
      </c>
      <c r="AS1143" s="89">
        <v>807</v>
      </c>
      <c r="AV1143" s="137"/>
      <c r="AW1143" s="47" t="s">
        <v>10</v>
      </c>
      <c r="AX1143" s="89">
        <v>179</v>
      </c>
      <c r="AY1143" s="89">
        <v>30</v>
      </c>
      <c r="AZ1143" s="89">
        <v>44</v>
      </c>
      <c r="BA1143" s="89">
        <v>73</v>
      </c>
      <c r="BB1143" s="89">
        <v>173</v>
      </c>
      <c r="BC1143" s="89">
        <v>349</v>
      </c>
      <c r="BD1143" s="89">
        <v>715</v>
      </c>
      <c r="BE1143" s="89">
        <v>1271</v>
      </c>
      <c r="BF1143" s="89">
        <v>1948</v>
      </c>
      <c r="BG1143" s="89">
        <v>3005</v>
      </c>
      <c r="BH1143" s="89">
        <v>2286</v>
      </c>
      <c r="BI1143" s="89">
        <v>2403</v>
      </c>
      <c r="BJ1143" s="89">
        <v>2064</v>
      </c>
      <c r="BK1143" s="89">
        <v>1444</v>
      </c>
      <c r="BL1143" s="89">
        <v>1177</v>
      </c>
      <c r="BM1143" s="89">
        <v>883</v>
      </c>
      <c r="BN1143" s="89">
        <v>582</v>
      </c>
      <c r="BO1143" s="89">
        <v>650</v>
      </c>
      <c r="BQ1143" s="42"/>
      <c r="BR1143" s="137"/>
      <c r="BS1143" s="47" t="s">
        <v>10</v>
      </c>
      <c r="BT1143" s="91">
        <v>114</v>
      </c>
      <c r="BU1143" s="91">
        <v>23</v>
      </c>
      <c r="BV1143" s="91">
        <v>21</v>
      </c>
      <c r="BW1143" s="91">
        <v>49</v>
      </c>
      <c r="BX1143" s="91">
        <v>114</v>
      </c>
      <c r="BY1143" s="91">
        <v>196</v>
      </c>
      <c r="BZ1143" s="91">
        <v>395</v>
      </c>
      <c r="CA1143" s="91">
        <v>605</v>
      </c>
      <c r="CB1143" s="91">
        <v>779</v>
      </c>
      <c r="CC1143" s="91">
        <v>1092</v>
      </c>
      <c r="CD1143" s="91">
        <v>857</v>
      </c>
      <c r="CE1143" s="91">
        <v>831</v>
      </c>
      <c r="CF1143" s="91">
        <v>647</v>
      </c>
      <c r="CG1143" s="91">
        <v>461</v>
      </c>
      <c r="CH1143" s="91">
        <v>316</v>
      </c>
      <c r="CI1143" s="91">
        <v>219</v>
      </c>
      <c r="CJ1143" s="91">
        <v>151</v>
      </c>
      <c r="CK1143" s="91">
        <v>139</v>
      </c>
      <c r="CN1143" s="137"/>
      <c r="CO1143" s="47" t="s">
        <v>10</v>
      </c>
      <c r="CP1143" s="91">
        <v>169</v>
      </c>
      <c r="CQ1143" s="91">
        <v>15</v>
      </c>
      <c r="CR1143" s="91">
        <v>38</v>
      </c>
      <c r="CS1143" s="91">
        <v>57</v>
      </c>
      <c r="CT1143" s="91">
        <v>139</v>
      </c>
      <c r="CU1143" s="91">
        <v>315</v>
      </c>
      <c r="CV1143" s="91">
        <v>814</v>
      </c>
      <c r="CW1143" s="91">
        <v>1562</v>
      </c>
      <c r="CX1143" s="91">
        <v>2581</v>
      </c>
      <c r="CY1143" s="91">
        <v>4321</v>
      </c>
      <c r="CZ1143" s="91">
        <v>3585</v>
      </c>
      <c r="DA1143" s="91">
        <v>3934</v>
      </c>
      <c r="DB1143" s="91">
        <v>3601</v>
      </c>
      <c r="DC1143" s="91">
        <v>2732</v>
      </c>
      <c r="DD1143" s="91">
        <v>2225</v>
      </c>
      <c r="DE1143" s="91">
        <v>1839</v>
      </c>
      <c r="DF1143" s="91">
        <v>1222</v>
      </c>
      <c r="DG1143" s="91">
        <v>1318</v>
      </c>
      <c r="DI1143" s="42"/>
      <c r="DJ1143" s="137"/>
      <c r="DK1143" s="47" t="s">
        <v>10</v>
      </c>
      <c r="DL1143" s="91">
        <v>39</v>
      </c>
      <c r="DM1143" s="91">
        <v>7</v>
      </c>
      <c r="DN1143" s="91">
        <v>5</v>
      </c>
      <c r="DO1143" s="91">
        <v>14</v>
      </c>
      <c r="DP1143" s="91">
        <v>32</v>
      </c>
      <c r="DQ1143" s="91">
        <v>49</v>
      </c>
      <c r="DR1143" s="91">
        <v>106</v>
      </c>
      <c r="DS1143" s="91">
        <v>165</v>
      </c>
      <c r="DT1143" s="91">
        <v>163</v>
      </c>
      <c r="DU1143" s="91">
        <v>328</v>
      </c>
      <c r="DV1143" s="91">
        <v>172</v>
      </c>
      <c r="DW1143" s="91">
        <v>183</v>
      </c>
      <c r="DX1143" s="91">
        <v>167</v>
      </c>
      <c r="DY1143" s="91">
        <v>125</v>
      </c>
      <c r="DZ1143" s="91">
        <v>76</v>
      </c>
      <c r="EA1143" s="91">
        <v>82</v>
      </c>
      <c r="EB1143" s="91">
        <v>40</v>
      </c>
      <c r="EC1143" s="91">
        <v>48</v>
      </c>
      <c r="EF1143" s="137"/>
      <c r="EG1143" s="47" t="s">
        <v>10</v>
      </c>
      <c r="EH1143" s="91">
        <v>244</v>
      </c>
      <c r="EI1143" s="91">
        <v>31</v>
      </c>
      <c r="EJ1143" s="91">
        <v>54</v>
      </c>
      <c r="EK1143" s="91">
        <v>92</v>
      </c>
      <c r="EL1143" s="91">
        <v>221</v>
      </c>
      <c r="EM1143" s="91">
        <v>462</v>
      </c>
      <c r="EN1143" s="91">
        <v>1103</v>
      </c>
      <c r="EO1143" s="91">
        <v>2002</v>
      </c>
      <c r="EP1143" s="91">
        <v>3197</v>
      </c>
      <c r="EQ1143" s="91">
        <v>5085</v>
      </c>
      <c r="ER1143" s="91">
        <v>4270</v>
      </c>
      <c r="ES1143" s="91">
        <v>4582</v>
      </c>
      <c r="ET1143" s="91">
        <v>4081</v>
      </c>
      <c r="EU1143" s="91">
        <v>3068</v>
      </c>
      <c r="EV1143" s="91">
        <v>2465</v>
      </c>
      <c r="EW1143" s="91">
        <v>1976</v>
      </c>
      <c r="EX1143" s="91">
        <v>1333</v>
      </c>
      <c r="EY1143" s="91">
        <v>1409</v>
      </c>
      <c r="FB1143" s="137"/>
      <c r="FC1143" s="47" t="s">
        <v>10</v>
      </c>
      <c r="FD1143" s="91">
        <v>23</v>
      </c>
      <c r="FE1143" s="91">
        <v>1</v>
      </c>
      <c r="FF1143" s="91">
        <v>0</v>
      </c>
      <c r="FG1143" s="91">
        <v>4</v>
      </c>
      <c r="FH1143" s="91">
        <v>15</v>
      </c>
      <c r="FI1143" s="91">
        <v>34</v>
      </c>
      <c r="FJ1143" s="91">
        <v>85</v>
      </c>
      <c r="FK1143" s="91">
        <v>160</v>
      </c>
      <c r="FL1143" s="91">
        <v>265</v>
      </c>
      <c r="FM1143" s="91">
        <v>432</v>
      </c>
      <c r="FN1143" s="91">
        <v>411</v>
      </c>
      <c r="FO1143" s="91">
        <v>487</v>
      </c>
      <c r="FP1143" s="91">
        <v>495</v>
      </c>
      <c r="FQ1143" s="91">
        <v>362</v>
      </c>
      <c r="FR1143" s="91">
        <v>352</v>
      </c>
      <c r="FS1143" s="91">
        <v>300</v>
      </c>
      <c r="FT1143" s="91">
        <v>198</v>
      </c>
      <c r="FU1143" s="91">
        <v>235</v>
      </c>
      <c r="FX1143" s="137"/>
      <c r="FY1143" s="47" t="s">
        <v>10</v>
      </c>
      <c r="FZ1143" s="91">
        <v>260</v>
      </c>
      <c r="GA1143" s="91">
        <v>37</v>
      </c>
      <c r="GB1143" s="91">
        <v>59</v>
      </c>
      <c r="GC1143" s="91">
        <v>102</v>
      </c>
      <c r="GD1143" s="91">
        <v>238</v>
      </c>
      <c r="GE1143" s="91">
        <v>477</v>
      </c>
      <c r="GF1143" s="91">
        <v>1124</v>
      </c>
      <c r="GG1143" s="91">
        <v>2007</v>
      </c>
      <c r="GH1143" s="91">
        <v>3095</v>
      </c>
      <c r="GI1143" s="91">
        <v>4981</v>
      </c>
      <c r="GJ1143" s="91">
        <v>4031</v>
      </c>
      <c r="GK1143" s="91">
        <v>4278</v>
      </c>
      <c r="GL1143" s="91">
        <v>3753</v>
      </c>
      <c r="GM1143" s="91">
        <v>2831</v>
      </c>
      <c r="GN1143" s="91">
        <v>2189</v>
      </c>
      <c r="GO1143" s="91">
        <v>1758</v>
      </c>
      <c r="GP1143" s="91">
        <v>1175</v>
      </c>
      <c r="GQ1143" s="91">
        <v>1222</v>
      </c>
    </row>
    <row r="1144" spans="2:199" ht="15.4" x14ac:dyDescent="0.45">
      <c r="B1144" s="99"/>
      <c r="C1144" s="42"/>
      <c r="D1144" s="138"/>
      <c r="E1144" s="47" t="s">
        <v>11</v>
      </c>
      <c r="F1144" s="89">
        <v>17</v>
      </c>
      <c r="G1144" s="89">
        <v>0</v>
      </c>
      <c r="H1144" s="89">
        <v>2</v>
      </c>
      <c r="I1144" s="89">
        <v>1</v>
      </c>
      <c r="J1144" s="89">
        <v>6</v>
      </c>
      <c r="K1144" s="89">
        <v>17</v>
      </c>
      <c r="L1144" s="89">
        <v>42</v>
      </c>
      <c r="M1144" s="89">
        <v>74</v>
      </c>
      <c r="N1144" s="89">
        <v>133</v>
      </c>
      <c r="O1144" s="89">
        <v>323</v>
      </c>
      <c r="P1144" s="89">
        <v>335</v>
      </c>
      <c r="Q1144" s="89">
        <v>401</v>
      </c>
      <c r="R1144" s="89">
        <v>461</v>
      </c>
      <c r="S1144" s="89">
        <v>488</v>
      </c>
      <c r="T1144" s="89">
        <v>483</v>
      </c>
      <c r="U1144" s="89">
        <v>471</v>
      </c>
      <c r="V1144" s="89">
        <v>431</v>
      </c>
      <c r="W1144" s="89">
        <v>824</v>
      </c>
      <c r="Z1144" s="138"/>
      <c r="AA1144" s="47" t="s">
        <v>11</v>
      </c>
      <c r="AB1144" s="89">
        <v>11</v>
      </c>
      <c r="AC1144" s="89">
        <v>0</v>
      </c>
      <c r="AD1144" s="89">
        <v>1</v>
      </c>
      <c r="AE1144" s="89">
        <v>1</v>
      </c>
      <c r="AF1144" s="89">
        <v>2</v>
      </c>
      <c r="AG1144" s="89">
        <v>8</v>
      </c>
      <c r="AH1144" s="89">
        <v>9</v>
      </c>
      <c r="AI1144" s="89">
        <v>22</v>
      </c>
      <c r="AJ1144" s="89">
        <v>46</v>
      </c>
      <c r="AK1144" s="89">
        <v>148</v>
      </c>
      <c r="AL1144" s="89">
        <v>138</v>
      </c>
      <c r="AM1144" s="89">
        <v>201</v>
      </c>
      <c r="AN1144" s="89">
        <v>238</v>
      </c>
      <c r="AO1144" s="89">
        <v>257</v>
      </c>
      <c r="AP1144" s="89">
        <v>257</v>
      </c>
      <c r="AQ1144" s="89">
        <v>255</v>
      </c>
      <c r="AR1144" s="89">
        <v>242</v>
      </c>
      <c r="AS1144" s="89">
        <v>501</v>
      </c>
      <c r="AV1144" s="138"/>
      <c r="AW1144" s="47" t="s">
        <v>11</v>
      </c>
      <c r="AX1144" s="89">
        <v>6</v>
      </c>
      <c r="AY1144" s="89">
        <v>0</v>
      </c>
      <c r="AZ1144" s="89">
        <v>1</v>
      </c>
      <c r="BA1144" s="89">
        <v>0</v>
      </c>
      <c r="BB1144" s="89">
        <v>4</v>
      </c>
      <c r="BC1144" s="89">
        <v>9</v>
      </c>
      <c r="BD1144" s="89">
        <v>33</v>
      </c>
      <c r="BE1144" s="89">
        <v>52</v>
      </c>
      <c r="BF1144" s="89">
        <v>87</v>
      </c>
      <c r="BG1144" s="89">
        <v>175</v>
      </c>
      <c r="BH1144" s="89">
        <v>197</v>
      </c>
      <c r="BI1144" s="89">
        <v>200</v>
      </c>
      <c r="BJ1144" s="89">
        <v>223</v>
      </c>
      <c r="BK1144" s="89">
        <v>231</v>
      </c>
      <c r="BL1144" s="89">
        <v>226</v>
      </c>
      <c r="BM1144" s="89">
        <v>216</v>
      </c>
      <c r="BN1144" s="89">
        <v>189</v>
      </c>
      <c r="BO1144" s="89">
        <v>323</v>
      </c>
      <c r="BQ1144" s="42"/>
      <c r="BR1144" s="138"/>
      <c r="BS1144" s="47" t="s">
        <v>11</v>
      </c>
      <c r="BT1144" s="91">
        <v>11</v>
      </c>
      <c r="BU1144" s="91">
        <v>0</v>
      </c>
      <c r="BV1144" s="91">
        <v>1</v>
      </c>
      <c r="BW1144" s="91">
        <v>0</v>
      </c>
      <c r="BX1144" s="91">
        <v>3</v>
      </c>
      <c r="BY1144" s="91">
        <v>4</v>
      </c>
      <c r="BZ1144" s="91">
        <v>17</v>
      </c>
      <c r="CA1144" s="91">
        <v>25</v>
      </c>
      <c r="CB1144" s="91">
        <v>34</v>
      </c>
      <c r="CC1144" s="91">
        <v>65</v>
      </c>
      <c r="CD1144" s="91">
        <v>50</v>
      </c>
      <c r="CE1144" s="91">
        <v>67</v>
      </c>
      <c r="CF1144" s="91">
        <v>69</v>
      </c>
      <c r="CG1144" s="91">
        <v>61</v>
      </c>
      <c r="CH1144" s="91">
        <v>56</v>
      </c>
      <c r="CI1144" s="91">
        <v>36</v>
      </c>
      <c r="CJ1144" s="91">
        <v>41</v>
      </c>
      <c r="CK1144" s="91">
        <v>60</v>
      </c>
      <c r="CN1144" s="138"/>
      <c r="CO1144" s="47" t="s">
        <v>11</v>
      </c>
      <c r="CP1144" s="91">
        <v>6</v>
      </c>
      <c r="CQ1144" s="91">
        <v>0</v>
      </c>
      <c r="CR1144" s="91">
        <v>1</v>
      </c>
      <c r="CS1144" s="91">
        <v>1</v>
      </c>
      <c r="CT1144" s="91">
        <v>3</v>
      </c>
      <c r="CU1144" s="91">
        <v>13</v>
      </c>
      <c r="CV1144" s="91">
        <v>25</v>
      </c>
      <c r="CW1144" s="91">
        <v>49</v>
      </c>
      <c r="CX1144" s="91">
        <v>99</v>
      </c>
      <c r="CY1144" s="91">
        <v>258</v>
      </c>
      <c r="CZ1144" s="91">
        <v>285</v>
      </c>
      <c r="DA1144" s="91">
        <v>334</v>
      </c>
      <c r="DB1144" s="91">
        <v>392</v>
      </c>
      <c r="DC1144" s="91">
        <v>427</v>
      </c>
      <c r="DD1144" s="91">
        <v>427</v>
      </c>
      <c r="DE1144" s="91">
        <v>435</v>
      </c>
      <c r="DF1144" s="91">
        <v>390</v>
      </c>
      <c r="DG1144" s="91">
        <v>764</v>
      </c>
      <c r="DI1144" s="42"/>
      <c r="DJ1144" s="138"/>
      <c r="DK1144" s="47" t="s">
        <v>11</v>
      </c>
      <c r="DL1144" s="91">
        <v>2</v>
      </c>
      <c r="DM1144" s="91">
        <v>0</v>
      </c>
      <c r="DN1144" s="91">
        <v>0</v>
      </c>
      <c r="DO1144" s="91">
        <v>0</v>
      </c>
      <c r="DP1144" s="91">
        <v>0</v>
      </c>
      <c r="DQ1144" s="91">
        <v>2</v>
      </c>
      <c r="DR1144" s="91">
        <v>5</v>
      </c>
      <c r="DS1144" s="91">
        <v>2</v>
      </c>
      <c r="DT1144" s="91">
        <v>7</v>
      </c>
      <c r="DU1144" s="91">
        <v>24</v>
      </c>
      <c r="DV1144" s="91">
        <v>17</v>
      </c>
      <c r="DW1144" s="91">
        <v>21</v>
      </c>
      <c r="DX1144" s="91">
        <v>22</v>
      </c>
      <c r="DY1144" s="91">
        <v>19</v>
      </c>
      <c r="DZ1144" s="91">
        <v>15</v>
      </c>
      <c r="EA1144" s="91">
        <v>15</v>
      </c>
      <c r="EB1144" s="91">
        <v>15</v>
      </c>
      <c r="EC1144" s="91">
        <v>17</v>
      </c>
      <c r="EF1144" s="138"/>
      <c r="EG1144" s="47" t="s">
        <v>11</v>
      </c>
      <c r="EH1144" s="91">
        <v>15</v>
      </c>
      <c r="EI1144" s="91">
        <v>0</v>
      </c>
      <c r="EJ1144" s="91">
        <v>2</v>
      </c>
      <c r="EK1144" s="91">
        <v>1</v>
      </c>
      <c r="EL1144" s="91">
        <v>6</v>
      </c>
      <c r="EM1144" s="91">
        <v>15</v>
      </c>
      <c r="EN1144" s="91">
        <v>37</v>
      </c>
      <c r="EO1144" s="91">
        <v>72</v>
      </c>
      <c r="EP1144" s="91">
        <v>126</v>
      </c>
      <c r="EQ1144" s="91">
        <v>299</v>
      </c>
      <c r="ER1144" s="91">
        <v>318</v>
      </c>
      <c r="ES1144" s="91">
        <v>380</v>
      </c>
      <c r="ET1144" s="91">
        <v>439</v>
      </c>
      <c r="EU1144" s="91">
        <v>469</v>
      </c>
      <c r="EV1144" s="91">
        <v>468</v>
      </c>
      <c r="EW1144" s="91">
        <v>456</v>
      </c>
      <c r="EX1144" s="91">
        <v>416</v>
      </c>
      <c r="EY1144" s="91">
        <v>807</v>
      </c>
      <c r="FB1144" s="138"/>
      <c r="FC1144" s="47" t="s">
        <v>11</v>
      </c>
      <c r="FD1144" s="91">
        <v>3</v>
      </c>
      <c r="FE1144" s="91">
        <v>0</v>
      </c>
      <c r="FF1144" s="91">
        <v>0</v>
      </c>
      <c r="FG1144" s="91">
        <v>0</v>
      </c>
      <c r="FH1144" s="91">
        <v>0</v>
      </c>
      <c r="FI1144" s="91">
        <v>3</v>
      </c>
      <c r="FJ1144" s="91">
        <v>5</v>
      </c>
      <c r="FK1144" s="91">
        <v>5</v>
      </c>
      <c r="FL1144" s="91">
        <v>6</v>
      </c>
      <c r="FM1144" s="91">
        <v>17</v>
      </c>
      <c r="FN1144" s="91">
        <v>23</v>
      </c>
      <c r="FO1144" s="91">
        <v>17</v>
      </c>
      <c r="FP1144" s="91">
        <v>35</v>
      </c>
      <c r="FQ1144" s="91">
        <v>31</v>
      </c>
      <c r="FR1144" s="91">
        <v>44</v>
      </c>
      <c r="FS1144" s="91">
        <v>49</v>
      </c>
      <c r="FT1144" s="91">
        <v>43</v>
      </c>
      <c r="FU1144" s="91">
        <v>98</v>
      </c>
      <c r="FX1144" s="138"/>
      <c r="FY1144" s="47" t="s">
        <v>11</v>
      </c>
      <c r="FZ1144" s="91">
        <v>14</v>
      </c>
      <c r="GA1144" s="91">
        <v>0</v>
      </c>
      <c r="GB1144" s="91">
        <v>2</v>
      </c>
      <c r="GC1144" s="91">
        <v>1</v>
      </c>
      <c r="GD1144" s="91">
        <v>6</v>
      </c>
      <c r="GE1144" s="91">
        <v>14</v>
      </c>
      <c r="GF1144" s="91">
        <v>37</v>
      </c>
      <c r="GG1144" s="91">
        <v>69</v>
      </c>
      <c r="GH1144" s="91">
        <v>127</v>
      </c>
      <c r="GI1144" s="91">
        <v>306</v>
      </c>
      <c r="GJ1144" s="91">
        <v>312</v>
      </c>
      <c r="GK1144" s="91">
        <v>384</v>
      </c>
      <c r="GL1144" s="91">
        <v>426</v>
      </c>
      <c r="GM1144" s="91">
        <v>457</v>
      </c>
      <c r="GN1144" s="91">
        <v>439</v>
      </c>
      <c r="GO1144" s="91">
        <v>422</v>
      </c>
      <c r="GP1144" s="91">
        <v>388</v>
      </c>
      <c r="GQ1144" s="91">
        <v>726</v>
      </c>
    </row>
    <row r="1145" spans="2:199" x14ac:dyDescent="0.45">
      <c r="B1145" s="99"/>
      <c r="C1145" s="42"/>
      <c r="D1145" s="102"/>
      <c r="E1145" s="102"/>
      <c r="F1145" s="102"/>
      <c r="G1145" s="102"/>
      <c r="H1145" s="102"/>
      <c r="I1145" s="102"/>
      <c r="J1145" s="102"/>
      <c r="K1145" s="102"/>
      <c r="L1145" s="102"/>
      <c r="M1145" s="102"/>
      <c r="N1145" s="102"/>
      <c r="O1145" s="102"/>
      <c r="Z1145" s="102"/>
      <c r="AA1145" s="102"/>
      <c r="AB1145" s="102"/>
      <c r="AC1145" s="102"/>
      <c r="AD1145" s="102"/>
      <c r="AE1145" s="102"/>
      <c r="AF1145" s="102"/>
      <c r="AG1145" s="102"/>
      <c r="AH1145" s="102"/>
      <c r="AI1145" s="102"/>
      <c r="AJ1145" s="102"/>
      <c r="AK1145" s="102"/>
      <c r="AV1145" s="102"/>
      <c r="AW1145" s="102"/>
      <c r="AX1145" s="102"/>
      <c r="AY1145" s="102"/>
      <c r="AZ1145" s="102"/>
      <c r="BA1145" s="102"/>
      <c r="BB1145" s="102"/>
      <c r="BC1145" s="102"/>
      <c r="BD1145" s="102"/>
      <c r="BE1145" s="102"/>
      <c r="BF1145" s="102"/>
      <c r="BG1145" s="102"/>
      <c r="BQ1145" s="42"/>
      <c r="BR1145" s="102"/>
      <c r="BS1145" s="102"/>
      <c r="BT1145" s="102"/>
      <c r="BU1145" s="102"/>
      <c r="BV1145" s="102"/>
      <c r="BW1145" s="102"/>
      <c r="BX1145" s="102"/>
      <c r="BY1145" s="102"/>
      <c r="BZ1145" s="102"/>
      <c r="CA1145" s="102"/>
      <c r="CB1145" s="102"/>
      <c r="CC1145" s="102"/>
      <c r="CN1145" s="102"/>
      <c r="CO1145" s="102"/>
      <c r="CP1145" s="102"/>
      <c r="CQ1145" s="102"/>
      <c r="CR1145" s="102"/>
      <c r="CS1145" s="102"/>
      <c r="CT1145" s="102"/>
      <c r="CU1145" s="102"/>
      <c r="CV1145" s="102"/>
      <c r="CW1145" s="102"/>
      <c r="CX1145" s="102"/>
      <c r="CY1145" s="102"/>
      <c r="DI1145" s="42"/>
      <c r="DJ1145" s="102"/>
      <c r="DK1145" s="102"/>
      <c r="DL1145" s="102"/>
      <c r="DM1145" s="102"/>
      <c r="DN1145" s="102"/>
      <c r="DO1145" s="102"/>
      <c r="DP1145" s="102"/>
      <c r="DQ1145" s="102"/>
      <c r="DR1145" s="102"/>
      <c r="DS1145" s="102"/>
      <c r="DT1145" s="102"/>
      <c r="DU1145" s="102"/>
      <c r="EF1145" s="102"/>
      <c r="EG1145" s="102"/>
      <c r="EH1145" s="102"/>
      <c r="EI1145" s="102"/>
      <c r="EJ1145" s="102"/>
      <c r="EK1145" s="102"/>
      <c r="EL1145" s="102"/>
      <c r="EM1145" s="102"/>
      <c r="EN1145" s="102"/>
      <c r="EO1145" s="102"/>
      <c r="EP1145" s="102"/>
      <c r="EQ1145" s="102"/>
      <c r="FB1145" s="102"/>
      <c r="FC1145" s="102"/>
      <c r="FD1145" s="102"/>
      <c r="FE1145" s="102"/>
      <c r="FF1145" s="102"/>
      <c r="FG1145" s="102"/>
      <c r="FH1145" s="102"/>
      <c r="FI1145" s="102"/>
      <c r="FJ1145" s="102"/>
      <c r="FK1145" s="102"/>
      <c r="FL1145" s="102"/>
      <c r="FM1145" s="102"/>
      <c r="FX1145" s="102"/>
      <c r="FY1145" s="102"/>
      <c r="FZ1145" s="102"/>
      <c r="GA1145" s="102"/>
      <c r="GB1145" s="102"/>
      <c r="GC1145" s="102"/>
      <c r="GD1145" s="102"/>
      <c r="GE1145" s="102"/>
      <c r="GF1145" s="102"/>
      <c r="GG1145" s="102"/>
      <c r="GH1145" s="102"/>
      <c r="GI1145" s="102"/>
    </row>
    <row r="1146" spans="2:199" ht="18" x14ac:dyDescent="0.55000000000000004">
      <c r="B1146" s="99"/>
      <c r="C1146" s="42"/>
      <c r="D1146" s="112" t="s">
        <v>16</v>
      </c>
      <c r="E1146" s="112"/>
      <c r="F1146" s="100"/>
      <c r="G1146" s="100"/>
      <c r="H1146" s="100"/>
      <c r="I1146" s="100"/>
      <c r="J1146" s="100"/>
      <c r="K1146" s="100"/>
      <c r="L1146" s="100"/>
      <c r="M1146" s="100"/>
      <c r="N1146" s="100"/>
      <c r="O1146" s="100"/>
      <c r="Z1146" s="112" t="s">
        <v>16</v>
      </c>
      <c r="AA1146" s="112"/>
      <c r="AB1146" s="100"/>
      <c r="AC1146" s="100"/>
      <c r="AD1146" s="100"/>
      <c r="AE1146" s="100"/>
      <c r="AF1146" s="100"/>
      <c r="AG1146" s="100"/>
      <c r="AH1146" s="100"/>
      <c r="AI1146" s="100"/>
      <c r="AJ1146" s="100"/>
      <c r="AK1146" s="100"/>
      <c r="AV1146" s="112" t="s">
        <v>16</v>
      </c>
      <c r="AW1146" s="112"/>
      <c r="AX1146" s="100"/>
      <c r="AY1146" s="100"/>
      <c r="AZ1146" s="100"/>
      <c r="BA1146" s="100"/>
      <c r="BB1146" s="100"/>
      <c r="BC1146" s="100"/>
      <c r="BD1146" s="100"/>
      <c r="BE1146" s="100"/>
      <c r="BF1146" s="100"/>
      <c r="BG1146" s="100"/>
      <c r="BQ1146" s="42"/>
      <c r="BR1146" s="112" t="s">
        <v>16</v>
      </c>
      <c r="BS1146" s="112"/>
      <c r="BT1146" s="100"/>
      <c r="BU1146" s="100"/>
      <c r="BV1146" s="100"/>
      <c r="BW1146" s="100"/>
      <c r="BX1146" s="100"/>
      <c r="BY1146" s="100"/>
      <c r="BZ1146" s="100"/>
      <c r="CA1146" s="100"/>
      <c r="CB1146" s="100"/>
      <c r="CC1146" s="100"/>
      <c r="CN1146" s="112" t="s">
        <v>16</v>
      </c>
      <c r="CO1146" s="112"/>
      <c r="CP1146" s="100"/>
      <c r="CQ1146" s="100"/>
      <c r="CR1146" s="100"/>
      <c r="CS1146" s="100"/>
      <c r="CT1146" s="100"/>
      <c r="CU1146" s="100"/>
      <c r="CV1146" s="100"/>
      <c r="CW1146" s="100"/>
      <c r="CX1146" s="100"/>
      <c r="CY1146" s="100"/>
      <c r="DI1146" s="42"/>
      <c r="DJ1146" s="112" t="s">
        <v>16</v>
      </c>
      <c r="DK1146" s="112"/>
      <c r="DL1146" s="100"/>
      <c r="DM1146" s="100"/>
      <c r="DN1146" s="100"/>
      <c r="DO1146" s="100"/>
      <c r="DP1146" s="100"/>
      <c r="DQ1146" s="100"/>
      <c r="DR1146" s="100"/>
      <c r="DS1146" s="100"/>
      <c r="DT1146" s="100"/>
      <c r="DU1146" s="100"/>
      <c r="EF1146" s="112" t="s">
        <v>16</v>
      </c>
      <c r="EG1146" s="112"/>
      <c r="EH1146" s="100"/>
      <c r="EI1146" s="100"/>
      <c r="EJ1146" s="100"/>
      <c r="EK1146" s="100"/>
      <c r="EL1146" s="100"/>
      <c r="EM1146" s="100"/>
      <c r="EN1146" s="100"/>
      <c r="EO1146" s="100"/>
      <c r="EP1146" s="100"/>
      <c r="EQ1146" s="100"/>
      <c r="FB1146" s="112" t="s">
        <v>16</v>
      </c>
      <c r="FC1146" s="112"/>
      <c r="FD1146" s="100"/>
      <c r="FE1146" s="100"/>
      <c r="FF1146" s="100"/>
      <c r="FG1146" s="100"/>
      <c r="FH1146" s="100"/>
      <c r="FI1146" s="100"/>
      <c r="FJ1146" s="100"/>
      <c r="FK1146" s="100"/>
      <c r="FL1146" s="100"/>
      <c r="FM1146" s="100"/>
      <c r="FX1146" s="112" t="s">
        <v>16</v>
      </c>
      <c r="FY1146" s="112"/>
      <c r="FZ1146" s="100"/>
      <c r="GA1146" s="100"/>
      <c r="GB1146" s="100"/>
      <c r="GC1146" s="100"/>
      <c r="GD1146" s="100"/>
      <c r="GE1146" s="100"/>
      <c r="GF1146" s="100"/>
      <c r="GG1146" s="100"/>
      <c r="GH1146" s="100"/>
      <c r="GI1146" s="100"/>
    </row>
    <row r="1147" spans="2:199" ht="28.5" customHeight="1" x14ac:dyDescent="0.45">
      <c r="B1147" s="99"/>
      <c r="C1147" s="42"/>
      <c r="D1147" s="112"/>
      <c r="E1147" s="112"/>
      <c r="F1147" s="101" t="s">
        <v>12</v>
      </c>
      <c r="G1147" s="101"/>
      <c r="H1147" s="101"/>
      <c r="I1147" s="101"/>
      <c r="J1147" s="101"/>
      <c r="K1147" s="101"/>
      <c r="L1147" s="101"/>
      <c r="M1147" s="101"/>
      <c r="N1147" s="101"/>
      <c r="O1147" s="101"/>
      <c r="P1147" s="101"/>
      <c r="Q1147" s="101"/>
      <c r="R1147" s="101"/>
      <c r="S1147" s="101"/>
      <c r="T1147" s="101"/>
      <c r="U1147" s="101"/>
      <c r="V1147" s="101"/>
      <c r="W1147" s="101"/>
      <c r="Z1147" s="112"/>
      <c r="AA1147" s="112"/>
      <c r="AB1147" s="101" t="s">
        <v>12</v>
      </c>
      <c r="AC1147" s="101"/>
      <c r="AD1147" s="101"/>
      <c r="AE1147" s="101"/>
      <c r="AF1147" s="101"/>
      <c r="AG1147" s="101"/>
      <c r="AH1147" s="101"/>
      <c r="AI1147" s="101"/>
      <c r="AJ1147" s="101"/>
      <c r="AK1147" s="101"/>
      <c r="AL1147" s="101"/>
      <c r="AM1147" s="101"/>
      <c r="AN1147" s="101"/>
      <c r="AO1147" s="101"/>
      <c r="AP1147" s="101"/>
      <c r="AQ1147" s="101"/>
      <c r="AR1147" s="101"/>
      <c r="AS1147" s="101"/>
      <c r="AV1147" s="112"/>
      <c r="AW1147" s="112"/>
      <c r="AX1147" s="101" t="s">
        <v>12</v>
      </c>
      <c r="AY1147" s="101"/>
      <c r="AZ1147" s="101"/>
      <c r="BA1147" s="101"/>
      <c r="BB1147" s="101"/>
      <c r="BC1147" s="101"/>
      <c r="BD1147" s="101"/>
      <c r="BE1147" s="101"/>
      <c r="BF1147" s="101"/>
      <c r="BG1147" s="101"/>
      <c r="BH1147" s="101"/>
      <c r="BI1147" s="101"/>
      <c r="BJ1147" s="101"/>
      <c r="BK1147" s="101"/>
      <c r="BL1147" s="101"/>
      <c r="BM1147" s="101"/>
      <c r="BN1147" s="101"/>
      <c r="BO1147" s="101"/>
      <c r="BQ1147" s="42"/>
      <c r="BR1147" s="112"/>
      <c r="BS1147" s="112"/>
      <c r="BT1147" s="101" t="s">
        <v>12</v>
      </c>
      <c r="BU1147" s="101"/>
      <c r="BV1147" s="101"/>
      <c r="BW1147" s="101"/>
      <c r="BX1147" s="101"/>
      <c r="BY1147" s="101"/>
      <c r="BZ1147" s="101"/>
      <c r="CA1147" s="101"/>
      <c r="CB1147" s="101"/>
      <c r="CC1147" s="101"/>
      <c r="CD1147" s="101"/>
      <c r="CE1147" s="101"/>
      <c r="CF1147" s="101"/>
      <c r="CG1147" s="101"/>
      <c r="CH1147" s="101"/>
      <c r="CI1147" s="101"/>
      <c r="CJ1147" s="101"/>
      <c r="CK1147" s="101"/>
      <c r="CN1147" s="112"/>
      <c r="CO1147" s="112"/>
      <c r="CP1147" s="101" t="s">
        <v>12</v>
      </c>
      <c r="CQ1147" s="101"/>
      <c r="CR1147" s="101"/>
      <c r="CS1147" s="101"/>
      <c r="CT1147" s="101"/>
      <c r="CU1147" s="101"/>
      <c r="CV1147" s="101"/>
      <c r="CW1147" s="101"/>
      <c r="CX1147" s="101"/>
      <c r="CY1147" s="101"/>
      <c r="CZ1147" s="101"/>
      <c r="DA1147" s="101"/>
      <c r="DB1147" s="101"/>
      <c r="DC1147" s="101"/>
      <c r="DD1147" s="101"/>
      <c r="DE1147" s="101"/>
      <c r="DF1147" s="101"/>
      <c r="DG1147" s="101"/>
      <c r="DI1147" s="42"/>
      <c r="DJ1147" s="112"/>
      <c r="DK1147" s="112"/>
      <c r="DL1147" s="101" t="s">
        <v>12</v>
      </c>
      <c r="DM1147" s="101"/>
      <c r="DN1147" s="101"/>
      <c r="DO1147" s="101"/>
      <c r="DP1147" s="101"/>
      <c r="DQ1147" s="101"/>
      <c r="DR1147" s="101"/>
      <c r="DS1147" s="101"/>
      <c r="DT1147" s="101"/>
      <c r="DU1147" s="101"/>
      <c r="DV1147" s="101"/>
      <c r="DW1147" s="101"/>
      <c r="DX1147" s="101"/>
      <c r="DY1147" s="101"/>
      <c r="DZ1147" s="101"/>
      <c r="EA1147" s="101"/>
      <c r="EB1147" s="101"/>
      <c r="EC1147" s="101"/>
      <c r="EF1147" s="112"/>
      <c r="EG1147" s="112"/>
      <c r="EH1147" s="101" t="s">
        <v>12</v>
      </c>
      <c r="EI1147" s="101"/>
      <c r="EJ1147" s="101"/>
      <c r="EK1147" s="101"/>
      <c r="EL1147" s="101"/>
      <c r="EM1147" s="101"/>
      <c r="EN1147" s="101"/>
      <c r="EO1147" s="101"/>
      <c r="EP1147" s="101"/>
      <c r="EQ1147" s="101"/>
      <c r="ER1147" s="101"/>
      <c r="ES1147" s="101"/>
      <c r="ET1147" s="101"/>
      <c r="EU1147" s="101"/>
      <c r="EV1147" s="101"/>
      <c r="EW1147" s="101"/>
      <c r="EX1147" s="101"/>
      <c r="EY1147" s="101"/>
      <c r="FB1147" s="112"/>
      <c r="FC1147" s="112"/>
      <c r="FD1147" s="101" t="s">
        <v>12</v>
      </c>
      <c r="FE1147" s="101"/>
      <c r="FF1147" s="101"/>
      <c r="FG1147" s="101"/>
      <c r="FH1147" s="101"/>
      <c r="FI1147" s="101"/>
      <c r="FJ1147" s="101"/>
      <c r="FK1147" s="101"/>
      <c r="FL1147" s="101"/>
      <c r="FM1147" s="101"/>
      <c r="FN1147" s="101"/>
      <c r="FO1147" s="101"/>
      <c r="FP1147" s="101"/>
      <c r="FQ1147" s="101"/>
      <c r="FR1147" s="101"/>
      <c r="FS1147" s="101"/>
      <c r="FT1147" s="101"/>
      <c r="FU1147" s="101"/>
      <c r="FX1147" s="112"/>
      <c r="FY1147" s="112"/>
      <c r="FZ1147" s="101" t="s">
        <v>12</v>
      </c>
      <c r="GA1147" s="101"/>
      <c r="GB1147" s="101"/>
      <c r="GC1147" s="101"/>
      <c r="GD1147" s="101"/>
      <c r="GE1147" s="101"/>
      <c r="GF1147" s="101"/>
      <c r="GG1147" s="101"/>
      <c r="GH1147" s="101"/>
      <c r="GI1147" s="101"/>
      <c r="GJ1147" s="101"/>
      <c r="GK1147" s="101"/>
      <c r="GL1147" s="101"/>
      <c r="GM1147" s="101"/>
      <c r="GN1147" s="101"/>
      <c r="GO1147" s="101"/>
      <c r="GP1147" s="101"/>
      <c r="GQ1147" s="101"/>
    </row>
    <row r="1148" spans="2:199" ht="15" x14ac:dyDescent="0.45">
      <c r="B1148" s="99"/>
      <c r="C1148" s="42"/>
      <c r="D1148" s="113"/>
      <c r="E1148" s="113"/>
      <c r="F1148" s="98" t="s">
        <v>0</v>
      </c>
      <c r="G1148" s="98">
        <v>11</v>
      </c>
      <c r="H1148" s="98">
        <v>21</v>
      </c>
      <c r="I1148" s="98">
        <v>22</v>
      </c>
      <c r="J1148" s="98">
        <v>32</v>
      </c>
      <c r="K1148" s="98">
        <v>33</v>
      </c>
      <c r="L1148" s="98">
        <v>43</v>
      </c>
      <c r="M1148" s="98">
        <v>44</v>
      </c>
      <c r="N1148" s="98">
        <v>54</v>
      </c>
      <c r="O1148" s="98">
        <v>55</v>
      </c>
      <c r="P1148" s="98">
        <v>65</v>
      </c>
      <c r="Q1148" s="98">
        <v>66</v>
      </c>
      <c r="R1148" s="98">
        <v>76</v>
      </c>
      <c r="S1148" s="98">
        <v>77</v>
      </c>
      <c r="T1148" s="98">
        <v>87</v>
      </c>
      <c r="U1148" s="98">
        <v>88</v>
      </c>
      <c r="V1148" s="98">
        <v>98</v>
      </c>
      <c r="W1148" s="98">
        <v>99</v>
      </c>
      <c r="Z1148" s="113"/>
      <c r="AA1148" s="113"/>
      <c r="AB1148" s="98" t="s">
        <v>0</v>
      </c>
      <c r="AC1148" s="98">
        <v>11</v>
      </c>
      <c r="AD1148" s="98">
        <v>21</v>
      </c>
      <c r="AE1148" s="98">
        <v>22</v>
      </c>
      <c r="AF1148" s="98">
        <v>32</v>
      </c>
      <c r="AG1148" s="98">
        <v>33</v>
      </c>
      <c r="AH1148" s="98">
        <v>43</v>
      </c>
      <c r="AI1148" s="98">
        <v>44</v>
      </c>
      <c r="AJ1148" s="98">
        <v>54</v>
      </c>
      <c r="AK1148" s="98">
        <v>55</v>
      </c>
      <c r="AL1148" s="98">
        <v>65</v>
      </c>
      <c r="AM1148" s="98">
        <v>66</v>
      </c>
      <c r="AN1148" s="98">
        <v>76</v>
      </c>
      <c r="AO1148" s="98">
        <v>77</v>
      </c>
      <c r="AP1148" s="98">
        <v>87</v>
      </c>
      <c r="AQ1148" s="98">
        <v>88</v>
      </c>
      <c r="AR1148" s="98">
        <v>98</v>
      </c>
      <c r="AS1148" s="98">
        <v>99</v>
      </c>
      <c r="AV1148" s="113"/>
      <c r="AW1148" s="113"/>
      <c r="AX1148" s="98" t="s">
        <v>0</v>
      </c>
      <c r="AY1148" s="98">
        <v>11</v>
      </c>
      <c r="AZ1148" s="98">
        <v>21</v>
      </c>
      <c r="BA1148" s="98">
        <v>22</v>
      </c>
      <c r="BB1148" s="98">
        <v>32</v>
      </c>
      <c r="BC1148" s="98">
        <v>33</v>
      </c>
      <c r="BD1148" s="98">
        <v>43</v>
      </c>
      <c r="BE1148" s="98">
        <v>44</v>
      </c>
      <c r="BF1148" s="98">
        <v>54</v>
      </c>
      <c r="BG1148" s="98">
        <v>55</v>
      </c>
      <c r="BH1148" s="98">
        <v>65</v>
      </c>
      <c r="BI1148" s="98">
        <v>66</v>
      </c>
      <c r="BJ1148" s="98">
        <v>76</v>
      </c>
      <c r="BK1148" s="98">
        <v>77</v>
      </c>
      <c r="BL1148" s="98">
        <v>87</v>
      </c>
      <c r="BM1148" s="98">
        <v>88</v>
      </c>
      <c r="BN1148" s="98">
        <v>98</v>
      </c>
      <c r="BO1148" s="98">
        <v>99</v>
      </c>
      <c r="BQ1148" s="42"/>
      <c r="BR1148" s="113"/>
      <c r="BS1148" s="113"/>
      <c r="BT1148" s="98" t="s">
        <v>0</v>
      </c>
      <c r="BU1148" s="98">
        <v>11</v>
      </c>
      <c r="BV1148" s="98">
        <v>21</v>
      </c>
      <c r="BW1148" s="98">
        <v>22</v>
      </c>
      <c r="BX1148" s="98">
        <v>32</v>
      </c>
      <c r="BY1148" s="98">
        <v>33</v>
      </c>
      <c r="BZ1148" s="98">
        <v>43</v>
      </c>
      <c r="CA1148" s="98">
        <v>44</v>
      </c>
      <c r="CB1148" s="98">
        <v>54</v>
      </c>
      <c r="CC1148" s="98">
        <v>55</v>
      </c>
      <c r="CD1148" s="98">
        <v>65</v>
      </c>
      <c r="CE1148" s="98">
        <v>66</v>
      </c>
      <c r="CF1148" s="98">
        <v>76</v>
      </c>
      <c r="CG1148" s="98">
        <v>77</v>
      </c>
      <c r="CH1148" s="98">
        <v>87</v>
      </c>
      <c r="CI1148" s="98">
        <v>88</v>
      </c>
      <c r="CJ1148" s="98">
        <v>98</v>
      </c>
      <c r="CK1148" s="98">
        <v>99</v>
      </c>
      <c r="CN1148" s="113"/>
      <c r="CO1148" s="113"/>
      <c r="CP1148" s="98" t="s">
        <v>0</v>
      </c>
      <c r="CQ1148" s="98">
        <v>11</v>
      </c>
      <c r="CR1148" s="98">
        <v>21</v>
      </c>
      <c r="CS1148" s="98">
        <v>22</v>
      </c>
      <c r="CT1148" s="98">
        <v>32</v>
      </c>
      <c r="CU1148" s="98">
        <v>33</v>
      </c>
      <c r="CV1148" s="98">
        <v>43</v>
      </c>
      <c r="CW1148" s="98">
        <v>44</v>
      </c>
      <c r="CX1148" s="98">
        <v>54</v>
      </c>
      <c r="CY1148" s="98">
        <v>55</v>
      </c>
      <c r="CZ1148" s="98">
        <v>65</v>
      </c>
      <c r="DA1148" s="98">
        <v>66</v>
      </c>
      <c r="DB1148" s="98">
        <v>76</v>
      </c>
      <c r="DC1148" s="98">
        <v>77</v>
      </c>
      <c r="DD1148" s="98">
        <v>87</v>
      </c>
      <c r="DE1148" s="98">
        <v>88</v>
      </c>
      <c r="DF1148" s="98">
        <v>98</v>
      </c>
      <c r="DG1148" s="98">
        <v>99</v>
      </c>
      <c r="DI1148" s="42"/>
      <c r="DJ1148" s="113"/>
      <c r="DK1148" s="113"/>
      <c r="DL1148" s="98" t="s">
        <v>0</v>
      </c>
      <c r="DM1148" s="98">
        <v>11</v>
      </c>
      <c r="DN1148" s="98">
        <v>21</v>
      </c>
      <c r="DO1148" s="98">
        <v>22</v>
      </c>
      <c r="DP1148" s="98">
        <v>32</v>
      </c>
      <c r="DQ1148" s="98">
        <v>33</v>
      </c>
      <c r="DR1148" s="98">
        <v>43</v>
      </c>
      <c r="DS1148" s="98">
        <v>44</v>
      </c>
      <c r="DT1148" s="98">
        <v>54</v>
      </c>
      <c r="DU1148" s="98">
        <v>55</v>
      </c>
      <c r="DV1148" s="98">
        <v>65</v>
      </c>
      <c r="DW1148" s="98">
        <v>66</v>
      </c>
      <c r="DX1148" s="98">
        <v>76</v>
      </c>
      <c r="DY1148" s="98">
        <v>77</v>
      </c>
      <c r="DZ1148" s="98">
        <v>87</v>
      </c>
      <c r="EA1148" s="98">
        <v>88</v>
      </c>
      <c r="EB1148" s="98">
        <v>98</v>
      </c>
      <c r="EC1148" s="98">
        <v>99</v>
      </c>
      <c r="EF1148" s="113"/>
      <c r="EG1148" s="113"/>
      <c r="EH1148" s="98" t="s">
        <v>0</v>
      </c>
      <c r="EI1148" s="98">
        <v>11</v>
      </c>
      <c r="EJ1148" s="98">
        <v>21</v>
      </c>
      <c r="EK1148" s="98">
        <v>22</v>
      </c>
      <c r="EL1148" s="98">
        <v>32</v>
      </c>
      <c r="EM1148" s="98">
        <v>33</v>
      </c>
      <c r="EN1148" s="98">
        <v>43</v>
      </c>
      <c r="EO1148" s="98">
        <v>44</v>
      </c>
      <c r="EP1148" s="98">
        <v>54</v>
      </c>
      <c r="EQ1148" s="98">
        <v>55</v>
      </c>
      <c r="ER1148" s="98">
        <v>65</v>
      </c>
      <c r="ES1148" s="98">
        <v>66</v>
      </c>
      <c r="ET1148" s="98">
        <v>76</v>
      </c>
      <c r="EU1148" s="98">
        <v>77</v>
      </c>
      <c r="EV1148" s="98">
        <v>87</v>
      </c>
      <c r="EW1148" s="98">
        <v>88</v>
      </c>
      <c r="EX1148" s="98">
        <v>98</v>
      </c>
      <c r="EY1148" s="98">
        <v>99</v>
      </c>
      <c r="FB1148" s="113"/>
      <c r="FC1148" s="113"/>
      <c r="FD1148" s="98" t="s">
        <v>0</v>
      </c>
      <c r="FE1148" s="98">
        <v>11</v>
      </c>
      <c r="FF1148" s="98">
        <v>21</v>
      </c>
      <c r="FG1148" s="98">
        <v>22</v>
      </c>
      <c r="FH1148" s="98">
        <v>32</v>
      </c>
      <c r="FI1148" s="98">
        <v>33</v>
      </c>
      <c r="FJ1148" s="98">
        <v>43</v>
      </c>
      <c r="FK1148" s="98">
        <v>44</v>
      </c>
      <c r="FL1148" s="98">
        <v>54</v>
      </c>
      <c r="FM1148" s="98">
        <v>55</v>
      </c>
      <c r="FN1148" s="98">
        <v>65</v>
      </c>
      <c r="FO1148" s="98">
        <v>66</v>
      </c>
      <c r="FP1148" s="98">
        <v>76</v>
      </c>
      <c r="FQ1148" s="98">
        <v>77</v>
      </c>
      <c r="FR1148" s="98">
        <v>87</v>
      </c>
      <c r="FS1148" s="98">
        <v>88</v>
      </c>
      <c r="FT1148" s="98">
        <v>98</v>
      </c>
      <c r="FU1148" s="98">
        <v>99</v>
      </c>
      <c r="FX1148" s="113"/>
      <c r="FY1148" s="113"/>
      <c r="FZ1148" s="98" t="s">
        <v>0</v>
      </c>
      <c r="GA1148" s="98">
        <v>11</v>
      </c>
      <c r="GB1148" s="98">
        <v>21</v>
      </c>
      <c r="GC1148" s="98">
        <v>22</v>
      </c>
      <c r="GD1148" s="98">
        <v>32</v>
      </c>
      <c r="GE1148" s="98">
        <v>33</v>
      </c>
      <c r="GF1148" s="98">
        <v>43</v>
      </c>
      <c r="GG1148" s="98">
        <v>44</v>
      </c>
      <c r="GH1148" s="98">
        <v>54</v>
      </c>
      <c r="GI1148" s="98">
        <v>55</v>
      </c>
      <c r="GJ1148" s="98">
        <v>65</v>
      </c>
      <c r="GK1148" s="98">
        <v>66</v>
      </c>
      <c r="GL1148" s="98">
        <v>76</v>
      </c>
      <c r="GM1148" s="98">
        <v>77</v>
      </c>
      <c r="GN1148" s="98">
        <v>87</v>
      </c>
      <c r="GO1148" s="98">
        <v>88</v>
      </c>
      <c r="GP1148" s="98">
        <v>98</v>
      </c>
      <c r="GQ1148" s="98">
        <v>99</v>
      </c>
    </row>
    <row r="1149" spans="2:199" ht="15.4" x14ac:dyDescent="0.45">
      <c r="B1149" s="99"/>
      <c r="C1149" s="42"/>
      <c r="D1149" s="136" t="s">
        <v>13</v>
      </c>
      <c r="E1149" s="47" t="s">
        <v>1</v>
      </c>
      <c r="F1149" s="24">
        <v>8.9552238805970141</v>
      </c>
      <c r="G1149" s="24">
        <v>7.4626865671641784</v>
      </c>
      <c r="H1149" s="24">
        <v>13.432835820895523</v>
      </c>
      <c r="I1149" s="24">
        <v>17.910447761194028</v>
      </c>
      <c r="J1149" s="24">
        <v>17.910447761194028</v>
      </c>
      <c r="K1149" s="24">
        <v>11.940298507462686</v>
      </c>
      <c r="L1149" s="24">
        <v>4.4776119402985071</v>
      </c>
      <c r="M1149" s="24">
        <v>4.4776119402985071</v>
      </c>
      <c r="N1149" s="24">
        <v>2.9850746268656714</v>
      </c>
      <c r="O1149" s="24">
        <v>2.9850746268656714</v>
      </c>
      <c r="P1149" s="24">
        <v>0</v>
      </c>
      <c r="Q1149" s="24">
        <v>2.9850746268656714</v>
      </c>
      <c r="R1149" s="24">
        <v>1.4925373134328357</v>
      </c>
      <c r="S1149" s="24">
        <v>2.9850746268656714</v>
      </c>
      <c r="T1149" s="24">
        <v>0</v>
      </c>
      <c r="U1149" s="24">
        <v>0</v>
      </c>
      <c r="V1149" s="24">
        <v>0</v>
      </c>
      <c r="W1149" s="24">
        <v>0</v>
      </c>
      <c r="Z1149" s="136" t="s">
        <v>13</v>
      </c>
      <c r="AA1149" s="47" t="s">
        <v>1</v>
      </c>
      <c r="AB1149" s="24">
        <v>7.4074074074074066</v>
      </c>
      <c r="AC1149" s="24">
        <v>3.7037037037037033</v>
      </c>
      <c r="AD1149" s="24">
        <v>7.4074074074074066</v>
      </c>
      <c r="AE1149" s="24">
        <v>18.518518518518519</v>
      </c>
      <c r="AF1149" s="24">
        <v>18.518518518518519</v>
      </c>
      <c r="AG1149" s="24">
        <v>14.814814814814813</v>
      </c>
      <c r="AH1149" s="24">
        <v>7.4074074074074066</v>
      </c>
      <c r="AI1149" s="24">
        <v>3.7037037037037033</v>
      </c>
      <c r="AJ1149" s="24">
        <v>3.7037037037037033</v>
      </c>
      <c r="AK1149" s="24">
        <v>3.7037037037037033</v>
      </c>
      <c r="AL1149" s="24">
        <v>0</v>
      </c>
      <c r="AM1149" s="24">
        <v>3.7037037037037033</v>
      </c>
      <c r="AN1149" s="24">
        <v>3.7037037037037033</v>
      </c>
      <c r="AO1149" s="24">
        <v>3.7037037037037033</v>
      </c>
      <c r="AP1149" s="24">
        <v>0</v>
      </c>
      <c r="AQ1149" s="24">
        <v>0</v>
      </c>
      <c r="AR1149" s="24">
        <v>0</v>
      </c>
      <c r="AS1149" s="24">
        <v>0</v>
      </c>
      <c r="AV1149" s="136" t="s">
        <v>13</v>
      </c>
      <c r="AW1149" s="47" t="s">
        <v>1</v>
      </c>
      <c r="AX1149" s="24">
        <v>10</v>
      </c>
      <c r="AY1149" s="24">
        <v>10</v>
      </c>
      <c r="AZ1149" s="24">
        <v>17.5</v>
      </c>
      <c r="BA1149" s="24">
        <v>17.5</v>
      </c>
      <c r="BB1149" s="24">
        <v>17.5</v>
      </c>
      <c r="BC1149" s="24">
        <v>10</v>
      </c>
      <c r="BD1149" s="24">
        <v>2.5</v>
      </c>
      <c r="BE1149" s="24">
        <v>5</v>
      </c>
      <c r="BF1149" s="24">
        <v>2.5</v>
      </c>
      <c r="BG1149" s="24">
        <v>2.5</v>
      </c>
      <c r="BH1149" s="24">
        <v>0</v>
      </c>
      <c r="BI1149" s="24">
        <v>2.5</v>
      </c>
      <c r="BJ1149" s="24">
        <v>0</v>
      </c>
      <c r="BK1149" s="24">
        <v>2.5</v>
      </c>
      <c r="BL1149" s="24">
        <v>0</v>
      </c>
      <c r="BM1149" s="24">
        <v>0</v>
      </c>
      <c r="BN1149" s="24">
        <v>0</v>
      </c>
      <c r="BO1149" s="24">
        <v>0</v>
      </c>
      <c r="BQ1149" s="42"/>
      <c r="BR1149" s="136" t="s">
        <v>13</v>
      </c>
      <c r="BS1149" s="47" t="s">
        <v>1</v>
      </c>
      <c r="BT1149" s="91">
        <v>9.0909090909090917</v>
      </c>
      <c r="BU1149" s="91">
        <v>6.0606060606060606</v>
      </c>
      <c r="BV1149" s="91">
        <v>15.151515151515152</v>
      </c>
      <c r="BW1149" s="91">
        <v>21.212121212121211</v>
      </c>
      <c r="BX1149" s="91">
        <v>21.212121212121211</v>
      </c>
      <c r="BY1149" s="91">
        <v>9.0909090909090917</v>
      </c>
      <c r="BZ1149" s="91">
        <v>3.0303030303030303</v>
      </c>
      <c r="CA1149" s="91">
        <v>6.0606060606060606</v>
      </c>
      <c r="CB1149" s="91">
        <v>3.0303030303030303</v>
      </c>
      <c r="CC1149" s="91">
        <v>3.0303030303030303</v>
      </c>
      <c r="CD1149" s="91">
        <v>0</v>
      </c>
      <c r="CE1149" s="91">
        <v>3.0303030303030303</v>
      </c>
      <c r="CF1149" s="91">
        <v>0</v>
      </c>
      <c r="CG1149" s="91">
        <v>0</v>
      </c>
      <c r="CH1149" s="91">
        <v>0</v>
      </c>
      <c r="CI1149" s="91">
        <v>0</v>
      </c>
      <c r="CJ1149" s="91">
        <v>0</v>
      </c>
      <c r="CK1149" s="91">
        <v>0</v>
      </c>
      <c r="CN1149" s="136" t="s">
        <v>13</v>
      </c>
      <c r="CO1149" s="47" t="s">
        <v>1</v>
      </c>
      <c r="CP1149" s="91">
        <v>8.8235294117647065</v>
      </c>
      <c r="CQ1149" s="91">
        <v>8.8235294117647065</v>
      </c>
      <c r="CR1149" s="91">
        <v>11.76470588235294</v>
      </c>
      <c r="CS1149" s="91">
        <v>14.705882352941178</v>
      </c>
      <c r="CT1149" s="91">
        <v>14.705882352941178</v>
      </c>
      <c r="CU1149" s="91">
        <v>14.705882352941178</v>
      </c>
      <c r="CV1149" s="91">
        <v>5.8823529411764701</v>
      </c>
      <c r="CW1149" s="91">
        <v>2.9411764705882351</v>
      </c>
      <c r="CX1149" s="91">
        <v>2.9411764705882351</v>
      </c>
      <c r="CY1149" s="91">
        <v>2.9411764705882351</v>
      </c>
      <c r="CZ1149" s="91">
        <v>0</v>
      </c>
      <c r="DA1149" s="91">
        <v>2.9411764705882351</v>
      </c>
      <c r="DB1149" s="91">
        <v>2.9411764705882351</v>
      </c>
      <c r="DC1149" s="91">
        <v>5.8823529411764701</v>
      </c>
      <c r="DD1149" s="91">
        <v>0</v>
      </c>
      <c r="DE1149" s="91">
        <v>0</v>
      </c>
      <c r="DF1149" s="91">
        <v>0</v>
      </c>
      <c r="DG1149" s="91">
        <v>0</v>
      </c>
      <c r="DI1149" s="42"/>
      <c r="DJ1149" s="136" t="s">
        <v>13</v>
      </c>
      <c r="DK1149" s="47" t="s">
        <v>1</v>
      </c>
      <c r="DL1149" s="91">
        <v>12.5</v>
      </c>
      <c r="DM1149" s="91">
        <v>12.5</v>
      </c>
      <c r="DN1149" s="91">
        <v>20.833333333333336</v>
      </c>
      <c r="DO1149" s="91">
        <v>25</v>
      </c>
      <c r="DP1149" s="91">
        <v>8.3333333333333321</v>
      </c>
      <c r="DQ1149" s="91">
        <v>12.5</v>
      </c>
      <c r="DR1149" s="91">
        <v>4.1666666666666661</v>
      </c>
      <c r="DS1149" s="91">
        <v>0</v>
      </c>
      <c r="DT1149" s="91">
        <v>0</v>
      </c>
      <c r="DU1149" s="91">
        <v>0</v>
      </c>
      <c r="DV1149" s="91">
        <v>0</v>
      </c>
      <c r="DW1149" s="91">
        <v>4.1666666666666661</v>
      </c>
      <c r="DX1149" s="91">
        <v>0</v>
      </c>
      <c r="DY1149" s="91">
        <v>0</v>
      </c>
      <c r="DZ1149" s="91">
        <v>0</v>
      </c>
      <c r="EA1149" s="91">
        <v>0</v>
      </c>
      <c r="EB1149" s="91">
        <v>0</v>
      </c>
      <c r="EC1149" s="91">
        <v>0</v>
      </c>
      <c r="EF1149" s="136" t="s">
        <v>13</v>
      </c>
      <c r="EG1149" s="47" t="s">
        <v>1</v>
      </c>
      <c r="EH1149" s="91">
        <v>6.9767441860465116</v>
      </c>
      <c r="EI1149" s="91">
        <v>4.6511627906976747</v>
      </c>
      <c r="EJ1149" s="91">
        <v>9.3023255813953494</v>
      </c>
      <c r="EK1149" s="91">
        <v>13.953488372093023</v>
      </c>
      <c r="EL1149" s="91">
        <v>23.255813953488371</v>
      </c>
      <c r="EM1149" s="91">
        <v>11.627906976744185</v>
      </c>
      <c r="EN1149" s="91">
        <v>4.6511627906976747</v>
      </c>
      <c r="EO1149" s="91">
        <v>6.9767441860465116</v>
      </c>
      <c r="EP1149" s="91">
        <v>4.6511627906976747</v>
      </c>
      <c r="EQ1149" s="91">
        <v>4.6511627906976747</v>
      </c>
      <c r="ER1149" s="91">
        <v>0</v>
      </c>
      <c r="ES1149" s="91">
        <v>2.3255813953488373</v>
      </c>
      <c r="ET1149" s="91">
        <v>2.3255813953488373</v>
      </c>
      <c r="EU1149" s="91">
        <v>4.6511627906976747</v>
      </c>
      <c r="EV1149" s="91">
        <v>0</v>
      </c>
      <c r="EW1149" s="91">
        <v>0</v>
      </c>
      <c r="EX1149" s="91">
        <v>0</v>
      </c>
      <c r="EY1149" s="91">
        <v>0</v>
      </c>
      <c r="FB1149" s="136" t="s">
        <v>13</v>
      </c>
      <c r="FC1149" s="47" t="s">
        <v>1</v>
      </c>
      <c r="FD1149" s="91">
        <v>8.4745762711864394</v>
      </c>
      <c r="FE1149" s="91">
        <v>8.4745762711864394</v>
      </c>
      <c r="FF1149" s="91">
        <v>13.559322033898304</v>
      </c>
      <c r="FG1149" s="91">
        <v>16.949152542372879</v>
      </c>
      <c r="FH1149" s="91">
        <v>16.949152542372879</v>
      </c>
      <c r="FI1149" s="91">
        <v>11.864406779661017</v>
      </c>
      <c r="FJ1149" s="91">
        <v>3.3898305084745761</v>
      </c>
      <c r="FK1149" s="91">
        <v>5.0847457627118651</v>
      </c>
      <c r="FL1149" s="91">
        <v>3.3898305084745761</v>
      </c>
      <c r="FM1149" s="91">
        <v>3.3898305084745761</v>
      </c>
      <c r="FN1149" s="91">
        <v>0</v>
      </c>
      <c r="FO1149" s="91">
        <v>3.3898305084745761</v>
      </c>
      <c r="FP1149" s="91">
        <v>1.6949152542372881</v>
      </c>
      <c r="FQ1149" s="91">
        <v>3.3898305084745761</v>
      </c>
      <c r="FR1149" s="91">
        <v>0</v>
      </c>
      <c r="FS1149" s="91">
        <v>0</v>
      </c>
      <c r="FT1149" s="91">
        <v>0</v>
      </c>
      <c r="FU1149" s="91">
        <v>0</v>
      </c>
      <c r="FX1149" s="136" t="s">
        <v>13</v>
      </c>
      <c r="FY1149" s="47" t="s">
        <v>1</v>
      </c>
      <c r="FZ1149" s="91">
        <v>12.5</v>
      </c>
      <c r="GA1149" s="91">
        <v>0</v>
      </c>
      <c r="GB1149" s="91">
        <v>12.5</v>
      </c>
      <c r="GC1149" s="91">
        <v>25</v>
      </c>
      <c r="GD1149" s="91">
        <v>25</v>
      </c>
      <c r="GE1149" s="91">
        <v>12.5</v>
      </c>
      <c r="GF1149" s="91">
        <v>12.5</v>
      </c>
      <c r="GG1149" s="91">
        <v>0</v>
      </c>
      <c r="GH1149" s="91">
        <v>0</v>
      </c>
      <c r="GI1149" s="91">
        <v>0</v>
      </c>
      <c r="GJ1149" s="91">
        <v>0</v>
      </c>
      <c r="GK1149" s="91">
        <v>0</v>
      </c>
      <c r="GL1149" s="91">
        <v>0</v>
      </c>
      <c r="GM1149" s="91">
        <v>0</v>
      </c>
      <c r="GN1149" s="91">
        <v>0</v>
      </c>
      <c r="GO1149" s="91">
        <v>0</v>
      </c>
      <c r="GP1149" s="91">
        <v>0</v>
      </c>
      <c r="GQ1149" s="91">
        <v>0</v>
      </c>
    </row>
    <row r="1150" spans="2:199" ht="15.4" x14ac:dyDescent="0.45">
      <c r="B1150" s="99"/>
      <c r="C1150" s="42"/>
      <c r="D1150" s="137"/>
      <c r="E1150" s="47">
        <v>1</v>
      </c>
      <c r="F1150" s="24">
        <v>15.202702702702704</v>
      </c>
      <c r="G1150" s="24">
        <v>20.608108108108109</v>
      </c>
      <c r="H1150" s="24">
        <v>20.27027027027027</v>
      </c>
      <c r="I1150" s="24">
        <v>13.851351351351351</v>
      </c>
      <c r="J1150" s="24">
        <v>7.4324324324324325</v>
      </c>
      <c r="K1150" s="24">
        <v>9.4594594594594597</v>
      </c>
      <c r="L1150" s="24">
        <v>4.3918918918918921</v>
      </c>
      <c r="M1150" s="24">
        <v>1.3513513513513513</v>
      </c>
      <c r="N1150" s="24">
        <v>1.3513513513513513</v>
      </c>
      <c r="O1150" s="24">
        <v>3.3783783783783785</v>
      </c>
      <c r="P1150" s="24">
        <v>0.33783783783783783</v>
      </c>
      <c r="Q1150" s="24">
        <v>0.33783783783783783</v>
      </c>
      <c r="R1150" s="24">
        <v>0.67567567567567566</v>
      </c>
      <c r="S1150" s="24">
        <v>0.33783783783783783</v>
      </c>
      <c r="T1150" s="24">
        <v>0</v>
      </c>
      <c r="U1150" s="24">
        <v>0.33783783783783783</v>
      </c>
      <c r="V1150" s="24">
        <v>0.67567567567567566</v>
      </c>
      <c r="W1150" s="24">
        <v>0</v>
      </c>
      <c r="Z1150" s="137"/>
      <c r="AA1150" s="47">
        <v>1</v>
      </c>
      <c r="AB1150" s="24">
        <v>13.868613138686131</v>
      </c>
      <c r="AC1150" s="24">
        <v>17.518248175182482</v>
      </c>
      <c r="AD1150" s="24">
        <v>25.547445255474454</v>
      </c>
      <c r="AE1150" s="24">
        <v>9.4890510948905096</v>
      </c>
      <c r="AF1150" s="24">
        <v>7.2992700729926998</v>
      </c>
      <c r="AG1150" s="24">
        <v>8.7591240875912408</v>
      </c>
      <c r="AH1150" s="24">
        <v>6.5693430656934311</v>
      </c>
      <c r="AI1150" s="24">
        <v>1.4598540145985401</v>
      </c>
      <c r="AJ1150" s="24">
        <v>2.9197080291970803</v>
      </c>
      <c r="AK1150" s="24">
        <v>3.6496350364963499</v>
      </c>
      <c r="AL1150" s="24">
        <v>0.72992700729927007</v>
      </c>
      <c r="AM1150" s="24">
        <v>0</v>
      </c>
      <c r="AN1150" s="24">
        <v>0.72992700729927007</v>
      </c>
      <c r="AO1150" s="24">
        <v>0.72992700729927007</v>
      </c>
      <c r="AP1150" s="24">
        <v>0</v>
      </c>
      <c r="AQ1150" s="24">
        <v>0</v>
      </c>
      <c r="AR1150" s="24">
        <v>0.72992700729927007</v>
      </c>
      <c r="AS1150" s="24">
        <v>0</v>
      </c>
      <c r="AV1150" s="137"/>
      <c r="AW1150" s="47">
        <v>1</v>
      </c>
      <c r="AX1150" s="24">
        <v>16.352201257861633</v>
      </c>
      <c r="AY1150" s="24">
        <v>23.270440251572328</v>
      </c>
      <c r="AZ1150" s="24">
        <v>15.723270440251572</v>
      </c>
      <c r="BA1150" s="24">
        <v>17.610062893081761</v>
      </c>
      <c r="BB1150" s="24">
        <v>7.5471698113207548</v>
      </c>
      <c r="BC1150" s="24">
        <v>10.062893081761008</v>
      </c>
      <c r="BD1150" s="24">
        <v>2.5157232704402519</v>
      </c>
      <c r="BE1150" s="24">
        <v>1.257861635220126</v>
      </c>
      <c r="BF1150" s="24">
        <v>0</v>
      </c>
      <c r="BG1150" s="24">
        <v>3.1446540880503147</v>
      </c>
      <c r="BH1150" s="24">
        <v>0</v>
      </c>
      <c r="BI1150" s="24">
        <v>0.62893081761006298</v>
      </c>
      <c r="BJ1150" s="24">
        <v>0.62893081761006298</v>
      </c>
      <c r="BK1150" s="24">
        <v>0</v>
      </c>
      <c r="BL1150" s="24">
        <v>0</v>
      </c>
      <c r="BM1150" s="24">
        <v>0.62893081761006298</v>
      </c>
      <c r="BN1150" s="24">
        <v>0.62893081761006298</v>
      </c>
      <c r="BO1150" s="24">
        <v>0</v>
      </c>
      <c r="BQ1150" s="42"/>
      <c r="BR1150" s="137"/>
      <c r="BS1150" s="47">
        <v>1</v>
      </c>
      <c r="BT1150" s="91">
        <v>20.125786163522015</v>
      </c>
      <c r="BU1150" s="91">
        <v>18.238993710691823</v>
      </c>
      <c r="BV1150" s="91">
        <v>22.012578616352201</v>
      </c>
      <c r="BW1150" s="91">
        <v>18.867924528301888</v>
      </c>
      <c r="BX1150" s="91">
        <v>7.5471698113207548</v>
      </c>
      <c r="BY1150" s="91">
        <v>8.1761006289308167</v>
      </c>
      <c r="BZ1150" s="91">
        <v>1.8867924528301887</v>
      </c>
      <c r="CA1150" s="91">
        <v>0.62893081761006298</v>
      </c>
      <c r="CB1150" s="91">
        <v>0</v>
      </c>
      <c r="CC1150" s="91">
        <v>1.8867924528301887</v>
      </c>
      <c r="CD1150" s="91">
        <v>0</v>
      </c>
      <c r="CE1150" s="91">
        <v>0</v>
      </c>
      <c r="CF1150" s="91">
        <v>0</v>
      </c>
      <c r="CG1150" s="91">
        <v>0</v>
      </c>
      <c r="CH1150" s="91">
        <v>0</v>
      </c>
      <c r="CI1150" s="91">
        <v>0.62893081761006298</v>
      </c>
      <c r="CJ1150" s="91">
        <v>0</v>
      </c>
      <c r="CK1150" s="91">
        <v>0</v>
      </c>
      <c r="CN1150" s="137"/>
      <c r="CO1150" s="47">
        <v>1</v>
      </c>
      <c r="CP1150" s="91">
        <v>9.4890510948905096</v>
      </c>
      <c r="CQ1150" s="91">
        <v>23.357664233576642</v>
      </c>
      <c r="CR1150" s="91">
        <v>18.248175182481752</v>
      </c>
      <c r="CS1150" s="91">
        <v>8.0291970802919703</v>
      </c>
      <c r="CT1150" s="91">
        <v>7.2992700729926998</v>
      </c>
      <c r="CU1150" s="91">
        <v>10.948905109489052</v>
      </c>
      <c r="CV1150" s="91">
        <v>7.2992700729926998</v>
      </c>
      <c r="CW1150" s="91">
        <v>2.1897810218978102</v>
      </c>
      <c r="CX1150" s="91">
        <v>2.9197080291970803</v>
      </c>
      <c r="CY1150" s="91">
        <v>5.1094890510948909</v>
      </c>
      <c r="CZ1150" s="91">
        <v>0.72992700729927007</v>
      </c>
      <c r="DA1150" s="91">
        <v>0.72992700729927007</v>
      </c>
      <c r="DB1150" s="91">
        <v>1.4598540145985401</v>
      </c>
      <c r="DC1150" s="91">
        <v>0.72992700729927007</v>
      </c>
      <c r="DD1150" s="91">
        <v>0</v>
      </c>
      <c r="DE1150" s="91">
        <v>0</v>
      </c>
      <c r="DF1150" s="91">
        <v>1.4598540145985401</v>
      </c>
      <c r="DG1150" s="91">
        <v>0</v>
      </c>
      <c r="DI1150" s="42"/>
      <c r="DJ1150" s="137"/>
      <c r="DK1150" s="47">
        <v>1</v>
      </c>
      <c r="DL1150" s="91">
        <v>15.083798882681565</v>
      </c>
      <c r="DM1150" s="91">
        <v>26.815642458100559</v>
      </c>
      <c r="DN1150" s="91">
        <v>24.581005586592177</v>
      </c>
      <c r="DO1150" s="91">
        <v>17.877094972067038</v>
      </c>
      <c r="DP1150" s="91">
        <v>6.7039106145251397</v>
      </c>
      <c r="DQ1150" s="91">
        <v>5.5865921787709496</v>
      </c>
      <c r="DR1150" s="91">
        <v>2.7932960893854748</v>
      </c>
      <c r="DS1150" s="91">
        <v>0.55865921787709494</v>
      </c>
      <c r="DT1150" s="91">
        <v>0</v>
      </c>
      <c r="DU1150" s="91">
        <v>0</v>
      </c>
      <c r="DV1150" s="91">
        <v>0</v>
      </c>
      <c r="DW1150" s="91">
        <v>0</v>
      </c>
      <c r="DX1150" s="91">
        <v>0</v>
      </c>
      <c r="DY1150" s="91">
        <v>0</v>
      </c>
      <c r="DZ1150" s="91">
        <v>0</v>
      </c>
      <c r="EA1150" s="91">
        <v>0</v>
      </c>
      <c r="EB1150" s="91">
        <v>0</v>
      </c>
      <c r="EC1150" s="91">
        <v>0</v>
      </c>
      <c r="EF1150" s="137"/>
      <c r="EG1150" s="47">
        <v>1</v>
      </c>
      <c r="EH1150" s="91">
        <v>15.384615384615385</v>
      </c>
      <c r="EI1150" s="91">
        <v>11.111111111111111</v>
      </c>
      <c r="EJ1150" s="91">
        <v>13.675213675213676</v>
      </c>
      <c r="EK1150" s="91">
        <v>7.6923076923076925</v>
      </c>
      <c r="EL1150" s="91">
        <v>8.5470085470085468</v>
      </c>
      <c r="EM1150" s="91">
        <v>15.384615384615385</v>
      </c>
      <c r="EN1150" s="91">
        <v>6.8376068376068382</v>
      </c>
      <c r="EO1150" s="91">
        <v>2.5641025641025639</v>
      </c>
      <c r="EP1150" s="91">
        <v>3.4188034188034191</v>
      </c>
      <c r="EQ1150" s="91">
        <v>8.5470085470085468</v>
      </c>
      <c r="ER1150" s="91">
        <v>0.85470085470085477</v>
      </c>
      <c r="ES1150" s="91">
        <v>0.85470085470085477</v>
      </c>
      <c r="ET1150" s="91">
        <v>1.7094017094017095</v>
      </c>
      <c r="EU1150" s="91">
        <v>0.85470085470085477</v>
      </c>
      <c r="EV1150" s="91">
        <v>0</v>
      </c>
      <c r="EW1150" s="91">
        <v>0.85470085470085477</v>
      </c>
      <c r="EX1150" s="91">
        <v>1.7094017094017095</v>
      </c>
      <c r="EY1150" s="91">
        <v>0</v>
      </c>
      <c r="FB1150" s="137"/>
      <c r="FC1150" s="47">
        <v>1</v>
      </c>
      <c r="FD1150" s="91">
        <v>15.300546448087433</v>
      </c>
      <c r="FE1150" s="91">
        <v>20.21857923497268</v>
      </c>
      <c r="FF1150" s="91">
        <v>15.846994535519126</v>
      </c>
      <c r="FG1150" s="91">
        <v>9.8360655737704921</v>
      </c>
      <c r="FH1150" s="91">
        <v>8.7431693989071047</v>
      </c>
      <c r="FI1150" s="91">
        <v>10.382513661202186</v>
      </c>
      <c r="FJ1150" s="91">
        <v>5.4644808743169397</v>
      </c>
      <c r="FK1150" s="91">
        <v>2.1857923497267762</v>
      </c>
      <c r="FL1150" s="91">
        <v>2.1857923497267762</v>
      </c>
      <c r="FM1150" s="91">
        <v>5.4644808743169397</v>
      </c>
      <c r="FN1150" s="91">
        <v>0.54644808743169404</v>
      </c>
      <c r="FO1150" s="91">
        <v>0.54644808743169404</v>
      </c>
      <c r="FP1150" s="91">
        <v>1.0928961748633881</v>
      </c>
      <c r="FQ1150" s="91">
        <v>0.54644808743169404</v>
      </c>
      <c r="FR1150" s="91">
        <v>0</v>
      </c>
      <c r="FS1150" s="91">
        <v>0.54644808743169404</v>
      </c>
      <c r="FT1150" s="91">
        <v>1.0928961748633881</v>
      </c>
      <c r="FU1150" s="91">
        <v>0</v>
      </c>
      <c r="FX1150" s="137"/>
      <c r="FY1150" s="47">
        <v>1</v>
      </c>
      <c r="FZ1150" s="103">
        <v>15.044247787610621</v>
      </c>
      <c r="GA1150" s="103">
        <v>21.238938053097346</v>
      </c>
      <c r="GB1150" s="103">
        <v>27.43362831858407</v>
      </c>
      <c r="GC1150" s="103">
        <v>20.353982300884958</v>
      </c>
      <c r="GD1150" s="103">
        <v>5.3097345132743365</v>
      </c>
      <c r="GE1150" s="103">
        <v>7.9646017699115044</v>
      </c>
      <c r="GF1150" s="103">
        <v>2.6548672566371683</v>
      </c>
      <c r="GG1150" s="103">
        <v>0</v>
      </c>
      <c r="GH1150" s="103">
        <v>0</v>
      </c>
      <c r="GI1150" s="103">
        <v>0</v>
      </c>
      <c r="GJ1150" s="103">
        <v>0</v>
      </c>
      <c r="GK1150" s="103">
        <v>0</v>
      </c>
      <c r="GL1150" s="103">
        <v>0</v>
      </c>
      <c r="GM1150" s="103">
        <v>0</v>
      </c>
      <c r="GN1150" s="103">
        <v>0</v>
      </c>
      <c r="GO1150" s="103">
        <v>0</v>
      </c>
      <c r="GP1150" s="103">
        <v>0</v>
      </c>
      <c r="GQ1150" s="103">
        <v>0</v>
      </c>
    </row>
    <row r="1151" spans="2:199" ht="15.4" x14ac:dyDescent="0.45">
      <c r="B1151" s="99"/>
      <c r="C1151" s="42"/>
      <c r="D1151" s="137"/>
      <c r="E1151" s="47" t="s">
        <v>2</v>
      </c>
      <c r="F1151" s="24">
        <v>6.5269028193741612</v>
      </c>
      <c r="G1151" s="24">
        <v>17.040173499948363</v>
      </c>
      <c r="H1151" s="24">
        <v>24.589486729319425</v>
      </c>
      <c r="I1151" s="24">
        <v>21.078178250542187</v>
      </c>
      <c r="J1151" s="24">
        <v>13.074460394505834</v>
      </c>
      <c r="K1151" s="24">
        <v>7.7765155427037076</v>
      </c>
      <c r="L1151" s="24">
        <v>3.8934214602912318</v>
      </c>
      <c r="M1151" s="24">
        <v>2.0964577093875865</v>
      </c>
      <c r="N1151" s="24">
        <v>1.5387793039347311</v>
      </c>
      <c r="O1151" s="24">
        <v>1.3012496127233295</v>
      </c>
      <c r="P1151" s="24">
        <v>0.25818444696891457</v>
      </c>
      <c r="Q1151" s="24">
        <v>0.24785706909015801</v>
      </c>
      <c r="R1151" s="24">
        <v>0.22720231333264485</v>
      </c>
      <c r="S1151" s="24">
        <v>0.11360115666632242</v>
      </c>
      <c r="T1151" s="24">
        <v>9.2946400908809249E-2</v>
      </c>
      <c r="U1151" s="24">
        <v>8.2619023030052668E-2</v>
      </c>
      <c r="V1151" s="24">
        <v>3.0982133636269751E-2</v>
      </c>
      <c r="W1151" s="24">
        <v>3.0982133636269751E-2</v>
      </c>
      <c r="Z1151" s="137"/>
      <c r="AA1151" s="47" t="s">
        <v>2</v>
      </c>
      <c r="AB1151" s="24">
        <v>5.6417489421720735</v>
      </c>
      <c r="AC1151" s="24">
        <v>16.995768688293371</v>
      </c>
      <c r="AD1151" s="24">
        <v>26.116596144804888</v>
      </c>
      <c r="AE1151" s="24">
        <v>22.708039492242595</v>
      </c>
      <c r="AF1151" s="24">
        <v>13.516690173953927</v>
      </c>
      <c r="AG1151" s="24">
        <v>6.8406205923836394</v>
      </c>
      <c r="AH1151" s="24">
        <v>3.1499764927127409</v>
      </c>
      <c r="AI1151" s="24">
        <v>1.7630465444287728</v>
      </c>
      <c r="AJ1151" s="24">
        <v>1.3164080865068171</v>
      </c>
      <c r="AK1151" s="24">
        <v>1.1283497884344147</v>
      </c>
      <c r="AL1151" s="24">
        <v>0.18805829807240243</v>
      </c>
      <c r="AM1151" s="24">
        <v>0.16455101081335213</v>
      </c>
      <c r="AN1151" s="24">
        <v>0.16455101081335213</v>
      </c>
      <c r="AO1151" s="24">
        <v>0.14104372355430184</v>
      </c>
      <c r="AP1151" s="24">
        <v>4.7014574518100608E-2</v>
      </c>
      <c r="AQ1151" s="24">
        <v>7.0521861777150918E-2</v>
      </c>
      <c r="AR1151" s="24">
        <v>2.3507287259050304E-2</v>
      </c>
      <c r="AS1151" s="24">
        <v>2.3507287259050304E-2</v>
      </c>
      <c r="AV1151" s="137"/>
      <c r="AW1151" s="47" t="s">
        <v>2</v>
      </c>
      <c r="AX1151" s="24">
        <v>7.2204825934794616</v>
      </c>
      <c r="AY1151" s="24">
        <v>17.074967765702709</v>
      </c>
      <c r="AZ1151" s="24">
        <v>23.392890034997237</v>
      </c>
      <c r="BA1151" s="24">
        <v>19.801068336710259</v>
      </c>
      <c r="BB1151" s="24">
        <v>12.727942530852829</v>
      </c>
      <c r="BC1151" s="24">
        <v>8.5098544851722231</v>
      </c>
      <c r="BD1151" s="24">
        <v>4.4759624240191567</v>
      </c>
      <c r="BE1151" s="24">
        <v>2.3577086019524773</v>
      </c>
      <c r="BF1151" s="24">
        <v>1.7130226561060971</v>
      </c>
      <c r="BG1151" s="24">
        <v>1.4367286793147911</v>
      </c>
      <c r="BH1151" s="24">
        <v>0.31313317369681343</v>
      </c>
      <c r="BI1151" s="24">
        <v>0.31313317369681343</v>
      </c>
      <c r="BJ1151" s="24">
        <v>0.27629397679130596</v>
      </c>
      <c r="BK1151" s="24">
        <v>9.2097992263768649E-2</v>
      </c>
      <c r="BL1151" s="24">
        <v>0.12893718916927613</v>
      </c>
      <c r="BM1151" s="24">
        <v>9.2097992263768649E-2</v>
      </c>
      <c r="BN1151" s="24">
        <v>3.6839196905507458E-2</v>
      </c>
      <c r="BO1151" s="24">
        <v>3.6839196905507458E-2</v>
      </c>
      <c r="BQ1151" s="42"/>
      <c r="BR1151" s="137"/>
      <c r="BS1151" s="47" t="s">
        <v>2</v>
      </c>
      <c r="BT1151" s="91">
        <v>8.5456039441248972</v>
      </c>
      <c r="BU1151" s="91">
        <v>19.535743631881676</v>
      </c>
      <c r="BV1151" s="91">
        <v>26.294165981922763</v>
      </c>
      <c r="BW1151" s="91">
        <v>20.316351684470007</v>
      </c>
      <c r="BX1151" s="91">
        <v>11.770747740345112</v>
      </c>
      <c r="BY1151" s="91">
        <v>6.6351684470008223</v>
      </c>
      <c r="BZ1151" s="91">
        <v>2.8759244042728018</v>
      </c>
      <c r="CA1151" s="91">
        <v>1.4790468364831553</v>
      </c>
      <c r="CB1151" s="91">
        <v>0.96548890714872637</v>
      </c>
      <c r="CC1151" s="91">
        <v>0.9449465899753493</v>
      </c>
      <c r="CD1151" s="91">
        <v>0.14379622021364011</v>
      </c>
      <c r="CE1151" s="91">
        <v>0.14379622021364011</v>
      </c>
      <c r="CF1151" s="91">
        <v>0.18488085456039441</v>
      </c>
      <c r="CG1151" s="91">
        <v>8.2169268693508629E-2</v>
      </c>
      <c r="CH1151" s="91">
        <v>4.1084634346754315E-2</v>
      </c>
      <c r="CI1151" s="91">
        <v>2.0542317173377157E-2</v>
      </c>
      <c r="CJ1151" s="91">
        <v>0</v>
      </c>
      <c r="CK1151" s="91">
        <v>2.0542317173377157E-2</v>
      </c>
      <c r="CN1151" s="137"/>
      <c r="CO1151" s="47" t="s">
        <v>2</v>
      </c>
      <c r="CP1151" s="91">
        <v>4.4859813084112146</v>
      </c>
      <c r="CQ1151" s="91">
        <v>14.517133956386294</v>
      </c>
      <c r="CR1151" s="91">
        <v>22.866043613707166</v>
      </c>
      <c r="CS1151" s="91">
        <v>21.848390446521286</v>
      </c>
      <c r="CT1151" s="91">
        <v>14.392523364485982</v>
      </c>
      <c r="CU1151" s="91">
        <v>8.9304257528556601</v>
      </c>
      <c r="CV1151" s="91">
        <v>4.9221183800623054</v>
      </c>
      <c r="CW1151" s="91">
        <v>2.7206645898234685</v>
      </c>
      <c r="CX1151" s="91">
        <v>2.1183800623052957</v>
      </c>
      <c r="CY1151" s="91">
        <v>1.6614745586708204</v>
      </c>
      <c r="CZ1151" s="91">
        <v>0.37383177570093462</v>
      </c>
      <c r="DA1151" s="91">
        <v>0.35306334371754933</v>
      </c>
      <c r="DB1151" s="91">
        <v>0.26998961578400832</v>
      </c>
      <c r="DC1151" s="91">
        <v>0.14537902388369678</v>
      </c>
      <c r="DD1151" s="91">
        <v>0.14537902388369678</v>
      </c>
      <c r="DE1151" s="91">
        <v>0.14537902388369678</v>
      </c>
      <c r="DF1151" s="91">
        <v>6.2305295950155763E-2</v>
      </c>
      <c r="DG1151" s="91">
        <v>4.1536863966770511E-2</v>
      </c>
      <c r="DI1151" s="42"/>
      <c r="DJ1151" s="137"/>
      <c r="DK1151" s="47" t="s">
        <v>2</v>
      </c>
      <c r="DL1151" s="91">
        <v>6.5438754117999407</v>
      </c>
      <c r="DM1151" s="91">
        <v>18.688230008984728</v>
      </c>
      <c r="DN1151" s="91">
        <v>25.771188978736149</v>
      </c>
      <c r="DO1151" s="91">
        <v>21.60826594788859</v>
      </c>
      <c r="DP1151" s="91">
        <v>13.012878107217729</v>
      </c>
      <c r="DQ1151" s="91">
        <v>7.5621443545971845</v>
      </c>
      <c r="DR1151" s="91">
        <v>3.3842467804731955</v>
      </c>
      <c r="DS1151" s="91">
        <v>1.527403414195867</v>
      </c>
      <c r="DT1151" s="91">
        <v>0.89847259658580414</v>
      </c>
      <c r="DU1151" s="91">
        <v>0.67385444743935319</v>
      </c>
      <c r="DV1151" s="91">
        <v>5.9898173105720279E-2</v>
      </c>
      <c r="DW1151" s="91">
        <v>8.9847259658580425E-2</v>
      </c>
      <c r="DX1151" s="91">
        <v>5.9898173105720279E-2</v>
      </c>
      <c r="DY1151" s="91">
        <v>2.9949086552860139E-2</v>
      </c>
      <c r="DZ1151" s="91">
        <v>1.497454327643007E-2</v>
      </c>
      <c r="EA1151" s="91">
        <v>4.4923629829290213E-2</v>
      </c>
      <c r="EB1151" s="91">
        <v>0</v>
      </c>
      <c r="EC1151" s="91">
        <v>2.9949086552860139E-2</v>
      </c>
      <c r="EF1151" s="137"/>
      <c r="EG1151" s="47" t="s">
        <v>2</v>
      </c>
      <c r="EH1151" s="91">
        <v>6.4891846921797001</v>
      </c>
      <c r="EI1151" s="91">
        <v>13.377703826955075</v>
      </c>
      <c r="EJ1151" s="91">
        <v>21.963394342762061</v>
      </c>
      <c r="EK1151" s="91">
        <v>19.900166389351082</v>
      </c>
      <c r="EL1151" s="91">
        <v>13.211314475873545</v>
      </c>
      <c r="EM1151" s="91">
        <v>8.2529118136439266</v>
      </c>
      <c r="EN1151" s="91">
        <v>5.0249584026622296</v>
      </c>
      <c r="EO1151" s="91">
        <v>3.3610648918469219</v>
      </c>
      <c r="EP1151" s="91">
        <v>2.961730449251248</v>
      </c>
      <c r="EQ1151" s="91">
        <v>2.6955074875207989</v>
      </c>
      <c r="ER1151" s="91">
        <v>0.69883527454242933</v>
      </c>
      <c r="ES1151" s="91">
        <v>0.59900166389351084</v>
      </c>
      <c r="ET1151" s="91">
        <v>0.59900166389351084</v>
      </c>
      <c r="EU1151" s="91">
        <v>0.29950083194675542</v>
      </c>
      <c r="EV1151" s="91">
        <v>0.26622296173044924</v>
      </c>
      <c r="EW1151" s="91">
        <v>0.16638935108153077</v>
      </c>
      <c r="EX1151" s="91">
        <v>9.9833610648918478E-2</v>
      </c>
      <c r="EY1151" s="91">
        <v>3.3277870216306155E-2</v>
      </c>
      <c r="FB1151" s="137"/>
      <c r="FC1151" s="47" t="s">
        <v>2</v>
      </c>
      <c r="FD1151" s="91">
        <v>7.5253256150506518</v>
      </c>
      <c r="FE1151" s="91">
        <v>13.820549927641098</v>
      </c>
      <c r="FF1151" s="91">
        <v>19.030390738060781</v>
      </c>
      <c r="FG1151" s="91">
        <v>18.089725036179448</v>
      </c>
      <c r="FH1151" s="91">
        <v>13.133140376266281</v>
      </c>
      <c r="FI1151" s="91">
        <v>9.0448625180897242</v>
      </c>
      <c r="FJ1151" s="91">
        <v>5.7887120115774238</v>
      </c>
      <c r="FK1151" s="91">
        <v>3.6903039073806077</v>
      </c>
      <c r="FL1151" s="91">
        <v>3.3646888567293773</v>
      </c>
      <c r="FM1151" s="91">
        <v>3.1476121562952244</v>
      </c>
      <c r="FN1151" s="91">
        <v>0.79594790159189577</v>
      </c>
      <c r="FO1151" s="91">
        <v>0.75976845151953698</v>
      </c>
      <c r="FP1151" s="91">
        <v>0.68740955137481907</v>
      </c>
      <c r="FQ1151" s="91">
        <v>0.39797395079594788</v>
      </c>
      <c r="FR1151" s="91">
        <v>0.32561505065123009</v>
      </c>
      <c r="FS1151" s="91">
        <v>0.25325615050651229</v>
      </c>
      <c r="FT1151" s="91">
        <v>7.2358900144717797E-2</v>
      </c>
      <c r="FU1151" s="91">
        <v>7.2358900144717797E-2</v>
      </c>
      <c r="FX1151" s="137"/>
      <c r="FY1151" s="47" t="s">
        <v>2</v>
      </c>
      <c r="FZ1151" s="103">
        <v>6.1280531868767163</v>
      </c>
      <c r="GA1151" s="103">
        <v>18.326347738112446</v>
      </c>
      <c r="GB1151" s="103">
        <v>26.810232692585632</v>
      </c>
      <c r="GC1151" s="103">
        <v>22.272004624945801</v>
      </c>
      <c r="GD1151" s="103">
        <v>13.051018933371875</v>
      </c>
      <c r="GE1151" s="103">
        <v>7.2698366816013866</v>
      </c>
      <c r="GF1151" s="103">
        <v>3.1362913715854894</v>
      </c>
      <c r="GG1151" s="103">
        <v>1.459748518572048</v>
      </c>
      <c r="GH1151" s="103">
        <v>0.80936551524786826</v>
      </c>
      <c r="GI1151" s="103">
        <v>0.56366526954762253</v>
      </c>
      <c r="GJ1151" s="103">
        <v>4.3358866888278648E-2</v>
      </c>
      <c r="GK1151" s="103">
        <v>4.3358866888278648E-2</v>
      </c>
      <c r="GL1151" s="103">
        <v>4.3358866888278648E-2</v>
      </c>
      <c r="GM1151" s="103">
        <v>0</v>
      </c>
      <c r="GN1151" s="103">
        <v>0</v>
      </c>
      <c r="GO1151" s="103">
        <v>1.4452955629426219E-2</v>
      </c>
      <c r="GP1151" s="103">
        <v>1.4452955629426219E-2</v>
      </c>
      <c r="GQ1151" s="103">
        <v>1.4452955629426219E-2</v>
      </c>
    </row>
    <row r="1152" spans="2:199" ht="15.4" x14ac:dyDescent="0.45">
      <c r="B1152" s="99"/>
      <c r="C1152" s="42"/>
      <c r="D1152" s="137"/>
      <c r="E1152" s="47" t="s">
        <v>3</v>
      </c>
      <c r="F1152" s="24">
        <v>3.7219406227371472</v>
      </c>
      <c r="G1152" s="24">
        <v>9.8624185372918163</v>
      </c>
      <c r="H1152" s="24">
        <v>17.871107892831279</v>
      </c>
      <c r="I1152" s="24">
        <v>22.679217958001448</v>
      </c>
      <c r="J1152" s="24">
        <v>19.565532223026789</v>
      </c>
      <c r="K1152" s="24">
        <v>11.73062997827661</v>
      </c>
      <c r="L1152" s="24">
        <v>7.284576393917451</v>
      </c>
      <c r="M1152" s="24">
        <v>3.446777697320782</v>
      </c>
      <c r="N1152" s="24">
        <v>1.6509775524981896</v>
      </c>
      <c r="O1152" s="24">
        <v>1.4771904417089066</v>
      </c>
      <c r="P1152" s="24">
        <v>0.23171614771904414</v>
      </c>
      <c r="Q1152" s="24">
        <v>0.18826937002172339</v>
      </c>
      <c r="R1152" s="24">
        <v>0.17378711078928313</v>
      </c>
      <c r="S1152" s="24">
        <v>4.3446777697320783E-2</v>
      </c>
      <c r="T1152" s="24">
        <v>4.3446777697320783E-2</v>
      </c>
      <c r="U1152" s="24">
        <v>1.4482259232440259E-2</v>
      </c>
      <c r="V1152" s="24">
        <v>1.4482259232440259E-2</v>
      </c>
      <c r="W1152" s="24">
        <v>0</v>
      </c>
      <c r="Z1152" s="137"/>
      <c r="AA1152" s="47" t="s">
        <v>3</v>
      </c>
      <c r="AB1152" s="24">
        <v>3.0235518777848505</v>
      </c>
      <c r="AC1152" s="24">
        <v>8.7205601527689378</v>
      </c>
      <c r="AD1152" s="24">
        <v>18.618714194780395</v>
      </c>
      <c r="AE1152" s="24">
        <v>24.538510502864415</v>
      </c>
      <c r="AF1152" s="24">
        <v>21.037555697008276</v>
      </c>
      <c r="AG1152" s="24">
        <v>11.807765754296625</v>
      </c>
      <c r="AH1152" s="24">
        <v>6.3017186505410567</v>
      </c>
      <c r="AI1152" s="24">
        <v>2.8007638446849143</v>
      </c>
      <c r="AJ1152" s="24">
        <v>1.4003819223424572</v>
      </c>
      <c r="AK1152" s="24">
        <v>1.1457670273711011</v>
      </c>
      <c r="AL1152" s="24">
        <v>0.19096117122851686</v>
      </c>
      <c r="AM1152" s="24">
        <v>0.19096117122851686</v>
      </c>
      <c r="AN1152" s="24">
        <v>0.1273074474856779</v>
      </c>
      <c r="AO1152" s="24">
        <v>6.3653723742838952E-2</v>
      </c>
      <c r="AP1152" s="24">
        <v>3.1826861871419476E-2</v>
      </c>
      <c r="AQ1152" s="24">
        <v>0</v>
      </c>
      <c r="AR1152" s="24">
        <v>0</v>
      </c>
      <c r="AS1152" s="24">
        <v>0</v>
      </c>
      <c r="AV1152" s="137"/>
      <c r="AW1152" s="47" t="s">
        <v>3</v>
      </c>
      <c r="AX1152" s="24">
        <v>4.3050757374435289</v>
      </c>
      <c r="AY1152" s="24">
        <v>10.815838426787137</v>
      </c>
      <c r="AZ1152" s="24">
        <v>17.246877491363275</v>
      </c>
      <c r="BA1152" s="24">
        <v>21.12676056338028</v>
      </c>
      <c r="BB1152" s="24">
        <v>18.336433696518736</v>
      </c>
      <c r="BC1152" s="24">
        <v>11.66622375764018</v>
      </c>
      <c r="BD1152" s="24">
        <v>8.1052351846930648</v>
      </c>
      <c r="BE1152" s="24">
        <v>3.9861812383736379</v>
      </c>
      <c r="BF1152" s="24">
        <v>1.8602179112410311</v>
      </c>
      <c r="BG1152" s="24">
        <v>1.7539197448844006</v>
      </c>
      <c r="BH1152" s="24">
        <v>0.26574541589157585</v>
      </c>
      <c r="BI1152" s="24">
        <v>0.18602179112410311</v>
      </c>
      <c r="BJ1152" s="24">
        <v>0.21259633271326067</v>
      </c>
      <c r="BK1152" s="24">
        <v>2.6574541589157584E-2</v>
      </c>
      <c r="BL1152" s="24">
        <v>5.3149083178315168E-2</v>
      </c>
      <c r="BM1152" s="24">
        <v>2.6574541589157584E-2</v>
      </c>
      <c r="BN1152" s="24">
        <v>2.6574541589157584E-2</v>
      </c>
      <c r="BO1152" s="24">
        <v>0</v>
      </c>
      <c r="BQ1152" s="42"/>
      <c r="BR1152" s="137"/>
      <c r="BS1152" s="47" t="s">
        <v>3</v>
      </c>
      <c r="BT1152" s="91">
        <v>5.4721701063164474</v>
      </c>
      <c r="BU1152" s="91">
        <v>12.445278298936834</v>
      </c>
      <c r="BV1152" s="91">
        <v>19.449656035021889</v>
      </c>
      <c r="BW1152" s="91">
        <v>22.858036272670418</v>
      </c>
      <c r="BX1152" s="91">
        <v>18.980612883051904</v>
      </c>
      <c r="BY1152" s="91">
        <v>9.4434021263289551</v>
      </c>
      <c r="BZ1152" s="91">
        <v>6.191369606003752</v>
      </c>
      <c r="CA1152" s="91">
        <v>2.782989368355222</v>
      </c>
      <c r="CB1152" s="91">
        <v>0.90681676047529702</v>
      </c>
      <c r="CC1152" s="91">
        <v>0.93808630393996251</v>
      </c>
      <c r="CD1152" s="91">
        <v>0.15634771732332708</v>
      </c>
      <c r="CE1152" s="91">
        <v>0.15634771732332708</v>
      </c>
      <c r="CF1152" s="91">
        <v>0.12507817385866166</v>
      </c>
      <c r="CG1152" s="91">
        <v>3.1269543464665414E-2</v>
      </c>
      <c r="CH1152" s="91">
        <v>3.1269543464665414E-2</v>
      </c>
      <c r="CI1152" s="91">
        <v>3.1269543464665414E-2</v>
      </c>
      <c r="CJ1152" s="91">
        <v>0</v>
      </c>
      <c r="CK1152" s="91">
        <v>0</v>
      </c>
      <c r="CN1152" s="137"/>
      <c r="CO1152" s="47" t="s">
        <v>3</v>
      </c>
      <c r="CP1152" s="91">
        <v>2.2120312921499865</v>
      </c>
      <c r="CQ1152" s="91">
        <v>7.634205557054222</v>
      </c>
      <c r="CR1152" s="91">
        <v>16.50930671702185</v>
      </c>
      <c r="CS1152" s="91">
        <v>22.524952792015107</v>
      </c>
      <c r="CT1152" s="91">
        <v>20.070137577555975</v>
      </c>
      <c r="CU1152" s="91">
        <v>13.703803614782844</v>
      </c>
      <c r="CV1152" s="91">
        <v>8.2276773671432419</v>
      </c>
      <c r="CW1152" s="91">
        <v>4.0194227137847314</v>
      </c>
      <c r="CX1152" s="91">
        <v>2.2929592662530349</v>
      </c>
      <c r="CY1152" s="91">
        <v>1.9422713784731589</v>
      </c>
      <c r="CZ1152" s="91">
        <v>0.29673590504451042</v>
      </c>
      <c r="DA1152" s="91">
        <v>0.21580793094146208</v>
      </c>
      <c r="DB1152" s="91">
        <v>0.21580793094146208</v>
      </c>
      <c r="DC1152" s="91">
        <v>5.3951982735365521E-2</v>
      </c>
      <c r="DD1152" s="91">
        <v>5.3951982735365521E-2</v>
      </c>
      <c r="DE1152" s="91">
        <v>0</v>
      </c>
      <c r="DF1152" s="91">
        <v>2.697599136768276E-2</v>
      </c>
      <c r="DG1152" s="91">
        <v>0</v>
      </c>
      <c r="DI1152" s="42"/>
      <c r="DJ1152" s="137"/>
      <c r="DK1152" s="47" t="s">
        <v>3</v>
      </c>
      <c r="DL1152" s="91">
        <v>3.6601307189542487</v>
      </c>
      <c r="DM1152" s="91">
        <v>10.457516339869281</v>
      </c>
      <c r="DN1152" s="91">
        <v>18.483660130718953</v>
      </c>
      <c r="DO1152" s="91">
        <v>22.84967320261438</v>
      </c>
      <c r="DP1152" s="91">
        <v>19.58169934640523</v>
      </c>
      <c r="DQ1152" s="91">
        <v>10.771241830065359</v>
      </c>
      <c r="DR1152" s="91">
        <v>6.8758169934640527</v>
      </c>
      <c r="DS1152" s="91">
        <v>3.9738562091503269</v>
      </c>
      <c r="DT1152" s="91">
        <v>1.5686274509803921</v>
      </c>
      <c r="DU1152" s="91">
        <v>1.4901960784313726</v>
      </c>
      <c r="DV1152" s="91">
        <v>0.10457516339869283</v>
      </c>
      <c r="DW1152" s="91">
        <v>5.2287581699346414E-2</v>
      </c>
      <c r="DX1152" s="91">
        <v>0.10457516339869283</v>
      </c>
      <c r="DY1152" s="91">
        <v>0</v>
      </c>
      <c r="DZ1152" s="91">
        <v>2.6143790849673207E-2</v>
      </c>
      <c r="EA1152" s="91">
        <v>0</v>
      </c>
      <c r="EB1152" s="91">
        <v>0</v>
      </c>
      <c r="EC1152" s="91">
        <v>0</v>
      </c>
      <c r="EF1152" s="137"/>
      <c r="EG1152" s="47" t="s">
        <v>3</v>
      </c>
      <c r="EH1152" s="91">
        <v>3.7987012987012987</v>
      </c>
      <c r="EI1152" s="91">
        <v>9.1233766233766236</v>
      </c>
      <c r="EJ1152" s="91">
        <v>17.11038961038961</v>
      </c>
      <c r="EK1152" s="91">
        <v>22.467532467532468</v>
      </c>
      <c r="EL1152" s="91">
        <v>19.545454545454547</v>
      </c>
      <c r="EM1152" s="91">
        <v>12.922077922077921</v>
      </c>
      <c r="EN1152" s="91">
        <v>7.7922077922077921</v>
      </c>
      <c r="EO1152" s="91">
        <v>2.7922077922077921</v>
      </c>
      <c r="EP1152" s="91">
        <v>1.7532467532467531</v>
      </c>
      <c r="EQ1152" s="91">
        <v>1.4610389610389609</v>
      </c>
      <c r="ER1152" s="91">
        <v>0.38961038961038963</v>
      </c>
      <c r="ES1152" s="91">
        <v>0.35714285714285715</v>
      </c>
      <c r="ET1152" s="91">
        <v>0.25974025974025972</v>
      </c>
      <c r="EU1152" s="91">
        <v>9.7402597402597407E-2</v>
      </c>
      <c r="EV1152" s="91">
        <v>6.4935064935064929E-2</v>
      </c>
      <c r="EW1152" s="91">
        <v>3.2467532467532464E-2</v>
      </c>
      <c r="EX1152" s="91">
        <v>3.2467532467532464E-2</v>
      </c>
      <c r="EY1152" s="91">
        <v>0</v>
      </c>
      <c r="FB1152" s="137"/>
      <c r="FC1152" s="47" t="s">
        <v>3</v>
      </c>
      <c r="FD1152" s="91">
        <v>4.2148198504418763</v>
      </c>
      <c r="FE1152" s="103">
        <v>7.2739632902787221</v>
      </c>
      <c r="FF1152" s="103">
        <v>13.596193065941536</v>
      </c>
      <c r="FG1152" s="103">
        <v>19.03467029231815</v>
      </c>
      <c r="FH1152" s="103">
        <v>18.558803535010195</v>
      </c>
      <c r="FI1152" s="103">
        <v>12.984364377974167</v>
      </c>
      <c r="FJ1152" s="103">
        <v>10.333106730115569</v>
      </c>
      <c r="FK1152" s="103">
        <v>5.3025152957171997</v>
      </c>
      <c r="FL1152" s="103">
        <v>2.8552005438477224</v>
      </c>
      <c r="FM1152" s="103">
        <v>2.9911624745071381</v>
      </c>
      <c r="FN1152" s="103">
        <v>1.0197144799456153</v>
      </c>
      <c r="FO1152" s="103">
        <v>0.74779061862678453</v>
      </c>
      <c r="FP1152" s="103">
        <v>0.61182868796736911</v>
      </c>
      <c r="FQ1152" s="103">
        <v>0.20394289598912305</v>
      </c>
      <c r="FR1152" s="103">
        <v>0.13596193065941536</v>
      </c>
      <c r="FS1152" s="103">
        <v>6.7980965329707682E-2</v>
      </c>
      <c r="FT1152" s="103">
        <v>6.7980965329707682E-2</v>
      </c>
      <c r="FU1152" s="103">
        <v>0</v>
      </c>
      <c r="FX1152" s="137"/>
      <c r="FY1152" s="47" t="s">
        <v>3</v>
      </c>
      <c r="FZ1152" s="103">
        <v>3.5885167464114831</v>
      </c>
      <c r="GA1152" s="103">
        <v>10.56312108943688</v>
      </c>
      <c r="GB1152" s="103">
        <v>19.02834008097166</v>
      </c>
      <c r="GC1152" s="103">
        <v>23.665807876334192</v>
      </c>
      <c r="GD1152" s="103">
        <v>19.838056680161944</v>
      </c>
      <c r="GE1152" s="103">
        <v>11.39124033860876</v>
      </c>
      <c r="GF1152" s="103">
        <v>6.4593301435406705</v>
      </c>
      <c r="GG1152" s="103">
        <v>2.9444239970555763</v>
      </c>
      <c r="GH1152" s="103">
        <v>1.3249907986750091</v>
      </c>
      <c r="GI1152" s="103">
        <v>1.0673536989326464</v>
      </c>
      <c r="GJ1152" s="103">
        <v>1.8402649981597349E-2</v>
      </c>
      <c r="GK1152" s="103">
        <v>3.6805299963194697E-2</v>
      </c>
      <c r="GL1152" s="103">
        <v>5.5207949944792056E-2</v>
      </c>
      <c r="GM1152" s="103">
        <v>0</v>
      </c>
      <c r="GN1152" s="103">
        <v>1.8402649981597349E-2</v>
      </c>
      <c r="GO1152" s="103">
        <v>0</v>
      </c>
      <c r="GP1152" s="103">
        <v>0</v>
      </c>
      <c r="GQ1152" s="103">
        <v>0</v>
      </c>
    </row>
    <row r="1153" spans="2:199" ht="15.4" x14ac:dyDescent="0.45">
      <c r="B1153" s="99"/>
      <c r="C1153" s="42"/>
      <c r="D1153" s="137"/>
      <c r="E1153" s="47" t="s">
        <v>4</v>
      </c>
      <c r="F1153" s="24">
        <v>3.0263646490902336</v>
      </c>
      <c r="G1153" s="24">
        <v>7.3059784626810247</v>
      </c>
      <c r="H1153" s="24">
        <v>15.066839955440029</v>
      </c>
      <c r="I1153" s="24">
        <v>20.38618640920906</v>
      </c>
      <c r="J1153" s="24">
        <v>20.311919792053473</v>
      </c>
      <c r="K1153" s="24">
        <v>14.519123653917564</v>
      </c>
      <c r="L1153" s="24">
        <v>9.0512439658373562</v>
      </c>
      <c r="M1153" s="24">
        <v>4.1496472335685111</v>
      </c>
      <c r="N1153" s="24">
        <v>2.9335313776457483</v>
      </c>
      <c r="O1153" s="24">
        <v>2.2558484961010024</v>
      </c>
      <c r="P1153" s="24">
        <v>0.3620497586334942</v>
      </c>
      <c r="Q1153" s="24">
        <v>0.26921648718900854</v>
      </c>
      <c r="R1153" s="24">
        <v>0.13924990716672855</v>
      </c>
      <c r="S1153" s="24">
        <v>0.10211659858893427</v>
      </c>
      <c r="T1153" s="24">
        <v>7.4266617155588563E-2</v>
      </c>
      <c r="U1153" s="24">
        <v>2.7849981433345709E-2</v>
      </c>
      <c r="V1153" s="24">
        <v>1.8566654288897141E-2</v>
      </c>
      <c r="W1153" s="24">
        <v>0</v>
      </c>
      <c r="Z1153" s="137"/>
      <c r="AA1153" s="47" t="s">
        <v>4</v>
      </c>
      <c r="AB1153" s="24">
        <v>2.2222222222222223</v>
      </c>
      <c r="AC1153" s="24">
        <v>5.9193706981317602</v>
      </c>
      <c r="AD1153" s="24">
        <v>15.063913470993118</v>
      </c>
      <c r="AE1153" s="24">
        <v>21.76991150442478</v>
      </c>
      <c r="AF1153" s="24">
        <v>21.789577187807279</v>
      </c>
      <c r="AG1153" s="24">
        <v>14.57227138643068</v>
      </c>
      <c r="AH1153" s="24">
        <v>8.9872173058013765</v>
      </c>
      <c r="AI1153" s="24">
        <v>3.8348082595870205</v>
      </c>
      <c r="AJ1153" s="24">
        <v>2.831858407079646</v>
      </c>
      <c r="AK1153" s="24">
        <v>1.7699115044247788</v>
      </c>
      <c r="AL1153" s="24">
        <v>0.51130776794493615</v>
      </c>
      <c r="AM1153" s="24">
        <v>0.27531956735496554</v>
      </c>
      <c r="AN1153" s="24">
        <v>0.17699115044247787</v>
      </c>
      <c r="AO1153" s="24">
        <v>0.13765978367748277</v>
      </c>
      <c r="AP1153" s="24">
        <v>9.8328416912487712E-2</v>
      </c>
      <c r="AQ1153" s="24">
        <v>3.9331366764995088E-2</v>
      </c>
      <c r="AR1153" s="24">
        <v>0</v>
      </c>
      <c r="AS1153" s="24">
        <v>0</v>
      </c>
      <c r="AV1153" s="137"/>
      <c r="AW1153" s="47" t="s">
        <v>4</v>
      </c>
      <c r="AX1153" s="24">
        <v>3.7453842096008438</v>
      </c>
      <c r="AY1153" s="24">
        <v>8.5458062247230533</v>
      </c>
      <c r="AZ1153" s="24">
        <v>15.069456655530155</v>
      </c>
      <c r="BA1153" s="24">
        <v>19.148936170212767</v>
      </c>
      <c r="BB1153" s="24">
        <v>18.99068049938456</v>
      </c>
      <c r="BC1153" s="24">
        <v>14.471601899068052</v>
      </c>
      <c r="BD1153" s="24">
        <v>9.1084930543344473</v>
      </c>
      <c r="BE1153" s="24">
        <v>4.4311587831897308</v>
      </c>
      <c r="BF1153" s="24">
        <v>3.0244417091612448</v>
      </c>
      <c r="BG1153" s="24">
        <v>2.6903464040794796</v>
      </c>
      <c r="BH1153" s="24">
        <v>0.22859152452962897</v>
      </c>
      <c r="BI1153" s="24">
        <v>0.26375945138034113</v>
      </c>
      <c r="BJ1153" s="24">
        <v>0.10550378055213644</v>
      </c>
      <c r="BK1153" s="24">
        <v>7.0335853701424297E-2</v>
      </c>
      <c r="BL1153" s="24">
        <v>5.275189027606822E-2</v>
      </c>
      <c r="BM1153" s="24">
        <v>1.7583963425356074E-2</v>
      </c>
      <c r="BN1153" s="24">
        <v>3.5167926850712149E-2</v>
      </c>
      <c r="BO1153" s="24">
        <v>0</v>
      </c>
      <c r="BQ1153" s="42"/>
      <c r="BR1153" s="137"/>
      <c r="BS1153" s="47" t="s">
        <v>4</v>
      </c>
      <c r="BT1153" s="91">
        <v>4.1135936521194409</v>
      </c>
      <c r="BU1153" s="91">
        <v>8.9580288160367498</v>
      </c>
      <c r="BV1153" s="91">
        <v>17.707245771559823</v>
      </c>
      <c r="BW1153" s="91">
        <v>21.361453330549175</v>
      </c>
      <c r="BX1153" s="91">
        <v>20.004176237210274</v>
      </c>
      <c r="BY1153" s="91">
        <v>12.090206723741909</v>
      </c>
      <c r="BZ1153" s="91">
        <v>7.8930883274169972</v>
      </c>
      <c r="CA1153" s="91">
        <v>3.4662768845270411</v>
      </c>
      <c r="CB1153" s="91">
        <v>2.2134057214449778</v>
      </c>
      <c r="CC1153" s="91">
        <v>1.4825642096471079</v>
      </c>
      <c r="CD1153" s="91">
        <v>0.2505742326164126</v>
      </c>
      <c r="CE1153" s="91">
        <v>0.14616830235957404</v>
      </c>
      <c r="CF1153" s="91">
        <v>8.3524744205470874E-2</v>
      </c>
      <c r="CG1153" s="91">
        <v>0.10440593025683859</v>
      </c>
      <c r="CH1153" s="91">
        <v>8.3524744205470874E-2</v>
      </c>
      <c r="CI1153" s="91">
        <v>4.1762372102735437E-2</v>
      </c>
      <c r="CJ1153" s="91">
        <v>0</v>
      </c>
      <c r="CK1153" s="91">
        <v>0</v>
      </c>
      <c r="CN1153" s="137"/>
      <c r="CO1153" s="47" t="s">
        <v>4</v>
      </c>
      <c r="CP1153" s="91">
        <v>2.1561089754303859</v>
      </c>
      <c r="CQ1153" s="91">
        <v>5.9836202573959554</v>
      </c>
      <c r="CR1153" s="91">
        <v>12.953367875647666</v>
      </c>
      <c r="CS1153" s="91">
        <v>19.605549055657697</v>
      </c>
      <c r="CT1153" s="91">
        <v>20.558248370382749</v>
      </c>
      <c r="CU1153" s="91">
        <v>16.463312719371554</v>
      </c>
      <c r="CV1153" s="91">
        <v>9.9782717700150432</v>
      </c>
      <c r="CW1153" s="91">
        <v>4.6966404813638647</v>
      </c>
      <c r="CX1153" s="91">
        <v>3.509944843723884</v>
      </c>
      <c r="CY1153" s="91">
        <v>2.8748119672405146</v>
      </c>
      <c r="CZ1153" s="91">
        <v>0.45127862276449943</v>
      </c>
      <c r="DA1153" s="91">
        <v>0.36770850743774025</v>
      </c>
      <c r="DB1153" s="91">
        <v>0.18385425371887013</v>
      </c>
      <c r="DC1153" s="91">
        <v>0.10028413839211098</v>
      </c>
      <c r="DD1153" s="91">
        <v>6.6856092261407332E-2</v>
      </c>
      <c r="DE1153" s="91">
        <v>1.6714023065351833E-2</v>
      </c>
      <c r="DF1153" s="91">
        <v>3.3428046130703666E-2</v>
      </c>
      <c r="DG1153" s="91">
        <v>0</v>
      </c>
      <c r="DI1153" s="42"/>
      <c r="DJ1153" s="137"/>
      <c r="DK1153" s="47" t="s">
        <v>4</v>
      </c>
      <c r="DL1153" s="91">
        <v>3.2672849915682969</v>
      </c>
      <c r="DM1153" s="91">
        <v>8.3684654300168635</v>
      </c>
      <c r="DN1153" s="91">
        <v>16.926644182124789</v>
      </c>
      <c r="DO1153" s="91">
        <v>20.467959527824618</v>
      </c>
      <c r="DP1153" s="91">
        <v>19.688026981450253</v>
      </c>
      <c r="DQ1153" s="91">
        <v>13.680438448566608</v>
      </c>
      <c r="DR1153" s="91">
        <v>9.021922428330523</v>
      </c>
      <c r="DS1153" s="91">
        <v>3.3937605396290054</v>
      </c>
      <c r="DT1153" s="91">
        <v>2.6770657672849913</v>
      </c>
      <c r="DU1153" s="91">
        <v>2.0236087689713322</v>
      </c>
      <c r="DV1153" s="91">
        <v>0.16863406408094433</v>
      </c>
      <c r="DW1153" s="91">
        <v>0.1897133220910624</v>
      </c>
      <c r="DX1153" s="91">
        <v>6.3237774030354132E-2</v>
      </c>
      <c r="DY1153" s="91">
        <v>4.2158516020236084E-2</v>
      </c>
      <c r="DZ1153" s="91">
        <v>2.1079258010118042E-2</v>
      </c>
      <c r="EA1153" s="91">
        <v>0</v>
      </c>
      <c r="EB1153" s="91">
        <v>0</v>
      </c>
      <c r="EC1153" s="91">
        <v>0</v>
      </c>
      <c r="EF1153" s="137"/>
      <c r="EG1153" s="47" t="s">
        <v>4</v>
      </c>
      <c r="EH1153" s="91">
        <v>2.8367617783676176</v>
      </c>
      <c r="EI1153" s="91">
        <v>6.4698075646980753</v>
      </c>
      <c r="EJ1153" s="91">
        <v>13.603185136031851</v>
      </c>
      <c r="EK1153" s="91">
        <v>20.321831453218316</v>
      </c>
      <c r="EL1153" s="91">
        <v>20.802919708029197</v>
      </c>
      <c r="EM1153" s="91">
        <v>15.17916390179164</v>
      </c>
      <c r="EN1153" s="91">
        <v>9.0743198407431986</v>
      </c>
      <c r="EO1153" s="91">
        <v>4.7445255474452548</v>
      </c>
      <c r="EP1153" s="91">
        <v>3.1353682813536827</v>
      </c>
      <c r="EQ1153" s="91">
        <v>2.4386197743861979</v>
      </c>
      <c r="ER1153" s="91">
        <v>0.51426675514266751</v>
      </c>
      <c r="ES1153" s="91">
        <v>0.33178500331785005</v>
      </c>
      <c r="ET1153" s="91">
        <v>0.19907100199071004</v>
      </c>
      <c r="EU1153" s="91">
        <v>0.14930325149303253</v>
      </c>
      <c r="EV1153" s="91">
        <v>0.1161247511612475</v>
      </c>
      <c r="EW1153" s="91">
        <v>4.976775049767751E-2</v>
      </c>
      <c r="EX1153" s="91">
        <v>3.3178500331785002E-2</v>
      </c>
      <c r="EY1153" s="91">
        <v>0</v>
      </c>
      <c r="FB1153" s="137"/>
      <c r="FC1153" s="47" t="s">
        <v>4</v>
      </c>
      <c r="FD1153" s="91">
        <v>2.8248587570621471</v>
      </c>
      <c r="FE1153" s="103">
        <v>4.8022598870056497</v>
      </c>
      <c r="FF1153" s="103">
        <v>11.534839924670433</v>
      </c>
      <c r="FG1153" s="103">
        <v>16.854990583804145</v>
      </c>
      <c r="FH1153" s="103">
        <v>17.231638418079097</v>
      </c>
      <c r="FI1153" s="103">
        <v>15.065913370998116</v>
      </c>
      <c r="FJ1153" s="103">
        <v>11.158192090395481</v>
      </c>
      <c r="FK1153" s="103">
        <v>6.8267419962335225</v>
      </c>
      <c r="FL1153" s="103">
        <v>5.1318267419962336</v>
      </c>
      <c r="FM1153" s="103">
        <v>4.849340866290019</v>
      </c>
      <c r="FN1153" s="103">
        <v>1.4124293785310735</v>
      </c>
      <c r="FO1153" s="103">
        <v>0.80037664783427498</v>
      </c>
      <c r="FP1153" s="103">
        <v>0.56497175141242939</v>
      </c>
      <c r="FQ1153" s="103">
        <v>0.42372881355932202</v>
      </c>
      <c r="FR1153" s="103">
        <v>0.2824858757062147</v>
      </c>
      <c r="FS1153" s="103">
        <v>0.14124293785310735</v>
      </c>
      <c r="FT1153" s="103">
        <v>9.4161958568738227E-2</v>
      </c>
      <c r="FU1153" s="103">
        <v>0</v>
      </c>
      <c r="FX1153" s="137"/>
      <c r="FY1153" s="47" t="s">
        <v>4</v>
      </c>
      <c r="FZ1153" s="103">
        <v>3.0758556891766884</v>
      </c>
      <c r="GA1153" s="103">
        <v>7.9209065679926001</v>
      </c>
      <c r="GB1153" s="103">
        <v>15.934320074005552</v>
      </c>
      <c r="GC1153" s="103">
        <v>21.253469010175763</v>
      </c>
      <c r="GD1153" s="103">
        <v>21.068455134135061</v>
      </c>
      <c r="GE1153" s="103">
        <v>14.384828862164662</v>
      </c>
      <c r="GF1153" s="103">
        <v>8.5337650323774294</v>
      </c>
      <c r="GG1153" s="103">
        <v>3.4921369102682704</v>
      </c>
      <c r="GH1153" s="103">
        <v>2.3936170212765959</v>
      </c>
      <c r="GI1153" s="103">
        <v>1.6188714153561516</v>
      </c>
      <c r="GJ1153" s="103">
        <v>0.10407030527289547</v>
      </c>
      <c r="GK1153" s="103">
        <v>0.13876040703052728</v>
      </c>
      <c r="GL1153" s="103">
        <v>3.4690101757631819E-2</v>
      </c>
      <c r="GM1153" s="103">
        <v>2.3126734505087884E-2</v>
      </c>
      <c r="GN1153" s="103">
        <v>2.3126734505087884E-2</v>
      </c>
      <c r="GO1153" s="103">
        <v>0</v>
      </c>
      <c r="GP1153" s="103">
        <v>0</v>
      </c>
      <c r="GQ1153" s="103">
        <v>0</v>
      </c>
    </row>
    <row r="1154" spans="2:199" ht="15.4" x14ac:dyDescent="0.45">
      <c r="B1154" s="99"/>
      <c r="C1154" s="42"/>
      <c r="D1154" s="137"/>
      <c r="E1154" s="47" t="s">
        <v>5</v>
      </c>
      <c r="F1154" s="24">
        <v>2.4798094843652931</v>
      </c>
      <c r="G1154" s="24">
        <v>4.8198384758749224</v>
      </c>
      <c r="H1154" s="24">
        <v>10.302340028991509</v>
      </c>
      <c r="I1154" s="24">
        <v>17.032511907227168</v>
      </c>
      <c r="J1154" s="24">
        <v>20.164630358252225</v>
      </c>
      <c r="K1154" s="24">
        <v>17.369020501138952</v>
      </c>
      <c r="L1154" s="24">
        <v>12.549182025264031</v>
      </c>
      <c r="M1154" s="24">
        <v>6.357423897287223</v>
      </c>
      <c r="N1154" s="24">
        <v>4.1054048457237524</v>
      </c>
      <c r="O1154" s="24">
        <v>3.2304825015531167</v>
      </c>
      <c r="P1154" s="24">
        <v>0.55394491613170427</v>
      </c>
      <c r="Q1154" s="24">
        <v>0.41934147856699105</v>
      </c>
      <c r="R1154" s="24">
        <v>0.28991509629322837</v>
      </c>
      <c r="S1154" s="24">
        <v>0.16048871401946574</v>
      </c>
      <c r="T1154" s="24">
        <v>8.2832884655208119E-2</v>
      </c>
      <c r="U1154" s="24">
        <v>4.6593497618554566E-2</v>
      </c>
      <c r="V1154" s="24">
        <v>5.1770552909505075E-3</v>
      </c>
      <c r="W1154" s="24">
        <v>3.1062331745703043E-2</v>
      </c>
      <c r="Z1154" s="137"/>
      <c r="AA1154" s="47" t="s">
        <v>5</v>
      </c>
      <c r="AB1154" s="24">
        <v>2.0359405837748001</v>
      </c>
      <c r="AC1154" s="24">
        <v>3.5005713098576918</v>
      </c>
      <c r="AD1154" s="24">
        <v>9.5772307053079881</v>
      </c>
      <c r="AE1154" s="24">
        <v>17.67944323257505</v>
      </c>
      <c r="AF1154" s="24">
        <v>21.252726706138983</v>
      </c>
      <c r="AG1154" s="24">
        <v>18.427339773553548</v>
      </c>
      <c r="AH1154" s="24">
        <v>12.56881686922198</v>
      </c>
      <c r="AI1154" s="24">
        <v>6.1285966552404698</v>
      </c>
      <c r="AJ1154" s="24">
        <v>4.2588553027942249</v>
      </c>
      <c r="AK1154" s="24">
        <v>3.0746857795782696</v>
      </c>
      <c r="AL1154" s="24">
        <v>0.47782279006959594</v>
      </c>
      <c r="AM1154" s="24">
        <v>0.46743533811156124</v>
      </c>
      <c r="AN1154" s="24">
        <v>0.30123610678300611</v>
      </c>
      <c r="AO1154" s="24">
        <v>0.1454243274124857</v>
      </c>
      <c r="AP1154" s="24">
        <v>6.232471174820816E-2</v>
      </c>
      <c r="AQ1154" s="24">
        <v>1.0387451958034694E-2</v>
      </c>
      <c r="AR1154" s="24">
        <v>0</v>
      </c>
      <c r="AS1154" s="24">
        <v>3.116235587410408E-2</v>
      </c>
      <c r="AV1154" s="137"/>
      <c r="AW1154" s="47" t="s">
        <v>5</v>
      </c>
      <c r="AX1154" s="24">
        <v>2.9208380637836724</v>
      </c>
      <c r="AY1154" s="24">
        <v>6.1306636391784499</v>
      </c>
      <c r="AZ1154" s="24">
        <v>11.022809371452162</v>
      </c>
      <c r="BA1154" s="24">
        <v>16.389720301372691</v>
      </c>
      <c r="BB1154" s="24">
        <v>19.083496748890493</v>
      </c>
      <c r="BC1154" s="24">
        <v>16.317473423469913</v>
      </c>
      <c r="BD1154" s="24">
        <v>12.529672824852925</v>
      </c>
      <c r="BE1154" s="24">
        <v>6.584786871710187</v>
      </c>
      <c r="BF1154" s="24">
        <v>3.9529363195376197</v>
      </c>
      <c r="BG1154" s="24">
        <v>3.3852822788729489</v>
      </c>
      <c r="BH1154" s="24">
        <v>0.62957993600990814</v>
      </c>
      <c r="BI1154" s="24">
        <v>0.3715553720714212</v>
      </c>
      <c r="BJ1154" s="24">
        <v>0.27866652905356593</v>
      </c>
      <c r="BK1154" s="24">
        <v>0.17545670347817113</v>
      </c>
      <c r="BL1154" s="24">
        <v>0.10320982557539476</v>
      </c>
      <c r="BM1154" s="24">
        <v>8.2567860460315834E-2</v>
      </c>
      <c r="BN1154" s="24">
        <v>1.0320982557539479E-2</v>
      </c>
      <c r="BO1154" s="24">
        <v>3.0962947672618431E-2</v>
      </c>
      <c r="BQ1154" s="42"/>
      <c r="BR1154" s="137"/>
      <c r="BS1154" s="47" t="s">
        <v>5</v>
      </c>
      <c r="BT1154" s="91">
        <v>3.427603284243451</v>
      </c>
      <c r="BU1154" s="91">
        <v>6.9725009774534081</v>
      </c>
      <c r="BV1154" s="91">
        <v>13.084842955819106</v>
      </c>
      <c r="BW1154" s="91">
        <v>19.770624266909945</v>
      </c>
      <c r="BX1154" s="91">
        <v>20.774143099178939</v>
      </c>
      <c r="BY1154" s="91">
        <v>15.365567574612276</v>
      </c>
      <c r="BZ1154" s="91">
        <v>9.8005995047569403</v>
      </c>
      <c r="CA1154" s="91">
        <v>4.8090707676267437</v>
      </c>
      <c r="CB1154" s="91">
        <v>2.9193275120552586</v>
      </c>
      <c r="CC1154" s="91">
        <v>1.902775967678874</v>
      </c>
      <c r="CD1154" s="91">
        <v>0.39098136322168647</v>
      </c>
      <c r="CE1154" s="91">
        <v>0.3258178026847387</v>
      </c>
      <c r="CF1154" s="91">
        <v>0.20852339371823275</v>
      </c>
      <c r="CG1154" s="91">
        <v>0.11729440896650592</v>
      </c>
      <c r="CH1154" s="91">
        <v>5.2130848429558188E-2</v>
      </c>
      <c r="CI1154" s="91">
        <v>5.2130848429558188E-2</v>
      </c>
      <c r="CJ1154" s="91">
        <v>0</v>
      </c>
      <c r="CK1154" s="91">
        <v>2.6065424214779094E-2</v>
      </c>
      <c r="CN1154" s="137"/>
      <c r="CO1154" s="47" t="s">
        <v>5</v>
      </c>
      <c r="CP1154" s="91">
        <v>1.8551919608348364</v>
      </c>
      <c r="CQ1154" s="91">
        <v>3.4011852615305336</v>
      </c>
      <c r="CR1154" s="91">
        <v>8.4686077471442065</v>
      </c>
      <c r="CS1154" s="91">
        <v>15.228034011852614</v>
      </c>
      <c r="CT1154" s="91">
        <v>19.762947693893327</v>
      </c>
      <c r="CU1154" s="91">
        <v>18.689341235076871</v>
      </c>
      <c r="CV1154" s="91">
        <v>14.360559993128918</v>
      </c>
      <c r="CW1154" s="91">
        <v>7.3778235849866869</v>
      </c>
      <c r="CX1154" s="91">
        <v>4.8870566005325085</v>
      </c>
      <c r="CY1154" s="91">
        <v>4.1054710985141289</v>
      </c>
      <c r="CZ1154" s="91">
        <v>0.66134157863093701</v>
      </c>
      <c r="DA1154" s="91">
        <v>0.48097569354977238</v>
      </c>
      <c r="DB1154" s="91">
        <v>0.34355406682126599</v>
      </c>
      <c r="DC1154" s="91">
        <v>0.1889547367516963</v>
      </c>
      <c r="DD1154" s="91">
        <v>0.1030662200463798</v>
      </c>
      <c r="DE1154" s="91">
        <v>4.2944258352658249E-2</v>
      </c>
      <c r="DF1154" s="91">
        <v>8.5888516705316508E-3</v>
      </c>
      <c r="DG1154" s="91">
        <v>3.4355406682126603E-2</v>
      </c>
      <c r="DI1154" s="42"/>
      <c r="DJ1154" s="137"/>
      <c r="DK1154" s="47" t="s">
        <v>5</v>
      </c>
      <c r="DL1154" s="91">
        <v>2.8110445775116433</v>
      </c>
      <c r="DM1154" s="91">
        <v>6.5701929474384562</v>
      </c>
      <c r="DN1154" s="91">
        <v>13.107119095143046</v>
      </c>
      <c r="DO1154" s="91">
        <v>18.496340652029275</v>
      </c>
      <c r="DP1154" s="91">
        <v>19.527611443779108</v>
      </c>
      <c r="DQ1154" s="91">
        <v>15.818363273453093</v>
      </c>
      <c r="DR1154" s="91">
        <v>10.961410512308715</v>
      </c>
      <c r="DS1154" s="91">
        <v>5.5721889554224884</v>
      </c>
      <c r="DT1154" s="91">
        <v>3.2268795741849634</v>
      </c>
      <c r="DU1154" s="91">
        <v>2.8775781769793745</v>
      </c>
      <c r="DV1154" s="91">
        <v>0.39920159680638717</v>
      </c>
      <c r="DW1154" s="91">
        <v>0.2661343978709248</v>
      </c>
      <c r="DX1154" s="91">
        <v>0.14970059880239522</v>
      </c>
      <c r="DY1154" s="91">
        <v>0.1330671989354624</v>
      </c>
      <c r="DZ1154" s="91">
        <v>6.65335994677312E-2</v>
      </c>
      <c r="EA1154" s="91">
        <v>1.66333998669328E-2</v>
      </c>
      <c r="EB1154" s="91">
        <v>0</v>
      </c>
      <c r="EC1154" s="91">
        <v>0</v>
      </c>
      <c r="EF1154" s="137"/>
      <c r="EG1154" s="47" t="s">
        <v>5</v>
      </c>
      <c r="EH1154" s="91">
        <v>2.3301262778111846</v>
      </c>
      <c r="EI1154" s="91">
        <v>4.0288634996993391</v>
      </c>
      <c r="EJ1154" s="91">
        <v>9.0348767288033685</v>
      </c>
      <c r="EK1154" s="91">
        <v>16.371016235718582</v>
      </c>
      <c r="EL1154" s="91">
        <v>20.452495490078171</v>
      </c>
      <c r="EM1154" s="91">
        <v>18.069753457606737</v>
      </c>
      <c r="EN1154" s="91">
        <v>13.266686710763681</v>
      </c>
      <c r="EO1154" s="91">
        <v>6.7122669873722192</v>
      </c>
      <c r="EP1154" s="91">
        <v>4.5024052916416117</v>
      </c>
      <c r="EQ1154" s="91">
        <v>3.3899579073962718</v>
      </c>
      <c r="ER1154" s="91">
        <v>0.62387251954299461</v>
      </c>
      <c r="ES1154" s="91">
        <v>0.48857486470234518</v>
      </c>
      <c r="ET1154" s="91">
        <v>0.35327720986169575</v>
      </c>
      <c r="EU1154" s="91">
        <v>0.17288033674082984</v>
      </c>
      <c r="EV1154" s="91">
        <v>9.0198436560432957E-2</v>
      </c>
      <c r="EW1154" s="91">
        <v>6.0132291040288638E-2</v>
      </c>
      <c r="EX1154" s="91">
        <v>7.5165363800360797E-3</v>
      </c>
      <c r="EY1154" s="91">
        <v>4.5099218280216478E-2</v>
      </c>
      <c r="FB1154" s="137"/>
      <c r="FC1154" s="47" t="s">
        <v>5</v>
      </c>
      <c r="FD1154" s="91">
        <v>2.9108550636749544</v>
      </c>
      <c r="FE1154" s="103">
        <v>3.0927835051546393</v>
      </c>
      <c r="FF1154" s="103">
        <v>7.9745300181928434</v>
      </c>
      <c r="FG1154" s="103">
        <v>13.220133414190419</v>
      </c>
      <c r="FH1154" s="103">
        <v>17.131594906003638</v>
      </c>
      <c r="FI1154" s="103">
        <v>15.797453001819283</v>
      </c>
      <c r="FJ1154" s="103">
        <v>14.342025469981806</v>
      </c>
      <c r="FK1154" s="103">
        <v>8.5506367495451787</v>
      </c>
      <c r="FL1154" s="103">
        <v>6.5494238932686484</v>
      </c>
      <c r="FM1154" s="103">
        <v>5.7004244996967861</v>
      </c>
      <c r="FN1154" s="103">
        <v>1.3038204972710734</v>
      </c>
      <c r="FO1154" s="103">
        <v>1.2128562765312312</v>
      </c>
      <c r="FP1154" s="103">
        <v>0.97028502122498483</v>
      </c>
      <c r="FQ1154" s="103">
        <v>0.57610673135233481</v>
      </c>
      <c r="FR1154" s="103">
        <v>0.27289266221952696</v>
      </c>
      <c r="FS1154" s="103">
        <v>0.18192844147968465</v>
      </c>
      <c r="FT1154" s="103">
        <v>3.0321406913280776E-2</v>
      </c>
      <c r="FU1154" s="103">
        <v>0.18192844147968465</v>
      </c>
      <c r="FX1154" s="137"/>
      <c r="FY1154" s="47" t="s">
        <v>5</v>
      </c>
      <c r="FZ1154" s="103">
        <v>2.3910600574353853</v>
      </c>
      <c r="GA1154" s="103">
        <v>5.1754276439006119</v>
      </c>
      <c r="GB1154" s="103">
        <v>10.781620676738669</v>
      </c>
      <c r="GC1154" s="103">
        <v>17.817455362716945</v>
      </c>
      <c r="GD1154" s="103">
        <v>20.78911224872019</v>
      </c>
      <c r="GE1154" s="103">
        <v>17.692595829691594</v>
      </c>
      <c r="GF1154" s="103">
        <v>12.180047446622549</v>
      </c>
      <c r="GG1154" s="103">
        <v>5.9058559120988887</v>
      </c>
      <c r="GH1154" s="103">
        <v>3.6021975277812457</v>
      </c>
      <c r="GI1154" s="103">
        <v>2.7219378199525535</v>
      </c>
      <c r="GJ1154" s="103">
        <v>0.39955050568110878</v>
      </c>
      <c r="GK1154" s="103">
        <v>0.25596204270196032</v>
      </c>
      <c r="GL1154" s="103">
        <v>0.14983143963041579</v>
      </c>
      <c r="GM1154" s="103">
        <v>7.4915719815207893E-2</v>
      </c>
      <c r="GN1154" s="103">
        <v>4.3700836558871269E-2</v>
      </c>
      <c r="GO1154" s="103">
        <v>1.8728929953801973E-2</v>
      </c>
      <c r="GP1154" s="103">
        <v>0</v>
      </c>
      <c r="GQ1154" s="103">
        <v>0</v>
      </c>
    </row>
    <row r="1155" spans="2:199" ht="15.4" x14ac:dyDescent="0.45">
      <c r="B1155" s="99"/>
      <c r="C1155" s="42"/>
      <c r="D1155" s="137"/>
      <c r="E1155" s="47" t="s">
        <v>6</v>
      </c>
      <c r="F1155" s="24">
        <v>2.137779112846701</v>
      </c>
      <c r="G1155" s="24">
        <v>2.8211675177731053</v>
      </c>
      <c r="H1155" s="24">
        <v>6.1605086612596374</v>
      </c>
      <c r="I1155" s="24">
        <v>11.522479222989887</v>
      </c>
      <c r="J1155" s="24">
        <v>17.129768699309103</v>
      </c>
      <c r="K1155" s="24">
        <v>18.216181035345951</v>
      </c>
      <c r="L1155" s="24">
        <v>16.186041854410735</v>
      </c>
      <c r="M1155" s="24">
        <v>9.9254030239311106</v>
      </c>
      <c r="N1155" s="24">
        <v>7.1417843196155006</v>
      </c>
      <c r="O1155" s="24">
        <v>5.6273155101632124</v>
      </c>
      <c r="P1155" s="24">
        <v>1.2941824371683188</v>
      </c>
      <c r="Q1155" s="24">
        <v>0.88615199759687591</v>
      </c>
      <c r="R1155" s="24">
        <v>0.45058576148993695</v>
      </c>
      <c r="S1155" s="24">
        <v>0.26033843997196354</v>
      </c>
      <c r="T1155" s="24">
        <v>0.10763993191148494</v>
      </c>
      <c r="U1155" s="24">
        <v>6.7587864223490543E-2</v>
      </c>
      <c r="V1155" s="24">
        <v>5.0065084609992989E-2</v>
      </c>
      <c r="W1155" s="24">
        <v>1.5019525382997898E-2</v>
      </c>
      <c r="Z1155" s="137"/>
      <c r="AA1155" s="47" t="s">
        <v>6</v>
      </c>
      <c r="AB1155" s="24">
        <v>1.7938340078948685</v>
      </c>
      <c r="AC1155" s="24">
        <v>1.9637235796732124</v>
      </c>
      <c r="AD1155" s="24">
        <v>5.1316644181282163</v>
      </c>
      <c r="AE1155" s="24">
        <v>10.992854644481087</v>
      </c>
      <c r="AF1155" s="24">
        <v>17.218807774946285</v>
      </c>
      <c r="AG1155" s="24">
        <v>18.72782691250687</v>
      </c>
      <c r="AH1155" s="24">
        <v>16.84904811872283</v>
      </c>
      <c r="AI1155" s="24">
        <v>10.5631339629241</v>
      </c>
      <c r="AJ1155" s="24">
        <v>7.6050567131364613</v>
      </c>
      <c r="AK1155" s="24">
        <v>5.781242192574827</v>
      </c>
      <c r="AL1155" s="24">
        <v>1.4090840953380301</v>
      </c>
      <c r="AM1155" s="24">
        <v>0.95437965322540341</v>
      </c>
      <c r="AN1155" s="24">
        <v>0.49467845900164886</v>
      </c>
      <c r="AO1155" s="24">
        <v>0.26982461400089941</v>
      </c>
      <c r="AP1155" s="24">
        <v>0.1049317943336831</v>
      </c>
      <c r="AQ1155" s="24">
        <v>7.994803377804427E-2</v>
      </c>
      <c r="AR1155" s="24">
        <v>3.9974016889022135E-2</v>
      </c>
      <c r="AS1155" s="24">
        <v>1.9987008444511067E-2</v>
      </c>
      <c r="AV1155" s="137"/>
      <c r="AW1155" s="47" t="s">
        <v>6</v>
      </c>
      <c r="AX1155" s="24">
        <v>2.4830699774266365</v>
      </c>
      <c r="AY1155" s="24">
        <v>3.6819663907700022</v>
      </c>
      <c r="AZ1155" s="24">
        <v>7.1933784800601961</v>
      </c>
      <c r="BA1155" s="24">
        <v>12.054176072234762</v>
      </c>
      <c r="BB1155" s="24">
        <v>17.040381239026836</v>
      </c>
      <c r="BC1155" s="24">
        <v>17.702533233007273</v>
      </c>
      <c r="BD1155" s="24">
        <v>15.520441434662654</v>
      </c>
      <c r="BE1155" s="24">
        <v>9.2851768246802102</v>
      </c>
      <c r="BF1155" s="24">
        <v>6.6766992726360677</v>
      </c>
      <c r="BG1155" s="24">
        <v>5.4727865563080007</v>
      </c>
      <c r="BH1155" s="24">
        <v>1.1788312014045648</v>
      </c>
      <c r="BI1155" s="24">
        <v>0.81765738650614495</v>
      </c>
      <c r="BJ1155" s="24">
        <v>0.40632054176072235</v>
      </c>
      <c r="BK1155" s="24">
        <v>0.2508151492350138</v>
      </c>
      <c r="BL1155" s="24">
        <v>0.11035866566340606</v>
      </c>
      <c r="BM1155" s="24">
        <v>5.517933283170303E-2</v>
      </c>
      <c r="BN1155" s="24">
        <v>6.019563581640331E-2</v>
      </c>
      <c r="BO1155" s="24">
        <v>1.0032605969400551E-2</v>
      </c>
      <c r="BQ1155" s="42"/>
      <c r="BR1155" s="137"/>
      <c r="BS1155" s="47" t="s">
        <v>6</v>
      </c>
      <c r="BT1155" s="91">
        <v>2.9870129870129869</v>
      </c>
      <c r="BU1155" s="91">
        <v>4.2378673957621329</v>
      </c>
      <c r="BV1155" s="91">
        <v>8.803827751196172</v>
      </c>
      <c r="BW1155" s="91">
        <v>14.593301435406699</v>
      </c>
      <c r="BX1155" s="91">
        <v>18.626110731373892</v>
      </c>
      <c r="BY1155" s="91">
        <v>17.689678742310321</v>
      </c>
      <c r="BZ1155" s="91">
        <v>13.889268626110733</v>
      </c>
      <c r="CA1155" s="91">
        <v>7.9289131920710867</v>
      </c>
      <c r="CB1155" s="91">
        <v>5.2631578947368416</v>
      </c>
      <c r="CC1155" s="91">
        <v>3.7457279562542722</v>
      </c>
      <c r="CD1155" s="91">
        <v>0.92959671907040331</v>
      </c>
      <c r="CE1155" s="91">
        <v>0.68352699931647298</v>
      </c>
      <c r="CF1155" s="91">
        <v>0.28024606971975397</v>
      </c>
      <c r="CG1155" s="91">
        <v>0.177717019822283</v>
      </c>
      <c r="CH1155" s="91">
        <v>5.4682159945317832E-2</v>
      </c>
      <c r="CI1155" s="91">
        <v>4.1011619958988381E-2</v>
      </c>
      <c r="CJ1155" s="91">
        <v>5.4682159945317832E-2</v>
      </c>
      <c r="CK1155" s="91">
        <v>1.3670539986329458E-2</v>
      </c>
      <c r="CN1155" s="137"/>
      <c r="CO1155" s="47" t="s">
        <v>6</v>
      </c>
      <c r="CP1155" s="91">
        <v>1.6470495299786714</v>
      </c>
      <c r="CQ1155" s="91">
        <v>2.002527845801406</v>
      </c>
      <c r="CR1155" s="91">
        <v>4.633067382889644</v>
      </c>
      <c r="CS1155" s="91">
        <v>9.7480053716723276</v>
      </c>
      <c r="CT1155" s="91">
        <v>16.265107828422469</v>
      </c>
      <c r="CU1155" s="91">
        <v>18.520420254364485</v>
      </c>
      <c r="CV1155" s="91">
        <v>17.513231692866736</v>
      </c>
      <c r="CW1155" s="91">
        <v>11.079074176475237</v>
      </c>
      <c r="CX1155" s="91">
        <v>8.2273481317639625</v>
      </c>
      <c r="CY1155" s="91">
        <v>6.7145904099849911</v>
      </c>
      <c r="CZ1155" s="91">
        <v>1.5048582036495772</v>
      </c>
      <c r="DA1155" s="91">
        <v>1.0032388024330516</v>
      </c>
      <c r="DB1155" s="91">
        <v>0.54901650999289042</v>
      </c>
      <c r="DC1155" s="91">
        <v>0.30808120704637015</v>
      </c>
      <c r="DD1155" s="91">
        <v>0.13824156726439688</v>
      </c>
      <c r="DE1155" s="91">
        <v>8.2944940358638128E-2</v>
      </c>
      <c r="DF1155" s="91">
        <v>4.739710877636464E-2</v>
      </c>
      <c r="DG1155" s="91">
        <v>1.5799036258788212E-2</v>
      </c>
      <c r="DI1155" s="42"/>
      <c r="DJ1155" s="137"/>
      <c r="DK1155" s="47" t="s">
        <v>6</v>
      </c>
      <c r="DL1155" s="91">
        <v>2.462074110917682</v>
      </c>
      <c r="DM1155" s="91">
        <v>4.8495399154439189</v>
      </c>
      <c r="DN1155" s="91">
        <v>9.3882118875901526</v>
      </c>
      <c r="DO1155" s="91">
        <v>14.461576722208406</v>
      </c>
      <c r="DP1155" s="91">
        <v>17.047998010445163</v>
      </c>
      <c r="DQ1155" s="91">
        <v>16.985824421785626</v>
      </c>
      <c r="DR1155" s="91">
        <v>13.690624222830142</v>
      </c>
      <c r="DS1155" s="91">
        <v>8.2815220094503861</v>
      </c>
      <c r="DT1155" s="91">
        <v>5.6951007212136284</v>
      </c>
      <c r="DU1155" s="91">
        <v>5.0733648346182543</v>
      </c>
      <c r="DV1155" s="91">
        <v>0.88286495896543138</v>
      </c>
      <c r="DW1155" s="91">
        <v>0.55956229793583689</v>
      </c>
      <c r="DX1155" s="91">
        <v>0.24869435463814971</v>
      </c>
      <c r="DY1155" s="91">
        <v>0.19895548371051977</v>
      </c>
      <c r="DZ1155" s="91">
        <v>8.7043024123352394E-2</v>
      </c>
      <c r="EA1155" s="91">
        <v>4.9738870927629943E-2</v>
      </c>
      <c r="EB1155" s="91">
        <v>3.7304153195722459E-2</v>
      </c>
      <c r="EC1155" s="91">
        <v>0</v>
      </c>
      <c r="EF1155" s="137"/>
      <c r="EG1155" s="47" t="s">
        <v>6</v>
      </c>
      <c r="EH1155" s="91">
        <v>2.0560396163730963</v>
      </c>
      <c r="EI1155" s="91">
        <v>2.3099103616874568</v>
      </c>
      <c r="EJ1155" s="91">
        <v>5.3469566852629598</v>
      </c>
      <c r="EK1155" s="91">
        <v>10.781671159029651</v>
      </c>
      <c r="EL1155" s="91">
        <v>17.150379239014605</v>
      </c>
      <c r="EM1155" s="91">
        <v>18.526295994483796</v>
      </c>
      <c r="EN1155" s="91">
        <v>16.815019118661066</v>
      </c>
      <c r="EO1155" s="91">
        <v>10.339748009778726</v>
      </c>
      <c r="EP1155" s="91">
        <v>7.5064251238011668</v>
      </c>
      <c r="EQ1155" s="91">
        <v>5.7669403873879519</v>
      </c>
      <c r="ER1155" s="91">
        <v>1.3978562025951233</v>
      </c>
      <c r="ES1155" s="91">
        <v>0.96846988027330283</v>
      </c>
      <c r="ET1155" s="91">
        <v>0.50147307716416978</v>
      </c>
      <c r="EU1155" s="91">
        <v>0.27581019244029337</v>
      </c>
      <c r="EV1155" s="91">
        <v>0.11283144236193821</v>
      </c>
      <c r="EW1155" s="91">
        <v>7.2086754842349401E-2</v>
      </c>
      <c r="EX1155" s="91">
        <v>5.3281514448693043E-2</v>
      </c>
      <c r="EY1155" s="91">
        <v>1.8805240393656365E-2</v>
      </c>
      <c r="FB1155" s="137"/>
      <c r="FC1155" s="47" t="s">
        <v>6</v>
      </c>
      <c r="FD1155" s="91">
        <v>2.1810764161305505</v>
      </c>
      <c r="FE1155" s="103">
        <v>2.0869292327004549</v>
      </c>
      <c r="FF1155" s="103">
        <v>4.5818295935979911</v>
      </c>
      <c r="FG1155" s="103">
        <v>8.3163345363251224</v>
      </c>
      <c r="FH1155" s="103">
        <v>13.306135258120195</v>
      </c>
      <c r="FI1155" s="103">
        <v>16.30315393064491</v>
      </c>
      <c r="FJ1155" s="103">
        <v>15.361682096343952</v>
      </c>
      <c r="FK1155" s="103">
        <v>11.344735603326534</v>
      </c>
      <c r="FL1155" s="103">
        <v>9.4147183430095716</v>
      </c>
      <c r="FM1155" s="103">
        <v>8.7713792562372515</v>
      </c>
      <c r="FN1155" s="103">
        <v>2.9813274752863643</v>
      </c>
      <c r="FO1155" s="103">
        <v>2.4792091636591871</v>
      </c>
      <c r="FP1155" s="103">
        <v>1.3180605680213402</v>
      </c>
      <c r="FQ1155" s="103">
        <v>0.87870704534756006</v>
      </c>
      <c r="FR1155" s="103">
        <v>0.28244155029028717</v>
      </c>
      <c r="FS1155" s="103">
        <v>0.18829436686019144</v>
      </c>
      <c r="FT1155" s="103">
        <v>0.12552957790679431</v>
      </c>
      <c r="FU1155" s="103">
        <v>7.845598619174643E-2</v>
      </c>
      <c r="FX1155" s="137"/>
      <c r="FY1155" s="47" t="s">
        <v>6</v>
      </c>
      <c r="FZ1155" s="103">
        <v>2.1295606850335069</v>
      </c>
      <c r="GA1155" s="103">
        <v>2.9605361131794488</v>
      </c>
      <c r="GB1155" s="103">
        <v>6.4601638123603866</v>
      </c>
      <c r="GC1155" s="103">
        <v>12.131049888309754</v>
      </c>
      <c r="GD1155" s="103">
        <v>17.855547282204022</v>
      </c>
      <c r="GE1155" s="103">
        <v>18.579300074460164</v>
      </c>
      <c r="GF1155" s="103">
        <v>16.342516753536856</v>
      </c>
      <c r="GG1155" s="103">
        <v>9.6559940431868956</v>
      </c>
      <c r="GH1155" s="103">
        <v>6.7103499627699179</v>
      </c>
      <c r="GI1155" s="103">
        <v>5.0305286671630682</v>
      </c>
      <c r="GJ1155" s="103">
        <v>0.97393894266567393</v>
      </c>
      <c r="GK1155" s="103">
        <v>0.58376768428890546</v>
      </c>
      <c r="GL1155" s="103">
        <v>0.28592702903946388</v>
      </c>
      <c r="GM1155" s="103">
        <v>0.14296351451973194</v>
      </c>
      <c r="GN1155" s="103">
        <v>7.4460163812360383E-2</v>
      </c>
      <c r="GO1155" s="103">
        <v>4.4676098287416227E-2</v>
      </c>
      <c r="GP1155" s="103">
        <v>3.5740878629932984E-2</v>
      </c>
      <c r="GQ1155" s="103">
        <v>2.9784065524944155E-3</v>
      </c>
    </row>
    <row r="1156" spans="2:199" ht="15.4" x14ac:dyDescent="0.45">
      <c r="B1156" s="99"/>
      <c r="C1156" s="42"/>
      <c r="D1156" s="137"/>
      <c r="E1156" s="47" t="s">
        <v>7</v>
      </c>
      <c r="F1156" s="24">
        <v>1.9294104343647078</v>
      </c>
      <c r="G1156" s="24">
        <v>1.5703846099481251</v>
      </c>
      <c r="H1156" s="24">
        <v>3.2255784697584349</v>
      </c>
      <c r="I1156" s="24">
        <v>6.6462182141998944</v>
      </c>
      <c r="J1156" s="24">
        <v>11.221677244264775</v>
      </c>
      <c r="K1156" s="24">
        <v>15.354714687548586</v>
      </c>
      <c r="L1156" s="24">
        <v>17.22051818451666</v>
      </c>
      <c r="M1156" s="24">
        <v>13.830975165024665</v>
      </c>
      <c r="N1156" s="24">
        <v>11.478931968846736</v>
      </c>
      <c r="O1156" s="24">
        <v>10.089473758604605</v>
      </c>
      <c r="P1156" s="24">
        <v>2.9146112202637569</v>
      </c>
      <c r="Q1156" s="24">
        <v>1.9930173717613469</v>
      </c>
      <c r="R1156" s="24">
        <v>1.1859160105728865</v>
      </c>
      <c r="S1156" s="24">
        <v>0.67564702390207365</v>
      </c>
      <c r="T1156" s="24">
        <v>0.36892023690050463</v>
      </c>
      <c r="U1156" s="24">
        <v>0.15831059974274528</v>
      </c>
      <c r="V1156" s="24">
        <v>8.1982274866778809E-2</v>
      </c>
      <c r="W1156" s="24">
        <v>5.3712524912717143E-2</v>
      </c>
      <c r="Z1156" s="137"/>
      <c r="AA1156" s="47" t="s">
        <v>7</v>
      </c>
      <c r="AB1156" s="24">
        <v>1.721765019801702</v>
      </c>
      <c r="AC1156" s="24">
        <v>1.0420470185096762</v>
      </c>
      <c r="AD1156" s="24">
        <v>2.541920624666461</v>
      </c>
      <c r="AE1156" s="24">
        <v>5.7747942589107666</v>
      </c>
      <c r="AF1156" s="24">
        <v>10.903575541386962</v>
      </c>
      <c r="AG1156" s="24">
        <v>15.310507541499312</v>
      </c>
      <c r="AH1156" s="24">
        <v>17.56031795073449</v>
      </c>
      <c r="AI1156" s="24">
        <v>14.316209308204364</v>
      </c>
      <c r="AJ1156" s="24">
        <v>12.108530180041008</v>
      </c>
      <c r="AK1156" s="24">
        <v>10.653596607027497</v>
      </c>
      <c r="AL1156" s="24">
        <v>3.201977361458304</v>
      </c>
      <c r="AM1156" s="24">
        <v>2.2441929050922673</v>
      </c>
      <c r="AN1156" s="24">
        <v>1.3201134735836866</v>
      </c>
      <c r="AO1156" s="24">
        <v>0.67690924922057127</v>
      </c>
      <c r="AP1156" s="24">
        <v>0.37075527343201414</v>
      </c>
      <c r="AQ1156" s="24">
        <v>0.15448136393000589</v>
      </c>
      <c r="AR1156" s="24">
        <v>5.8983793500547707E-2</v>
      </c>
      <c r="AS1156" s="24">
        <v>3.932252900036514E-2</v>
      </c>
      <c r="AV1156" s="137"/>
      <c r="AW1156" s="47" t="s">
        <v>7</v>
      </c>
      <c r="AX1156" s="24">
        <v>2.1397678124288642</v>
      </c>
      <c r="AY1156" s="24">
        <v>2.1056225813794671</v>
      </c>
      <c r="AZ1156" s="24">
        <v>3.9181652629182793</v>
      </c>
      <c r="BA1156" s="24">
        <v>7.529023446391987</v>
      </c>
      <c r="BB1156" s="24">
        <v>11.54393353061689</v>
      </c>
      <c r="BC1156" s="24">
        <v>15.399499203277941</v>
      </c>
      <c r="BD1156" s="24">
        <v>16.876280446164351</v>
      </c>
      <c r="BE1156" s="24">
        <v>13.339403596631003</v>
      </c>
      <c r="BF1156" s="24">
        <v>10.841110858183473</v>
      </c>
      <c r="BG1156" s="24">
        <v>9.5179831550193494</v>
      </c>
      <c r="BH1156" s="24">
        <v>2.6234919189619852</v>
      </c>
      <c r="BI1156" s="24">
        <v>1.738561347598452</v>
      </c>
      <c r="BJ1156" s="24">
        <v>1.0499658547689508</v>
      </c>
      <c r="BK1156" s="24">
        <v>0.67436831322558621</v>
      </c>
      <c r="BL1156" s="24">
        <v>0.36706123378101524</v>
      </c>
      <c r="BM1156" s="24">
        <v>0.16218984748463464</v>
      </c>
      <c r="BN1156" s="24">
        <v>0.10528112906897337</v>
      </c>
      <c r="BO1156" s="24">
        <v>6.8290462098793539E-2</v>
      </c>
      <c r="BQ1156" s="42"/>
      <c r="BR1156" s="137"/>
      <c r="BS1156" s="47" t="s">
        <v>7</v>
      </c>
      <c r="BT1156" s="91">
        <v>2.5762946312786377</v>
      </c>
      <c r="BU1156" s="91">
        <v>2.6454569032592721</v>
      </c>
      <c r="BV1156" s="91">
        <v>5.1871703985475923</v>
      </c>
      <c r="BW1156" s="91">
        <v>9.54439353332757</v>
      </c>
      <c r="BX1156" s="91">
        <v>14.035618570070026</v>
      </c>
      <c r="BY1156" s="91">
        <v>16.875594363274836</v>
      </c>
      <c r="BZ1156" s="91">
        <v>15.993775395521743</v>
      </c>
      <c r="CA1156" s="91">
        <v>11.692746606726031</v>
      </c>
      <c r="CB1156" s="91">
        <v>9.215872741419556</v>
      </c>
      <c r="CC1156" s="91">
        <v>7.1410045820005195</v>
      </c>
      <c r="CD1156" s="91">
        <v>1.9970606034408231</v>
      </c>
      <c r="CE1156" s="91">
        <v>1.3616322296187429</v>
      </c>
      <c r="CF1156" s="91">
        <v>0.84291518976398372</v>
      </c>
      <c r="CG1156" s="91">
        <v>0.48413590386444194</v>
      </c>
      <c r="CH1156" s="91">
        <v>0.22910002593585199</v>
      </c>
      <c r="CI1156" s="91">
        <v>0.11671133396732082</v>
      </c>
      <c r="CJ1156" s="91">
        <v>3.8903777989106943E-2</v>
      </c>
      <c r="CK1156" s="91">
        <v>2.1613209993948303E-2</v>
      </c>
      <c r="CN1156" s="137"/>
      <c r="CO1156" s="47" t="s">
        <v>7</v>
      </c>
      <c r="CP1156" s="91">
        <v>1.6151051183500305</v>
      </c>
      <c r="CQ1156" s="91">
        <v>1.0480331002037258</v>
      </c>
      <c r="CR1156" s="91">
        <v>2.2724886060529688</v>
      </c>
      <c r="CS1156" s="91">
        <v>5.238065234284754</v>
      </c>
      <c r="CT1156" s="91">
        <v>9.8544515153424488</v>
      </c>
      <c r="CU1156" s="91">
        <v>14.615756201037533</v>
      </c>
      <c r="CV1156" s="91">
        <v>17.81656270346334</v>
      </c>
      <c r="CW1156" s="91">
        <v>14.869888475836431</v>
      </c>
      <c r="CX1156" s="91">
        <v>12.578497469178584</v>
      </c>
      <c r="CY1156" s="91">
        <v>11.52206330203936</v>
      </c>
      <c r="CZ1156" s="91">
        <v>3.3604267742003238</v>
      </c>
      <c r="DA1156" s="91">
        <v>2.2997920735933466</v>
      </c>
      <c r="DB1156" s="91">
        <v>1.3525717766156302</v>
      </c>
      <c r="DC1156" s="91">
        <v>0.76869762459832403</v>
      </c>
      <c r="DD1156" s="91">
        <v>0.43685548064604202</v>
      </c>
      <c r="DE1156" s="91">
        <v>0.17852267237939221</v>
      </c>
      <c r="DF1156" s="91">
        <v>0.10291306995988489</v>
      </c>
      <c r="DG1156" s="91">
        <v>6.9308802217881674E-2</v>
      </c>
      <c r="DI1156" s="42"/>
      <c r="DJ1156" s="137"/>
      <c r="DK1156" s="47" t="s">
        <v>7</v>
      </c>
      <c r="DL1156" s="91">
        <v>2.5646598565529235</v>
      </c>
      <c r="DM1156" s="91">
        <v>3.2384264290371658</v>
      </c>
      <c r="DN1156" s="91">
        <v>6.009563138448164</v>
      </c>
      <c r="DO1156" s="91">
        <v>9.9978265594435989</v>
      </c>
      <c r="DP1156" s="91">
        <v>13.573136274722886</v>
      </c>
      <c r="DQ1156" s="91">
        <v>15.148880678113455</v>
      </c>
      <c r="DR1156" s="91">
        <v>15.127146272549446</v>
      </c>
      <c r="DS1156" s="91">
        <v>11.377961312758096</v>
      </c>
      <c r="DT1156" s="91">
        <v>9.3457943925233646</v>
      </c>
      <c r="DU1156" s="91">
        <v>8.4220821560530315</v>
      </c>
      <c r="DV1156" s="91">
        <v>1.9017604868506848</v>
      </c>
      <c r="DW1156" s="91">
        <v>1.4670723755705282</v>
      </c>
      <c r="DX1156" s="91">
        <v>0.80417300586828955</v>
      </c>
      <c r="DY1156" s="91">
        <v>0.51075853075418387</v>
      </c>
      <c r="DZ1156" s="91">
        <v>0.2825472723321017</v>
      </c>
      <c r="EA1156" s="91">
        <v>9.7804825038035212E-2</v>
      </c>
      <c r="EB1156" s="91">
        <v>4.346881112801565E-2</v>
      </c>
      <c r="EC1156" s="91">
        <v>8.6937622256031299E-2</v>
      </c>
      <c r="EF1156" s="137"/>
      <c r="EG1156" s="47" t="s">
        <v>7</v>
      </c>
      <c r="EH1156" s="91">
        <v>1.8344300918027461</v>
      </c>
      <c r="EI1156" s="91">
        <v>1.3209846453814282</v>
      </c>
      <c r="EJ1156" s="91">
        <v>2.8093265090584127</v>
      </c>
      <c r="EK1156" s="91">
        <v>6.1450970834348846</v>
      </c>
      <c r="EL1156" s="91">
        <v>10.870095052400682</v>
      </c>
      <c r="EM1156" s="91">
        <v>15.385490291656511</v>
      </c>
      <c r="EN1156" s="91">
        <v>17.533512064343164</v>
      </c>
      <c r="EO1156" s="91">
        <v>14.197741489966692</v>
      </c>
      <c r="EP1156" s="91">
        <v>11.797871476155658</v>
      </c>
      <c r="EQ1156" s="91">
        <v>10.338776504996344</v>
      </c>
      <c r="ER1156" s="91">
        <v>3.0660492322690716</v>
      </c>
      <c r="ES1156" s="91">
        <v>2.0716548866682913</v>
      </c>
      <c r="ET1156" s="91">
        <v>1.2429929320009749</v>
      </c>
      <c r="EU1156" s="91">
        <v>0.70030059306198711</v>
      </c>
      <c r="EV1156" s="91">
        <v>0.38183443009180273</v>
      </c>
      <c r="EW1156" s="91">
        <v>0.16735721829555611</v>
      </c>
      <c r="EX1156" s="91">
        <v>8.7740677553009988E-2</v>
      </c>
      <c r="EY1156" s="91">
        <v>4.8744820862783332E-2</v>
      </c>
      <c r="FB1156" s="137"/>
      <c r="FC1156" s="47" t="s">
        <v>7</v>
      </c>
      <c r="FD1156" s="91">
        <v>2.4776721405934889</v>
      </c>
      <c r="FE1156" s="103">
        <v>1.0371650821089022</v>
      </c>
      <c r="FF1156" s="103">
        <v>2.3912417170844136</v>
      </c>
      <c r="FG1156" s="103">
        <v>4.868913857677903</v>
      </c>
      <c r="FH1156" s="103">
        <v>8.2204936137520406</v>
      </c>
      <c r="FI1156" s="103">
        <v>11.629693652165562</v>
      </c>
      <c r="FJ1156" s="103">
        <v>14.875636223950831</v>
      </c>
      <c r="FK1156" s="103">
        <v>14.097762412369155</v>
      </c>
      <c r="FL1156" s="103">
        <v>12.772495918563335</v>
      </c>
      <c r="FM1156" s="103">
        <v>11.802554499183712</v>
      </c>
      <c r="FN1156" s="103">
        <v>5.2242389321041003</v>
      </c>
      <c r="FO1156" s="103">
        <v>4.2542975127244791</v>
      </c>
      <c r="FP1156" s="103">
        <v>2.8041870738499952</v>
      </c>
      <c r="FQ1156" s="103">
        <v>1.613367905502737</v>
      </c>
      <c r="FR1156" s="103">
        <v>1.0851819840583885</v>
      </c>
      <c r="FS1156" s="103">
        <v>0.47056563910496491</v>
      </c>
      <c r="FT1156" s="103">
        <v>0.24968789013732834</v>
      </c>
      <c r="FU1156" s="103">
        <v>0.12484394506866417</v>
      </c>
      <c r="FX1156" s="137"/>
      <c r="FY1156" s="47" t="s">
        <v>7</v>
      </c>
      <c r="FZ1156" s="103">
        <v>1.834786355951868</v>
      </c>
      <c r="GA1156" s="103">
        <v>1.6624125700268506</v>
      </c>
      <c r="GB1156" s="103">
        <v>3.3695760267842343</v>
      </c>
      <c r="GC1156" s="103">
        <v>6.9529618457254614</v>
      </c>
      <c r="GD1156" s="103">
        <v>11.739649285643253</v>
      </c>
      <c r="GE1156" s="103">
        <v>15.997613286041037</v>
      </c>
      <c r="GF1156" s="103">
        <v>17.625219610833028</v>
      </c>
      <c r="GG1156" s="103">
        <v>13.784930553253554</v>
      </c>
      <c r="GH1156" s="103">
        <v>11.255676732853781</v>
      </c>
      <c r="GI1156" s="103">
        <v>9.7938144329896915</v>
      </c>
      <c r="GJ1156" s="103">
        <v>2.5159942984055426</v>
      </c>
      <c r="GK1156" s="103">
        <v>1.6027447210528061</v>
      </c>
      <c r="GL1156" s="103">
        <v>0.90661981635562039</v>
      </c>
      <c r="GM1156" s="103">
        <v>0.5138064772764942</v>
      </c>
      <c r="GN1156" s="103">
        <v>0.24530115689329399</v>
      </c>
      <c r="GO1156" s="103">
        <v>0.10441873570457785</v>
      </c>
      <c r="GP1156" s="103">
        <v>5.3038087976928432E-2</v>
      </c>
      <c r="GQ1156" s="103">
        <v>4.1436006231975339E-2</v>
      </c>
    </row>
    <row r="1157" spans="2:199" ht="15.4" x14ac:dyDescent="0.45">
      <c r="B1157" s="99"/>
      <c r="C1157" s="42"/>
      <c r="D1157" s="137"/>
      <c r="E1157" s="47" t="s">
        <v>8</v>
      </c>
      <c r="F1157" s="24">
        <v>1.7786984784627473</v>
      </c>
      <c r="G1157" s="24">
        <v>0.70957449341619638</v>
      </c>
      <c r="H1157" s="24">
        <v>1.4298640379074696</v>
      </c>
      <c r="I1157" s="24">
        <v>2.9573540967211946</v>
      </c>
      <c r="J1157" s="24">
        <v>5.9992380408124388</v>
      </c>
      <c r="K1157" s="24">
        <v>9.6114008143438809</v>
      </c>
      <c r="L1157" s="24">
        <v>14.118865633259519</v>
      </c>
      <c r="M1157" s="24">
        <v>14.691525585160845</v>
      </c>
      <c r="N1157" s="24">
        <v>15.136795485391813</v>
      </c>
      <c r="O1157" s="24">
        <v>15.966616663094982</v>
      </c>
      <c r="P1157" s="24">
        <v>6.2706860013810513</v>
      </c>
      <c r="Q1157" s="24">
        <v>4.6693811462723529</v>
      </c>
      <c r="R1157" s="24">
        <v>3.0037859847131938</v>
      </c>
      <c r="S1157" s="24">
        <v>1.6739290901731076</v>
      </c>
      <c r="T1157" s="24">
        <v>1.0322165868990643</v>
      </c>
      <c r="U1157" s="24">
        <v>0.54289592113722407</v>
      </c>
      <c r="V1157" s="24">
        <v>0.26906683810748389</v>
      </c>
      <c r="W1157" s="24">
        <v>0.13810510274543419</v>
      </c>
      <c r="Z1157" s="137"/>
      <c r="AA1157" s="47" t="s">
        <v>8</v>
      </c>
      <c r="AB1157" s="24">
        <v>1.6096155197863216</v>
      </c>
      <c r="AC1157" s="24">
        <v>0.41236147231789322</v>
      </c>
      <c r="AD1157" s="24">
        <v>1.009817014596659</v>
      </c>
      <c r="AE1157" s="24">
        <v>2.4811977226400503</v>
      </c>
      <c r="AF1157" s="24">
        <v>5.2576087720531381</v>
      </c>
      <c r="AG1157" s="24">
        <v>8.7814249900424084</v>
      </c>
      <c r="AH1157" s="24">
        <v>13.500152292589206</v>
      </c>
      <c r="AI1157" s="24">
        <v>14.643518193107003</v>
      </c>
      <c r="AJ1157" s="24">
        <v>15.545558913802395</v>
      </c>
      <c r="AK1157" s="24">
        <v>16.888076661746446</v>
      </c>
      <c r="AL1157" s="24">
        <v>7.2350694688503081</v>
      </c>
      <c r="AM1157" s="24">
        <v>5.2271502542114758</v>
      </c>
      <c r="AN1157" s="24">
        <v>3.4254117757315905</v>
      </c>
      <c r="AO1157" s="24">
        <v>1.8767132916285936</v>
      </c>
      <c r="AP1157" s="24">
        <v>1.1410229376068977</v>
      </c>
      <c r="AQ1157" s="24">
        <v>0.57168295025889748</v>
      </c>
      <c r="AR1157" s="24">
        <v>0.28818443804034583</v>
      </c>
      <c r="AS1157" s="24">
        <v>0.10543333099037042</v>
      </c>
      <c r="AV1157" s="137"/>
      <c r="AW1157" s="47" t="s">
        <v>8</v>
      </c>
      <c r="AX1157" s="24">
        <v>1.9533802919177983</v>
      </c>
      <c r="AY1157" s="24">
        <v>1.0166291482100065</v>
      </c>
      <c r="AZ1157" s="24">
        <v>1.8638201050516785</v>
      </c>
      <c r="BA1157" s="24">
        <v>3.4492774671410937</v>
      </c>
      <c r="BB1157" s="24">
        <v>6.7654249267784961</v>
      </c>
      <c r="BC1157" s="24">
        <v>10.468859680972091</v>
      </c>
      <c r="BD1157" s="24">
        <v>14.75806646818193</v>
      </c>
      <c r="BE1157" s="24">
        <v>14.741122649045094</v>
      </c>
      <c r="BF1157" s="24">
        <v>14.714496647544356</v>
      </c>
      <c r="BG1157" s="24">
        <v>15.014644300825406</v>
      </c>
      <c r="BH1157" s="24">
        <v>5.2743688427371529</v>
      </c>
      <c r="BI1157" s="24">
        <v>4.0931425943407644</v>
      </c>
      <c r="BJ1157" s="24">
        <v>2.5681988720257549</v>
      </c>
      <c r="BK1157" s="24">
        <v>1.4644300825406047</v>
      </c>
      <c r="BL1157" s="24">
        <v>0.91980732457095826</v>
      </c>
      <c r="BM1157" s="24">
        <v>0.51315566528695566</v>
      </c>
      <c r="BN1157" s="24">
        <v>0.24931619587054923</v>
      </c>
      <c r="BO1157" s="24">
        <v>0.17185873695931062</v>
      </c>
      <c r="BQ1157" s="42"/>
      <c r="BR1157" s="137"/>
      <c r="BS1157" s="47" t="s">
        <v>8</v>
      </c>
      <c r="BT1157" s="91">
        <v>2.4070208324457889</v>
      </c>
      <c r="BU1157" s="91">
        <v>1.3760490776636987</v>
      </c>
      <c r="BV1157" s="91">
        <v>2.7180164444255102</v>
      </c>
      <c r="BW1157" s="91">
        <v>5.0313125718911094</v>
      </c>
      <c r="BX1157" s="91">
        <v>8.8442039790397491</v>
      </c>
      <c r="BY1157" s="91">
        <v>12.363140629659609</v>
      </c>
      <c r="BZ1157" s="91">
        <v>15.349550547437483</v>
      </c>
      <c r="CA1157" s="91">
        <v>14.037404677714822</v>
      </c>
      <c r="CB1157" s="91">
        <v>12.934009287266221</v>
      </c>
      <c r="CC1157" s="91">
        <v>12.546329825757251</v>
      </c>
      <c r="CD1157" s="91">
        <v>4.4817449835981762</v>
      </c>
      <c r="CE1157" s="91">
        <v>3.3613087376986326</v>
      </c>
      <c r="CF1157" s="91">
        <v>2.1428875729561625</v>
      </c>
      <c r="CG1157" s="91">
        <v>1.1033953904486007</v>
      </c>
      <c r="CH1157" s="91">
        <v>0.64329229327312232</v>
      </c>
      <c r="CI1157" s="91">
        <v>0.36637839219528817</v>
      </c>
      <c r="CJ1157" s="91">
        <v>0.20023005154858772</v>
      </c>
      <c r="CK1157" s="91">
        <v>9.3724704980190005E-2</v>
      </c>
      <c r="CN1157" s="137"/>
      <c r="CO1157" s="47" t="s">
        <v>8</v>
      </c>
      <c r="CP1157" s="91">
        <v>1.5350043786454288</v>
      </c>
      <c r="CQ1157" s="91">
        <v>0.45108309512400652</v>
      </c>
      <c r="CR1157" s="91">
        <v>0.93025561375390353</v>
      </c>
      <c r="CS1157" s="91">
        <v>2.1529716957750202</v>
      </c>
      <c r="CT1157" s="91">
        <v>4.8958212851737413</v>
      </c>
      <c r="CU1157" s="91">
        <v>8.5441417028799922</v>
      </c>
      <c r="CV1157" s="91">
        <v>13.641545909684242</v>
      </c>
      <c r="CW1157" s="91">
        <v>14.945225624163513</v>
      </c>
      <c r="CX1157" s="91">
        <v>15.991143570000496</v>
      </c>
      <c r="CY1157" s="91">
        <v>17.29317096545001</v>
      </c>
      <c r="CZ1157" s="91">
        <v>6.9645247104310899</v>
      </c>
      <c r="DA1157" s="91">
        <v>5.176715520232646</v>
      </c>
      <c r="DB1157" s="91">
        <v>3.3376844401116967</v>
      </c>
      <c r="DC1157" s="91">
        <v>1.8952099271327307</v>
      </c>
      <c r="DD1157" s="91">
        <v>1.1830604253069184</v>
      </c>
      <c r="DE1157" s="91">
        <v>0.61135804101055835</v>
      </c>
      <c r="DF1157" s="91">
        <v>0.29576510632672959</v>
      </c>
      <c r="DG1157" s="91">
        <v>0.15531798879727698</v>
      </c>
      <c r="DI1157" s="42"/>
      <c r="DJ1157" s="137"/>
      <c r="DK1157" s="47" t="s">
        <v>8</v>
      </c>
      <c r="DL1157" s="91">
        <v>2.5728287503403213</v>
      </c>
      <c r="DM1157" s="91">
        <v>1.7152191668935473</v>
      </c>
      <c r="DN1157" s="91">
        <v>3.6618567928124151</v>
      </c>
      <c r="DO1157" s="91">
        <v>6.0713313367819222</v>
      </c>
      <c r="DP1157" s="91">
        <v>9.6787367274707332</v>
      </c>
      <c r="DQ1157" s="91">
        <v>11.652600054451403</v>
      </c>
      <c r="DR1157" s="91">
        <v>13.558399128777566</v>
      </c>
      <c r="DS1157" s="91">
        <v>12.67356384426899</v>
      </c>
      <c r="DT1157" s="91">
        <v>12.959433705417913</v>
      </c>
      <c r="DU1157" s="91">
        <v>13.150013612850531</v>
      </c>
      <c r="DV1157" s="91">
        <v>4.4241764225428799</v>
      </c>
      <c r="DW1157" s="91">
        <v>3.0901170705145655</v>
      </c>
      <c r="DX1157" s="91">
        <v>2.2325074870677919</v>
      </c>
      <c r="DY1157" s="91">
        <v>1.0890280424720935</v>
      </c>
      <c r="DZ1157" s="91">
        <v>0.65341682548325619</v>
      </c>
      <c r="EA1157" s="91">
        <v>0.47644976858154098</v>
      </c>
      <c r="EB1157" s="91">
        <v>0.21780560849441874</v>
      </c>
      <c r="EC1157" s="91">
        <v>0.12251565477811055</v>
      </c>
      <c r="EF1157" s="137"/>
      <c r="EG1157" s="47" t="s">
        <v>8</v>
      </c>
      <c r="EH1157" s="91">
        <v>1.7025884563197997</v>
      </c>
      <c r="EI1157" s="91">
        <v>0.61319277737188183</v>
      </c>
      <c r="EJ1157" s="91">
        <v>1.215948230873604</v>
      </c>
      <c r="EK1157" s="91">
        <v>2.6589082559231816</v>
      </c>
      <c r="EL1157" s="91">
        <v>5.6465922137563931</v>
      </c>
      <c r="EM1157" s="91">
        <v>9.415770796367811</v>
      </c>
      <c r="EN1157" s="91">
        <v>14.172581150193089</v>
      </c>
      <c r="EO1157" s="91">
        <v>14.884928504331491</v>
      </c>
      <c r="EP1157" s="91">
        <v>15.345475420102286</v>
      </c>
      <c r="EQ1157" s="91">
        <v>16.23656194551717</v>
      </c>
      <c r="ER1157" s="91">
        <v>6.4476568207911491</v>
      </c>
      <c r="ES1157" s="91">
        <v>4.8207389625300072</v>
      </c>
      <c r="ET1157" s="91">
        <v>3.0777058762133391</v>
      </c>
      <c r="EU1157" s="91">
        <v>1.7299864314789688</v>
      </c>
      <c r="EV1157" s="91">
        <v>1.0685210312075983</v>
      </c>
      <c r="EW1157" s="91">
        <v>0.54926416866715377</v>
      </c>
      <c r="EX1157" s="91">
        <v>0.27397975159169191</v>
      </c>
      <c r="EY1157" s="91">
        <v>0.13959920676338589</v>
      </c>
      <c r="FB1157" s="137"/>
      <c r="FC1157" s="47" t="s">
        <v>8</v>
      </c>
      <c r="FD1157" s="91">
        <v>2.1075984470327231</v>
      </c>
      <c r="FE1157" s="103">
        <v>0.40672952486596409</v>
      </c>
      <c r="FF1157" s="103">
        <v>1.035311517840636</v>
      </c>
      <c r="FG1157" s="103">
        <v>2.2185246810870773</v>
      </c>
      <c r="FH1157" s="103">
        <v>4.2244407469033094</v>
      </c>
      <c r="FI1157" s="103">
        <v>7.3118875947494919</v>
      </c>
      <c r="FJ1157" s="103">
        <v>10.639674616380107</v>
      </c>
      <c r="FK1157" s="103">
        <v>12.691809946385654</v>
      </c>
      <c r="FL1157" s="103">
        <v>13.708633758550565</v>
      </c>
      <c r="FM1157" s="103">
        <v>15.982621556664817</v>
      </c>
      <c r="FN1157" s="103">
        <v>8.4766130523202072</v>
      </c>
      <c r="FO1157" s="103">
        <v>7.5429839156960625</v>
      </c>
      <c r="FP1157" s="103">
        <v>5.7311887594749491</v>
      </c>
      <c r="FQ1157" s="103">
        <v>3.3000554631170269</v>
      </c>
      <c r="FR1157" s="103">
        <v>2.3109632094657053</v>
      </c>
      <c r="FS1157" s="103">
        <v>1.2201885745978924</v>
      </c>
      <c r="FT1157" s="103">
        <v>0.68404511000184876</v>
      </c>
      <c r="FU1157" s="103">
        <v>0.40672952486596409</v>
      </c>
      <c r="FX1157" s="137"/>
      <c r="FY1157" s="47" t="s">
        <v>8</v>
      </c>
      <c r="FZ1157" s="103">
        <v>1.7300754345687108</v>
      </c>
      <c r="GA1157" s="103">
        <v>0.75434568711052807</v>
      </c>
      <c r="GB1157" s="103">
        <v>1.4881928501147916</v>
      </c>
      <c r="GC1157" s="103">
        <v>3.0665792062971464</v>
      </c>
      <c r="GD1157" s="103">
        <v>6.2616158303268836</v>
      </c>
      <c r="GE1157" s="103">
        <v>9.9513501694544662</v>
      </c>
      <c r="GF1157" s="103">
        <v>14.633213075325244</v>
      </c>
      <c r="GG1157" s="103">
        <v>14.98715425822674</v>
      </c>
      <c r="GH1157" s="103">
        <v>15.347928282496994</v>
      </c>
      <c r="GI1157" s="103">
        <v>15.964250573958674</v>
      </c>
      <c r="GJ1157" s="103">
        <v>5.9445719908166614</v>
      </c>
      <c r="GK1157" s="103">
        <v>4.2445610582704711</v>
      </c>
      <c r="GL1157" s="103">
        <v>2.6005794249480707</v>
      </c>
      <c r="GM1157" s="103">
        <v>1.4335301191647534</v>
      </c>
      <c r="GN1157" s="103">
        <v>0.84317262490434031</v>
      </c>
      <c r="GO1157" s="103">
        <v>0.44276812069530996</v>
      </c>
      <c r="GP1157" s="103">
        <v>0.20771837761014542</v>
      </c>
      <c r="GQ1157" s="103">
        <v>9.8392915710068876E-2</v>
      </c>
    </row>
    <row r="1158" spans="2:199" ht="15.4" x14ac:dyDescent="0.45">
      <c r="B1158" s="99"/>
      <c r="C1158" s="42"/>
      <c r="D1158" s="137"/>
      <c r="E1158" s="47" t="s">
        <v>9</v>
      </c>
      <c r="F1158" s="24">
        <v>1.2859837847957258</v>
      </c>
      <c r="G1158" s="24">
        <v>0.22753128555176336</v>
      </c>
      <c r="H1158" s="24">
        <v>0.56306792816923723</v>
      </c>
      <c r="I1158" s="24">
        <v>1.0872539277948186</v>
      </c>
      <c r="J1158" s="24">
        <v>2.2306706412638064</v>
      </c>
      <c r="K1158" s="24">
        <v>4.2640514969542496</v>
      </c>
      <c r="L1158" s="24">
        <v>8.2789706369435923</v>
      </c>
      <c r="M1158" s="24">
        <v>11.124551777768177</v>
      </c>
      <c r="N1158" s="24">
        <v>14.446796561109432</v>
      </c>
      <c r="O1158" s="24">
        <v>18.883656629368815</v>
      </c>
      <c r="P1158" s="24">
        <v>10.689650206650251</v>
      </c>
      <c r="Q1158" s="24">
        <v>9.2006163505709875</v>
      </c>
      <c r="R1158" s="24">
        <v>6.9742659235898108</v>
      </c>
      <c r="S1158" s="24">
        <v>4.4599012111000711</v>
      </c>
      <c r="T1158" s="24">
        <v>2.881582926513155</v>
      </c>
      <c r="U1158" s="24">
        <v>1.7424864273267955</v>
      </c>
      <c r="V1158" s="24">
        <v>1.0051698564248785</v>
      </c>
      <c r="W1158" s="24">
        <v>0.65379242810443405</v>
      </c>
      <c r="Z1158" s="137"/>
      <c r="AA1158" s="47" t="s">
        <v>9</v>
      </c>
      <c r="AB1158" s="24">
        <v>1.1190469305728248</v>
      </c>
      <c r="AC1158" s="24">
        <v>0.13012173611311917</v>
      </c>
      <c r="AD1158" s="24">
        <v>0.29494260185640342</v>
      </c>
      <c r="AE1158" s="24">
        <v>0.76338085186363247</v>
      </c>
      <c r="AF1158" s="24">
        <v>1.7754387994101148</v>
      </c>
      <c r="AG1158" s="24">
        <v>3.5797935401787004</v>
      </c>
      <c r="AH1158" s="24">
        <v>7.2463349044328131</v>
      </c>
      <c r="AI1158" s="24">
        <v>10.216002081947778</v>
      </c>
      <c r="AJ1158" s="24">
        <v>13.986640835092388</v>
      </c>
      <c r="AK1158" s="24">
        <v>18.873434924673973</v>
      </c>
      <c r="AL1158" s="24">
        <v>11.603967267154381</v>
      </c>
      <c r="AM1158" s="24">
        <v>10.242026429170402</v>
      </c>
      <c r="AN1158" s="24">
        <v>7.7986293843796091</v>
      </c>
      <c r="AO1158" s="24">
        <v>5.1643871266229073</v>
      </c>
      <c r="AP1158" s="24">
        <v>3.3368996327675449</v>
      </c>
      <c r="AQ1158" s="24">
        <v>1.9980915478703409</v>
      </c>
      <c r="AR1158" s="24">
        <v>1.1624208426105311</v>
      </c>
      <c r="AS1158" s="24">
        <v>0.70844056328253768</v>
      </c>
      <c r="AV1158" s="137"/>
      <c r="AW1158" s="47" t="s">
        <v>9</v>
      </c>
      <c r="AX1158" s="24">
        <v>1.4516036490905961</v>
      </c>
      <c r="AY1158" s="24">
        <v>0.32417235641746517</v>
      </c>
      <c r="AZ1158" s="24">
        <v>0.82907797349245516</v>
      </c>
      <c r="BA1158" s="24">
        <v>1.4085719203626139</v>
      </c>
      <c r="BB1158" s="24">
        <v>2.682311090710884</v>
      </c>
      <c r="BC1158" s="24">
        <v>4.9429112398875441</v>
      </c>
      <c r="BD1158" s="24">
        <v>9.303459750989731</v>
      </c>
      <c r="BE1158" s="24">
        <v>12.025933788513397</v>
      </c>
      <c r="BF1158" s="24">
        <v>14.903322049457801</v>
      </c>
      <c r="BG1158" s="24">
        <v>18.893797693499341</v>
      </c>
      <c r="BH1158" s="24">
        <v>9.7825463308279303</v>
      </c>
      <c r="BI1158" s="24">
        <v>8.1674221125710016</v>
      </c>
      <c r="BJ1158" s="24">
        <v>6.1564059900166388</v>
      </c>
      <c r="BK1158" s="24">
        <v>3.7609730908256354</v>
      </c>
      <c r="BL1158" s="24">
        <v>2.4298582821733894</v>
      </c>
      <c r="BM1158" s="24">
        <v>1.4888978139881806</v>
      </c>
      <c r="BN1158" s="24">
        <v>0.84915944689884681</v>
      </c>
      <c r="BO1158" s="24">
        <v>0.59957542027655053</v>
      </c>
      <c r="BQ1158" s="42"/>
      <c r="BR1158" s="137"/>
      <c r="BS1158" s="47" t="s">
        <v>9</v>
      </c>
      <c r="BT1158" s="91">
        <v>1.9244029336175015</v>
      </c>
      <c r="BU1158" s="91">
        <v>0.45132576944775282</v>
      </c>
      <c r="BV1158" s="91">
        <v>1.3289036544850499</v>
      </c>
      <c r="BW1158" s="91">
        <v>2.1563342318059302</v>
      </c>
      <c r="BX1158" s="91">
        <v>4.2437159155017863</v>
      </c>
      <c r="BY1158" s="91">
        <v>6.306023945339434</v>
      </c>
      <c r="BZ1158" s="91">
        <v>11.101360245721807</v>
      </c>
      <c r="CA1158" s="91">
        <v>12.956810631229235</v>
      </c>
      <c r="CB1158" s="91">
        <v>14.849871497523976</v>
      </c>
      <c r="CC1158" s="91">
        <v>17.006205729329906</v>
      </c>
      <c r="CD1158" s="91">
        <v>8.6002632733655116</v>
      </c>
      <c r="CE1158" s="91">
        <v>6.9454021187237505</v>
      </c>
      <c r="CF1158" s="91">
        <v>4.8830940888861027</v>
      </c>
      <c r="CG1158" s="91">
        <v>3.1718172130633735</v>
      </c>
      <c r="CH1158" s="91">
        <v>2.0309659625148875</v>
      </c>
      <c r="CI1158" s="91">
        <v>1.1345828370839341</v>
      </c>
      <c r="CJ1158" s="91">
        <v>0.57042562527424312</v>
      </c>
      <c r="CK1158" s="91">
        <v>0.33849432708581456</v>
      </c>
      <c r="CN1158" s="137"/>
      <c r="CO1158" s="47" t="s">
        <v>9</v>
      </c>
      <c r="CP1158" s="91">
        <v>1.0955728387675741</v>
      </c>
      <c r="CQ1158" s="91">
        <v>0.1607837271911457</v>
      </c>
      <c r="CR1158" s="91">
        <v>0.33465450194436136</v>
      </c>
      <c r="CS1158" s="91">
        <v>0.76839664971582411</v>
      </c>
      <c r="CT1158" s="91">
        <v>1.6302722105892911</v>
      </c>
      <c r="CU1158" s="91">
        <v>3.6550254262638346</v>
      </c>
      <c r="CV1158" s="91">
        <v>7.4371821717020641</v>
      </c>
      <c r="CW1158" s="91">
        <v>10.578073586598864</v>
      </c>
      <c r="CX1158" s="91">
        <v>14.326577924020341</v>
      </c>
      <c r="CY1158" s="91">
        <v>19.443613520789711</v>
      </c>
      <c r="CZ1158" s="91">
        <v>11.312817828297936</v>
      </c>
      <c r="DA1158" s="91">
        <v>9.8732425964702362</v>
      </c>
      <c r="DB1158" s="91">
        <v>7.5979658988932091</v>
      </c>
      <c r="DC1158" s="91">
        <v>4.8440771761890513</v>
      </c>
      <c r="DD1158" s="91">
        <v>3.1352826802273408</v>
      </c>
      <c r="DE1158" s="91">
        <v>1.9237959916242897</v>
      </c>
      <c r="DF1158" s="91">
        <v>1.134833981453784</v>
      </c>
      <c r="DG1158" s="91">
        <v>0.74783128926114262</v>
      </c>
      <c r="DI1158" s="42"/>
      <c r="DJ1158" s="137"/>
      <c r="DK1158" s="47" t="s">
        <v>9</v>
      </c>
      <c r="DL1158" s="91">
        <v>2.0023014959723819</v>
      </c>
      <c r="DM1158" s="91">
        <v>0.75949367088607589</v>
      </c>
      <c r="DN1158" s="91">
        <v>2.0023014959723819</v>
      </c>
      <c r="DO1158" s="91">
        <v>3.0379746835443036</v>
      </c>
      <c r="DP1158" s="91">
        <v>4.8101265822784809</v>
      </c>
      <c r="DQ1158" s="91">
        <v>6.6052934407364789</v>
      </c>
      <c r="DR1158" s="91">
        <v>10.563866513233602</v>
      </c>
      <c r="DS1158" s="91">
        <v>11.645569620253164</v>
      </c>
      <c r="DT1158" s="91">
        <v>13.693901035673187</v>
      </c>
      <c r="DU1158" s="91">
        <v>18.665132336018413</v>
      </c>
      <c r="DV1158" s="91">
        <v>7.686996547756042</v>
      </c>
      <c r="DW1158" s="91">
        <v>6.3060989643268135</v>
      </c>
      <c r="DX1158" s="91">
        <v>4.8331415420023012</v>
      </c>
      <c r="DY1158" s="91">
        <v>3.3141542002301496</v>
      </c>
      <c r="DZ1158" s="91">
        <v>1.9102416570771001</v>
      </c>
      <c r="EA1158" s="91">
        <v>1.0126582278481013</v>
      </c>
      <c r="EB1158" s="91">
        <v>0.59838895281933258</v>
      </c>
      <c r="EC1158" s="91">
        <v>0.55235903337169157</v>
      </c>
      <c r="EF1158" s="137"/>
      <c r="EG1158" s="47" t="s">
        <v>9</v>
      </c>
      <c r="EH1158" s="91">
        <v>1.2381713162099053</v>
      </c>
      <c r="EI1158" s="91">
        <v>0.19202408750153618</v>
      </c>
      <c r="EJ1158" s="91">
        <v>0.46700258080373602</v>
      </c>
      <c r="EK1158" s="91">
        <v>0.95704805210765631</v>
      </c>
      <c r="EL1158" s="91">
        <v>2.0584982180164682</v>
      </c>
      <c r="EM1158" s="91">
        <v>4.1077792798328616</v>
      </c>
      <c r="EN1158" s="91">
        <v>8.1264593830650114</v>
      </c>
      <c r="EO1158" s="91">
        <v>11.089775101388719</v>
      </c>
      <c r="EP1158" s="91">
        <v>14.497050510015978</v>
      </c>
      <c r="EQ1158" s="91">
        <v>18.898242595551185</v>
      </c>
      <c r="ER1158" s="91">
        <v>10.890070050387122</v>
      </c>
      <c r="ES1158" s="91">
        <v>9.3938183605751497</v>
      </c>
      <c r="ET1158" s="91">
        <v>7.1171807791569366</v>
      </c>
      <c r="EU1158" s="91">
        <v>4.5363770431362909</v>
      </c>
      <c r="EV1158" s="91">
        <v>2.9464175986235714</v>
      </c>
      <c r="EW1158" s="91">
        <v>1.7912006882143297</v>
      </c>
      <c r="EX1158" s="91">
        <v>1.0323214944082586</v>
      </c>
      <c r="EY1158" s="91">
        <v>0.6605628610052845</v>
      </c>
      <c r="FB1158" s="137"/>
      <c r="FC1158" s="47" t="s">
        <v>9</v>
      </c>
      <c r="FD1158" s="91">
        <v>1.4075576971848847</v>
      </c>
      <c r="FE1158" s="103">
        <v>0.20289119959421759</v>
      </c>
      <c r="FF1158" s="103">
        <v>0.45650519908698961</v>
      </c>
      <c r="FG1158" s="103">
        <v>0.88764899822470189</v>
      </c>
      <c r="FH1158" s="103">
        <v>1.4582804970834391</v>
      </c>
      <c r="FI1158" s="103">
        <v>2.9038802941922395</v>
      </c>
      <c r="FJ1158" s="103">
        <v>5.8458026883083951</v>
      </c>
      <c r="FK1158" s="103">
        <v>8.6735987826528032</v>
      </c>
      <c r="FL1158" s="103">
        <v>12.059345675881309</v>
      </c>
      <c r="FM1158" s="103">
        <v>16.396145067207708</v>
      </c>
      <c r="FN1158" s="103">
        <v>11.120973877758052</v>
      </c>
      <c r="FO1158" s="103">
        <v>10.689830078620339</v>
      </c>
      <c r="FP1158" s="103">
        <v>10.030433679939133</v>
      </c>
      <c r="FQ1158" s="103">
        <v>6.4544762870910475</v>
      </c>
      <c r="FR1158" s="103">
        <v>4.5904133908191733</v>
      </c>
      <c r="FS1158" s="103">
        <v>3.1574942936850112</v>
      </c>
      <c r="FT1158" s="103">
        <v>2.1810803956378395</v>
      </c>
      <c r="FU1158" s="103">
        <v>1.4836418970327163</v>
      </c>
      <c r="FX1158" s="137"/>
      <c r="FY1158" s="47" t="s">
        <v>9</v>
      </c>
      <c r="FZ1158" s="103">
        <v>1.2704085776947447</v>
      </c>
      <c r="GA1158" s="103">
        <v>0.23068800259930144</v>
      </c>
      <c r="GB1158" s="103">
        <v>0.57672000649825361</v>
      </c>
      <c r="GC1158" s="103">
        <v>1.1128259280318413</v>
      </c>
      <c r="GD1158" s="103">
        <v>2.3296239135732271</v>
      </c>
      <c r="GE1158" s="103">
        <v>4.4383072049386723</v>
      </c>
      <c r="GF1158" s="103">
        <v>8.5906912517260992</v>
      </c>
      <c r="GG1158" s="103">
        <v>11.438550889448461</v>
      </c>
      <c r="GH1158" s="103">
        <v>14.752660222565186</v>
      </c>
      <c r="GI1158" s="103">
        <v>19.202339371293963</v>
      </c>
      <c r="GJ1158" s="103">
        <v>10.63439200714808</v>
      </c>
      <c r="GK1158" s="103">
        <v>9.009828608561449</v>
      </c>
      <c r="GL1158" s="103">
        <v>6.582730891073024</v>
      </c>
      <c r="GM1158" s="103">
        <v>4.2043700755421982</v>
      </c>
      <c r="GN1158" s="103">
        <v>2.6626594102834864</v>
      </c>
      <c r="GO1158" s="103">
        <v>1.5612054260417512</v>
      </c>
      <c r="GP1158" s="103">
        <v>0.85452034765656737</v>
      </c>
      <c r="GQ1158" s="103">
        <v>0.54747786532369425</v>
      </c>
    </row>
    <row r="1159" spans="2:199" ht="15.4" x14ac:dyDescent="0.45">
      <c r="B1159" s="99"/>
      <c r="C1159" s="42"/>
      <c r="D1159" s="137"/>
      <c r="E1159" s="47" t="s">
        <v>10</v>
      </c>
      <c r="F1159" s="24">
        <v>0.75514996264275802</v>
      </c>
      <c r="G1159" s="24">
        <v>0.10139822819938095</v>
      </c>
      <c r="H1159" s="24">
        <v>0.1574340911516704</v>
      </c>
      <c r="I1159" s="24">
        <v>0.28284768918774683</v>
      </c>
      <c r="J1159" s="24">
        <v>0.67509872985377306</v>
      </c>
      <c r="K1159" s="24">
        <v>1.3635393318390436</v>
      </c>
      <c r="L1159" s="24">
        <v>3.2260646813960938</v>
      </c>
      <c r="M1159" s="24">
        <v>5.7823673817910128</v>
      </c>
      <c r="N1159" s="24">
        <v>8.9657380723663138</v>
      </c>
      <c r="O1159" s="24">
        <v>14.443910769559185</v>
      </c>
      <c r="P1159" s="24">
        <v>11.852919201622372</v>
      </c>
      <c r="Q1159" s="24">
        <v>12.71480414131711</v>
      </c>
      <c r="R1159" s="24">
        <v>11.335254562920269</v>
      </c>
      <c r="S1159" s="24">
        <v>8.5201195431742978</v>
      </c>
      <c r="T1159" s="24">
        <v>6.7803394172270259</v>
      </c>
      <c r="U1159" s="24">
        <v>5.4915145693243677</v>
      </c>
      <c r="V1159" s="24">
        <v>3.6636780873092114</v>
      </c>
      <c r="W1159" s="24">
        <v>3.8878215391183693</v>
      </c>
      <c r="Z1159" s="137"/>
      <c r="AA1159" s="47" t="s">
        <v>10</v>
      </c>
      <c r="AB1159" s="24">
        <v>0.5714285714285714</v>
      </c>
      <c r="AC1159" s="24">
        <v>4.3956043956043953E-2</v>
      </c>
      <c r="AD1159" s="24">
        <v>8.2417582417582416E-2</v>
      </c>
      <c r="AE1159" s="24">
        <v>0.18131868131868134</v>
      </c>
      <c r="AF1159" s="24">
        <v>0.43956043956043955</v>
      </c>
      <c r="AG1159" s="24">
        <v>0.89010989010989017</v>
      </c>
      <c r="AH1159" s="24">
        <v>2.7142857142857144</v>
      </c>
      <c r="AI1159" s="24">
        <v>4.9230769230769234</v>
      </c>
      <c r="AJ1159" s="24">
        <v>7.7582417582417591</v>
      </c>
      <c r="AK1159" s="24">
        <v>13.230769230769232</v>
      </c>
      <c r="AL1159" s="24">
        <v>11.846153846153847</v>
      </c>
      <c r="AM1159" s="24">
        <v>12.978021978021978</v>
      </c>
      <c r="AN1159" s="24">
        <v>12</v>
      </c>
      <c r="AO1159" s="24">
        <v>9.6098901098901095</v>
      </c>
      <c r="AP1159" s="24">
        <v>7.4945054945054945</v>
      </c>
      <c r="AQ1159" s="24">
        <v>6.4560439560439571</v>
      </c>
      <c r="AR1159" s="24">
        <v>4.3461538461538458</v>
      </c>
      <c r="AS1159" s="24">
        <v>4.4340659340659343</v>
      </c>
      <c r="AV1159" s="137"/>
      <c r="AW1159" s="47" t="s">
        <v>10</v>
      </c>
      <c r="AX1159" s="24">
        <v>0.92861589541398637</v>
      </c>
      <c r="AY1159" s="24">
        <v>0.15563394895206475</v>
      </c>
      <c r="AZ1159" s="24">
        <v>0.22826312512969496</v>
      </c>
      <c r="BA1159" s="24">
        <v>0.37870927578335756</v>
      </c>
      <c r="BB1159" s="24">
        <v>0.89748910562357331</v>
      </c>
      <c r="BC1159" s="24">
        <v>1.8105416061423532</v>
      </c>
      <c r="BD1159" s="24">
        <v>3.7092757833575427</v>
      </c>
      <c r="BE1159" s="24">
        <v>6.593691637269143</v>
      </c>
      <c r="BF1159" s="24">
        <v>10.105831085287404</v>
      </c>
      <c r="BG1159" s="24">
        <v>15.589333886698487</v>
      </c>
      <c r="BH1159" s="24">
        <v>11.859306910147334</v>
      </c>
      <c r="BI1159" s="24">
        <v>12.466279311060385</v>
      </c>
      <c r="BJ1159" s="24">
        <v>10.707615687902054</v>
      </c>
      <c r="BK1159" s="24">
        <v>7.4911807428927171</v>
      </c>
      <c r="BL1159" s="24">
        <v>6.1060385972193405</v>
      </c>
      <c r="BM1159" s="24">
        <v>4.5808258974891052</v>
      </c>
      <c r="BN1159" s="24">
        <v>3.0192986096700558</v>
      </c>
      <c r="BO1159" s="24">
        <v>3.3720688939614032</v>
      </c>
      <c r="BQ1159" s="42"/>
      <c r="BR1159" s="137"/>
      <c r="BS1159" s="47" t="s">
        <v>10</v>
      </c>
      <c r="BT1159" s="91">
        <v>1.6264802396918248</v>
      </c>
      <c r="BU1159" s="91">
        <v>0.32814952204308745</v>
      </c>
      <c r="BV1159" s="91">
        <v>0.29961478099586247</v>
      </c>
      <c r="BW1159" s="91">
        <v>0.69910115565701247</v>
      </c>
      <c r="BX1159" s="91">
        <v>1.6264802396918248</v>
      </c>
      <c r="BY1159" s="91">
        <v>2.7964046226280499</v>
      </c>
      <c r="BZ1159" s="91">
        <v>5.6356113568269368</v>
      </c>
      <c r="CA1159" s="91">
        <v>8.631759166785562</v>
      </c>
      <c r="CB1159" s="91">
        <v>11.114281637894136</v>
      </c>
      <c r="CC1159" s="91">
        <v>15.579968611784848</v>
      </c>
      <c r="CD1159" s="91">
        <v>12.227136538735911</v>
      </c>
      <c r="CE1159" s="91">
        <v>11.856184905121985</v>
      </c>
      <c r="CF1159" s="91">
        <v>9.2309887287772874</v>
      </c>
      <c r="CG1159" s="91">
        <v>6.5772578113853619</v>
      </c>
      <c r="CH1159" s="91">
        <v>4.5084890854615489</v>
      </c>
      <c r="CI1159" s="91">
        <v>3.1245541446711371</v>
      </c>
      <c r="CJ1159" s="91">
        <v>2.154372949065487</v>
      </c>
      <c r="CK1159" s="91">
        <v>1.9831645027821372</v>
      </c>
      <c r="CN1159" s="137"/>
      <c r="CO1159" s="47" t="s">
        <v>10</v>
      </c>
      <c r="CP1159" s="91">
        <v>0.55469852627432958</v>
      </c>
      <c r="CQ1159" s="91">
        <v>4.923359700659731E-2</v>
      </c>
      <c r="CR1159" s="91">
        <v>0.12472511241671316</v>
      </c>
      <c r="CS1159" s="91">
        <v>0.18708766862506973</v>
      </c>
      <c r="CT1159" s="91">
        <v>0.45623133226113499</v>
      </c>
      <c r="CU1159" s="91">
        <v>1.0339055371385433</v>
      </c>
      <c r="CV1159" s="91">
        <v>2.6717431975580137</v>
      </c>
      <c r="CW1159" s="91">
        <v>5.1268585682869992</v>
      </c>
      <c r="CX1159" s="91">
        <v>8.471460924935176</v>
      </c>
      <c r="CY1159" s="91">
        <v>14.182558177700463</v>
      </c>
      <c r="CZ1159" s="91">
        <v>11.766829684576754</v>
      </c>
      <c r="DA1159" s="91">
        <v>12.912331374930252</v>
      </c>
      <c r="DB1159" s="91">
        <v>11.819345521383791</v>
      </c>
      <c r="DC1159" s="91">
        <v>8.9670791348015886</v>
      </c>
      <c r="DD1159" s="91">
        <v>7.3029835559785994</v>
      </c>
      <c r="DE1159" s="91">
        <v>6.0360389930088294</v>
      </c>
      <c r="DF1159" s="91">
        <v>4.0108970361374601</v>
      </c>
      <c r="DG1159" s="91">
        <v>4.3259920569796826</v>
      </c>
      <c r="DI1159" s="42"/>
      <c r="DJ1159" s="137"/>
      <c r="DK1159" s="47" t="s">
        <v>10</v>
      </c>
      <c r="DL1159" s="91">
        <v>2.1654636313159359</v>
      </c>
      <c r="DM1159" s="91">
        <v>0.38867295946696279</v>
      </c>
      <c r="DN1159" s="91">
        <v>0.27762354247640203</v>
      </c>
      <c r="DO1159" s="91">
        <v>0.77734591893392557</v>
      </c>
      <c r="DP1159" s="91">
        <v>1.776790671848973</v>
      </c>
      <c r="DQ1159" s="91">
        <v>2.7207107162687394</v>
      </c>
      <c r="DR1159" s="91">
        <v>5.8856191004997225</v>
      </c>
      <c r="DS1159" s="91">
        <v>9.1615769017212667</v>
      </c>
      <c r="DT1159" s="91">
        <v>9.050527484730706</v>
      </c>
      <c r="DU1159" s="91">
        <v>18.212104386451973</v>
      </c>
      <c r="DV1159" s="91">
        <v>9.5502498611882292</v>
      </c>
      <c r="DW1159" s="91">
        <v>10.161021654636313</v>
      </c>
      <c r="DX1159" s="91">
        <v>9.2726263187118274</v>
      </c>
      <c r="DY1159" s="91">
        <v>6.9405885619100491</v>
      </c>
      <c r="DZ1159" s="91">
        <v>4.2198778456413102</v>
      </c>
      <c r="EA1159" s="91">
        <v>4.5530260966129932</v>
      </c>
      <c r="EB1159" s="91">
        <v>2.2209883398112162</v>
      </c>
      <c r="EC1159" s="91">
        <v>2.665186007773459</v>
      </c>
      <c r="EF1159" s="137"/>
      <c r="EG1159" s="47" t="s">
        <v>10</v>
      </c>
      <c r="EH1159" s="91">
        <v>0.68395234758234058</v>
      </c>
      <c r="EI1159" s="91">
        <v>8.6895585143658027E-2</v>
      </c>
      <c r="EJ1159" s="91">
        <v>0.15136650315346883</v>
      </c>
      <c r="EK1159" s="91">
        <v>0.25788367203924317</v>
      </c>
      <c r="EL1159" s="91">
        <v>0.61948142957252972</v>
      </c>
      <c r="EM1159" s="91">
        <v>1.2950245269796776</v>
      </c>
      <c r="EN1159" s="91">
        <v>3.0918009810791869</v>
      </c>
      <c r="EO1159" s="91">
        <v>5.6117729502452693</v>
      </c>
      <c r="EP1159" s="91">
        <v>8.9614576033636997</v>
      </c>
      <c r="EQ1159" s="91">
        <v>14.253679046951648</v>
      </c>
      <c r="ER1159" s="91">
        <v>11.969166082690959</v>
      </c>
      <c r="ES1159" s="91">
        <v>12.843728100911003</v>
      </c>
      <c r="ET1159" s="91">
        <v>11.439383321653819</v>
      </c>
      <c r="EU1159" s="91">
        <v>8.5998598458304141</v>
      </c>
      <c r="EV1159" s="91">
        <v>6.9096005606166786</v>
      </c>
      <c r="EW1159" s="91">
        <v>5.538892782060266</v>
      </c>
      <c r="EX1159" s="91">
        <v>3.7365101611772951</v>
      </c>
      <c r="EY1159" s="91">
        <v>3.949544498948844</v>
      </c>
      <c r="FB1159" s="137"/>
      <c r="FC1159" s="47" t="s">
        <v>10</v>
      </c>
      <c r="FD1159" s="91">
        <v>0.59600932884166891</v>
      </c>
      <c r="FE1159" s="103">
        <v>2.5913449080072558E-2</v>
      </c>
      <c r="FF1159" s="103">
        <v>0</v>
      </c>
      <c r="FG1159" s="103">
        <v>0.10365379632029023</v>
      </c>
      <c r="FH1159" s="103">
        <v>0.38870173620108833</v>
      </c>
      <c r="FI1159" s="103">
        <v>0.88105726872246704</v>
      </c>
      <c r="FJ1159" s="103">
        <v>2.2026431718061676</v>
      </c>
      <c r="FK1159" s="103">
        <v>4.1461518528116095</v>
      </c>
      <c r="FL1159" s="103">
        <v>6.8670640062192287</v>
      </c>
      <c r="FM1159" s="103">
        <v>11.194610002591345</v>
      </c>
      <c r="FN1159" s="103">
        <v>10.650427571909821</v>
      </c>
      <c r="FO1159" s="103">
        <v>12.619849701995337</v>
      </c>
      <c r="FP1159" s="103">
        <v>12.827157294635915</v>
      </c>
      <c r="FQ1159" s="103">
        <v>9.3806685669862659</v>
      </c>
      <c r="FR1159" s="103">
        <v>9.1215340761855401</v>
      </c>
      <c r="FS1159" s="103">
        <v>7.7740347240217664</v>
      </c>
      <c r="FT1159" s="103">
        <v>5.1308629178543663</v>
      </c>
      <c r="FU1159" s="103">
        <v>6.0896605338170513</v>
      </c>
      <c r="FX1159" s="137"/>
      <c r="FY1159" s="47" t="s">
        <v>10</v>
      </c>
      <c r="FZ1159" s="103">
        <v>0.77341821102418418</v>
      </c>
      <c r="GA1159" s="103">
        <v>0.11006336079959546</v>
      </c>
      <c r="GB1159" s="103">
        <v>0.17550644019394948</v>
      </c>
      <c r="GC1159" s="103">
        <v>0.30341791355564146</v>
      </c>
      <c r="GD1159" s="103">
        <v>0.70797513162983017</v>
      </c>
      <c r="GE1159" s="103">
        <v>1.4189249486866764</v>
      </c>
      <c r="GF1159" s="103">
        <v>3.3435464199660885</v>
      </c>
      <c r="GG1159" s="103">
        <v>5.9701936520212984</v>
      </c>
      <c r="GH1159" s="103">
        <v>9.2066513966148076</v>
      </c>
      <c r="GI1159" s="103">
        <v>14.816908111967159</v>
      </c>
      <c r="GJ1159" s="103">
        <v>11.99095695630187</v>
      </c>
      <c r="GK1159" s="103">
        <v>12.725704256774847</v>
      </c>
      <c r="GL1159" s="103">
        <v>11.163994407591398</v>
      </c>
      <c r="GM1159" s="103">
        <v>8.421334443882559</v>
      </c>
      <c r="GN1159" s="103">
        <v>6.5115863997382268</v>
      </c>
      <c r="GO1159" s="103">
        <v>5.2294969806942921</v>
      </c>
      <c r="GP1159" s="103">
        <v>3.4952553767439096</v>
      </c>
      <c r="GQ1159" s="103">
        <v>3.6350655918136661</v>
      </c>
    </row>
    <row r="1160" spans="2:199" ht="15.4" x14ac:dyDescent="0.45">
      <c r="B1160" s="99"/>
      <c r="C1160" s="42"/>
      <c r="D1160" s="138"/>
      <c r="E1160" s="47" t="s">
        <v>11</v>
      </c>
      <c r="F1160" s="24">
        <v>0.37702373031714354</v>
      </c>
      <c r="G1160" s="24">
        <v>0</v>
      </c>
      <c r="H1160" s="24">
        <v>4.4355732978487467E-2</v>
      </c>
      <c r="I1160" s="24">
        <v>2.2177866489243733E-2</v>
      </c>
      <c r="J1160" s="24">
        <v>0.1330671989354624</v>
      </c>
      <c r="K1160" s="24">
        <v>0.37702373031714354</v>
      </c>
      <c r="L1160" s="24">
        <v>0.93147039254823683</v>
      </c>
      <c r="M1160" s="24">
        <v>1.6411621202040365</v>
      </c>
      <c r="N1160" s="24">
        <v>2.9496562430694167</v>
      </c>
      <c r="O1160" s="24">
        <v>7.1634508760257258</v>
      </c>
      <c r="P1160" s="24">
        <v>7.4295852738966506</v>
      </c>
      <c r="Q1160" s="24">
        <v>8.8933244621867367</v>
      </c>
      <c r="R1160" s="24">
        <v>10.223996451541362</v>
      </c>
      <c r="S1160" s="24">
        <v>10.822798846750944</v>
      </c>
      <c r="T1160" s="24">
        <v>10.711909514304724</v>
      </c>
      <c r="U1160" s="24">
        <v>10.445775116433799</v>
      </c>
      <c r="V1160" s="24">
        <v>9.5586604568640503</v>
      </c>
      <c r="W1160" s="24">
        <v>18.274561987136835</v>
      </c>
      <c r="Z1160" s="138"/>
      <c r="AA1160" s="47" t="s">
        <v>11</v>
      </c>
      <c r="AB1160" s="24">
        <v>0.47068891741548996</v>
      </c>
      <c r="AC1160" s="24">
        <v>0</v>
      </c>
      <c r="AD1160" s="24">
        <v>4.2789901583226361E-2</v>
      </c>
      <c r="AE1160" s="24">
        <v>4.2789901583226361E-2</v>
      </c>
      <c r="AF1160" s="24">
        <v>8.5579803166452723E-2</v>
      </c>
      <c r="AG1160" s="24">
        <v>0.34231921266581089</v>
      </c>
      <c r="AH1160" s="24">
        <v>0.38510911424903727</v>
      </c>
      <c r="AI1160" s="24">
        <v>0.94137783483097992</v>
      </c>
      <c r="AJ1160" s="24">
        <v>1.9683354728284124</v>
      </c>
      <c r="AK1160" s="24">
        <v>6.3329054343175013</v>
      </c>
      <c r="AL1160" s="24">
        <v>5.9050064184852378</v>
      </c>
      <c r="AM1160" s="24">
        <v>8.6007702182284991</v>
      </c>
      <c r="AN1160" s="24">
        <v>10.183996576807873</v>
      </c>
      <c r="AO1160" s="24">
        <v>10.997004706889173</v>
      </c>
      <c r="AP1160" s="24">
        <v>10.997004706889173</v>
      </c>
      <c r="AQ1160" s="24">
        <v>10.911424903722722</v>
      </c>
      <c r="AR1160" s="24">
        <v>10.355156183140778</v>
      </c>
      <c r="AS1160" s="24">
        <v>21.437740693196407</v>
      </c>
      <c r="AV1160" s="138"/>
      <c r="AW1160" s="47" t="s">
        <v>11</v>
      </c>
      <c r="AX1160" s="24">
        <v>0.27624309392265189</v>
      </c>
      <c r="AY1160" s="24">
        <v>0</v>
      </c>
      <c r="AZ1160" s="24">
        <v>4.6040515653775323E-2</v>
      </c>
      <c r="BA1160" s="24">
        <v>0</v>
      </c>
      <c r="BB1160" s="24">
        <v>0.18416206261510129</v>
      </c>
      <c r="BC1160" s="24">
        <v>0.4143646408839779</v>
      </c>
      <c r="BD1160" s="24">
        <v>1.5193370165745856</v>
      </c>
      <c r="BE1160" s="24">
        <v>2.3941068139963169</v>
      </c>
      <c r="BF1160" s="24">
        <v>4.0055248618784534</v>
      </c>
      <c r="BG1160" s="24">
        <v>8.057090239410682</v>
      </c>
      <c r="BH1160" s="24">
        <v>9.069981583793739</v>
      </c>
      <c r="BI1160" s="24">
        <v>9.2081031307550649</v>
      </c>
      <c r="BJ1160" s="24">
        <v>10.267034990791897</v>
      </c>
      <c r="BK1160" s="24">
        <v>10.6353591160221</v>
      </c>
      <c r="BL1160" s="24">
        <v>10.405156537753223</v>
      </c>
      <c r="BM1160" s="24">
        <v>9.94475138121547</v>
      </c>
      <c r="BN1160" s="24">
        <v>8.7016574585635365</v>
      </c>
      <c r="BO1160" s="24">
        <v>14.871086556169431</v>
      </c>
      <c r="BQ1160" s="42"/>
      <c r="BR1160" s="138"/>
      <c r="BS1160" s="47" t="s">
        <v>11</v>
      </c>
      <c r="BT1160" s="91">
        <v>1.8333333333333333</v>
      </c>
      <c r="BU1160" s="91">
        <v>0</v>
      </c>
      <c r="BV1160" s="91">
        <v>0.16666666666666669</v>
      </c>
      <c r="BW1160" s="91">
        <v>0</v>
      </c>
      <c r="BX1160" s="91">
        <v>0.5</v>
      </c>
      <c r="BY1160" s="91">
        <v>0.66666666666666674</v>
      </c>
      <c r="BZ1160" s="91">
        <v>2.833333333333333</v>
      </c>
      <c r="CA1160" s="91">
        <v>4.1666666666666661</v>
      </c>
      <c r="CB1160" s="91">
        <v>5.6666666666666661</v>
      </c>
      <c r="CC1160" s="91">
        <v>10.833333333333334</v>
      </c>
      <c r="CD1160" s="91">
        <v>8.3333333333333321</v>
      </c>
      <c r="CE1160" s="91">
        <v>11.166666666666666</v>
      </c>
      <c r="CF1160" s="91">
        <v>11.5</v>
      </c>
      <c r="CG1160" s="91">
        <v>10.166666666666666</v>
      </c>
      <c r="CH1160" s="91">
        <v>9.3333333333333339</v>
      </c>
      <c r="CI1160" s="91">
        <v>6</v>
      </c>
      <c r="CJ1160" s="91">
        <v>6.833333333333333</v>
      </c>
      <c r="CK1160" s="91">
        <v>10</v>
      </c>
      <c r="CN1160" s="138"/>
      <c r="CO1160" s="47" t="s">
        <v>11</v>
      </c>
      <c r="CP1160" s="91">
        <v>0.15349194167306215</v>
      </c>
      <c r="CQ1160" s="91">
        <v>0</v>
      </c>
      <c r="CR1160" s="91">
        <v>2.5581990278843697E-2</v>
      </c>
      <c r="CS1160" s="91">
        <v>2.5581990278843697E-2</v>
      </c>
      <c r="CT1160" s="91">
        <v>7.6745970836531077E-2</v>
      </c>
      <c r="CU1160" s="91">
        <v>0.33256587362496803</v>
      </c>
      <c r="CV1160" s="91">
        <v>0.63954975697109229</v>
      </c>
      <c r="CW1160" s="91">
        <v>1.2535175236633409</v>
      </c>
      <c r="CX1160" s="91">
        <v>2.5326170376055259</v>
      </c>
      <c r="CY1160" s="91">
        <v>6.600153491941672</v>
      </c>
      <c r="CZ1160" s="91">
        <v>7.2908672294704528</v>
      </c>
      <c r="DA1160" s="91">
        <v>8.5443847531337944</v>
      </c>
      <c r="DB1160" s="91">
        <v>10.028140189306727</v>
      </c>
      <c r="DC1160" s="91">
        <v>10.923509849066257</v>
      </c>
      <c r="DD1160" s="91">
        <v>10.923509849066257</v>
      </c>
      <c r="DE1160" s="91">
        <v>11.128165771297006</v>
      </c>
      <c r="DF1160" s="91">
        <v>9.9769762087490399</v>
      </c>
      <c r="DG1160" s="91">
        <v>19.544640573036581</v>
      </c>
      <c r="DI1160" s="42"/>
      <c r="DJ1160" s="138"/>
      <c r="DK1160" s="47" t="s">
        <v>11</v>
      </c>
      <c r="DL1160" s="91">
        <v>1.0928961748633881</v>
      </c>
      <c r="DM1160" s="91">
        <v>0</v>
      </c>
      <c r="DN1160" s="91">
        <v>0</v>
      </c>
      <c r="DO1160" s="91">
        <v>0</v>
      </c>
      <c r="DP1160" s="91">
        <v>0</v>
      </c>
      <c r="DQ1160" s="91">
        <v>1.0928961748633881</v>
      </c>
      <c r="DR1160" s="91">
        <v>2.7322404371584699</v>
      </c>
      <c r="DS1160" s="91">
        <v>1.0928961748633881</v>
      </c>
      <c r="DT1160" s="91">
        <v>3.8251366120218582</v>
      </c>
      <c r="DU1160" s="91">
        <v>13.114754098360656</v>
      </c>
      <c r="DV1160" s="91">
        <v>9.2896174863387984</v>
      </c>
      <c r="DW1160" s="91">
        <v>11.475409836065573</v>
      </c>
      <c r="DX1160" s="91">
        <v>12.021857923497267</v>
      </c>
      <c r="DY1160" s="91">
        <v>10.382513661202186</v>
      </c>
      <c r="DZ1160" s="91">
        <v>8.1967213114754092</v>
      </c>
      <c r="EA1160" s="91">
        <v>8.1967213114754092</v>
      </c>
      <c r="EB1160" s="91">
        <v>8.1967213114754092</v>
      </c>
      <c r="EC1160" s="91">
        <v>9.2896174863387984</v>
      </c>
      <c r="EF1160" s="138"/>
      <c r="EG1160" s="47" t="s">
        <v>11</v>
      </c>
      <c r="EH1160" s="91">
        <v>0.34674063800277394</v>
      </c>
      <c r="EI1160" s="91">
        <v>0</v>
      </c>
      <c r="EJ1160" s="91">
        <v>4.6232085067036521E-2</v>
      </c>
      <c r="EK1160" s="91">
        <v>2.3116042533518261E-2</v>
      </c>
      <c r="EL1160" s="91">
        <v>0.13869625520110956</v>
      </c>
      <c r="EM1160" s="91">
        <v>0.34674063800277394</v>
      </c>
      <c r="EN1160" s="91">
        <v>0.85529357374017567</v>
      </c>
      <c r="EO1160" s="91">
        <v>1.6643550624133148</v>
      </c>
      <c r="EP1160" s="91">
        <v>2.912621359223301</v>
      </c>
      <c r="EQ1160" s="91">
        <v>6.9116967175219601</v>
      </c>
      <c r="ER1160" s="91">
        <v>7.3509015256588066</v>
      </c>
      <c r="ES1160" s="91">
        <v>8.7840961627369385</v>
      </c>
      <c r="ET1160" s="91">
        <v>10.147942672214517</v>
      </c>
      <c r="EU1160" s="91">
        <v>10.841423948220065</v>
      </c>
      <c r="EV1160" s="91">
        <v>10.818307905686545</v>
      </c>
      <c r="EW1160" s="91">
        <v>10.540915395284326</v>
      </c>
      <c r="EX1160" s="91">
        <v>9.6162736939435973</v>
      </c>
      <c r="EY1160" s="91">
        <v>18.654646324549237</v>
      </c>
      <c r="FB1160" s="138"/>
      <c r="FC1160" s="47" t="s">
        <v>11</v>
      </c>
      <c r="FD1160" s="91">
        <v>0.79155672823219003</v>
      </c>
      <c r="FE1160" s="103">
        <v>0</v>
      </c>
      <c r="FF1160" s="103">
        <v>0</v>
      </c>
      <c r="FG1160" s="103">
        <v>0</v>
      </c>
      <c r="FH1160" s="103">
        <v>0</v>
      </c>
      <c r="FI1160" s="103">
        <v>0.79155672823219003</v>
      </c>
      <c r="FJ1160" s="103">
        <v>1.3192612137203166</v>
      </c>
      <c r="FK1160" s="103">
        <v>1.3192612137203166</v>
      </c>
      <c r="FL1160" s="103">
        <v>1.5831134564643801</v>
      </c>
      <c r="FM1160" s="103">
        <v>4.4854881266490763</v>
      </c>
      <c r="FN1160" s="103">
        <v>6.0686015831134563</v>
      </c>
      <c r="FO1160" s="103">
        <v>4.4854881266490763</v>
      </c>
      <c r="FP1160" s="103">
        <v>9.2348284960422156</v>
      </c>
      <c r="FQ1160" s="103">
        <v>8.1794195250659634</v>
      </c>
      <c r="FR1160" s="103">
        <v>11.609498680738787</v>
      </c>
      <c r="FS1160" s="103">
        <v>12.928759894459102</v>
      </c>
      <c r="FT1160" s="103">
        <v>11.345646437994723</v>
      </c>
      <c r="FU1160" s="103">
        <v>25.857519788918204</v>
      </c>
      <c r="FX1160" s="138"/>
      <c r="FY1160" s="47" t="s">
        <v>11</v>
      </c>
      <c r="FZ1160" s="103">
        <v>0.33898305084745761</v>
      </c>
      <c r="GA1160" s="103">
        <v>0</v>
      </c>
      <c r="GB1160" s="103">
        <v>4.8426150121065374E-2</v>
      </c>
      <c r="GC1160" s="103">
        <v>2.4213075060532687E-2</v>
      </c>
      <c r="GD1160" s="103">
        <v>0.14527845036319612</v>
      </c>
      <c r="GE1160" s="103">
        <v>0.33898305084745761</v>
      </c>
      <c r="GF1160" s="103">
        <v>0.89588377723970947</v>
      </c>
      <c r="GG1160" s="103">
        <v>1.6707021791767553</v>
      </c>
      <c r="GH1160" s="103">
        <v>3.075060532687651</v>
      </c>
      <c r="GI1160" s="103">
        <v>7.4092009685230025</v>
      </c>
      <c r="GJ1160" s="103">
        <v>7.5544794188861983</v>
      </c>
      <c r="GK1160" s="103">
        <v>9.2978208232445514</v>
      </c>
      <c r="GL1160" s="103">
        <v>10.314769975786925</v>
      </c>
      <c r="GM1160" s="103">
        <v>11.065375302663439</v>
      </c>
      <c r="GN1160" s="103">
        <v>10.629539951573848</v>
      </c>
      <c r="GO1160" s="103">
        <v>10.217917675544793</v>
      </c>
      <c r="GP1160" s="103">
        <v>9.3946731234866832</v>
      </c>
      <c r="GQ1160" s="103">
        <v>17.578692493946733</v>
      </c>
    </row>
    <row r="1161" spans="2:199" x14ac:dyDescent="0.45">
      <c r="B1161" s="99"/>
      <c r="C1161" s="42"/>
      <c r="D1161" s="42"/>
      <c r="E1161" s="42"/>
      <c r="F1161" s="42"/>
      <c r="G1161" s="42"/>
      <c r="H1161" s="42"/>
      <c r="I1161" s="42"/>
      <c r="J1161" s="42"/>
      <c r="K1161" s="42"/>
      <c r="L1161" s="42"/>
      <c r="M1161" s="42"/>
      <c r="N1161" s="42"/>
      <c r="O1161" s="42"/>
      <c r="P1161" s="42"/>
      <c r="Q1161" s="42"/>
      <c r="R1161" s="42"/>
      <c r="S1161" s="42"/>
      <c r="T1161" s="42"/>
      <c r="U1161" s="42"/>
      <c r="V1161" s="42"/>
      <c r="W1161" s="42"/>
      <c r="X1161" s="42"/>
      <c r="Y1161" s="42"/>
      <c r="Z1161" s="42"/>
      <c r="AA1161" s="42"/>
      <c r="AB1161" s="42"/>
      <c r="AC1161" s="42"/>
      <c r="AD1161" s="42"/>
      <c r="AE1161" s="42"/>
      <c r="AF1161" s="42"/>
      <c r="AG1161" s="42"/>
      <c r="AH1161" s="42"/>
      <c r="AI1161" s="42"/>
      <c r="AJ1161" s="42"/>
      <c r="AK1161" s="42"/>
      <c r="AL1161" s="42"/>
      <c r="AM1161" s="42"/>
      <c r="AN1161" s="42"/>
      <c r="AO1161" s="42"/>
      <c r="AQ1161" s="42"/>
      <c r="AR1161" s="42"/>
      <c r="AS1161" s="42"/>
      <c r="AT1161" s="42"/>
      <c r="AU1161" s="42"/>
      <c r="AV1161" s="42"/>
      <c r="AW1161" s="42"/>
      <c r="AX1161" s="42"/>
      <c r="AY1161" s="42"/>
      <c r="AZ1161" s="42"/>
      <c r="BA1161" s="42"/>
      <c r="BB1161" s="42"/>
      <c r="BC1161" s="42"/>
      <c r="BD1161" s="42"/>
      <c r="BE1161" s="42"/>
      <c r="BF1161" s="42"/>
      <c r="BG1161" s="42"/>
      <c r="BH1161" s="42"/>
      <c r="BI1161" s="42"/>
      <c r="BJ1161" s="42"/>
      <c r="BK1161" s="42"/>
      <c r="BL1161" s="42"/>
      <c r="BM1161" s="42"/>
      <c r="BN1161" s="42"/>
      <c r="BO1161" s="42"/>
      <c r="BQ1161" s="42"/>
      <c r="BR1161" s="42"/>
      <c r="BS1161" s="42"/>
      <c r="BT1161" s="42"/>
      <c r="BU1161" s="42"/>
      <c r="BV1161" s="42"/>
      <c r="BW1161" s="42"/>
      <c r="BX1161" s="42"/>
      <c r="BY1161" s="42"/>
      <c r="BZ1161" s="42"/>
      <c r="CA1161" s="42"/>
      <c r="CB1161" s="42"/>
      <c r="CC1161" s="42"/>
      <c r="CD1161" s="42"/>
      <c r="CE1161" s="42"/>
      <c r="CF1161" s="42"/>
      <c r="CG1161" s="42"/>
      <c r="CH1161" s="42"/>
      <c r="CI1161" s="42"/>
      <c r="CJ1161" s="42"/>
      <c r="CK1161" s="42"/>
      <c r="CL1161" s="42"/>
      <c r="CM1161" s="42"/>
      <c r="CN1161" s="42"/>
      <c r="CO1161" s="42"/>
      <c r="CQ1161" s="42"/>
      <c r="CR1161" s="42"/>
      <c r="CS1161" s="42"/>
      <c r="CT1161" s="42"/>
      <c r="CU1161" s="42"/>
      <c r="CV1161" s="42"/>
      <c r="CW1161" s="42"/>
      <c r="CX1161" s="42"/>
      <c r="CY1161" s="42"/>
      <c r="CZ1161" s="42"/>
      <c r="DA1161" s="42"/>
      <c r="DB1161" s="42"/>
      <c r="DC1161" s="42"/>
      <c r="DD1161" s="42"/>
      <c r="DE1161" s="42"/>
      <c r="DF1161" s="42"/>
      <c r="DG1161" s="42"/>
      <c r="DH1161" s="42"/>
      <c r="DI1161" s="42"/>
      <c r="DJ1161" s="42"/>
      <c r="DK1161" s="42"/>
      <c r="DL1161" s="42"/>
      <c r="DM1161" s="42"/>
      <c r="DN1161" s="42"/>
      <c r="DO1161" s="42"/>
    </row>
    <row r="1162" spans="2:199" x14ac:dyDescent="0.45">
      <c r="B1162" s="99"/>
      <c r="C1162" s="42"/>
      <c r="D1162" s="42"/>
      <c r="E1162" s="42"/>
      <c r="F1162" s="42"/>
      <c r="G1162" s="42"/>
      <c r="H1162" s="42"/>
      <c r="I1162" s="42"/>
      <c r="J1162" s="42"/>
      <c r="K1162" s="42"/>
      <c r="L1162" s="42"/>
      <c r="M1162" s="42"/>
      <c r="N1162" s="42"/>
      <c r="O1162" s="42"/>
      <c r="P1162" s="42"/>
      <c r="Q1162" s="42"/>
      <c r="R1162" s="42"/>
      <c r="S1162" s="42"/>
      <c r="T1162" s="42"/>
      <c r="U1162" s="42"/>
      <c r="V1162" s="42"/>
      <c r="W1162" s="42"/>
      <c r="X1162" s="42"/>
      <c r="Y1162" s="42"/>
      <c r="Z1162" s="42"/>
      <c r="AA1162" s="42"/>
      <c r="AB1162" s="42"/>
      <c r="AC1162" s="42"/>
      <c r="AD1162" s="42"/>
      <c r="AE1162" s="42"/>
      <c r="AF1162" s="42"/>
      <c r="AG1162" s="42"/>
      <c r="AH1162" s="42"/>
      <c r="AI1162" s="42"/>
      <c r="AJ1162" s="42"/>
      <c r="AK1162" s="42"/>
      <c r="AL1162" s="42"/>
      <c r="AM1162" s="42"/>
      <c r="AN1162" s="42"/>
      <c r="AO1162" s="42"/>
      <c r="AQ1162" s="42"/>
      <c r="AR1162" s="42"/>
      <c r="AS1162" s="42"/>
      <c r="AT1162" s="42"/>
      <c r="AU1162" s="42"/>
      <c r="AV1162" s="42"/>
      <c r="AW1162" s="42"/>
      <c r="AX1162" s="42"/>
      <c r="AY1162" s="42"/>
      <c r="AZ1162" s="42"/>
      <c r="BA1162" s="42"/>
      <c r="BB1162" s="42"/>
      <c r="BC1162" s="42"/>
      <c r="BD1162" s="42"/>
      <c r="BE1162" s="42"/>
      <c r="BF1162" s="42"/>
      <c r="BG1162" s="42"/>
      <c r="BH1162" s="42"/>
      <c r="BI1162" s="42"/>
      <c r="BJ1162" s="42"/>
      <c r="BK1162" s="42"/>
      <c r="BL1162" s="42"/>
      <c r="BM1162" s="42"/>
      <c r="BN1162" s="42"/>
      <c r="BO1162" s="42"/>
      <c r="BQ1162" s="42"/>
      <c r="BR1162" s="42"/>
      <c r="BS1162" s="42"/>
      <c r="BT1162" s="42"/>
      <c r="BU1162" s="42"/>
      <c r="BV1162" s="42"/>
      <c r="BW1162" s="42"/>
      <c r="BX1162" s="42"/>
      <c r="BY1162" s="42"/>
      <c r="BZ1162" s="42"/>
      <c r="CA1162" s="42"/>
      <c r="CB1162" s="42"/>
      <c r="CC1162" s="42"/>
      <c r="CD1162" s="42"/>
      <c r="CE1162" s="42"/>
      <c r="CF1162" s="42"/>
      <c r="CG1162" s="42"/>
      <c r="CH1162" s="42"/>
      <c r="CI1162" s="42"/>
      <c r="CJ1162" s="42"/>
      <c r="CK1162" s="42"/>
      <c r="CL1162" s="42"/>
      <c r="CM1162" s="42"/>
      <c r="CN1162" s="42"/>
      <c r="CO1162" s="42"/>
      <c r="CQ1162" s="42"/>
      <c r="CR1162" s="42"/>
      <c r="CS1162" s="42"/>
      <c r="CT1162" s="42"/>
      <c r="CU1162" s="42"/>
      <c r="CV1162" s="42"/>
      <c r="CW1162" s="42"/>
      <c r="CX1162" s="42"/>
      <c r="CY1162" s="42"/>
      <c r="CZ1162" s="42"/>
      <c r="DA1162" s="42"/>
      <c r="DB1162" s="42"/>
      <c r="DC1162" s="42"/>
      <c r="DD1162" s="42"/>
      <c r="DE1162" s="42"/>
      <c r="DF1162" s="42"/>
      <c r="DG1162" s="42"/>
      <c r="DH1162" s="42"/>
      <c r="DI1162" s="42"/>
      <c r="DJ1162" s="42"/>
      <c r="DK1162" s="42"/>
      <c r="DL1162" s="42"/>
      <c r="DM1162" s="42"/>
      <c r="DN1162" s="42"/>
      <c r="DO1162" s="42"/>
    </row>
    <row r="1163" spans="2:199" x14ac:dyDescent="0.45">
      <c r="B1163" s="99"/>
      <c r="C1163" s="42"/>
      <c r="D1163" s="42"/>
      <c r="E1163" s="42"/>
      <c r="F1163" s="42"/>
      <c r="G1163" s="42"/>
      <c r="H1163" s="42"/>
      <c r="I1163" s="42"/>
      <c r="J1163" s="42"/>
      <c r="K1163" s="42"/>
      <c r="L1163" s="42"/>
      <c r="M1163" s="42"/>
      <c r="N1163" s="42"/>
      <c r="O1163" s="42"/>
      <c r="P1163" s="42"/>
      <c r="Q1163" s="42"/>
      <c r="R1163" s="42"/>
      <c r="S1163" s="42"/>
      <c r="T1163" s="42"/>
      <c r="U1163" s="42"/>
      <c r="V1163" s="42"/>
      <c r="W1163" s="42"/>
      <c r="X1163" s="42"/>
      <c r="Y1163" s="42"/>
      <c r="Z1163" s="42"/>
      <c r="AA1163" s="42"/>
      <c r="AB1163" s="42"/>
      <c r="AC1163" s="42"/>
      <c r="AD1163" s="42"/>
      <c r="AE1163" s="42"/>
      <c r="AF1163" s="42"/>
      <c r="AG1163" s="42"/>
      <c r="AH1163" s="42"/>
      <c r="AI1163" s="42"/>
      <c r="AJ1163" s="42"/>
      <c r="AK1163" s="42"/>
      <c r="AL1163" s="42"/>
      <c r="AM1163" s="42"/>
      <c r="AN1163" s="42"/>
      <c r="AO1163" s="42"/>
      <c r="AQ1163" s="42"/>
      <c r="AR1163" s="42"/>
      <c r="AS1163" s="42"/>
      <c r="AT1163" s="42"/>
      <c r="AU1163" s="42"/>
      <c r="AV1163" s="42"/>
      <c r="AW1163" s="42"/>
      <c r="AX1163" s="42"/>
      <c r="AY1163" s="42"/>
      <c r="AZ1163" s="42"/>
      <c r="BA1163" s="42"/>
      <c r="BB1163" s="42"/>
      <c r="BC1163" s="42"/>
      <c r="BD1163" s="42"/>
      <c r="BE1163" s="42"/>
      <c r="BF1163" s="42"/>
      <c r="BG1163" s="42"/>
      <c r="BH1163" s="42"/>
      <c r="BI1163" s="42"/>
      <c r="BJ1163" s="42"/>
      <c r="BK1163" s="42"/>
      <c r="BL1163" s="42"/>
      <c r="BM1163" s="42"/>
      <c r="BN1163" s="42"/>
      <c r="BO1163" s="42"/>
      <c r="BQ1163" s="42"/>
      <c r="BR1163" s="42"/>
      <c r="BS1163" s="42"/>
      <c r="BT1163" s="42"/>
      <c r="BU1163" s="42"/>
      <c r="BV1163" s="42"/>
      <c r="BW1163" s="42"/>
      <c r="BX1163" s="42"/>
      <c r="BY1163" s="42"/>
      <c r="BZ1163" s="42"/>
      <c r="CA1163" s="42"/>
      <c r="CB1163" s="42"/>
      <c r="CC1163" s="42"/>
      <c r="CD1163" s="42"/>
      <c r="CE1163" s="42"/>
      <c r="CF1163" s="42"/>
      <c r="CG1163" s="42"/>
      <c r="CH1163" s="42"/>
      <c r="CI1163" s="42"/>
      <c r="CJ1163" s="42"/>
      <c r="CK1163" s="42"/>
      <c r="CL1163" s="42"/>
      <c r="CM1163" s="42"/>
      <c r="CN1163" s="42"/>
      <c r="CO1163" s="42"/>
      <c r="CQ1163" s="42"/>
      <c r="CR1163" s="42"/>
      <c r="CS1163" s="42"/>
      <c r="CT1163" s="42"/>
      <c r="CU1163" s="42"/>
      <c r="CV1163" s="42"/>
      <c r="CW1163" s="42"/>
      <c r="CX1163" s="42"/>
      <c r="CY1163" s="42"/>
      <c r="CZ1163" s="42"/>
      <c r="DA1163" s="42"/>
      <c r="DB1163" s="42"/>
      <c r="DC1163" s="42"/>
      <c r="DD1163" s="42"/>
      <c r="DE1163" s="42"/>
      <c r="DF1163" s="42"/>
      <c r="DG1163" s="42"/>
      <c r="DH1163" s="42"/>
      <c r="DI1163" s="42"/>
      <c r="DJ1163" s="42"/>
      <c r="DK1163" s="42"/>
      <c r="DL1163" s="42"/>
      <c r="DM1163" s="42"/>
      <c r="DN1163" s="42"/>
      <c r="DO1163" s="42"/>
    </row>
    <row r="1164" spans="2:199" ht="18" customHeight="1" x14ac:dyDescent="0.55000000000000004">
      <c r="B1164" s="99"/>
      <c r="C1164" s="42"/>
      <c r="D1164" s="112" t="s">
        <v>24</v>
      </c>
      <c r="E1164" s="112"/>
      <c r="F1164" s="45"/>
      <c r="G1164" s="45"/>
      <c r="H1164" s="42"/>
      <c r="I1164" s="42"/>
      <c r="J1164" s="42"/>
      <c r="K1164" s="42"/>
      <c r="L1164" s="42"/>
      <c r="M1164" s="42"/>
      <c r="N1164" s="42"/>
      <c r="O1164" s="42"/>
      <c r="P1164" s="42"/>
      <c r="Q1164" s="112" t="s">
        <v>24</v>
      </c>
      <c r="R1164" s="112"/>
      <c r="S1164" s="45"/>
      <c r="T1164" s="45"/>
      <c r="U1164" s="42"/>
      <c r="V1164" s="42"/>
      <c r="W1164" s="42"/>
      <c r="X1164" s="42"/>
      <c r="Y1164" s="42"/>
      <c r="Z1164" s="42"/>
      <c r="AA1164" s="42"/>
      <c r="AB1164" s="42"/>
      <c r="AC1164" s="42"/>
      <c r="AD1164" s="112" t="s">
        <v>24</v>
      </c>
      <c r="AE1164" s="112"/>
      <c r="AF1164" s="45"/>
      <c r="AG1164" s="45"/>
      <c r="AH1164" s="42"/>
      <c r="AI1164" s="42"/>
      <c r="AJ1164" s="42"/>
      <c r="AK1164" s="42"/>
      <c r="AL1164" s="42"/>
      <c r="AM1164" s="42"/>
      <c r="AN1164" s="42"/>
      <c r="AO1164" s="42"/>
      <c r="AQ1164" s="112" t="s">
        <v>24</v>
      </c>
      <c r="AR1164" s="112"/>
      <c r="AS1164" s="45"/>
      <c r="AT1164" s="45"/>
      <c r="AU1164" s="42"/>
      <c r="AV1164" s="42"/>
      <c r="AW1164" s="42"/>
      <c r="AX1164" s="42"/>
      <c r="AY1164" s="42"/>
      <c r="AZ1164" s="42"/>
      <c r="BA1164" s="42"/>
      <c r="BB1164" s="42"/>
      <c r="BC1164" s="42"/>
      <c r="BD1164" s="112" t="s">
        <v>24</v>
      </c>
      <c r="BE1164" s="112"/>
      <c r="BF1164" s="45"/>
      <c r="BG1164" s="45"/>
      <c r="BH1164" s="42"/>
      <c r="BI1164" s="42"/>
      <c r="BJ1164" s="42"/>
      <c r="BK1164" s="42"/>
      <c r="BL1164" s="42"/>
      <c r="BM1164" s="42"/>
      <c r="BN1164" s="42"/>
      <c r="BO1164" s="42"/>
      <c r="BQ1164" s="112" t="s">
        <v>24</v>
      </c>
      <c r="BR1164" s="112"/>
      <c r="BS1164" s="45"/>
      <c r="BT1164" s="45"/>
      <c r="BU1164" s="42"/>
      <c r="BV1164" s="42"/>
      <c r="BW1164" s="42"/>
      <c r="BX1164" s="42"/>
      <c r="BY1164" s="42"/>
      <c r="BZ1164" s="42"/>
      <c r="CA1164" s="42"/>
      <c r="CB1164" s="42"/>
      <c r="CC1164" s="42"/>
      <c r="CD1164" s="112" t="s">
        <v>24</v>
      </c>
      <c r="CE1164" s="112"/>
      <c r="CF1164" s="45"/>
      <c r="CG1164" s="45"/>
      <c r="CH1164" s="42"/>
      <c r="CI1164" s="42"/>
      <c r="CJ1164" s="42"/>
      <c r="CK1164" s="42"/>
      <c r="CL1164" s="42"/>
      <c r="CM1164" s="42"/>
      <c r="CN1164" s="42"/>
      <c r="CO1164" s="42"/>
      <c r="CQ1164" s="112" t="s">
        <v>24</v>
      </c>
      <c r="CR1164" s="112"/>
      <c r="CS1164" s="45"/>
      <c r="CT1164" s="45"/>
      <c r="CU1164" s="42"/>
      <c r="CV1164" s="42"/>
      <c r="CW1164" s="42"/>
      <c r="CX1164" s="42"/>
      <c r="CY1164" s="42"/>
      <c r="CZ1164" s="42"/>
      <c r="DA1164" s="42"/>
      <c r="DB1164" s="42"/>
      <c r="DC1164" s="42"/>
      <c r="DD1164" s="112" t="s">
        <v>24</v>
      </c>
      <c r="DE1164" s="112"/>
      <c r="DF1164" s="45"/>
      <c r="DG1164" s="45"/>
      <c r="DH1164" s="42"/>
      <c r="DI1164" s="42"/>
      <c r="DJ1164" s="42"/>
      <c r="DK1164" s="42"/>
      <c r="DL1164" s="42"/>
      <c r="DM1164" s="42"/>
      <c r="DN1164" s="42"/>
      <c r="DO1164" s="42"/>
    </row>
    <row r="1165" spans="2:199" ht="28.9" customHeight="1" x14ac:dyDescent="0.45">
      <c r="B1165" s="99"/>
      <c r="C1165" s="42"/>
      <c r="D1165" s="112"/>
      <c r="E1165" s="112"/>
      <c r="F1165" s="108" t="s">
        <v>58</v>
      </c>
      <c r="G1165" s="108"/>
      <c r="H1165" s="108"/>
      <c r="I1165" s="108"/>
      <c r="J1165" s="42"/>
      <c r="K1165" s="42"/>
      <c r="L1165" s="42"/>
      <c r="M1165" s="42"/>
      <c r="N1165" s="42"/>
      <c r="O1165" s="42"/>
      <c r="P1165" s="42"/>
      <c r="Q1165" s="112"/>
      <c r="R1165" s="112"/>
      <c r="S1165" s="108" t="s">
        <v>58</v>
      </c>
      <c r="T1165" s="108"/>
      <c r="U1165" s="108"/>
      <c r="V1165" s="108"/>
      <c r="W1165" s="42"/>
      <c r="X1165" s="42"/>
      <c r="Y1165" s="42"/>
      <c r="Z1165" s="42"/>
      <c r="AA1165" s="42"/>
      <c r="AB1165" s="42"/>
      <c r="AC1165" s="42"/>
      <c r="AD1165" s="112"/>
      <c r="AE1165" s="112"/>
      <c r="AF1165" s="108" t="s">
        <v>58</v>
      </c>
      <c r="AG1165" s="108"/>
      <c r="AH1165" s="108"/>
      <c r="AI1165" s="108"/>
      <c r="AJ1165" s="42"/>
      <c r="AK1165" s="42"/>
      <c r="AL1165" s="42"/>
      <c r="AM1165" s="42"/>
      <c r="AN1165" s="42"/>
      <c r="AO1165" s="42"/>
      <c r="AQ1165" s="112"/>
      <c r="AR1165" s="112"/>
      <c r="AS1165" s="108" t="s">
        <v>58</v>
      </c>
      <c r="AT1165" s="108"/>
      <c r="AU1165" s="108"/>
      <c r="AV1165" s="108"/>
      <c r="AW1165" s="42"/>
      <c r="AX1165" s="42"/>
      <c r="AY1165" s="42"/>
      <c r="AZ1165" s="42"/>
      <c r="BA1165" s="42"/>
      <c r="BB1165" s="42"/>
      <c r="BC1165" s="42"/>
      <c r="BD1165" s="112"/>
      <c r="BE1165" s="112"/>
      <c r="BF1165" s="108" t="s">
        <v>58</v>
      </c>
      <c r="BG1165" s="108"/>
      <c r="BH1165" s="108"/>
      <c r="BI1165" s="108"/>
      <c r="BJ1165" s="42"/>
      <c r="BK1165" s="42"/>
      <c r="BL1165" s="42"/>
      <c r="BM1165" s="42"/>
      <c r="BN1165" s="42"/>
      <c r="BO1165" s="42"/>
      <c r="BQ1165" s="112"/>
      <c r="BR1165" s="112"/>
      <c r="BS1165" s="108" t="s">
        <v>58</v>
      </c>
      <c r="BT1165" s="108"/>
      <c r="BU1165" s="108"/>
      <c r="BV1165" s="108"/>
      <c r="BW1165" s="42"/>
      <c r="BX1165" s="42"/>
      <c r="BY1165" s="42"/>
      <c r="BZ1165" s="42"/>
      <c r="CA1165" s="42"/>
      <c r="CB1165" s="42"/>
      <c r="CC1165" s="42"/>
      <c r="CD1165" s="112"/>
      <c r="CE1165" s="112"/>
      <c r="CF1165" s="108" t="s">
        <v>58</v>
      </c>
      <c r="CG1165" s="108"/>
      <c r="CH1165" s="108"/>
      <c r="CI1165" s="108"/>
      <c r="CJ1165" s="42"/>
      <c r="CK1165" s="42"/>
      <c r="CL1165" s="42"/>
      <c r="CM1165" s="42"/>
      <c r="CN1165" s="42"/>
      <c r="CO1165" s="42"/>
      <c r="CQ1165" s="112"/>
      <c r="CR1165" s="112"/>
      <c r="CS1165" s="108" t="s">
        <v>58</v>
      </c>
      <c r="CT1165" s="108"/>
      <c r="CU1165" s="108"/>
      <c r="CV1165" s="108"/>
      <c r="CW1165" s="42"/>
      <c r="CX1165" s="42"/>
      <c r="CY1165" s="42"/>
      <c r="CZ1165" s="42"/>
      <c r="DA1165" s="42"/>
      <c r="DB1165" s="42"/>
      <c r="DC1165" s="42"/>
      <c r="DD1165" s="112"/>
      <c r="DE1165" s="112"/>
      <c r="DF1165" s="108" t="s">
        <v>58</v>
      </c>
      <c r="DG1165" s="108"/>
      <c r="DH1165" s="108"/>
      <c r="DI1165" s="108"/>
      <c r="DJ1165" s="42"/>
      <c r="DK1165" s="42"/>
      <c r="DL1165" s="42"/>
      <c r="DM1165" s="42"/>
      <c r="DN1165" s="42"/>
      <c r="DO1165" s="42"/>
    </row>
    <row r="1166" spans="2:199" ht="15" customHeight="1" x14ac:dyDescent="0.45">
      <c r="B1166" s="99"/>
      <c r="C1166" s="42"/>
      <c r="D1166" s="113"/>
      <c r="E1166" s="113"/>
      <c r="F1166" s="143" t="s">
        <v>108</v>
      </c>
      <c r="G1166" s="144"/>
      <c r="H1166" s="143" t="s">
        <v>109</v>
      </c>
      <c r="I1166" s="144"/>
      <c r="J1166" s="42"/>
      <c r="K1166" s="42"/>
      <c r="L1166" s="42"/>
      <c r="M1166" s="42"/>
      <c r="N1166" s="42"/>
      <c r="O1166" s="42"/>
      <c r="P1166" s="42"/>
      <c r="Q1166" s="113"/>
      <c r="R1166" s="113"/>
      <c r="S1166" s="143" t="s">
        <v>108</v>
      </c>
      <c r="T1166" s="144"/>
      <c r="U1166" s="143" t="s">
        <v>109</v>
      </c>
      <c r="V1166" s="144"/>
      <c r="W1166" s="42"/>
      <c r="X1166" s="42"/>
      <c r="Y1166" s="42"/>
      <c r="Z1166" s="42"/>
      <c r="AA1166" s="42"/>
      <c r="AB1166" s="42"/>
      <c r="AC1166" s="42"/>
      <c r="AD1166" s="113"/>
      <c r="AE1166" s="113"/>
      <c r="AF1166" s="143" t="s">
        <v>108</v>
      </c>
      <c r="AG1166" s="144"/>
      <c r="AH1166" s="143" t="s">
        <v>109</v>
      </c>
      <c r="AI1166" s="144"/>
      <c r="AJ1166" s="42"/>
      <c r="AK1166" s="42"/>
      <c r="AL1166" s="42"/>
      <c r="AM1166" s="42"/>
      <c r="AN1166" s="42"/>
      <c r="AO1166" s="42"/>
      <c r="AQ1166" s="113"/>
      <c r="AR1166" s="113"/>
      <c r="AS1166" s="143" t="s">
        <v>108</v>
      </c>
      <c r="AT1166" s="144"/>
      <c r="AU1166" s="143" t="s">
        <v>109</v>
      </c>
      <c r="AV1166" s="144"/>
      <c r="AW1166" s="42"/>
      <c r="AX1166" s="42"/>
      <c r="AY1166" s="42"/>
      <c r="AZ1166" s="42"/>
      <c r="BA1166" s="42"/>
      <c r="BB1166" s="42"/>
      <c r="BC1166" s="42"/>
      <c r="BD1166" s="113"/>
      <c r="BE1166" s="113"/>
      <c r="BF1166" s="143" t="s">
        <v>108</v>
      </c>
      <c r="BG1166" s="144"/>
      <c r="BH1166" s="143" t="s">
        <v>109</v>
      </c>
      <c r="BI1166" s="144"/>
      <c r="BJ1166" s="42"/>
      <c r="BK1166" s="42"/>
      <c r="BL1166" s="42"/>
      <c r="BM1166" s="42"/>
      <c r="BN1166" s="42"/>
      <c r="BO1166" s="42"/>
      <c r="BQ1166" s="113"/>
      <c r="BR1166" s="113"/>
      <c r="BS1166" s="143" t="s">
        <v>108</v>
      </c>
      <c r="BT1166" s="144"/>
      <c r="BU1166" s="143" t="s">
        <v>109</v>
      </c>
      <c r="BV1166" s="144"/>
      <c r="BW1166" s="42"/>
      <c r="BX1166" s="42"/>
      <c r="BY1166" s="42"/>
      <c r="BZ1166" s="42"/>
      <c r="CA1166" s="42"/>
      <c r="CB1166" s="42"/>
      <c r="CC1166" s="42"/>
      <c r="CD1166" s="113"/>
      <c r="CE1166" s="113"/>
      <c r="CF1166" s="143" t="s">
        <v>108</v>
      </c>
      <c r="CG1166" s="144"/>
      <c r="CH1166" s="143" t="s">
        <v>109</v>
      </c>
      <c r="CI1166" s="144"/>
      <c r="CJ1166" s="42"/>
      <c r="CK1166" s="42"/>
      <c r="CL1166" s="42"/>
      <c r="CM1166" s="42"/>
      <c r="CN1166" s="42"/>
      <c r="CO1166" s="42"/>
      <c r="CQ1166" s="113"/>
      <c r="CR1166" s="113"/>
      <c r="CS1166" s="143" t="s">
        <v>108</v>
      </c>
      <c r="CT1166" s="144"/>
      <c r="CU1166" s="143" t="s">
        <v>109</v>
      </c>
      <c r="CV1166" s="144"/>
      <c r="CW1166" s="42"/>
      <c r="CX1166" s="42"/>
      <c r="CY1166" s="42"/>
      <c r="CZ1166" s="42"/>
      <c r="DA1166" s="42"/>
      <c r="DB1166" s="42"/>
      <c r="DC1166" s="42"/>
      <c r="DD1166" s="113"/>
      <c r="DE1166" s="113"/>
      <c r="DF1166" s="143" t="s">
        <v>108</v>
      </c>
      <c r="DG1166" s="144"/>
      <c r="DH1166" s="143" t="s">
        <v>109</v>
      </c>
      <c r="DI1166" s="144"/>
      <c r="DJ1166" s="42"/>
      <c r="DK1166" s="42"/>
      <c r="DL1166" s="42"/>
      <c r="DM1166" s="42"/>
      <c r="DN1166" s="42"/>
      <c r="DO1166" s="42"/>
    </row>
    <row r="1167" spans="2:199" ht="15.4" customHeight="1" x14ac:dyDescent="0.45">
      <c r="B1167" s="134" t="s">
        <v>59</v>
      </c>
      <c r="C1167" s="42"/>
      <c r="D1167" s="109" t="s">
        <v>13</v>
      </c>
      <c r="E1167" s="49" t="s">
        <v>1</v>
      </c>
      <c r="F1167" s="141">
        <v>20</v>
      </c>
      <c r="G1167" s="142"/>
      <c r="H1167" s="141">
        <v>2669</v>
      </c>
      <c r="I1167" s="142"/>
      <c r="J1167" s="42"/>
      <c r="K1167" s="42"/>
      <c r="L1167" s="42"/>
      <c r="M1167" s="42"/>
      <c r="N1167" s="42"/>
      <c r="O1167" s="42"/>
      <c r="P1167" s="42"/>
      <c r="Q1167" s="109" t="s">
        <v>13</v>
      </c>
      <c r="R1167" s="46" t="s">
        <v>1</v>
      </c>
      <c r="S1167" s="141">
        <v>12</v>
      </c>
      <c r="T1167" s="142"/>
      <c r="U1167" s="141">
        <v>921</v>
      </c>
      <c r="V1167" s="142"/>
      <c r="W1167" s="42"/>
      <c r="X1167" s="42"/>
      <c r="Y1167" s="42"/>
      <c r="Z1167" s="42"/>
      <c r="AA1167" s="42"/>
      <c r="AB1167" s="42"/>
      <c r="AC1167" s="42"/>
      <c r="AD1167" s="109" t="s">
        <v>13</v>
      </c>
      <c r="AE1167" s="46" t="s">
        <v>1</v>
      </c>
      <c r="AF1167" s="141">
        <v>8</v>
      </c>
      <c r="AG1167" s="142"/>
      <c r="AH1167" s="141">
        <v>1748</v>
      </c>
      <c r="AI1167" s="142"/>
      <c r="AJ1167" s="42"/>
      <c r="AK1167" s="42"/>
      <c r="AL1167" s="42"/>
      <c r="AM1167" s="42"/>
      <c r="AN1167" s="42"/>
      <c r="AO1167" s="42"/>
      <c r="AQ1167" s="109" t="s">
        <v>13</v>
      </c>
      <c r="AR1167" s="46" t="s">
        <v>1</v>
      </c>
      <c r="AS1167" s="141">
        <v>10</v>
      </c>
      <c r="AT1167" s="142"/>
      <c r="AU1167" s="141">
        <v>1406</v>
      </c>
      <c r="AV1167" s="142"/>
      <c r="AW1167" s="42"/>
      <c r="AX1167" s="42"/>
      <c r="AY1167" s="42"/>
      <c r="AZ1167" s="42"/>
      <c r="BA1167" s="42"/>
      <c r="BB1167" s="42"/>
      <c r="BC1167" s="42"/>
      <c r="BD1167" s="109" t="s">
        <v>13</v>
      </c>
      <c r="BE1167" s="46" t="s">
        <v>1</v>
      </c>
      <c r="BF1167" s="141">
        <v>10</v>
      </c>
      <c r="BG1167" s="142"/>
      <c r="BH1167" s="141">
        <v>1263</v>
      </c>
      <c r="BI1167" s="142"/>
      <c r="BJ1167" s="42"/>
      <c r="BK1167" s="42"/>
      <c r="BL1167" s="42"/>
      <c r="BM1167" s="42"/>
      <c r="BN1167" s="42"/>
      <c r="BO1167" s="42"/>
      <c r="BQ1167" s="109" t="s">
        <v>13</v>
      </c>
      <c r="BR1167" s="46" t="s">
        <v>1</v>
      </c>
      <c r="BS1167" s="141">
        <v>4</v>
      </c>
      <c r="BT1167" s="142"/>
      <c r="BU1167" s="141">
        <v>2627</v>
      </c>
      <c r="BV1167" s="142"/>
      <c r="BW1167" s="42"/>
      <c r="BX1167" s="42"/>
      <c r="BY1167" s="42"/>
      <c r="BZ1167" s="42"/>
      <c r="CA1167" s="42"/>
      <c r="CB1167" s="42"/>
      <c r="CC1167" s="42"/>
      <c r="CD1167" s="109" t="s">
        <v>13</v>
      </c>
      <c r="CE1167" s="46" t="s">
        <v>1</v>
      </c>
      <c r="CF1167" s="141">
        <v>16</v>
      </c>
      <c r="CG1167" s="142"/>
      <c r="CH1167" s="141">
        <v>42</v>
      </c>
      <c r="CI1167" s="142"/>
      <c r="CJ1167" s="42"/>
      <c r="CK1167" s="42"/>
      <c r="CL1167" s="42"/>
      <c r="CM1167" s="42"/>
      <c r="CN1167" s="42"/>
      <c r="CO1167" s="42"/>
      <c r="CQ1167" s="109" t="s">
        <v>13</v>
      </c>
      <c r="CR1167" s="46" t="s">
        <v>1</v>
      </c>
      <c r="CS1167" s="141">
        <v>18</v>
      </c>
      <c r="CT1167" s="142"/>
      <c r="CU1167" s="141">
        <v>626</v>
      </c>
      <c r="CV1167" s="142"/>
      <c r="CW1167" s="42"/>
      <c r="CX1167" s="42"/>
      <c r="CY1167" s="42"/>
      <c r="CZ1167" s="42"/>
      <c r="DA1167" s="42"/>
      <c r="DB1167" s="42"/>
      <c r="DC1167" s="42"/>
      <c r="DD1167" s="109" t="s">
        <v>13</v>
      </c>
      <c r="DE1167" s="46" t="s">
        <v>1</v>
      </c>
      <c r="DF1167" s="141">
        <v>2</v>
      </c>
      <c r="DG1167" s="142"/>
      <c r="DH1167" s="141">
        <v>2043</v>
      </c>
      <c r="DI1167" s="142"/>
      <c r="DJ1167" s="42"/>
      <c r="DK1167" s="42"/>
      <c r="DL1167" s="42"/>
      <c r="DM1167" s="42"/>
      <c r="DN1167" s="42"/>
      <c r="DO1167" s="42"/>
    </row>
    <row r="1168" spans="2:199" ht="15.4" x14ac:dyDescent="0.45">
      <c r="B1168" s="134"/>
      <c r="C1168" s="42"/>
      <c r="D1168" s="110"/>
      <c r="E1168" s="49" t="s">
        <v>56</v>
      </c>
      <c r="F1168" s="141">
        <v>54</v>
      </c>
      <c r="G1168" s="142"/>
      <c r="H1168" s="141">
        <v>2059</v>
      </c>
      <c r="I1168" s="142"/>
      <c r="J1168" s="42"/>
      <c r="K1168" s="42"/>
      <c r="L1168" s="42"/>
      <c r="M1168" s="42"/>
      <c r="N1168" s="42"/>
      <c r="O1168" s="42"/>
      <c r="P1168" s="42"/>
      <c r="Q1168" s="110"/>
      <c r="R1168" s="46" t="s">
        <v>56</v>
      </c>
      <c r="S1168" s="141">
        <v>31</v>
      </c>
      <c r="T1168" s="142"/>
      <c r="U1168" s="141">
        <v>727</v>
      </c>
      <c r="V1168" s="142"/>
      <c r="W1168" s="42"/>
      <c r="X1168" s="42"/>
      <c r="Y1168" s="42"/>
      <c r="Z1168" s="42"/>
      <c r="AA1168" s="42"/>
      <c r="AB1168" s="42"/>
      <c r="AC1168" s="42"/>
      <c r="AD1168" s="110"/>
      <c r="AE1168" s="46" t="s">
        <v>56</v>
      </c>
      <c r="AF1168" s="141">
        <v>23</v>
      </c>
      <c r="AG1168" s="142"/>
      <c r="AH1168" s="141">
        <v>1332</v>
      </c>
      <c r="AI1168" s="142"/>
      <c r="AJ1168" s="42"/>
      <c r="AK1168" s="42"/>
      <c r="AL1168" s="42"/>
      <c r="AM1168" s="42"/>
      <c r="AN1168" s="42"/>
      <c r="AO1168" s="42"/>
      <c r="AQ1168" s="110"/>
      <c r="AR1168" s="46" t="s">
        <v>56</v>
      </c>
      <c r="AS1168" s="141">
        <v>21</v>
      </c>
      <c r="AT1168" s="142"/>
      <c r="AU1168" s="141">
        <v>1100</v>
      </c>
      <c r="AV1168" s="142"/>
      <c r="AW1168" s="42"/>
      <c r="AX1168" s="42"/>
      <c r="AY1168" s="42"/>
      <c r="AZ1168" s="42"/>
      <c r="BA1168" s="42"/>
      <c r="BB1168" s="42"/>
      <c r="BC1168" s="42"/>
      <c r="BD1168" s="110"/>
      <c r="BE1168" s="46" t="s">
        <v>56</v>
      </c>
      <c r="BF1168" s="141">
        <v>33</v>
      </c>
      <c r="BG1168" s="142"/>
      <c r="BH1168" s="141">
        <v>959</v>
      </c>
      <c r="BI1168" s="142"/>
      <c r="BJ1168" s="42"/>
      <c r="BK1168" s="42"/>
      <c r="BL1168" s="42"/>
      <c r="BM1168" s="42"/>
      <c r="BN1168" s="42"/>
      <c r="BO1168" s="42"/>
      <c r="BQ1168" s="110"/>
      <c r="BR1168" s="46" t="s">
        <v>56</v>
      </c>
      <c r="BS1168" s="141">
        <v>7</v>
      </c>
      <c r="BT1168" s="142"/>
      <c r="BU1168" s="141">
        <v>1968</v>
      </c>
      <c r="BV1168" s="142"/>
      <c r="BW1168" s="42"/>
      <c r="BX1168" s="42"/>
      <c r="BY1168" s="42"/>
      <c r="BZ1168" s="42"/>
      <c r="CA1168" s="42"/>
      <c r="CB1168" s="42"/>
      <c r="CC1168" s="42"/>
      <c r="CD1168" s="110"/>
      <c r="CE1168" s="46" t="s">
        <v>56</v>
      </c>
      <c r="CF1168" s="141">
        <v>47</v>
      </c>
      <c r="CG1168" s="142"/>
      <c r="CH1168" s="141">
        <v>91</v>
      </c>
      <c r="CI1168" s="142"/>
      <c r="CJ1168" s="42"/>
      <c r="CK1168" s="42"/>
      <c r="CL1168" s="42"/>
      <c r="CM1168" s="42"/>
      <c r="CN1168" s="42"/>
      <c r="CO1168" s="42"/>
      <c r="CQ1168" s="110"/>
      <c r="CR1168" s="46" t="s">
        <v>56</v>
      </c>
      <c r="CS1168" s="141">
        <v>52</v>
      </c>
      <c r="CT1168" s="142"/>
      <c r="CU1168" s="141">
        <v>384</v>
      </c>
      <c r="CV1168" s="142"/>
      <c r="CW1168" s="42"/>
      <c r="CX1168" s="42"/>
      <c r="CY1168" s="42"/>
      <c r="CZ1168" s="42"/>
      <c r="DA1168" s="42"/>
      <c r="DB1168" s="42"/>
      <c r="DC1168" s="42"/>
      <c r="DD1168" s="110"/>
      <c r="DE1168" s="46" t="s">
        <v>56</v>
      </c>
      <c r="DF1168" s="141">
        <v>2</v>
      </c>
      <c r="DG1168" s="142"/>
      <c r="DH1168" s="141">
        <v>1675</v>
      </c>
      <c r="DI1168" s="142"/>
      <c r="DJ1168" s="42"/>
      <c r="DK1168" s="42"/>
      <c r="DL1168" s="42"/>
      <c r="DM1168" s="42"/>
      <c r="DN1168" s="42"/>
      <c r="DO1168" s="42"/>
    </row>
    <row r="1169" spans="2:119" ht="15.4" x14ac:dyDescent="0.45">
      <c r="B1169" s="134"/>
      <c r="C1169" s="42"/>
      <c r="D1169" s="110"/>
      <c r="E1169" s="49" t="s">
        <v>2</v>
      </c>
      <c r="F1169" s="141">
        <v>798</v>
      </c>
      <c r="G1169" s="142"/>
      <c r="H1169" s="141">
        <v>13587</v>
      </c>
      <c r="I1169" s="142"/>
      <c r="J1169" s="42"/>
      <c r="K1169" s="42"/>
      <c r="L1169" s="42"/>
      <c r="M1169" s="42"/>
      <c r="N1169" s="42"/>
      <c r="O1169" s="42"/>
      <c r="P1169" s="42"/>
      <c r="Q1169" s="110"/>
      <c r="R1169" s="46" t="s">
        <v>2</v>
      </c>
      <c r="S1169" s="141">
        <v>444</v>
      </c>
      <c r="T1169" s="142"/>
      <c r="U1169" s="141">
        <v>5373</v>
      </c>
      <c r="V1169" s="142"/>
      <c r="W1169" s="42"/>
      <c r="X1169" s="42"/>
      <c r="Y1169" s="42"/>
      <c r="Z1169" s="42"/>
      <c r="AA1169" s="42"/>
      <c r="AB1169" s="42"/>
      <c r="AC1169" s="42"/>
      <c r="AD1169" s="110"/>
      <c r="AE1169" s="46" t="s">
        <v>2</v>
      </c>
      <c r="AF1169" s="141">
        <v>354</v>
      </c>
      <c r="AG1169" s="142"/>
      <c r="AH1169" s="141">
        <v>8214</v>
      </c>
      <c r="AI1169" s="142"/>
      <c r="AJ1169" s="42"/>
      <c r="AK1169" s="42"/>
      <c r="AL1169" s="42"/>
      <c r="AM1169" s="42"/>
      <c r="AN1169" s="42"/>
      <c r="AO1169" s="42"/>
      <c r="AQ1169" s="110"/>
      <c r="AR1169" s="46" t="s">
        <v>2</v>
      </c>
      <c r="AS1169" s="141">
        <v>326</v>
      </c>
      <c r="AT1169" s="142"/>
      <c r="AU1169" s="141">
        <v>7358</v>
      </c>
      <c r="AV1169" s="142"/>
      <c r="AW1169" s="42"/>
      <c r="AX1169" s="42"/>
      <c r="AY1169" s="42"/>
      <c r="AZ1169" s="42"/>
      <c r="BA1169" s="42"/>
      <c r="BB1169" s="42"/>
      <c r="BC1169" s="42"/>
      <c r="BD1169" s="110"/>
      <c r="BE1169" s="46" t="s">
        <v>2</v>
      </c>
      <c r="BF1169" s="141">
        <v>472</v>
      </c>
      <c r="BG1169" s="142"/>
      <c r="BH1169" s="141">
        <v>6229</v>
      </c>
      <c r="BI1169" s="142"/>
      <c r="BJ1169" s="42"/>
      <c r="BK1169" s="42"/>
      <c r="BL1169" s="42"/>
      <c r="BM1169" s="42"/>
      <c r="BN1169" s="42"/>
      <c r="BO1169" s="42"/>
      <c r="BQ1169" s="110"/>
      <c r="BR1169" s="46" t="s">
        <v>2</v>
      </c>
      <c r="BS1169" s="141">
        <v>282</v>
      </c>
      <c r="BT1169" s="142"/>
      <c r="BU1169" s="141">
        <v>10766</v>
      </c>
      <c r="BV1169" s="142"/>
      <c r="BW1169" s="42"/>
      <c r="BX1169" s="42"/>
      <c r="BY1169" s="42"/>
      <c r="BZ1169" s="42"/>
      <c r="CA1169" s="42"/>
      <c r="CB1169" s="42"/>
      <c r="CC1169" s="42"/>
      <c r="CD1169" s="110"/>
      <c r="CE1169" s="46" t="s">
        <v>2</v>
      </c>
      <c r="CF1169" s="141">
        <v>516</v>
      </c>
      <c r="CG1169" s="142"/>
      <c r="CH1169" s="141">
        <v>2821</v>
      </c>
      <c r="CI1169" s="142"/>
      <c r="CJ1169" s="42"/>
      <c r="CK1169" s="42"/>
      <c r="CL1169" s="42"/>
      <c r="CM1169" s="42"/>
      <c r="CN1169" s="42"/>
      <c r="CO1169" s="42"/>
      <c r="CQ1169" s="110"/>
      <c r="CR1169" s="46" t="s">
        <v>2</v>
      </c>
      <c r="CS1169" s="141">
        <v>571</v>
      </c>
      <c r="CT1169" s="142"/>
      <c r="CU1169" s="141">
        <v>2779</v>
      </c>
      <c r="CV1169" s="142"/>
      <c r="CW1169" s="42"/>
      <c r="CX1169" s="42"/>
      <c r="CY1169" s="42"/>
      <c r="CZ1169" s="42"/>
      <c r="DA1169" s="42"/>
      <c r="DB1169" s="42"/>
      <c r="DC1169" s="42"/>
      <c r="DD1169" s="110"/>
      <c r="DE1169" s="46" t="s">
        <v>2</v>
      </c>
      <c r="DF1169" s="141">
        <v>227</v>
      </c>
      <c r="DG1169" s="142"/>
      <c r="DH1169" s="141">
        <v>10808</v>
      </c>
      <c r="DI1169" s="142"/>
      <c r="DJ1169" s="42"/>
      <c r="DK1169" s="42"/>
      <c r="DL1169" s="42"/>
      <c r="DM1169" s="42"/>
      <c r="DN1169" s="42"/>
      <c r="DO1169" s="42"/>
    </row>
    <row r="1170" spans="2:119" ht="15.4" x14ac:dyDescent="0.45">
      <c r="B1170" s="134"/>
      <c r="C1170" s="42"/>
      <c r="D1170" s="110"/>
      <c r="E1170" s="49" t="s">
        <v>3</v>
      </c>
      <c r="F1170" s="141">
        <v>625</v>
      </c>
      <c r="G1170" s="142"/>
      <c r="H1170" s="141">
        <v>7424</v>
      </c>
      <c r="I1170" s="142"/>
      <c r="J1170" s="42"/>
      <c r="K1170" s="42"/>
      <c r="L1170" s="42"/>
      <c r="M1170" s="42"/>
      <c r="N1170" s="42"/>
      <c r="O1170" s="42"/>
      <c r="P1170" s="42"/>
      <c r="Q1170" s="110"/>
      <c r="R1170" s="46" t="s">
        <v>3</v>
      </c>
      <c r="S1170" s="141">
        <v>367</v>
      </c>
      <c r="T1170" s="142"/>
      <c r="U1170" s="141">
        <v>3160</v>
      </c>
      <c r="V1170" s="142"/>
      <c r="W1170" s="42"/>
      <c r="X1170" s="42"/>
      <c r="Y1170" s="42"/>
      <c r="Z1170" s="42"/>
      <c r="AA1170" s="42"/>
      <c r="AB1170" s="42"/>
      <c r="AC1170" s="42"/>
      <c r="AD1170" s="110"/>
      <c r="AE1170" s="46" t="s">
        <v>3</v>
      </c>
      <c r="AF1170" s="141">
        <v>258</v>
      </c>
      <c r="AG1170" s="142"/>
      <c r="AH1170" s="141">
        <v>4264</v>
      </c>
      <c r="AI1170" s="142"/>
      <c r="AJ1170" s="42"/>
      <c r="AK1170" s="42"/>
      <c r="AL1170" s="42"/>
      <c r="AM1170" s="42"/>
      <c r="AN1170" s="42"/>
      <c r="AO1170" s="42"/>
      <c r="AQ1170" s="110"/>
      <c r="AR1170" s="46" t="s">
        <v>3</v>
      </c>
      <c r="AS1170" s="141">
        <v>244</v>
      </c>
      <c r="AT1170" s="142"/>
      <c r="AU1170" s="141">
        <v>3651</v>
      </c>
      <c r="AV1170" s="142"/>
      <c r="AW1170" s="42"/>
      <c r="AX1170" s="42"/>
      <c r="AY1170" s="42"/>
      <c r="AZ1170" s="42"/>
      <c r="BA1170" s="42"/>
      <c r="BB1170" s="42"/>
      <c r="BC1170" s="42"/>
      <c r="BD1170" s="110"/>
      <c r="BE1170" s="46" t="s">
        <v>3</v>
      </c>
      <c r="BF1170" s="141">
        <v>381</v>
      </c>
      <c r="BG1170" s="142"/>
      <c r="BH1170" s="141">
        <v>3773</v>
      </c>
      <c r="BI1170" s="142"/>
      <c r="BJ1170" s="42"/>
      <c r="BK1170" s="42"/>
      <c r="BL1170" s="42"/>
      <c r="BM1170" s="42"/>
      <c r="BN1170" s="42"/>
      <c r="BO1170" s="42"/>
      <c r="BQ1170" s="110"/>
      <c r="BR1170" s="46" t="s">
        <v>3</v>
      </c>
      <c r="BS1170" s="141">
        <v>222</v>
      </c>
      <c r="BT1170" s="142"/>
      <c r="BU1170" s="141">
        <v>4486</v>
      </c>
      <c r="BV1170" s="142"/>
      <c r="BW1170" s="42"/>
      <c r="BX1170" s="42"/>
      <c r="BY1170" s="42"/>
      <c r="BZ1170" s="42"/>
      <c r="CA1170" s="42"/>
      <c r="CB1170" s="42"/>
      <c r="CC1170" s="42"/>
      <c r="CD1170" s="110"/>
      <c r="CE1170" s="46" t="s">
        <v>3</v>
      </c>
      <c r="CF1170" s="141">
        <v>403</v>
      </c>
      <c r="CG1170" s="142"/>
      <c r="CH1170" s="141">
        <v>2938</v>
      </c>
      <c r="CI1170" s="142"/>
      <c r="CJ1170" s="42"/>
      <c r="CK1170" s="42"/>
      <c r="CL1170" s="42"/>
      <c r="CM1170" s="42"/>
      <c r="CN1170" s="42"/>
      <c r="CO1170" s="42"/>
      <c r="CQ1170" s="110"/>
      <c r="CR1170" s="46" t="s">
        <v>3</v>
      </c>
      <c r="CS1170" s="141">
        <v>327</v>
      </c>
      <c r="CT1170" s="142"/>
      <c r="CU1170" s="141">
        <v>1297</v>
      </c>
      <c r="CV1170" s="142"/>
      <c r="CW1170" s="42"/>
      <c r="CX1170" s="42"/>
      <c r="CY1170" s="42"/>
      <c r="CZ1170" s="42"/>
      <c r="DA1170" s="42"/>
      <c r="DB1170" s="42"/>
      <c r="DC1170" s="42"/>
      <c r="DD1170" s="110"/>
      <c r="DE1170" s="46" t="s">
        <v>3</v>
      </c>
      <c r="DF1170" s="141">
        <v>298</v>
      </c>
      <c r="DG1170" s="142"/>
      <c r="DH1170" s="141">
        <v>6127</v>
      </c>
      <c r="DI1170" s="142"/>
      <c r="DJ1170" s="42"/>
      <c r="DK1170" s="42"/>
      <c r="DL1170" s="42"/>
      <c r="DM1170" s="42"/>
      <c r="DN1170" s="42"/>
      <c r="DO1170" s="42"/>
    </row>
    <row r="1171" spans="2:119" ht="15.4" x14ac:dyDescent="0.45">
      <c r="B1171" s="134"/>
      <c r="C1171" s="42"/>
      <c r="D1171" s="110"/>
      <c r="E1171" s="49" t="s">
        <v>4</v>
      </c>
      <c r="F1171" s="141">
        <v>1333</v>
      </c>
      <c r="G1171" s="142"/>
      <c r="H1171" s="141">
        <v>10852</v>
      </c>
      <c r="I1171" s="142"/>
      <c r="J1171" s="42"/>
      <c r="K1171" s="42"/>
      <c r="L1171" s="42"/>
      <c r="M1171" s="42"/>
      <c r="N1171" s="42"/>
      <c r="O1171" s="42"/>
      <c r="P1171" s="42"/>
      <c r="Q1171" s="110"/>
      <c r="R1171" s="46" t="s">
        <v>4</v>
      </c>
      <c r="S1171" s="141">
        <v>820</v>
      </c>
      <c r="T1171" s="142"/>
      <c r="U1171" s="141">
        <v>4786</v>
      </c>
      <c r="V1171" s="142"/>
      <c r="W1171" s="42"/>
      <c r="X1171" s="42"/>
      <c r="Y1171" s="42"/>
      <c r="Z1171" s="42"/>
      <c r="AA1171" s="42"/>
      <c r="AB1171" s="42"/>
      <c r="AC1171" s="42"/>
      <c r="AD1171" s="110"/>
      <c r="AE1171" s="46" t="s">
        <v>4</v>
      </c>
      <c r="AF1171" s="141">
        <v>513</v>
      </c>
      <c r="AG1171" s="142"/>
      <c r="AH1171" s="141">
        <v>6066</v>
      </c>
      <c r="AI1171" s="142"/>
      <c r="AJ1171" s="42"/>
      <c r="AK1171" s="42"/>
      <c r="AL1171" s="42"/>
      <c r="AM1171" s="42"/>
      <c r="AN1171" s="42"/>
      <c r="AO1171" s="42"/>
      <c r="AQ1171" s="110"/>
      <c r="AR1171" s="46" t="s">
        <v>4</v>
      </c>
      <c r="AS1171" s="141">
        <v>528</v>
      </c>
      <c r="AT1171" s="142"/>
      <c r="AU1171" s="141">
        <v>5095</v>
      </c>
      <c r="AV1171" s="142"/>
      <c r="AW1171" s="42"/>
      <c r="AX1171" s="42"/>
      <c r="AY1171" s="42"/>
      <c r="AZ1171" s="42"/>
      <c r="BA1171" s="42"/>
      <c r="BB1171" s="42"/>
      <c r="BC1171" s="42"/>
      <c r="BD1171" s="110"/>
      <c r="BE1171" s="46" t="s">
        <v>4</v>
      </c>
      <c r="BF1171" s="141">
        <v>805</v>
      </c>
      <c r="BG1171" s="142"/>
      <c r="BH1171" s="141">
        <v>5757</v>
      </c>
      <c r="BI1171" s="142"/>
      <c r="BJ1171" s="42"/>
      <c r="BK1171" s="42"/>
      <c r="BL1171" s="42"/>
      <c r="BM1171" s="42"/>
      <c r="BN1171" s="42"/>
      <c r="BO1171" s="42"/>
      <c r="BQ1171" s="110"/>
      <c r="BR1171" s="46" t="s">
        <v>4</v>
      </c>
      <c r="BS1171" s="141">
        <v>353</v>
      </c>
      <c r="BT1171" s="142"/>
      <c r="BU1171" s="141">
        <v>5293</v>
      </c>
      <c r="BV1171" s="142"/>
      <c r="BW1171" s="42"/>
      <c r="BX1171" s="42"/>
      <c r="BY1171" s="42"/>
      <c r="BZ1171" s="42"/>
      <c r="CA1171" s="42"/>
      <c r="CB1171" s="42"/>
      <c r="CC1171" s="42"/>
      <c r="CD1171" s="110"/>
      <c r="CE1171" s="46" t="s">
        <v>4</v>
      </c>
      <c r="CF1171" s="141">
        <v>980</v>
      </c>
      <c r="CG1171" s="142"/>
      <c r="CH1171" s="141">
        <v>5559</v>
      </c>
      <c r="CI1171" s="142"/>
      <c r="CJ1171" s="42"/>
      <c r="CK1171" s="42"/>
      <c r="CL1171" s="42"/>
      <c r="CM1171" s="42"/>
      <c r="CN1171" s="42"/>
      <c r="CO1171" s="42"/>
      <c r="CQ1171" s="110"/>
      <c r="CR1171" s="46" t="s">
        <v>4</v>
      </c>
      <c r="CS1171" s="141">
        <v>670</v>
      </c>
      <c r="CT1171" s="142"/>
      <c r="CU1171" s="141">
        <v>1653</v>
      </c>
      <c r="CV1171" s="142"/>
      <c r="CW1171" s="42"/>
      <c r="CX1171" s="42"/>
      <c r="CY1171" s="42"/>
      <c r="CZ1171" s="42"/>
      <c r="DA1171" s="42"/>
      <c r="DB1171" s="42"/>
      <c r="DC1171" s="42"/>
      <c r="DD1171" s="110"/>
      <c r="DE1171" s="46" t="s">
        <v>4</v>
      </c>
      <c r="DF1171" s="141">
        <v>663</v>
      </c>
      <c r="DG1171" s="142"/>
      <c r="DH1171" s="141">
        <v>9199</v>
      </c>
      <c r="DI1171" s="142"/>
      <c r="DJ1171" s="42"/>
      <c r="DK1171" s="42"/>
      <c r="DL1171" s="42"/>
      <c r="DM1171" s="42"/>
      <c r="DN1171" s="42"/>
      <c r="DO1171" s="42"/>
    </row>
    <row r="1172" spans="2:119" ht="15.4" x14ac:dyDescent="0.45">
      <c r="B1172" s="134"/>
      <c r="C1172" s="42"/>
      <c r="D1172" s="110"/>
      <c r="E1172" s="49" t="s">
        <v>5</v>
      </c>
      <c r="F1172" s="141">
        <v>2883</v>
      </c>
      <c r="G1172" s="142"/>
      <c r="H1172" s="141">
        <v>18471</v>
      </c>
      <c r="I1172" s="142"/>
      <c r="J1172" s="42"/>
      <c r="K1172" s="42"/>
      <c r="L1172" s="42"/>
      <c r="M1172" s="42"/>
      <c r="N1172" s="42"/>
      <c r="O1172" s="42"/>
      <c r="P1172" s="42"/>
      <c r="Q1172" s="110"/>
      <c r="R1172" s="46" t="s">
        <v>5</v>
      </c>
      <c r="S1172" s="141">
        <v>1809</v>
      </c>
      <c r="T1172" s="142"/>
      <c r="U1172" s="141">
        <v>8662</v>
      </c>
      <c r="V1172" s="142"/>
      <c r="W1172" s="42"/>
      <c r="X1172" s="42"/>
      <c r="Y1172" s="42"/>
      <c r="Z1172" s="42"/>
      <c r="AA1172" s="42"/>
      <c r="AB1172" s="42"/>
      <c r="AC1172" s="42"/>
      <c r="AD1172" s="110"/>
      <c r="AE1172" s="46" t="s">
        <v>5</v>
      </c>
      <c r="AF1172" s="141">
        <v>1074</v>
      </c>
      <c r="AG1172" s="142"/>
      <c r="AH1172" s="141">
        <v>9809</v>
      </c>
      <c r="AI1172" s="142"/>
      <c r="AJ1172" s="42"/>
      <c r="AK1172" s="42"/>
      <c r="AL1172" s="42"/>
      <c r="AM1172" s="42"/>
      <c r="AN1172" s="42"/>
      <c r="AO1172" s="42"/>
      <c r="AQ1172" s="110"/>
      <c r="AR1172" s="46" t="s">
        <v>5</v>
      </c>
      <c r="AS1172" s="141">
        <v>974</v>
      </c>
      <c r="AT1172" s="142"/>
      <c r="AU1172" s="141">
        <v>7795</v>
      </c>
      <c r="AV1172" s="142"/>
      <c r="AW1172" s="42"/>
      <c r="AX1172" s="42"/>
      <c r="AY1172" s="42"/>
      <c r="AZ1172" s="42"/>
      <c r="BA1172" s="42"/>
      <c r="BB1172" s="42"/>
      <c r="BC1172" s="42"/>
      <c r="BD1172" s="110"/>
      <c r="BE1172" s="46" t="s">
        <v>5</v>
      </c>
      <c r="BF1172" s="141">
        <v>1909</v>
      </c>
      <c r="BG1172" s="142"/>
      <c r="BH1172" s="141">
        <v>10676</v>
      </c>
      <c r="BI1172" s="142"/>
      <c r="BJ1172" s="42"/>
      <c r="BK1172" s="42"/>
      <c r="BL1172" s="42"/>
      <c r="BM1172" s="42"/>
      <c r="BN1172" s="42"/>
      <c r="BO1172" s="42"/>
      <c r="BQ1172" s="110"/>
      <c r="BR1172" s="46" t="s">
        <v>5</v>
      </c>
      <c r="BS1172" s="141">
        <v>537</v>
      </c>
      <c r="BT1172" s="142"/>
      <c r="BU1172" s="141">
        <v>6523</v>
      </c>
      <c r="BV1172" s="142"/>
      <c r="BW1172" s="42"/>
      <c r="BX1172" s="42"/>
      <c r="BY1172" s="42"/>
      <c r="BZ1172" s="42"/>
      <c r="CA1172" s="42"/>
      <c r="CB1172" s="42"/>
      <c r="CC1172" s="42"/>
      <c r="CD1172" s="110"/>
      <c r="CE1172" s="46" t="s">
        <v>5</v>
      </c>
      <c r="CF1172" s="141">
        <v>2346</v>
      </c>
      <c r="CG1172" s="142"/>
      <c r="CH1172" s="141">
        <v>11948</v>
      </c>
      <c r="CI1172" s="142"/>
      <c r="CJ1172" s="42"/>
      <c r="CK1172" s="42"/>
      <c r="CL1172" s="42"/>
      <c r="CM1172" s="42"/>
      <c r="CN1172" s="42"/>
      <c r="CO1172" s="42"/>
      <c r="CQ1172" s="110"/>
      <c r="CR1172" s="46" t="s">
        <v>5</v>
      </c>
      <c r="CS1172" s="141">
        <v>1042</v>
      </c>
      <c r="CT1172" s="142"/>
      <c r="CU1172" s="141">
        <v>2510</v>
      </c>
      <c r="CV1172" s="142"/>
      <c r="CW1172" s="42"/>
      <c r="CX1172" s="42"/>
      <c r="CY1172" s="42"/>
      <c r="CZ1172" s="42"/>
      <c r="DA1172" s="42"/>
      <c r="DB1172" s="42"/>
      <c r="DC1172" s="42"/>
      <c r="DD1172" s="110"/>
      <c r="DE1172" s="46" t="s">
        <v>5</v>
      </c>
      <c r="DF1172" s="141">
        <v>1841</v>
      </c>
      <c r="DG1172" s="142"/>
      <c r="DH1172" s="141">
        <v>15961</v>
      </c>
      <c r="DI1172" s="142"/>
      <c r="DJ1172" s="42"/>
      <c r="DK1172" s="42"/>
      <c r="DL1172" s="42"/>
      <c r="DM1172" s="42"/>
      <c r="DN1172" s="42"/>
      <c r="DO1172" s="42"/>
    </row>
    <row r="1173" spans="2:119" ht="15.4" x14ac:dyDescent="0.45">
      <c r="B1173" s="134"/>
      <c r="C1173" s="42"/>
      <c r="D1173" s="110"/>
      <c r="E1173" s="49" t="s">
        <v>6</v>
      </c>
      <c r="F1173" s="141">
        <v>8424</v>
      </c>
      <c r="G1173" s="142"/>
      <c r="H1173" s="141">
        <v>35731</v>
      </c>
      <c r="I1173" s="142"/>
      <c r="J1173" s="42"/>
      <c r="K1173" s="42"/>
      <c r="L1173" s="42"/>
      <c r="M1173" s="42"/>
      <c r="N1173" s="42"/>
      <c r="O1173" s="42"/>
      <c r="P1173" s="42"/>
      <c r="Q1173" s="110"/>
      <c r="R1173" s="46" t="s">
        <v>6</v>
      </c>
      <c r="S1173" s="141">
        <v>5296</v>
      </c>
      <c r="T1173" s="142"/>
      <c r="U1173" s="141">
        <v>16574</v>
      </c>
      <c r="V1173" s="142"/>
      <c r="W1173" s="42"/>
      <c r="X1173" s="42"/>
      <c r="Y1173" s="42"/>
      <c r="Z1173" s="42"/>
      <c r="AA1173" s="42"/>
      <c r="AB1173" s="42"/>
      <c r="AC1173" s="42"/>
      <c r="AD1173" s="110"/>
      <c r="AE1173" s="46" t="s">
        <v>6</v>
      </c>
      <c r="AF1173" s="141">
        <v>3128</v>
      </c>
      <c r="AG1173" s="142"/>
      <c r="AH1173" s="141">
        <v>19157</v>
      </c>
      <c r="AI1173" s="142"/>
      <c r="AJ1173" s="42"/>
      <c r="AK1173" s="42"/>
      <c r="AL1173" s="42"/>
      <c r="AM1173" s="42"/>
      <c r="AN1173" s="42"/>
      <c r="AO1173" s="42"/>
      <c r="AQ1173" s="110"/>
      <c r="AR1173" s="46" t="s">
        <v>6</v>
      </c>
      <c r="AS1173" s="141">
        <v>2698</v>
      </c>
      <c r="AT1173" s="142"/>
      <c r="AU1173" s="141">
        <v>13829</v>
      </c>
      <c r="AV1173" s="142"/>
      <c r="AW1173" s="42"/>
      <c r="AX1173" s="42"/>
      <c r="AY1173" s="42"/>
      <c r="AZ1173" s="42"/>
      <c r="BA1173" s="42"/>
      <c r="BB1173" s="42"/>
      <c r="BC1173" s="42"/>
      <c r="BD1173" s="110"/>
      <c r="BE1173" s="46" t="s">
        <v>6</v>
      </c>
      <c r="BF1173" s="141">
        <v>5726</v>
      </c>
      <c r="BG1173" s="142"/>
      <c r="BH1173" s="141">
        <v>21902</v>
      </c>
      <c r="BI1173" s="142"/>
      <c r="BJ1173" s="42"/>
      <c r="BK1173" s="42"/>
      <c r="BL1173" s="42"/>
      <c r="BM1173" s="42"/>
      <c r="BN1173" s="42"/>
      <c r="BO1173" s="42"/>
      <c r="BQ1173" s="110"/>
      <c r="BR1173" s="46" t="s">
        <v>6</v>
      </c>
      <c r="BS1173" s="141">
        <v>924</v>
      </c>
      <c r="BT1173" s="142"/>
      <c r="BU1173" s="141">
        <v>8552</v>
      </c>
      <c r="BV1173" s="142"/>
      <c r="BW1173" s="42"/>
      <c r="BX1173" s="42"/>
      <c r="BY1173" s="42"/>
      <c r="BZ1173" s="42"/>
      <c r="CA1173" s="42"/>
      <c r="CB1173" s="42"/>
      <c r="CC1173" s="42"/>
      <c r="CD1173" s="110"/>
      <c r="CE1173" s="46" t="s">
        <v>6</v>
      </c>
      <c r="CF1173" s="141">
        <v>7500</v>
      </c>
      <c r="CG1173" s="142"/>
      <c r="CH1173" s="141">
        <v>27179</v>
      </c>
      <c r="CI1173" s="142"/>
      <c r="CJ1173" s="42"/>
      <c r="CK1173" s="42"/>
      <c r="CL1173" s="42"/>
      <c r="CM1173" s="42"/>
      <c r="CN1173" s="42"/>
      <c r="CO1173" s="42"/>
      <c r="CQ1173" s="110"/>
      <c r="CR1173" s="46" t="s">
        <v>6</v>
      </c>
      <c r="CS1173" s="141">
        <v>2624</v>
      </c>
      <c r="CT1173" s="142"/>
      <c r="CU1173" s="141">
        <v>4358</v>
      </c>
      <c r="CV1173" s="142"/>
      <c r="CW1173" s="42"/>
      <c r="CX1173" s="42"/>
      <c r="CY1173" s="42"/>
      <c r="CZ1173" s="42"/>
      <c r="DA1173" s="42"/>
      <c r="DB1173" s="42"/>
      <c r="DC1173" s="42"/>
      <c r="DD1173" s="110"/>
      <c r="DE1173" s="46" t="s">
        <v>6</v>
      </c>
      <c r="DF1173" s="141">
        <v>5800</v>
      </c>
      <c r="DG1173" s="142"/>
      <c r="DH1173" s="141">
        <v>31373</v>
      </c>
      <c r="DI1173" s="142"/>
      <c r="DJ1173" s="42"/>
      <c r="DK1173" s="42"/>
      <c r="DL1173" s="42"/>
      <c r="DM1173" s="42"/>
      <c r="DN1173" s="42"/>
      <c r="DO1173" s="42"/>
    </row>
    <row r="1174" spans="2:119" ht="15.4" x14ac:dyDescent="0.45">
      <c r="B1174" s="134"/>
      <c r="C1174" s="42"/>
      <c r="D1174" s="110"/>
      <c r="E1174" s="49" t="s">
        <v>7</v>
      </c>
      <c r="F1174" s="141">
        <v>21524</v>
      </c>
      <c r="G1174" s="142"/>
      <c r="H1174" s="141">
        <v>58551</v>
      </c>
      <c r="I1174" s="142"/>
      <c r="J1174" s="42"/>
      <c r="K1174" s="42"/>
      <c r="L1174" s="42"/>
      <c r="M1174" s="42"/>
      <c r="N1174" s="42"/>
      <c r="O1174" s="42"/>
      <c r="P1174" s="42"/>
      <c r="Q1174" s="110"/>
      <c r="R1174" s="46" t="s">
        <v>7</v>
      </c>
      <c r="S1174" s="141">
        <v>13210</v>
      </c>
      <c r="T1174" s="142"/>
      <c r="U1174" s="141">
        <v>26919</v>
      </c>
      <c r="V1174" s="142"/>
      <c r="W1174" s="42"/>
      <c r="X1174" s="42"/>
      <c r="Y1174" s="42"/>
      <c r="Z1174" s="42"/>
      <c r="AA1174" s="42"/>
      <c r="AB1174" s="42"/>
      <c r="AC1174" s="42"/>
      <c r="AD1174" s="110"/>
      <c r="AE1174" s="46" t="s">
        <v>7</v>
      </c>
      <c r="AF1174" s="141">
        <v>8314</v>
      </c>
      <c r="AG1174" s="142"/>
      <c r="AH1174" s="141">
        <v>31632</v>
      </c>
      <c r="AI1174" s="142"/>
      <c r="AJ1174" s="42"/>
      <c r="AK1174" s="42"/>
      <c r="AL1174" s="42"/>
      <c r="AM1174" s="42"/>
      <c r="AN1174" s="42"/>
      <c r="AO1174" s="42"/>
      <c r="AQ1174" s="110"/>
      <c r="AR1174" s="46" t="s">
        <v>7</v>
      </c>
      <c r="AS1174" s="141">
        <v>5943</v>
      </c>
      <c r="AT1174" s="142"/>
      <c r="AU1174" s="141">
        <v>20496</v>
      </c>
      <c r="AV1174" s="142"/>
      <c r="AW1174" s="42"/>
      <c r="AX1174" s="42"/>
      <c r="AY1174" s="42"/>
      <c r="AZ1174" s="42"/>
      <c r="BA1174" s="42"/>
      <c r="BB1174" s="42"/>
      <c r="BC1174" s="42"/>
      <c r="BD1174" s="110"/>
      <c r="BE1174" s="46" t="s">
        <v>7</v>
      </c>
      <c r="BF1174" s="141">
        <v>15581</v>
      </c>
      <c r="BG1174" s="142"/>
      <c r="BH1174" s="141">
        <v>38055</v>
      </c>
      <c r="BI1174" s="142"/>
      <c r="BJ1174" s="42"/>
      <c r="BK1174" s="42"/>
      <c r="BL1174" s="42"/>
      <c r="BM1174" s="42"/>
      <c r="BN1174" s="42"/>
      <c r="BO1174" s="42"/>
      <c r="BQ1174" s="110"/>
      <c r="BR1174" s="46" t="s">
        <v>7</v>
      </c>
      <c r="BS1174" s="141">
        <v>1494</v>
      </c>
      <c r="BT1174" s="142"/>
      <c r="BU1174" s="141">
        <v>9522</v>
      </c>
      <c r="BV1174" s="142"/>
      <c r="BW1174" s="42"/>
      <c r="BX1174" s="42"/>
      <c r="BY1174" s="42"/>
      <c r="BZ1174" s="42"/>
      <c r="CA1174" s="42"/>
      <c r="CB1174" s="42"/>
      <c r="CC1174" s="42"/>
      <c r="CD1174" s="110"/>
      <c r="CE1174" s="46" t="s">
        <v>7</v>
      </c>
      <c r="CF1174" s="141">
        <v>20030</v>
      </c>
      <c r="CG1174" s="142"/>
      <c r="CH1174" s="141">
        <v>49029</v>
      </c>
      <c r="CI1174" s="142"/>
      <c r="CJ1174" s="42"/>
      <c r="CK1174" s="42"/>
      <c r="CL1174" s="42"/>
      <c r="CM1174" s="42"/>
      <c r="CN1174" s="42"/>
      <c r="CO1174" s="42"/>
      <c r="CQ1174" s="110"/>
      <c r="CR1174" s="46" t="s">
        <v>7</v>
      </c>
      <c r="CS1174" s="141">
        <v>5584</v>
      </c>
      <c r="CT1174" s="142"/>
      <c r="CU1174" s="141">
        <v>6431</v>
      </c>
      <c r="CV1174" s="142"/>
      <c r="CW1174" s="42"/>
      <c r="CX1174" s="42"/>
      <c r="CY1174" s="42"/>
      <c r="CZ1174" s="42"/>
      <c r="DA1174" s="42"/>
      <c r="DB1174" s="42"/>
      <c r="DC1174" s="42"/>
      <c r="DD1174" s="110"/>
      <c r="DE1174" s="46" t="s">
        <v>7</v>
      </c>
      <c r="DF1174" s="141">
        <v>15940</v>
      </c>
      <c r="DG1174" s="142"/>
      <c r="DH1174" s="141">
        <v>52120</v>
      </c>
      <c r="DI1174" s="142"/>
      <c r="DJ1174" s="42"/>
      <c r="DK1174" s="42"/>
      <c r="DL1174" s="42"/>
      <c r="DM1174" s="42"/>
      <c r="DN1174" s="42"/>
      <c r="DO1174" s="42"/>
    </row>
    <row r="1175" spans="2:119" ht="15.4" x14ac:dyDescent="0.45">
      <c r="B1175" s="134"/>
      <c r="C1175" s="42"/>
      <c r="D1175" s="110"/>
      <c r="E1175" s="49" t="s">
        <v>8</v>
      </c>
      <c r="F1175" s="141">
        <v>38725</v>
      </c>
      <c r="G1175" s="142"/>
      <c r="H1175" s="141">
        <v>65170</v>
      </c>
      <c r="I1175" s="142"/>
      <c r="J1175" s="42"/>
      <c r="K1175" s="42"/>
      <c r="L1175" s="42"/>
      <c r="M1175" s="42"/>
      <c r="N1175" s="42"/>
      <c r="O1175" s="42"/>
      <c r="P1175" s="42"/>
      <c r="Q1175" s="110"/>
      <c r="R1175" s="46" t="s">
        <v>8</v>
      </c>
      <c r="S1175" s="141">
        <v>23257</v>
      </c>
      <c r="T1175" s="142"/>
      <c r="U1175" s="141">
        <v>29620</v>
      </c>
      <c r="V1175" s="142"/>
      <c r="W1175" s="42"/>
      <c r="X1175" s="42"/>
      <c r="Y1175" s="42"/>
      <c r="Z1175" s="42"/>
      <c r="AA1175" s="42"/>
      <c r="AB1175" s="42"/>
      <c r="AC1175" s="42"/>
      <c r="AD1175" s="110"/>
      <c r="AE1175" s="46" t="s">
        <v>8</v>
      </c>
      <c r="AF1175" s="141">
        <v>15468</v>
      </c>
      <c r="AG1175" s="142"/>
      <c r="AH1175" s="141">
        <v>35550</v>
      </c>
      <c r="AI1175" s="142"/>
      <c r="AJ1175" s="42"/>
      <c r="AK1175" s="42"/>
      <c r="AL1175" s="42"/>
      <c r="AM1175" s="42"/>
      <c r="AN1175" s="42"/>
      <c r="AO1175" s="42"/>
      <c r="AQ1175" s="110"/>
      <c r="AR1175" s="46" t="s">
        <v>8</v>
      </c>
      <c r="AS1175" s="141">
        <v>8815</v>
      </c>
      <c r="AT1175" s="142"/>
      <c r="AU1175" s="141">
        <v>19545</v>
      </c>
      <c r="AV1175" s="142"/>
      <c r="AW1175" s="42"/>
      <c r="AX1175" s="42"/>
      <c r="AY1175" s="42"/>
      <c r="AZ1175" s="42"/>
      <c r="BA1175" s="42"/>
      <c r="BB1175" s="42"/>
      <c r="BC1175" s="42"/>
      <c r="BD1175" s="110"/>
      <c r="BE1175" s="46" t="s">
        <v>8</v>
      </c>
      <c r="BF1175" s="141">
        <v>29910</v>
      </c>
      <c r="BG1175" s="142"/>
      <c r="BH1175" s="141">
        <v>45625</v>
      </c>
      <c r="BI1175" s="142"/>
      <c r="BJ1175" s="42"/>
      <c r="BK1175" s="42"/>
      <c r="BL1175" s="42"/>
      <c r="BM1175" s="42"/>
      <c r="BN1175" s="42"/>
      <c r="BO1175" s="42"/>
      <c r="BQ1175" s="110"/>
      <c r="BR1175" s="46" t="s">
        <v>8</v>
      </c>
      <c r="BS1175" s="141">
        <v>1885</v>
      </c>
      <c r="BT1175" s="142"/>
      <c r="BU1175" s="141">
        <v>7398</v>
      </c>
      <c r="BV1175" s="142"/>
      <c r="BW1175" s="42"/>
      <c r="BX1175" s="42"/>
      <c r="BY1175" s="42"/>
      <c r="BZ1175" s="42"/>
      <c r="CA1175" s="42"/>
      <c r="CB1175" s="42"/>
      <c r="CC1175" s="42"/>
      <c r="CD1175" s="110"/>
      <c r="CE1175" s="46" t="s">
        <v>8</v>
      </c>
      <c r="CF1175" s="141">
        <v>36840</v>
      </c>
      <c r="CG1175" s="142"/>
      <c r="CH1175" s="141">
        <v>57772</v>
      </c>
      <c r="CI1175" s="142"/>
      <c r="CJ1175" s="42"/>
      <c r="CK1175" s="42"/>
      <c r="CL1175" s="42"/>
      <c r="CM1175" s="42"/>
      <c r="CN1175" s="42"/>
      <c r="CO1175" s="42"/>
      <c r="CQ1175" s="110"/>
      <c r="CR1175" s="46" t="s">
        <v>8</v>
      </c>
      <c r="CS1175" s="141">
        <v>7800</v>
      </c>
      <c r="CT1175" s="142"/>
      <c r="CU1175" s="141">
        <v>6315</v>
      </c>
      <c r="CV1175" s="142"/>
      <c r="CW1175" s="42"/>
      <c r="CX1175" s="42"/>
      <c r="CY1175" s="42"/>
      <c r="CZ1175" s="42"/>
      <c r="DA1175" s="42"/>
      <c r="DB1175" s="42"/>
      <c r="DC1175" s="42"/>
      <c r="DD1175" s="110"/>
      <c r="DE1175" s="46" t="s">
        <v>8</v>
      </c>
      <c r="DF1175" s="141">
        <v>30925</v>
      </c>
      <c r="DG1175" s="142"/>
      <c r="DH1175" s="141">
        <v>58855</v>
      </c>
      <c r="DI1175" s="142"/>
      <c r="DJ1175" s="42"/>
      <c r="DK1175" s="42"/>
      <c r="DL1175" s="42"/>
      <c r="DM1175" s="42"/>
      <c r="DN1175" s="42"/>
      <c r="DO1175" s="42"/>
    </row>
    <row r="1176" spans="2:119" ht="15.4" x14ac:dyDescent="0.45">
      <c r="B1176" s="134"/>
      <c r="C1176" s="42"/>
      <c r="D1176" s="110"/>
      <c r="E1176" s="49" t="s">
        <v>9</v>
      </c>
      <c r="F1176" s="141">
        <v>54275</v>
      </c>
      <c r="G1176" s="142"/>
      <c r="H1176" s="141">
        <v>53463</v>
      </c>
      <c r="I1176" s="142"/>
      <c r="J1176" s="42"/>
      <c r="K1176" s="42"/>
      <c r="L1176" s="42"/>
      <c r="M1176" s="42"/>
      <c r="N1176" s="42"/>
      <c r="O1176" s="42"/>
      <c r="P1176" s="42"/>
      <c r="Q1176" s="110"/>
      <c r="R1176" s="46" t="s">
        <v>9</v>
      </c>
      <c r="S1176" s="141">
        <v>30652</v>
      </c>
      <c r="T1176" s="142"/>
      <c r="U1176" s="141">
        <v>23031</v>
      </c>
      <c r="V1176" s="142"/>
      <c r="W1176" s="42"/>
      <c r="X1176" s="42"/>
      <c r="Y1176" s="42"/>
      <c r="Z1176" s="42"/>
      <c r="AA1176" s="42"/>
      <c r="AB1176" s="42"/>
      <c r="AC1176" s="42"/>
      <c r="AD1176" s="110"/>
      <c r="AE1176" s="46" t="s">
        <v>9</v>
      </c>
      <c r="AF1176" s="141">
        <v>23623</v>
      </c>
      <c r="AG1176" s="142"/>
      <c r="AH1176" s="141">
        <v>30432</v>
      </c>
      <c r="AI1176" s="142"/>
      <c r="AJ1176" s="42"/>
      <c r="AK1176" s="42"/>
      <c r="AL1176" s="42"/>
      <c r="AM1176" s="42"/>
      <c r="AN1176" s="42"/>
      <c r="AO1176" s="42"/>
      <c r="AQ1176" s="110"/>
      <c r="AR1176" s="46" t="s">
        <v>9</v>
      </c>
      <c r="AS1176" s="141">
        <v>9700</v>
      </c>
      <c r="AT1176" s="142"/>
      <c r="AU1176" s="141">
        <v>12987</v>
      </c>
      <c r="AV1176" s="142"/>
      <c r="AW1176" s="42"/>
      <c r="AX1176" s="42"/>
      <c r="AY1176" s="42"/>
      <c r="AZ1176" s="42"/>
      <c r="BA1176" s="42"/>
      <c r="BB1176" s="42"/>
      <c r="BC1176" s="42"/>
      <c r="BD1176" s="110"/>
      <c r="BE1176" s="46" t="s">
        <v>9</v>
      </c>
      <c r="BF1176" s="141">
        <v>44575</v>
      </c>
      <c r="BG1176" s="142"/>
      <c r="BH1176" s="141">
        <v>40476</v>
      </c>
      <c r="BI1176" s="142"/>
      <c r="BJ1176" s="42"/>
      <c r="BK1176" s="42"/>
      <c r="BL1176" s="42"/>
      <c r="BM1176" s="42"/>
      <c r="BN1176" s="42"/>
      <c r="BO1176" s="42"/>
      <c r="BQ1176" s="110"/>
      <c r="BR1176" s="46" t="s">
        <v>9</v>
      </c>
      <c r="BS1176" s="141">
        <v>1992</v>
      </c>
      <c r="BT1176" s="142"/>
      <c r="BU1176" s="141">
        <v>4689</v>
      </c>
      <c r="BV1176" s="142"/>
      <c r="BW1176" s="42"/>
      <c r="BX1176" s="42"/>
      <c r="BY1176" s="42"/>
      <c r="BZ1176" s="42"/>
      <c r="CA1176" s="42"/>
      <c r="CB1176" s="42"/>
      <c r="CC1176" s="42"/>
      <c r="CD1176" s="110"/>
      <c r="CE1176" s="46" t="s">
        <v>9</v>
      </c>
      <c r="CF1176" s="141">
        <v>52283</v>
      </c>
      <c r="CG1176" s="142"/>
      <c r="CH1176" s="141">
        <v>48774</v>
      </c>
      <c r="CI1176" s="142"/>
      <c r="CJ1176" s="42"/>
      <c r="CK1176" s="42"/>
      <c r="CL1176" s="42"/>
      <c r="CM1176" s="42"/>
      <c r="CN1176" s="42"/>
      <c r="CO1176" s="42"/>
      <c r="CQ1176" s="110"/>
      <c r="CR1176" s="46" t="s">
        <v>9</v>
      </c>
      <c r="CS1176" s="141">
        <v>8863</v>
      </c>
      <c r="CT1176" s="142"/>
      <c r="CU1176" s="141">
        <v>4738</v>
      </c>
      <c r="CV1176" s="142"/>
      <c r="CW1176" s="42"/>
      <c r="CX1176" s="42"/>
      <c r="CY1176" s="42"/>
      <c r="CZ1176" s="42"/>
      <c r="DA1176" s="42"/>
      <c r="DB1176" s="42"/>
      <c r="DC1176" s="42"/>
      <c r="DD1176" s="110"/>
      <c r="DE1176" s="46" t="s">
        <v>9</v>
      </c>
      <c r="DF1176" s="141">
        <v>45412</v>
      </c>
      <c r="DG1176" s="142"/>
      <c r="DH1176" s="141">
        <v>48725</v>
      </c>
      <c r="DI1176" s="142"/>
      <c r="DJ1176" s="42"/>
      <c r="DK1176" s="42"/>
      <c r="DL1176" s="42"/>
      <c r="DM1176" s="42"/>
      <c r="DN1176" s="42"/>
      <c r="DO1176" s="42"/>
    </row>
    <row r="1177" spans="2:119" ht="15.4" x14ac:dyDescent="0.45">
      <c r="B1177" s="134"/>
      <c r="C1177" s="42"/>
      <c r="D1177" s="110"/>
      <c r="E1177" s="49" t="s">
        <v>10</v>
      </c>
      <c r="F1177" s="141">
        <v>59212</v>
      </c>
      <c r="G1177" s="142"/>
      <c r="H1177" s="141">
        <v>33944</v>
      </c>
      <c r="I1177" s="142"/>
      <c r="J1177" s="42"/>
      <c r="K1177" s="42"/>
      <c r="L1177" s="42"/>
      <c r="M1177" s="42"/>
      <c r="N1177" s="42"/>
      <c r="O1177" s="42"/>
      <c r="P1177" s="42"/>
      <c r="Q1177" s="110"/>
      <c r="R1177" s="46" t="s">
        <v>10</v>
      </c>
      <c r="S1177" s="141">
        <v>30888</v>
      </c>
      <c r="T1177" s="142"/>
      <c r="U1177" s="141">
        <v>13836</v>
      </c>
      <c r="V1177" s="142"/>
      <c r="W1177" s="42"/>
      <c r="X1177" s="42"/>
      <c r="Y1177" s="42"/>
      <c r="Z1177" s="42"/>
      <c r="AA1177" s="42"/>
      <c r="AB1177" s="42"/>
      <c r="AC1177" s="42"/>
      <c r="AD1177" s="110"/>
      <c r="AE1177" s="46" t="s">
        <v>10</v>
      </c>
      <c r="AF1177" s="141">
        <v>28324</v>
      </c>
      <c r="AG1177" s="142"/>
      <c r="AH1177" s="141">
        <v>20108</v>
      </c>
      <c r="AI1177" s="142"/>
      <c r="AJ1177" s="42"/>
      <c r="AK1177" s="42"/>
      <c r="AL1177" s="42"/>
      <c r="AM1177" s="42"/>
      <c r="AN1177" s="42"/>
      <c r="AO1177" s="42"/>
      <c r="AQ1177" s="110"/>
      <c r="AR1177" s="46" t="s">
        <v>10</v>
      </c>
      <c r="AS1177" s="141">
        <v>7337</v>
      </c>
      <c r="AT1177" s="142"/>
      <c r="AU1177" s="141">
        <v>6340</v>
      </c>
      <c r="AV1177" s="142"/>
      <c r="AW1177" s="42"/>
      <c r="AX1177" s="42"/>
      <c r="AY1177" s="42"/>
      <c r="AZ1177" s="42"/>
      <c r="BA1177" s="42"/>
      <c r="BB1177" s="42"/>
      <c r="BC1177" s="42"/>
      <c r="BD1177" s="110"/>
      <c r="BE1177" s="46" t="s">
        <v>10</v>
      </c>
      <c r="BF1177" s="141">
        <v>51875</v>
      </c>
      <c r="BG1177" s="142"/>
      <c r="BH1177" s="141">
        <v>27604</v>
      </c>
      <c r="BI1177" s="142"/>
      <c r="BJ1177" s="42"/>
      <c r="BK1177" s="42"/>
      <c r="BL1177" s="42"/>
      <c r="BM1177" s="42"/>
      <c r="BN1177" s="42"/>
      <c r="BO1177" s="42"/>
      <c r="BQ1177" s="110"/>
      <c r="BR1177" s="46" t="s">
        <v>10</v>
      </c>
      <c r="BS1177" s="141">
        <v>1806</v>
      </c>
      <c r="BT1177" s="142"/>
      <c r="BU1177" s="141">
        <v>2197</v>
      </c>
      <c r="BV1177" s="142"/>
      <c r="BW1177" s="42"/>
      <c r="BX1177" s="42"/>
      <c r="BY1177" s="42"/>
      <c r="BZ1177" s="42"/>
      <c r="CA1177" s="42"/>
      <c r="CB1177" s="42"/>
      <c r="CC1177" s="42"/>
      <c r="CD1177" s="110"/>
      <c r="CE1177" s="46" t="s">
        <v>10</v>
      </c>
      <c r="CF1177" s="141">
        <v>57406</v>
      </c>
      <c r="CG1177" s="142"/>
      <c r="CH1177" s="141">
        <v>31747</v>
      </c>
      <c r="CI1177" s="142"/>
      <c r="CJ1177" s="42"/>
      <c r="CK1177" s="42"/>
      <c r="CL1177" s="42"/>
      <c r="CM1177" s="42"/>
      <c r="CN1177" s="42"/>
      <c r="CO1177" s="42"/>
      <c r="CQ1177" s="110"/>
      <c r="CR1177" s="46" t="s">
        <v>10</v>
      </c>
      <c r="CS1177" s="141">
        <v>8482</v>
      </c>
      <c r="CT1177" s="142"/>
      <c r="CU1177" s="141">
        <v>3061</v>
      </c>
      <c r="CV1177" s="142"/>
      <c r="CW1177" s="42"/>
      <c r="CX1177" s="42"/>
      <c r="CY1177" s="42"/>
      <c r="CZ1177" s="42"/>
      <c r="DA1177" s="42"/>
      <c r="DB1177" s="42"/>
      <c r="DC1177" s="42"/>
      <c r="DD1177" s="110"/>
      <c r="DE1177" s="46" t="s">
        <v>10</v>
      </c>
      <c r="DF1177" s="141">
        <v>50730</v>
      </c>
      <c r="DG1177" s="142"/>
      <c r="DH1177" s="141">
        <v>30883</v>
      </c>
      <c r="DI1177" s="142"/>
      <c r="DJ1177" s="42"/>
      <c r="DK1177" s="42"/>
      <c r="DL1177" s="42"/>
      <c r="DM1177" s="42"/>
      <c r="DN1177" s="42"/>
      <c r="DO1177" s="42"/>
    </row>
    <row r="1178" spans="2:119" ht="15.4" x14ac:dyDescent="0.45">
      <c r="B1178" s="134"/>
      <c r="C1178" s="42"/>
      <c r="D1178" s="111"/>
      <c r="E1178" s="49" t="s">
        <v>11</v>
      </c>
      <c r="F1178" s="141">
        <v>17095</v>
      </c>
      <c r="G1178" s="142"/>
      <c r="H1178" s="141">
        <v>5508</v>
      </c>
      <c r="I1178" s="142"/>
      <c r="J1178" s="42"/>
      <c r="K1178" s="42"/>
      <c r="L1178" s="42"/>
      <c r="M1178" s="42"/>
      <c r="N1178" s="42"/>
      <c r="O1178" s="42"/>
      <c r="P1178" s="42"/>
      <c r="Q1178" s="111"/>
      <c r="R1178" s="46" t="s">
        <v>11</v>
      </c>
      <c r="S1178" s="141">
        <v>8824</v>
      </c>
      <c r="T1178" s="142"/>
      <c r="U1178" s="141">
        <v>2331</v>
      </c>
      <c r="V1178" s="142"/>
      <c r="W1178" s="42"/>
      <c r="X1178" s="42"/>
      <c r="Y1178" s="42"/>
      <c r="Z1178" s="42"/>
      <c r="AA1178" s="42"/>
      <c r="AB1178" s="42"/>
      <c r="AC1178" s="42"/>
      <c r="AD1178" s="111"/>
      <c r="AE1178" s="46" t="s">
        <v>11</v>
      </c>
      <c r="AF1178" s="141">
        <v>8271</v>
      </c>
      <c r="AG1178" s="142"/>
      <c r="AH1178" s="141">
        <v>3177</v>
      </c>
      <c r="AI1178" s="142"/>
      <c r="AJ1178" s="42"/>
      <c r="AK1178" s="42"/>
      <c r="AL1178" s="42"/>
      <c r="AM1178" s="42"/>
      <c r="AN1178" s="42"/>
      <c r="AO1178" s="42"/>
      <c r="AQ1178" s="111"/>
      <c r="AR1178" s="46" t="s">
        <v>11</v>
      </c>
      <c r="AS1178" s="141">
        <v>1247</v>
      </c>
      <c r="AT1178" s="142"/>
      <c r="AU1178" s="141">
        <v>698</v>
      </c>
      <c r="AV1178" s="142"/>
      <c r="AW1178" s="42"/>
      <c r="AX1178" s="42"/>
      <c r="AY1178" s="42"/>
      <c r="AZ1178" s="42"/>
      <c r="BA1178" s="42"/>
      <c r="BB1178" s="42"/>
      <c r="BC1178" s="42"/>
      <c r="BD1178" s="111"/>
      <c r="BE1178" s="46" t="s">
        <v>11</v>
      </c>
      <c r="BF1178" s="141">
        <v>15848</v>
      </c>
      <c r="BG1178" s="142"/>
      <c r="BH1178" s="141">
        <v>4810</v>
      </c>
      <c r="BI1178" s="142"/>
      <c r="BJ1178" s="42"/>
      <c r="BK1178" s="42"/>
      <c r="BL1178" s="42"/>
      <c r="BM1178" s="42"/>
      <c r="BN1178" s="42"/>
      <c r="BO1178" s="42"/>
      <c r="BQ1178" s="111"/>
      <c r="BR1178" s="46" t="s">
        <v>11</v>
      </c>
      <c r="BS1178" s="141">
        <v>413</v>
      </c>
      <c r="BT1178" s="142"/>
      <c r="BU1178" s="141">
        <v>324</v>
      </c>
      <c r="BV1178" s="142"/>
      <c r="BW1178" s="42"/>
      <c r="BX1178" s="42"/>
      <c r="BY1178" s="42"/>
      <c r="BZ1178" s="42"/>
      <c r="CA1178" s="42"/>
      <c r="CB1178" s="42"/>
      <c r="CC1178" s="42"/>
      <c r="CD1178" s="111"/>
      <c r="CE1178" s="46" t="s">
        <v>11</v>
      </c>
      <c r="CF1178" s="141">
        <v>16682</v>
      </c>
      <c r="CG1178" s="142"/>
      <c r="CH1178" s="141">
        <v>5184</v>
      </c>
      <c r="CI1178" s="142"/>
      <c r="CJ1178" s="42"/>
      <c r="CK1178" s="42"/>
      <c r="CL1178" s="42"/>
      <c r="CM1178" s="42"/>
      <c r="CN1178" s="42"/>
      <c r="CO1178" s="42"/>
      <c r="CQ1178" s="111"/>
      <c r="CR1178" s="46" t="s">
        <v>11</v>
      </c>
      <c r="CS1178" s="141">
        <v>2097</v>
      </c>
      <c r="CT1178" s="142"/>
      <c r="CU1178" s="141">
        <v>437</v>
      </c>
      <c r="CV1178" s="142"/>
      <c r="CW1178" s="42"/>
      <c r="CX1178" s="42"/>
      <c r="CY1178" s="42"/>
      <c r="CZ1178" s="42"/>
      <c r="DA1178" s="42"/>
      <c r="DB1178" s="42"/>
      <c r="DC1178" s="42"/>
      <c r="DD1178" s="111"/>
      <c r="DE1178" s="46" t="s">
        <v>11</v>
      </c>
      <c r="DF1178" s="141">
        <v>14998</v>
      </c>
      <c r="DG1178" s="142"/>
      <c r="DH1178" s="141">
        <v>5071</v>
      </c>
      <c r="DI1178" s="142"/>
      <c r="DJ1178" s="42"/>
      <c r="DK1178" s="42"/>
      <c r="DL1178" s="42"/>
      <c r="DM1178" s="42"/>
      <c r="DN1178" s="42"/>
      <c r="DO1178" s="42"/>
    </row>
    <row r="1179" spans="2:119" ht="15.75" x14ac:dyDescent="0.5">
      <c r="B1179" s="99"/>
      <c r="C1179" s="42"/>
      <c r="D1179" s="42"/>
      <c r="E1179" s="50"/>
      <c r="F1179" s="42"/>
      <c r="G1179" s="42"/>
      <c r="H1179" s="42"/>
      <c r="I1179" s="42"/>
      <c r="J1179" s="42"/>
      <c r="K1179" s="42"/>
      <c r="L1179" s="42"/>
      <c r="M1179" s="42"/>
      <c r="N1179" s="42"/>
      <c r="O1179" s="42"/>
      <c r="P1179" s="42"/>
      <c r="Q1179" s="42"/>
      <c r="R1179" s="42"/>
      <c r="S1179" s="42"/>
      <c r="T1179" s="42"/>
      <c r="U1179" s="42"/>
      <c r="V1179" s="42"/>
      <c r="W1179" s="42"/>
      <c r="X1179" s="42"/>
      <c r="Y1179" s="42"/>
      <c r="Z1179" s="42"/>
      <c r="AA1179" s="42"/>
      <c r="AB1179" s="42"/>
      <c r="AC1179" s="42"/>
      <c r="AD1179" s="42"/>
      <c r="AE1179" s="42"/>
      <c r="AF1179" s="42"/>
      <c r="AG1179" s="42"/>
      <c r="AH1179" s="42"/>
      <c r="AI1179" s="42"/>
      <c r="AJ1179" s="42"/>
      <c r="AK1179" s="42"/>
      <c r="AL1179" s="42"/>
      <c r="AM1179" s="42"/>
      <c r="AN1179" s="42"/>
      <c r="AO1179" s="42"/>
      <c r="AQ1179" s="42"/>
      <c r="AR1179" s="42"/>
      <c r="AS1179" s="42"/>
      <c r="AT1179" s="42"/>
      <c r="AU1179" s="42"/>
      <c r="AV1179" s="42"/>
      <c r="AW1179" s="42"/>
      <c r="AX1179" s="42"/>
      <c r="AY1179" s="42"/>
      <c r="AZ1179" s="42"/>
      <c r="BA1179" s="42"/>
      <c r="BB1179" s="42"/>
      <c r="BC1179" s="42"/>
      <c r="BD1179" s="42"/>
      <c r="BE1179" s="42"/>
      <c r="BF1179" s="42"/>
      <c r="BG1179" s="42"/>
      <c r="BH1179" s="42"/>
      <c r="BI1179" s="42"/>
      <c r="BJ1179" s="42"/>
      <c r="BK1179" s="42"/>
      <c r="BL1179" s="42"/>
      <c r="BM1179" s="42"/>
      <c r="BN1179" s="42"/>
      <c r="BO1179" s="42"/>
      <c r="BQ1179" s="42"/>
      <c r="BR1179" s="42"/>
      <c r="BS1179" s="42"/>
      <c r="BT1179" s="42"/>
      <c r="BU1179" s="42"/>
      <c r="BV1179" s="42"/>
      <c r="BW1179" s="42"/>
      <c r="BX1179" s="42"/>
      <c r="BY1179" s="42"/>
      <c r="BZ1179" s="42"/>
      <c r="CA1179" s="42"/>
      <c r="CB1179" s="42"/>
      <c r="CC1179" s="42"/>
      <c r="CD1179" s="42"/>
      <c r="CE1179" s="42"/>
      <c r="CF1179" s="42"/>
      <c r="CG1179" s="42"/>
      <c r="CH1179" s="42"/>
      <c r="CI1179" s="42"/>
      <c r="CJ1179" s="42"/>
      <c r="CK1179" s="42"/>
      <c r="CL1179" s="42"/>
      <c r="CM1179" s="42"/>
      <c r="CN1179" s="42"/>
      <c r="CO1179" s="42"/>
      <c r="CQ1179" s="42"/>
      <c r="CR1179" s="42"/>
      <c r="CS1179" s="42"/>
      <c r="CT1179" s="42"/>
      <c r="CU1179" s="42"/>
      <c r="CV1179" s="42"/>
      <c r="CW1179" s="42"/>
      <c r="CX1179" s="42"/>
      <c r="CY1179" s="42"/>
      <c r="CZ1179" s="42"/>
      <c r="DA1179" s="42"/>
      <c r="DB1179" s="42"/>
      <c r="DC1179" s="42"/>
      <c r="DD1179" s="42"/>
      <c r="DE1179" s="42"/>
      <c r="DF1179" s="42"/>
      <c r="DG1179" s="42"/>
      <c r="DH1179" s="42"/>
      <c r="DI1179" s="42"/>
      <c r="DJ1179" s="42"/>
      <c r="DK1179" s="42"/>
      <c r="DL1179" s="42"/>
      <c r="DM1179" s="42"/>
      <c r="DN1179" s="42"/>
      <c r="DO1179" s="42"/>
    </row>
    <row r="1180" spans="2:119" ht="18.75" customHeight="1" x14ac:dyDescent="0.55000000000000004">
      <c r="B1180" s="99"/>
      <c r="C1180" s="42"/>
      <c r="D1180" s="112" t="s">
        <v>16</v>
      </c>
      <c r="E1180" s="112"/>
      <c r="F1180" s="45"/>
      <c r="G1180" s="45"/>
      <c r="H1180" s="42"/>
      <c r="I1180" s="42"/>
      <c r="J1180" s="42"/>
      <c r="K1180" s="42"/>
      <c r="L1180" s="42"/>
      <c r="M1180" s="42"/>
      <c r="N1180" s="42"/>
      <c r="O1180" s="42"/>
      <c r="P1180" s="42"/>
      <c r="Q1180" s="112" t="s">
        <v>16</v>
      </c>
      <c r="R1180" s="112"/>
      <c r="S1180" s="45"/>
      <c r="T1180" s="45"/>
      <c r="U1180" s="42"/>
      <c r="V1180" s="42"/>
      <c r="W1180" s="42"/>
      <c r="X1180" s="42"/>
      <c r="Y1180" s="42"/>
      <c r="Z1180" s="42"/>
      <c r="AA1180" s="42"/>
      <c r="AB1180" s="42"/>
      <c r="AC1180" s="42"/>
      <c r="AD1180" s="112" t="s">
        <v>16</v>
      </c>
      <c r="AE1180" s="112"/>
      <c r="AF1180" s="45"/>
      <c r="AG1180" s="45"/>
      <c r="AH1180" s="42"/>
      <c r="AI1180" s="42"/>
      <c r="AJ1180" s="42"/>
      <c r="AK1180" s="42"/>
      <c r="AL1180" s="42"/>
      <c r="AM1180" s="42"/>
      <c r="AN1180" s="42"/>
      <c r="AO1180" s="42"/>
      <c r="AQ1180" s="112" t="s">
        <v>16</v>
      </c>
      <c r="AR1180" s="112"/>
      <c r="AS1180" s="45"/>
      <c r="AT1180" s="45"/>
      <c r="AU1180" s="42"/>
      <c r="AV1180" s="42"/>
      <c r="AW1180" s="42"/>
      <c r="AX1180" s="42"/>
      <c r="AY1180" s="42"/>
      <c r="AZ1180" s="42"/>
      <c r="BA1180" s="42"/>
      <c r="BB1180" s="42"/>
      <c r="BC1180" s="42"/>
      <c r="BD1180" s="112" t="s">
        <v>16</v>
      </c>
      <c r="BE1180" s="112"/>
      <c r="BF1180" s="45"/>
      <c r="BG1180" s="45"/>
      <c r="BH1180" s="42"/>
      <c r="BI1180" s="42"/>
      <c r="BJ1180" s="42"/>
      <c r="BK1180" s="42"/>
      <c r="BL1180" s="42"/>
      <c r="BM1180" s="42"/>
      <c r="BN1180" s="42"/>
      <c r="BO1180" s="42"/>
      <c r="BQ1180" s="112" t="s">
        <v>16</v>
      </c>
      <c r="BR1180" s="112"/>
      <c r="BS1180" s="45"/>
      <c r="BT1180" s="45"/>
      <c r="BU1180" s="42"/>
      <c r="BV1180" s="42"/>
      <c r="BW1180" s="42"/>
      <c r="BX1180" s="42"/>
      <c r="BY1180" s="42"/>
      <c r="BZ1180" s="42"/>
      <c r="CA1180" s="42"/>
      <c r="CB1180" s="42"/>
      <c r="CC1180" s="42"/>
      <c r="CD1180" s="112" t="s">
        <v>16</v>
      </c>
      <c r="CE1180" s="112"/>
      <c r="CF1180" s="45"/>
      <c r="CG1180" s="45"/>
      <c r="CH1180" s="42"/>
      <c r="CI1180" s="42"/>
      <c r="CJ1180" s="42"/>
      <c r="CK1180" s="42"/>
      <c r="CL1180" s="42"/>
      <c r="CM1180" s="42"/>
      <c r="CN1180" s="42"/>
      <c r="CO1180" s="42"/>
      <c r="CQ1180" s="112" t="s">
        <v>16</v>
      </c>
      <c r="CR1180" s="112"/>
      <c r="CS1180" s="45"/>
      <c r="CT1180" s="45"/>
      <c r="CU1180" s="42"/>
      <c r="CV1180" s="42"/>
      <c r="CW1180" s="42"/>
      <c r="CX1180" s="42"/>
      <c r="CY1180" s="42"/>
      <c r="CZ1180" s="42"/>
      <c r="DA1180" s="42"/>
      <c r="DB1180" s="42"/>
      <c r="DC1180" s="42"/>
      <c r="DD1180" s="112" t="s">
        <v>16</v>
      </c>
      <c r="DE1180" s="112"/>
      <c r="DF1180" s="45"/>
      <c r="DG1180" s="45"/>
      <c r="DH1180" s="42"/>
      <c r="DI1180" s="42"/>
      <c r="DJ1180" s="42"/>
      <c r="DK1180" s="42"/>
      <c r="DL1180" s="42"/>
      <c r="DM1180" s="42"/>
      <c r="DN1180" s="42"/>
      <c r="DO1180" s="42"/>
    </row>
    <row r="1181" spans="2:119" ht="28.9" customHeight="1" x14ac:dyDescent="0.45">
      <c r="B1181" s="99"/>
      <c r="C1181" s="42"/>
      <c r="D1181" s="112"/>
      <c r="E1181" s="112"/>
      <c r="F1181" s="108" t="s">
        <v>58</v>
      </c>
      <c r="G1181" s="108"/>
      <c r="H1181" s="108"/>
      <c r="I1181" s="108"/>
      <c r="J1181" s="42"/>
      <c r="K1181" s="42"/>
      <c r="L1181" s="42"/>
      <c r="M1181" s="42"/>
      <c r="N1181" s="42"/>
      <c r="O1181" s="42"/>
      <c r="P1181" s="42"/>
      <c r="Q1181" s="112"/>
      <c r="R1181" s="112"/>
      <c r="S1181" s="108" t="s">
        <v>58</v>
      </c>
      <c r="T1181" s="108"/>
      <c r="U1181" s="108"/>
      <c r="V1181" s="108"/>
      <c r="W1181" s="42"/>
      <c r="X1181" s="42"/>
      <c r="Y1181" s="42"/>
      <c r="Z1181" s="42"/>
      <c r="AA1181" s="42"/>
      <c r="AB1181" s="42"/>
      <c r="AC1181" s="42"/>
      <c r="AD1181" s="112"/>
      <c r="AE1181" s="112"/>
      <c r="AF1181" s="131" t="s">
        <v>58</v>
      </c>
      <c r="AG1181" s="132"/>
      <c r="AH1181" s="132"/>
      <c r="AI1181" s="133"/>
      <c r="AJ1181" s="42"/>
      <c r="AK1181" s="42"/>
      <c r="AL1181" s="42"/>
      <c r="AM1181" s="42"/>
      <c r="AN1181" s="42"/>
      <c r="AO1181" s="42"/>
      <c r="AQ1181" s="112"/>
      <c r="AR1181" s="112"/>
      <c r="AS1181" s="131" t="s">
        <v>58</v>
      </c>
      <c r="AT1181" s="132"/>
      <c r="AU1181" s="132"/>
      <c r="AV1181" s="133"/>
      <c r="AW1181" s="42"/>
      <c r="AX1181" s="42"/>
      <c r="AY1181" s="42"/>
      <c r="AZ1181" s="42"/>
      <c r="BA1181" s="42"/>
      <c r="BB1181" s="42"/>
      <c r="BC1181" s="42"/>
      <c r="BD1181" s="112"/>
      <c r="BE1181" s="112"/>
      <c r="BF1181" s="131" t="s">
        <v>58</v>
      </c>
      <c r="BG1181" s="132"/>
      <c r="BH1181" s="132"/>
      <c r="BI1181" s="133"/>
      <c r="BJ1181" s="42"/>
      <c r="BK1181" s="42"/>
      <c r="BL1181" s="42"/>
      <c r="BM1181" s="42"/>
      <c r="BN1181" s="42"/>
      <c r="BO1181" s="42"/>
      <c r="BQ1181" s="112"/>
      <c r="BR1181" s="112"/>
      <c r="BS1181" s="131" t="s">
        <v>58</v>
      </c>
      <c r="BT1181" s="132"/>
      <c r="BU1181" s="132"/>
      <c r="BV1181" s="133"/>
      <c r="BW1181" s="42"/>
      <c r="BX1181" s="42"/>
      <c r="BY1181" s="42"/>
      <c r="BZ1181" s="42"/>
      <c r="CA1181" s="42"/>
      <c r="CB1181" s="42"/>
      <c r="CC1181" s="42"/>
      <c r="CD1181" s="112"/>
      <c r="CE1181" s="112"/>
      <c r="CF1181" s="131" t="s">
        <v>58</v>
      </c>
      <c r="CG1181" s="132"/>
      <c r="CH1181" s="132"/>
      <c r="CI1181" s="133"/>
      <c r="CJ1181" s="42"/>
      <c r="CK1181" s="42"/>
      <c r="CL1181" s="42"/>
      <c r="CM1181" s="42"/>
      <c r="CN1181" s="42"/>
      <c r="CO1181" s="42"/>
      <c r="CQ1181" s="112"/>
      <c r="CR1181" s="112"/>
      <c r="CS1181" s="131" t="s">
        <v>58</v>
      </c>
      <c r="CT1181" s="132"/>
      <c r="CU1181" s="132"/>
      <c r="CV1181" s="133"/>
      <c r="CW1181" s="42"/>
      <c r="CX1181" s="42"/>
      <c r="CY1181" s="42"/>
      <c r="CZ1181" s="42"/>
      <c r="DA1181" s="42"/>
      <c r="DB1181" s="42"/>
      <c r="DC1181" s="42"/>
      <c r="DD1181" s="112"/>
      <c r="DE1181" s="112"/>
      <c r="DF1181" s="131" t="s">
        <v>58</v>
      </c>
      <c r="DG1181" s="132"/>
      <c r="DH1181" s="132"/>
      <c r="DI1181" s="133"/>
      <c r="DJ1181" s="42"/>
      <c r="DK1181" s="42"/>
      <c r="DL1181" s="42"/>
      <c r="DM1181" s="42"/>
      <c r="DN1181" s="42"/>
      <c r="DO1181" s="42"/>
    </row>
    <row r="1182" spans="2:119" ht="15" customHeight="1" x14ac:dyDescent="0.45">
      <c r="B1182" s="99"/>
      <c r="C1182" s="42"/>
      <c r="D1182" s="113"/>
      <c r="E1182" s="113"/>
      <c r="F1182" s="143" t="s">
        <v>108</v>
      </c>
      <c r="G1182" s="144"/>
      <c r="H1182" s="143" t="s">
        <v>109</v>
      </c>
      <c r="I1182" s="144"/>
      <c r="J1182" s="42"/>
      <c r="K1182" s="42"/>
      <c r="L1182" s="42"/>
      <c r="M1182" s="42"/>
      <c r="N1182" s="42"/>
      <c r="O1182" s="42"/>
      <c r="P1182" s="42"/>
      <c r="Q1182" s="113"/>
      <c r="R1182" s="113"/>
      <c r="S1182" s="143" t="s">
        <v>108</v>
      </c>
      <c r="T1182" s="144"/>
      <c r="U1182" s="143" t="s">
        <v>109</v>
      </c>
      <c r="V1182" s="144"/>
      <c r="W1182" s="42"/>
      <c r="X1182" s="42"/>
      <c r="Y1182" s="42"/>
      <c r="Z1182" s="42"/>
      <c r="AA1182" s="42"/>
      <c r="AB1182" s="42"/>
      <c r="AC1182" s="42"/>
      <c r="AD1182" s="113"/>
      <c r="AE1182" s="113"/>
      <c r="AF1182" s="145" t="s">
        <v>108</v>
      </c>
      <c r="AG1182" s="146"/>
      <c r="AH1182" s="145" t="s">
        <v>109</v>
      </c>
      <c r="AI1182" s="146"/>
      <c r="AJ1182" s="42"/>
      <c r="AK1182" s="42"/>
      <c r="AL1182" s="42"/>
      <c r="AM1182" s="42"/>
      <c r="AN1182" s="42"/>
      <c r="AO1182" s="42"/>
      <c r="AQ1182" s="113"/>
      <c r="AR1182" s="113"/>
      <c r="AS1182" s="145" t="s">
        <v>108</v>
      </c>
      <c r="AT1182" s="146"/>
      <c r="AU1182" s="145" t="s">
        <v>109</v>
      </c>
      <c r="AV1182" s="146"/>
      <c r="AW1182" s="42"/>
      <c r="AX1182" s="42"/>
      <c r="AY1182" s="42"/>
      <c r="AZ1182" s="42"/>
      <c r="BA1182" s="42"/>
      <c r="BB1182" s="42"/>
      <c r="BC1182" s="42"/>
      <c r="BD1182" s="113"/>
      <c r="BE1182" s="113"/>
      <c r="BF1182" s="145" t="s">
        <v>108</v>
      </c>
      <c r="BG1182" s="146"/>
      <c r="BH1182" s="145" t="s">
        <v>109</v>
      </c>
      <c r="BI1182" s="146"/>
      <c r="BJ1182" s="42"/>
      <c r="BK1182" s="42"/>
      <c r="BL1182" s="42"/>
      <c r="BM1182" s="42"/>
      <c r="BN1182" s="42"/>
      <c r="BO1182" s="42"/>
      <c r="BQ1182" s="113"/>
      <c r="BR1182" s="113"/>
      <c r="BS1182" s="145" t="s">
        <v>108</v>
      </c>
      <c r="BT1182" s="146"/>
      <c r="BU1182" s="145" t="s">
        <v>109</v>
      </c>
      <c r="BV1182" s="146"/>
      <c r="BW1182" s="42"/>
      <c r="BX1182" s="42"/>
      <c r="BY1182" s="42"/>
      <c r="BZ1182" s="42"/>
      <c r="CA1182" s="42"/>
      <c r="CB1182" s="42"/>
      <c r="CC1182" s="42"/>
      <c r="CD1182" s="113"/>
      <c r="CE1182" s="113"/>
      <c r="CF1182" s="145" t="s">
        <v>108</v>
      </c>
      <c r="CG1182" s="146"/>
      <c r="CH1182" s="145" t="s">
        <v>109</v>
      </c>
      <c r="CI1182" s="146"/>
      <c r="CJ1182" s="42"/>
      <c r="CK1182" s="42"/>
      <c r="CL1182" s="42"/>
      <c r="CM1182" s="42"/>
      <c r="CN1182" s="42"/>
      <c r="CO1182" s="42"/>
      <c r="CQ1182" s="113"/>
      <c r="CR1182" s="113"/>
      <c r="CS1182" s="145" t="s">
        <v>108</v>
      </c>
      <c r="CT1182" s="146"/>
      <c r="CU1182" s="145" t="s">
        <v>109</v>
      </c>
      <c r="CV1182" s="146"/>
      <c r="CW1182" s="42"/>
      <c r="CX1182" s="42"/>
      <c r="CY1182" s="42"/>
      <c r="CZ1182" s="42"/>
      <c r="DA1182" s="42"/>
      <c r="DB1182" s="42"/>
      <c r="DC1182" s="42"/>
      <c r="DD1182" s="113"/>
      <c r="DE1182" s="113"/>
      <c r="DF1182" s="145" t="s">
        <v>108</v>
      </c>
      <c r="DG1182" s="146"/>
      <c r="DH1182" s="145" t="s">
        <v>109</v>
      </c>
      <c r="DI1182" s="146"/>
      <c r="DJ1182" s="42"/>
      <c r="DK1182" s="42"/>
      <c r="DL1182" s="42"/>
      <c r="DM1182" s="42"/>
      <c r="DN1182" s="42"/>
      <c r="DO1182" s="42"/>
    </row>
    <row r="1183" spans="2:119" ht="15.4" customHeight="1" x14ac:dyDescent="0.45">
      <c r="B1183" s="99"/>
      <c r="C1183" s="42"/>
      <c r="D1183" s="109" t="s">
        <v>13</v>
      </c>
      <c r="E1183" s="46" t="s">
        <v>1</v>
      </c>
      <c r="F1183" s="141">
        <v>0.74377091855708444</v>
      </c>
      <c r="G1183" s="142"/>
      <c r="H1183" s="141">
        <v>99.25622908144291</v>
      </c>
      <c r="I1183" s="142"/>
      <c r="J1183" s="42"/>
      <c r="K1183" s="42"/>
      <c r="L1183" s="42"/>
      <c r="M1183" s="42"/>
      <c r="N1183" s="42"/>
      <c r="O1183" s="42"/>
      <c r="P1183" s="42"/>
      <c r="Q1183" s="109" t="s">
        <v>13</v>
      </c>
      <c r="R1183" s="46" t="s">
        <v>1</v>
      </c>
      <c r="S1183" s="141">
        <v>1.2861736334405145</v>
      </c>
      <c r="T1183" s="142"/>
      <c r="U1183" s="141">
        <v>98.713826366559488</v>
      </c>
      <c r="V1183" s="142"/>
      <c r="W1183" s="42"/>
      <c r="X1183" s="42"/>
      <c r="Y1183" s="42"/>
      <c r="Z1183" s="42"/>
      <c r="AA1183" s="42"/>
      <c r="AB1183" s="42"/>
      <c r="AC1183" s="42"/>
      <c r="AD1183" s="109" t="s">
        <v>13</v>
      </c>
      <c r="AE1183" s="46" t="s">
        <v>1</v>
      </c>
      <c r="AF1183" s="141">
        <v>0.45558086560364464</v>
      </c>
      <c r="AG1183" s="142"/>
      <c r="AH1183" s="141">
        <v>99.54441913439635</v>
      </c>
      <c r="AI1183" s="142"/>
      <c r="AJ1183" s="42"/>
      <c r="AK1183" s="42"/>
      <c r="AL1183" s="42"/>
      <c r="AM1183" s="42"/>
      <c r="AN1183" s="42"/>
      <c r="AO1183" s="42"/>
      <c r="AQ1183" s="109" t="s">
        <v>13</v>
      </c>
      <c r="AR1183" s="46" t="s">
        <v>1</v>
      </c>
      <c r="AS1183" s="141">
        <v>0.70621468926553677</v>
      </c>
      <c r="AT1183" s="142"/>
      <c r="AU1183" s="141">
        <v>99.293785310734464</v>
      </c>
      <c r="AV1183" s="142"/>
      <c r="AW1183" s="42"/>
      <c r="AX1183" s="42"/>
      <c r="AY1183" s="42"/>
      <c r="AZ1183" s="42"/>
      <c r="BA1183" s="42"/>
      <c r="BB1183" s="42"/>
      <c r="BC1183" s="42"/>
      <c r="BD1183" s="109" t="s">
        <v>13</v>
      </c>
      <c r="BE1183" s="46" t="s">
        <v>1</v>
      </c>
      <c r="BF1183" s="141">
        <v>0.78554595443833464</v>
      </c>
      <c r="BG1183" s="142"/>
      <c r="BH1183" s="141">
        <v>99.214454045561666</v>
      </c>
      <c r="BI1183" s="142"/>
      <c r="BJ1183" s="42"/>
      <c r="BK1183" s="42"/>
      <c r="BL1183" s="42"/>
      <c r="BM1183" s="42"/>
      <c r="BN1183" s="42"/>
      <c r="BO1183" s="42"/>
      <c r="BQ1183" s="109" t="s">
        <v>13</v>
      </c>
      <c r="BR1183" s="46" t="s">
        <v>1</v>
      </c>
      <c r="BS1183" s="141">
        <v>0.15203344735841884</v>
      </c>
      <c r="BT1183" s="142"/>
      <c r="BU1183" s="141">
        <v>99.84796655264158</v>
      </c>
      <c r="BV1183" s="142"/>
      <c r="BW1183" s="42"/>
      <c r="BX1183" s="42"/>
      <c r="BY1183" s="42"/>
      <c r="BZ1183" s="42"/>
      <c r="CA1183" s="42"/>
      <c r="CB1183" s="42"/>
      <c r="CC1183" s="42"/>
      <c r="CD1183" s="109" t="s">
        <v>13</v>
      </c>
      <c r="CE1183" s="46" t="s">
        <v>1</v>
      </c>
      <c r="CF1183" s="141">
        <v>27.586206896551722</v>
      </c>
      <c r="CG1183" s="142"/>
      <c r="CH1183" s="141">
        <v>72.41379310344827</v>
      </c>
      <c r="CI1183" s="142"/>
      <c r="CJ1183" s="42"/>
      <c r="CK1183" s="42"/>
      <c r="CL1183" s="42"/>
      <c r="CM1183" s="42"/>
      <c r="CN1183" s="42"/>
      <c r="CO1183" s="42"/>
      <c r="CQ1183" s="109" t="s">
        <v>13</v>
      </c>
      <c r="CR1183" s="46" t="s">
        <v>1</v>
      </c>
      <c r="CS1183" s="141">
        <v>2.7950310559006213</v>
      </c>
      <c r="CT1183" s="142"/>
      <c r="CU1183" s="141">
        <v>97.204968944099377</v>
      </c>
      <c r="CV1183" s="142"/>
      <c r="CW1183" s="42"/>
      <c r="CX1183" s="42"/>
      <c r="CY1183" s="42"/>
      <c r="CZ1183" s="42"/>
      <c r="DA1183" s="42"/>
      <c r="DB1183" s="42"/>
      <c r="DC1183" s="42"/>
      <c r="DD1183" s="109" t="s">
        <v>13</v>
      </c>
      <c r="DE1183" s="46" t="s">
        <v>1</v>
      </c>
      <c r="DF1183" s="141">
        <v>9.779951100244498E-2</v>
      </c>
      <c r="DG1183" s="142"/>
      <c r="DH1183" s="141">
        <v>99.902200488997551</v>
      </c>
      <c r="DI1183" s="142"/>
      <c r="DJ1183" s="42"/>
      <c r="DK1183" s="42"/>
      <c r="DL1183" s="42"/>
      <c r="DM1183" s="42"/>
      <c r="DN1183" s="42"/>
      <c r="DO1183" s="42"/>
    </row>
    <row r="1184" spans="2:119" ht="15.4" x14ac:dyDescent="0.45">
      <c r="B1184" s="99"/>
      <c r="C1184" s="42"/>
      <c r="D1184" s="110"/>
      <c r="E1184" s="46" t="s">
        <v>56</v>
      </c>
      <c r="F1184" s="141">
        <v>2.5556081400851869</v>
      </c>
      <c r="G1184" s="142"/>
      <c r="H1184" s="141">
        <v>97.444391859914816</v>
      </c>
      <c r="I1184" s="142"/>
      <c r="J1184" s="42"/>
      <c r="K1184" s="42"/>
      <c r="L1184" s="42"/>
      <c r="M1184" s="42"/>
      <c r="N1184" s="42"/>
      <c r="O1184" s="42"/>
      <c r="P1184" s="42"/>
      <c r="Q1184" s="110"/>
      <c r="R1184" s="46" t="s">
        <v>56</v>
      </c>
      <c r="S1184" s="141">
        <v>4.0897097625329817</v>
      </c>
      <c r="T1184" s="142"/>
      <c r="U1184" s="141">
        <v>95.910290237467024</v>
      </c>
      <c r="V1184" s="142"/>
      <c r="W1184" s="42"/>
      <c r="X1184" s="42"/>
      <c r="Y1184" s="42"/>
      <c r="Z1184" s="42"/>
      <c r="AA1184" s="42"/>
      <c r="AB1184" s="42"/>
      <c r="AC1184" s="42"/>
      <c r="AD1184" s="110"/>
      <c r="AE1184" s="46" t="s">
        <v>56</v>
      </c>
      <c r="AF1184" s="141">
        <v>1.6974169741697416</v>
      </c>
      <c r="AG1184" s="142"/>
      <c r="AH1184" s="141">
        <v>98.302583025830259</v>
      </c>
      <c r="AI1184" s="142"/>
      <c r="AJ1184" s="42"/>
      <c r="AK1184" s="42"/>
      <c r="AL1184" s="42"/>
      <c r="AM1184" s="42"/>
      <c r="AN1184" s="42"/>
      <c r="AO1184" s="42"/>
      <c r="AQ1184" s="110"/>
      <c r="AR1184" s="46" t="s">
        <v>56</v>
      </c>
      <c r="AS1184" s="141">
        <v>1.8733273862622659</v>
      </c>
      <c r="AT1184" s="142"/>
      <c r="AU1184" s="141">
        <v>98.126672613737725</v>
      </c>
      <c r="AV1184" s="142"/>
      <c r="AW1184" s="42"/>
      <c r="AX1184" s="42"/>
      <c r="AY1184" s="42"/>
      <c r="AZ1184" s="42"/>
      <c r="BA1184" s="42"/>
      <c r="BB1184" s="42"/>
      <c r="BC1184" s="42"/>
      <c r="BD1184" s="110"/>
      <c r="BE1184" s="46" t="s">
        <v>56</v>
      </c>
      <c r="BF1184" s="141">
        <v>3.3266129032258061</v>
      </c>
      <c r="BG1184" s="142"/>
      <c r="BH1184" s="141">
        <v>96.673387096774192</v>
      </c>
      <c r="BI1184" s="142"/>
      <c r="BJ1184" s="42"/>
      <c r="BK1184" s="42"/>
      <c r="BL1184" s="42"/>
      <c r="BM1184" s="42"/>
      <c r="BN1184" s="42"/>
      <c r="BO1184" s="42"/>
      <c r="BQ1184" s="110"/>
      <c r="BR1184" s="46" t="s">
        <v>56</v>
      </c>
      <c r="BS1184" s="141">
        <v>0.35443037974683544</v>
      </c>
      <c r="BT1184" s="142"/>
      <c r="BU1184" s="141">
        <v>99.645569620253156</v>
      </c>
      <c r="BV1184" s="142"/>
      <c r="BW1184" s="42"/>
      <c r="BX1184" s="42"/>
      <c r="BY1184" s="42"/>
      <c r="BZ1184" s="42"/>
      <c r="CA1184" s="42"/>
      <c r="CB1184" s="42"/>
      <c r="CC1184" s="42"/>
      <c r="CD1184" s="110"/>
      <c r="CE1184" s="46" t="s">
        <v>56</v>
      </c>
      <c r="CF1184" s="141">
        <v>34.057971014492757</v>
      </c>
      <c r="CG1184" s="142"/>
      <c r="CH1184" s="141">
        <v>65.94202898550725</v>
      </c>
      <c r="CI1184" s="142"/>
      <c r="CJ1184" s="42"/>
      <c r="CK1184" s="42"/>
      <c r="CL1184" s="42"/>
      <c r="CM1184" s="42"/>
      <c r="CN1184" s="42"/>
      <c r="CO1184" s="42"/>
      <c r="CQ1184" s="110"/>
      <c r="CR1184" s="46" t="s">
        <v>56</v>
      </c>
      <c r="CS1184" s="141">
        <v>11.926605504587156</v>
      </c>
      <c r="CT1184" s="142"/>
      <c r="CU1184" s="141">
        <v>88.073394495412856</v>
      </c>
      <c r="CV1184" s="142"/>
      <c r="CW1184" s="42"/>
      <c r="CX1184" s="42"/>
      <c r="CY1184" s="42"/>
      <c r="CZ1184" s="42"/>
      <c r="DA1184" s="42"/>
      <c r="DB1184" s="42"/>
      <c r="DC1184" s="42"/>
      <c r="DD1184" s="110"/>
      <c r="DE1184" s="46" t="s">
        <v>56</v>
      </c>
      <c r="DF1184" s="141">
        <v>0.11926058437686345</v>
      </c>
      <c r="DG1184" s="142"/>
      <c r="DH1184" s="141">
        <v>99.880739415623125</v>
      </c>
      <c r="DI1184" s="142"/>
      <c r="DJ1184" s="42"/>
      <c r="DK1184" s="42"/>
      <c r="DL1184" s="42"/>
      <c r="DM1184" s="42"/>
      <c r="DN1184" s="42"/>
      <c r="DO1184" s="42"/>
    </row>
    <row r="1185" spans="2:119" ht="15.4" x14ac:dyDescent="0.45">
      <c r="B1185" s="99"/>
      <c r="C1185" s="42"/>
      <c r="D1185" s="110"/>
      <c r="E1185" s="46" t="s">
        <v>2</v>
      </c>
      <c r="F1185" s="141">
        <v>5.5474452554744529</v>
      </c>
      <c r="G1185" s="142"/>
      <c r="H1185" s="141">
        <v>94.452554744525557</v>
      </c>
      <c r="I1185" s="142"/>
      <c r="J1185" s="42"/>
      <c r="K1185" s="42"/>
      <c r="L1185" s="42"/>
      <c r="M1185" s="42"/>
      <c r="N1185" s="42"/>
      <c r="O1185" s="42"/>
      <c r="P1185" s="42"/>
      <c r="Q1185" s="110"/>
      <c r="R1185" s="46" t="s">
        <v>2</v>
      </c>
      <c r="S1185" s="141">
        <v>7.6328004125838067</v>
      </c>
      <c r="T1185" s="142"/>
      <c r="U1185" s="141">
        <v>92.367199587416195</v>
      </c>
      <c r="V1185" s="142"/>
      <c r="W1185" s="42"/>
      <c r="X1185" s="42"/>
      <c r="Y1185" s="42"/>
      <c r="Z1185" s="42"/>
      <c r="AA1185" s="42"/>
      <c r="AB1185" s="42"/>
      <c r="AC1185" s="42"/>
      <c r="AD1185" s="110"/>
      <c r="AE1185" s="46" t="s">
        <v>2</v>
      </c>
      <c r="AF1185" s="141">
        <v>4.1316526610644253</v>
      </c>
      <c r="AG1185" s="142"/>
      <c r="AH1185" s="141">
        <v>95.868347338935578</v>
      </c>
      <c r="AI1185" s="142"/>
      <c r="AJ1185" s="42"/>
      <c r="AK1185" s="42"/>
      <c r="AL1185" s="42"/>
      <c r="AM1185" s="42"/>
      <c r="AN1185" s="42"/>
      <c r="AO1185" s="42"/>
      <c r="AQ1185" s="110"/>
      <c r="AR1185" s="46" t="s">
        <v>2</v>
      </c>
      <c r="AS1185" s="141">
        <v>4.2425819885476317</v>
      </c>
      <c r="AT1185" s="142"/>
      <c r="AU1185" s="141">
        <v>95.757418011452373</v>
      </c>
      <c r="AV1185" s="142"/>
      <c r="AW1185" s="42"/>
      <c r="AX1185" s="42"/>
      <c r="AY1185" s="42"/>
      <c r="AZ1185" s="42"/>
      <c r="BA1185" s="42"/>
      <c r="BB1185" s="42"/>
      <c r="BC1185" s="42"/>
      <c r="BD1185" s="110"/>
      <c r="BE1185" s="46" t="s">
        <v>2</v>
      </c>
      <c r="BF1185" s="141">
        <v>7.0437248171914639</v>
      </c>
      <c r="BG1185" s="142"/>
      <c r="BH1185" s="141">
        <v>92.95627518280854</v>
      </c>
      <c r="BI1185" s="142"/>
      <c r="BJ1185" s="42"/>
      <c r="BK1185" s="42"/>
      <c r="BL1185" s="42"/>
      <c r="BM1185" s="42"/>
      <c r="BN1185" s="42"/>
      <c r="BO1185" s="42"/>
      <c r="BQ1185" s="110"/>
      <c r="BR1185" s="46" t="s">
        <v>2</v>
      </c>
      <c r="BS1185" s="141">
        <v>2.5524981897175962</v>
      </c>
      <c r="BT1185" s="142"/>
      <c r="BU1185" s="141">
        <v>97.447501810282404</v>
      </c>
      <c r="BV1185" s="142"/>
      <c r="BW1185" s="42"/>
      <c r="BX1185" s="42"/>
      <c r="BY1185" s="42"/>
      <c r="BZ1185" s="42"/>
      <c r="CA1185" s="42"/>
      <c r="CB1185" s="42"/>
      <c r="CC1185" s="42"/>
      <c r="CD1185" s="110"/>
      <c r="CE1185" s="46" t="s">
        <v>2</v>
      </c>
      <c r="CF1185" s="141">
        <v>15.46299071021876</v>
      </c>
      <c r="CG1185" s="142"/>
      <c r="CH1185" s="141">
        <v>84.537009289781238</v>
      </c>
      <c r="CI1185" s="142"/>
      <c r="CJ1185" s="42"/>
      <c r="CK1185" s="42"/>
      <c r="CL1185" s="42"/>
      <c r="CM1185" s="42"/>
      <c r="CN1185" s="42"/>
      <c r="CO1185" s="42"/>
      <c r="CQ1185" s="110"/>
      <c r="CR1185" s="46" t="s">
        <v>2</v>
      </c>
      <c r="CS1185" s="141">
        <v>17.044776119402986</v>
      </c>
      <c r="CT1185" s="142"/>
      <c r="CU1185" s="141">
        <v>82.955223880597018</v>
      </c>
      <c r="CV1185" s="142"/>
      <c r="CW1185" s="42"/>
      <c r="CX1185" s="42"/>
      <c r="CY1185" s="42"/>
      <c r="CZ1185" s="42"/>
      <c r="DA1185" s="42"/>
      <c r="DB1185" s="42"/>
      <c r="DC1185" s="42"/>
      <c r="DD1185" s="110"/>
      <c r="DE1185" s="46" t="s">
        <v>2</v>
      </c>
      <c r="DF1185" s="141">
        <v>2.0570910738559127</v>
      </c>
      <c r="DG1185" s="142"/>
      <c r="DH1185" s="141">
        <v>97.942908926144085</v>
      </c>
      <c r="DI1185" s="142"/>
      <c r="DJ1185" s="42"/>
      <c r="DK1185" s="42"/>
      <c r="DL1185" s="42"/>
      <c r="DM1185" s="42"/>
      <c r="DN1185" s="42"/>
      <c r="DO1185" s="42"/>
    </row>
    <row r="1186" spans="2:119" ht="15.4" x14ac:dyDescent="0.45">
      <c r="B1186" s="99"/>
      <c r="C1186" s="42"/>
      <c r="D1186" s="110"/>
      <c r="E1186" s="46" t="s">
        <v>3</v>
      </c>
      <c r="F1186" s="141">
        <v>7.7649397440675862</v>
      </c>
      <c r="G1186" s="142"/>
      <c r="H1186" s="141">
        <v>92.23506025593241</v>
      </c>
      <c r="I1186" s="142"/>
      <c r="J1186" s="42"/>
      <c r="K1186" s="42"/>
      <c r="L1186" s="42"/>
      <c r="M1186" s="42"/>
      <c r="N1186" s="42"/>
      <c r="O1186" s="42"/>
      <c r="P1186" s="42"/>
      <c r="Q1186" s="110"/>
      <c r="R1186" s="46" t="s">
        <v>3</v>
      </c>
      <c r="S1186" s="141">
        <v>10.405443719875249</v>
      </c>
      <c r="T1186" s="142"/>
      <c r="U1186" s="141">
        <v>89.594556280124749</v>
      </c>
      <c r="V1186" s="142"/>
      <c r="W1186" s="42"/>
      <c r="X1186" s="42"/>
      <c r="Y1186" s="42"/>
      <c r="Z1186" s="42"/>
      <c r="AA1186" s="42"/>
      <c r="AB1186" s="42"/>
      <c r="AC1186" s="42"/>
      <c r="AD1186" s="110"/>
      <c r="AE1186" s="46" t="s">
        <v>3</v>
      </c>
      <c r="AF1186" s="141">
        <v>5.7054400707651487</v>
      </c>
      <c r="AG1186" s="142"/>
      <c r="AH1186" s="141">
        <v>94.29455992923485</v>
      </c>
      <c r="AI1186" s="142"/>
      <c r="AJ1186" s="42"/>
      <c r="AK1186" s="42"/>
      <c r="AL1186" s="42"/>
      <c r="AM1186" s="42"/>
      <c r="AN1186" s="42"/>
      <c r="AO1186" s="42"/>
      <c r="AQ1186" s="110"/>
      <c r="AR1186" s="46" t="s">
        <v>3</v>
      </c>
      <c r="AS1186" s="141">
        <v>6.2644415917843395</v>
      </c>
      <c r="AT1186" s="142"/>
      <c r="AU1186" s="141">
        <v>93.735558408215653</v>
      </c>
      <c r="AV1186" s="142"/>
      <c r="AW1186" s="42"/>
      <c r="AX1186" s="42"/>
      <c r="AY1186" s="42"/>
      <c r="AZ1186" s="42"/>
      <c r="BA1186" s="42"/>
      <c r="BB1186" s="42"/>
      <c r="BC1186" s="42"/>
      <c r="BD1186" s="110"/>
      <c r="BE1186" s="46" t="s">
        <v>3</v>
      </c>
      <c r="BF1186" s="141">
        <v>9.1718825228695238</v>
      </c>
      <c r="BG1186" s="142"/>
      <c r="BH1186" s="141">
        <v>90.828117477130476</v>
      </c>
      <c r="BI1186" s="142"/>
      <c r="BJ1186" s="42"/>
      <c r="BK1186" s="42"/>
      <c r="BL1186" s="42"/>
      <c r="BM1186" s="42"/>
      <c r="BN1186" s="42"/>
      <c r="BO1186" s="42"/>
      <c r="BQ1186" s="110"/>
      <c r="BR1186" s="46" t="s">
        <v>3</v>
      </c>
      <c r="BS1186" s="141">
        <v>4.7153780798640614</v>
      </c>
      <c r="BT1186" s="142"/>
      <c r="BU1186" s="141">
        <v>95.284621920135933</v>
      </c>
      <c r="BV1186" s="142"/>
      <c r="BW1186" s="42"/>
      <c r="BX1186" s="42"/>
      <c r="BY1186" s="42"/>
      <c r="BZ1186" s="42"/>
      <c r="CA1186" s="42"/>
      <c r="CB1186" s="42"/>
      <c r="CC1186" s="42"/>
      <c r="CD1186" s="110"/>
      <c r="CE1186" s="46" t="s">
        <v>3</v>
      </c>
      <c r="CF1186" s="141">
        <v>12.062256809338521</v>
      </c>
      <c r="CG1186" s="142"/>
      <c r="CH1186" s="141">
        <v>87.937743190661479</v>
      </c>
      <c r="CI1186" s="142"/>
      <c r="CJ1186" s="42"/>
      <c r="CK1186" s="42"/>
      <c r="CL1186" s="42"/>
      <c r="CM1186" s="42"/>
      <c r="CN1186" s="42"/>
      <c r="CO1186" s="42"/>
      <c r="CQ1186" s="110"/>
      <c r="CR1186" s="46" t="s">
        <v>3</v>
      </c>
      <c r="CS1186" s="141">
        <v>20.135467980295566</v>
      </c>
      <c r="CT1186" s="142"/>
      <c r="CU1186" s="141">
        <v>79.864532019704441</v>
      </c>
      <c r="CV1186" s="142"/>
      <c r="CW1186" s="42"/>
      <c r="CX1186" s="42"/>
      <c r="CY1186" s="42"/>
      <c r="CZ1186" s="42"/>
      <c r="DA1186" s="42"/>
      <c r="DB1186" s="42"/>
      <c r="DC1186" s="42"/>
      <c r="DD1186" s="110"/>
      <c r="DE1186" s="46" t="s">
        <v>3</v>
      </c>
      <c r="DF1186" s="141">
        <v>4.6381322957198439</v>
      </c>
      <c r="DG1186" s="142"/>
      <c r="DH1186" s="141">
        <v>95.361867704280158</v>
      </c>
      <c r="DI1186" s="142"/>
      <c r="DJ1186" s="42"/>
      <c r="DK1186" s="42"/>
      <c r="DL1186" s="42"/>
      <c r="DM1186" s="42"/>
      <c r="DN1186" s="42"/>
      <c r="DO1186" s="42"/>
    </row>
    <row r="1187" spans="2:119" ht="15.4" x14ac:dyDescent="0.45">
      <c r="B1187" s="99"/>
      <c r="C1187" s="42"/>
      <c r="D1187" s="110"/>
      <c r="E1187" s="46" t="s">
        <v>4</v>
      </c>
      <c r="F1187" s="141">
        <v>10.939679934345508</v>
      </c>
      <c r="G1187" s="142"/>
      <c r="H1187" s="141">
        <v>89.060320065654494</v>
      </c>
      <c r="I1187" s="142"/>
      <c r="J1187" s="42"/>
      <c r="K1187" s="42"/>
      <c r="L1187" s="42"/>
      <c r="M1187" s="42"/>
      <c r="N1187" s="42"/>
      <c r="O1187" s="42"/>
      <c r="P1187" s="42"/>
      <c r="Q1187" s="110"/>
      <c r="R1187" s="46" t="s">
        <v>4</v>
      </c>
      <c r="S1187" s="141">
        <v>14.627185158758474</v>
      </c>
      <c r="T1187" s="142"/>
      <c r="U1187" s="141">
        <v>85.372814841241535</v>
      </c>
      <c r="V1187" s="142"/>
      <c r="W1187" s="42"/>
      <c r="X1187" s="42"/>
      <c r="Y1187" s="42"/>
      <c r="Z1187" s="42"/>
      <c r="AA1187" s="42"/>
      <c r="AB1187" s="42"/>
      <c r="AC1187" s="42"/>
      <c r="AD1187" s="110"/>
      <c r="AE1187" s="46" t="s">
        <v>4</v>
      </c>
      <c r="AF1187" s="141">
        <v>7.7975376196990425</v>
      </c>
      <c r="AG1187" s="142"/>
      <c r="AH1187" s="141">
        <v>92.202462380300958</v>
      </c>
      <c r="AI1187" s="142"/>
      <c r="AJ1187" s="42"/>
      <c r="AK1187" s="42"/>
      <c r="AL1187" s="42"/>
      <c r="AM1187" s="42"/>
      <c r="AN1187" s="42"/>
      <c r="AO1187" s="42"/>
      <c r="AQ1187" s="110"/>
      <c r="AR1187" s="46" t="s">
        <v>4</v>
      </c>
      <c r="AS1187" s="141">
        <v>9.3900053352303043</v>
      </c>
      <c r="AT1187" s="142"/>
      <c r="AU1187" s="141">
        <v>90.609994664769701</v>
      </c>
      <c r="AV1187" s="142"/>
      <c r="AW1187" s="42"/>
      <c r="AX1187" s="42"/>
      <c r="AY1187" s="42"/>
      <c r="AZ1187" s="42"/>
      <c r="BA1187" s="42"/>
      <c r="BB1187" s="42"/>
      <c r="BC1187" s="42"/>
      <c r="BD1187" s="110"/>
      <c r="BE1187" s="46" t="s">
        <v>4</v>
      </c>
      <c r="BF1187" s="141">
        <v>12.267601341054558</v>
      </c>
      <c r="BG1187" s="142"/>
      <c r="BH1187" s="141">
        <v>87.732398658945442</v>
      </c>
      <c r="BI1187" s="142"/>
      <c r="BJ1187" s="42"/>
      <c r="BK1187" s="42"/>
      <c r="BL1187" s="42"/>
      <c r="BM1187" s="42"/>
      <c r="BN1187" s="42"/>
      <c r="BO1187" s="42"/>
      <c r="BQ1187" s="110"/>
      <c r="BR1187" s="46" t="s">
        <v>4</v>
      </c>
      <c r="BS1187" s="141">
        <v>6.2522139567835628</v>
      </c>
      <c r="BT1187" s="142"/>
      <c r="BU1187" s="141">
        <v>93.747786043216436</v>
      </c>
      <c r="BV1187" s="142"/>
      <c r="BW1187" s="42"/>
      <c r="BX1187" s="42"/>
      <c r="BY1187" s="42"/>
      <c r="BZ1187" s="42"/>
      <c r="CA1187" s="42"/>
      <c r="CB1187" s="42"/>
      <c r="CC1187" s="42"/>
      <c r="CD1187" s="110"/>
      <c r="CE1187" s="46" t="s">
        <v>4</v>
      </c>
      <c r="CF1187" s="141">
        <v>14.987001070500078</v>
      </c>
      <c r="CG1187" s="142"/>
      <c r="CH1187" s="141">
        <v>85.012998929499929</v>
      </c>
      <c r="CI1187" s="142"/>
      <c r="CJ1187" s="42"/>
      <c r="CK1187" s="42"/>
      <c r="CL1187" s="42"/>
      <c r="CM1187" s="42"/>
      <c r="CN1187" s="42"/>
      <c r="CO1187" s="42"/>
      <c r="CQ1187" s="110"/>
      <c r="CR1187" s="46" t="s">
        <v>4</v>
      </c>
      <c r="CS1187" s="141">
        <v>28.842014636246233</v>
      </c>
      <c r="CT1187" s="142"/>
      <c r="CU1187" s="141">
        <v>71.157985363753767</v>
      </c>
      <c r="CV1187" s="142"/>
      <c r="CW1187" s="42"/>
      <c r="CX1187" s="42"/>
      <c r="CY1187" s="42"/>
      <c r="CZ1187" s="42"/>
      <c r="DA1187" s="42"/>
      <c r="DB1187" s="42"/>
      <c r="DC1187" s="42"/>
      <c r="DD1187" s="110"/>
      <c r="DE1187" s="46" t="s">
        <v>4</v>
      </c>
      <c r="DF1187" s="141">
        <v>6.7227742851348609</v>
      </c>
      <c r="DG1187" s="142"/>
      <c r="DH1187" s="141">
        <v>93.277225714865139</v>
      </c>
      <c r="DI1187" s="142"/>
      <c r="DJ1187" s="42"/>
      <c r="DK1187" s="42"/>
      <c r="DL1187" s="42"/>
      <c r="DM1187" s="42"/>
      <c r="DN1187" s="42"/>
      <c r="DO1187" s="42"/>
    </row>
    <row r="1188" spans="2:119" ht="15.4" x14ac:dyDescent="0.45">
      <c r="B1188" s="99"/>
      <c r="C1188" s="42"/>
      <c r="D1188" s="110"/>
      <c r="E1188" s="46" t="s">
        <v>5</v>
      </c>
      <c r="F1188" s="141">
        <v>13.500983422309638</v>
      </c>
      <c r="G1188" s="142"/>
      <c r="H1188" s="141">
        <v>86.499016577690355</v>
      </c>
      <c r="I1188" s="142"/>
      <c r="J1188" s="42"/>
      <c r="K1188" s="42"/>
      <c r="L1188" s="42"/>
      <c r="M1188" s="42"/>
      <c r="N1188" s="42"/>
      <c r="O1188" s="42"/>
      <c r="P1188" s="42"/>
      <c r="Q1188" s="110"/>
      <c r="R1188" s="46" t="s">
        <v>5</v>
      </c>
      <c r="S1188" s="141">
        <v>17.27628688759431</v>
      </c>
      <c r="T1188" s="142"/>
      <c r="U1188" s="141">
        <v>82.72371311240569</v>
      </c>
      <c r="V1188" s="142"/>
      <c r="W1188" s="42"/>
      <c r="X1188" s="42"/>
      <c r="Y1188" s="42"/>
      <c r="Z1188" s="42"/>
      <c r="AA1188" s="42"/>
      <c r="AB1188" s="42"/>
      <c r="AC1188" s="42"/>
      <c r="AD1188" s="110"/>
      <c r="AE1188" s="46" t="s">
        <v>5</v>
      </c>
      <c r="AF1188" s="141">
        <v>9.8686024074244241</v>
      </c>
      <c r="AG1188" s="142"/>
      <c r="AH1188" s="141">
        <v>90.131397592575581</v>
      </c>
      <c r="AI1188" s="142"/>
      <c r="AJ1188" s="42"/>
      <c r="AK1188" s="42"/>
      <c r="AL1188" s="42"/>
      <c r="AM1188" s="42"/>
      <c r="AN1188" s="42"/>
      <c r="AO1188" s="42"/>
      <c r="AQ1188" s="110"/>
      <c r="AR1188" s="46" t="s">
        <v>5</v>
      </c>
      <c r="AS1188" s="141">
        <v>11.107309841487057</v>
      </c>
      <c r="AT1188" s="142"/>
      <c r="AU1188" s="141">
        <v>88.892690158512949</v>
      </c>
      <c r="AV1188" s="142"/>
      <c r="AW1188" s="42"/>
      <c r="AX1188" s="42"/>
      <c r="AY1188" s="42"/>
      <c r="AZ1188" s="42"/>
      <c r="BA1188" s="42"/>
      <c r="BB1188" s="42"/>
      <c r="BC1188" s="42"/>
      <c r="BD1188" s="110"/>
      <c r="BE1188" s="46" t="s">
        <v>5</v>
      </c>
      <c r="BF1188" s="141">
        <v>15.16885180770759</v>
      </c>
      <c r="BG1188" s="142"/>
      <c r="BH1188" s="141">
        <v>84.831148192292417</v>
      </c>
      <c r="BI1188" s="142"/>
      <c r="BJ1188" s="42"/>
      <c r="BK1188" s="42"/>
      <c r="BL1188" s="42"/>
      <c r="BM1188" s="42"/>
      <c r="BN1188" s="42"/>
      <c r="BO1188" s="42"/>
      <c r="BQ1188" s="110"/>
      <c r="BR1188" s="46" t="s">
        <v>5</v>
      </c>
      <c r="BS1188" s="141">
        <v>7.6062322946175636</v>
      </c>
      <c r="BT1188" s="142"/>
      <c r="BU1188" s="141">
        <v>92.39376770538243</v>
      </c>
      <c r="BV1188" s="142"/>
      <c r="BW1188" s="42"/>
      <c r="BX1188" s="42"/>
      <c r="BY1188" s="42"/>
      <c r="BZ1188" s="42"/>
      <c r="CA1188" s="42"/>
      <c r="CB1188" s="42"/>
      <c r="CC1188" s="42"/>
      <c r="CD1188" s="110"/>
      <c r="CE1188" s="46" t="s">
        <v>5</v>
      </c>
      <c r="CF1188" s="141">
        <v>16.41248076115853</v>
      </c>
      <c r="CG1188" s="142"/>
      <c r="CH1188" s="141">
        <v>83.587519238841466</v>
      </c>
      <c r="CI1188" s="142"/>
      <c r="CJ1188" s="42"/>
      <c r="CK1188" s="42"/>
      <c r="CL1188" s="42"/>
      <c r="CM1188" s="42"/>
      <c r="CN1188" s="42"/>
      <c r="CO1188" s="42"/>
      <c r="CQ1188" s="110"/>
      <c r="CR1188" s="46" t="s">
        <v>5</v>
      </c>
      <c r="CS1188" s="141">
        <v>29.335585585585584</v>
      </c>
      <c r="CT1188" s="142"/>
      <c r="CU1188" s="141">
        <v>70.664414414414409</v>
      </c>
      <c r="CV1188" s="142"/>
      <c r="CW1188" s="42"/>
      <c r="CX1188" s="42"/>
      <c r="CY1188" s="42"/>
      <c r="CZ1188" s="42"/>
      <c r="DA1188" s="42"/>
      <c r="DB1188" s="42"/>
      <c r="DC1188" s="42"/>
      <c r="DD1188" s="110"/>
      <c r="DE1188" s="46" t="s">
        <v>5</v>
      </c>
      <c r="DF1188" s="141">
        <v>10.341534659027076</v>
      </c>
      <c r="DG1188" s="142"/>
      <c r="DH1188" s="141">
        <v>89.658465340972924</v>
      </c>
      <c r="DI1188" s="142"/>
      <c r="DJ1188" s="42"/>
      <c r="DK1188" s="42"/>
      <c r="DL1188" s="42"/>
      <c r="DM1188" s="42"/>
      <c r="DN1188" s="42"/>
      <c r="DO1188" s="42"/>
    </row>
    <row r="1189" spans="2:119" ht="15.4" x14ac:dyDescent="0.45">
      <c r="B1189" s="99"/>
      <c r="C1189" s="42"/>
      <c r="D1189" s="110"/>
      <c r="E1189" s="46" t="s">
        <v>6</v>
      </c>
      <c r="F1189" s="141">
        <v>19.078247084135434</v>
      </c>
      <c r="G1189" s="142"/>
      <c r="H1189" s="141">
        <v>80.921752915864559</v>
      </c>
      <c r="I1189" s="142"/>
      <c r="J1189" s="42"/>
      <c r="K1189" s="42"/>
      <c r="L1189" s="42"/>
      <c r="M1189" s="42"/>
      <c r="N1189" s="42"/>
      <c r="O1189" s="42"/>
      <c r="P1189" s="42"/>
      <c r="Q1189" s="110"/>
      <c r="R1189" s="46" t="s">
        <v>6</v>
      </c>
      <c r="S1189" s="141">
        <v>24.215820759030635</v>
      </c>
      <c r="T1189" s="142"/>
      <c r="U1189" s="141">
        <v>75.784179240969365</v>
      </c>
      <c r="V1189" s="142"/>
      <c r="W1189" s="42"/>
      <c r="X1189" s="42"/>
      <c r="Y1189" s="42"/>
      <c r="Z1189" s="42"/>
      <c r="AA1189" s="42"/>
      <c r="AB1189" s="42"/>
      <c r="AC1189" s="42"/>
      <c r="AD1189" s="110"/>
      <c r="AE1189" s="46" t="s">
        <v>6</v>
      </c>
      <c r="AF1189" s="141">
        <v>14.036347318824321</v>
      </c>
      <c r="AG1189" s="142"/>
      <c r="AH1189" s="141">
        <v>85.963652681175688</v>
      </c>
      <c r="AI1189" s="142"/>
      <c r="AJ1189" s="42"/>
      <c r="AK1189" s="42"/>
      <c r="AL1189" s="42"/>
      <c r="AM1189" s="42"/>
      <c r="AN1189" s="42"/>
      <c r="AO1189" s="42"/>
      <c r="AQ1189" s="110"/>
      <c r="AR1189" s="46" t="s">
        <v>6</v>
      </c>
      <c r="AS1189" s="141">
        <v>16.324801839414292</v>
      </c>
      <c r="AT1189" s="142"/>
      <c r="AU1189" s="141">
        <v>83.675198160585708</v>
      </c>
      <c r="AV1189" s="142"/>
      <c r="AW1189" s="42"/>
      <c r="AX1189" s="42"/>
      <c r="AY1189" s="42"/>
      <c r="AZ1189" s="42"/>
      <c r="BA1189" s="42"/>
      <c r="BB1189" s="42"/>
      <c r="BC1189" s="42"/>
      <c r="BD1189" s="110"/>
      <c r="BE1189" s="46" t="s">
        <v>6</v>
      </c>
      <c r="BF1189" s="141">
        <v>20.725351093093963</v>
      </c>
      <c r="BG1189" s="142"/>
      <c r="BH1189" s="141">
        <v>79.274648906906037</v>
      </c>
      <c r="BI1189" s="142"/>
      <c r="BJ1189" s="42"/>
      <c r="BK1189" s="42"/>
      <c r="BL1189" s="42"/>
      <c r="BM1189" s="42"/>
      <c r="BN1189" s="42"/>
      <c r="BO1189" s="42"/>
      <c r="BQ1189" s="110"/>
      <c r="BR1189" s="46" t="s">
        <v>6</v>
      </c>
      <c r="BS1189" s="141">
        <v>9.7509497678345305</v>
      </c>
      <c r="BT1189" s="142"/>
      <c r="BU1189" s="141">
        <v>90.249050232165473</v>
      </c>
      <c r="BV1189" s="142"/>
      <c r="BW1189" s="42"/>
      <c r="BX1189" s="42"/>
      <c r="BY1189" s="42"/>
      <c r="BZ1189" s="42"/>
      <c r="CA1189" s="42"/>
      <c r="CB1189" s="42"/>
      <c r="CC1189" s="42"/>
      <c r="CD1189" s="110"/>
      <c r="CE1189" s="46" t="s">
        <v>6</v>
      </c>
      <c r="CF1189" s="141">
        <v>21.626921191499179</v>
      </c>
      <c r="CG1189" s="142"/>
      <c r="CH1189" s="141">
        <v>78.373078808500821</v>
      </c>
      <c r="CI1189" s="142"/>
      <c r="CJ1189" s="42"/>
      <c r="CK1189" s="42"/>
      <c r="CL1189" s="42"/>
      <c r="CM1189" s="42"/>
      <c r="CN1189" s="42"/>
      <c r="CO1189" s="42"/>
      <c r="CQ1189" s="110"/>
      <c r="CR1189" s="46" t="s">
        <v>6</v>
      </c>
      <c r="CS1189" s="141">
        <v>37.582354626181605</v>
      </c>
      <c r="CT1189" s="142"/>
      <c r="CU1189" s="141">
        <v>62.417645373818388</v>
      </c>
      <c r="CV1189" s="142"/>
      <c r="CW1189" s="42"/>
      <c r="CX1189" s="42"/>
      <c r="CY1189" s="42"/>
      <c r="CZ1189" s="42"/>
      <c r="DA1189" s="42"/>
      <c r="DB1189" s="42"/>
      <c r="DC1189" s="42"/>
      <c r="DD1189" s="110"/>
      <c r="DE1189" s="46" t="s">
        <v>6</v>
      </c>
      <c r="DF1189" s="141">
        <v>15.6027224060474</v>
      </c>
      <c r="DG1189" s="142"/>
      <c r="DH1189" s="141">
        <v>84.397277593952609</v>
      </c>
      <c r="DI1189" s="142"/>
      <c r="DJ1189" s="42"/>
      <c r="DK1189" s="42"/>
      <c r="DL1189" s="42"/>
      <c r="DM1189" s="42"/>
      <c r="DN1189" s="42"/>
      <c r="DO1189" s="42"/>
    </row>
    <row r="1190" spans="2:119" ht="15.4" x14ac:dyDescent="0.45">
      <c r="B1190" s="99"/>
      <c r="C1190" s="42"/>
      <c r="D1190" s="110"/>
      <c r="E1190" s="46" t="s">
        <v>7</v>
      </c>
      <c r="F1190" s="141">
        <v>26.879800187324381</v>
      </c>
      <c r="G1190" s="142"/>
      <c r="H1190" s="141">
        <v>73.120199812675608</v>
      </c>
      <c r="I1190" s="142"/>
      <c r="J1190" s="42"/>
      <c r="K1190" s="42"/>
      <c r="L1190" s="42"/>
      <c r="M1190" s="42"/>
      <c r="N1190" s="42"/>
      <c r="O1190" s="42"/>
      <c r="P1190" s="42"/>
      <c r="Q1190" s="110"/>
      <c r="R1190" s="46" t="s">
        <v>7</v>
      </c>
      <c r="S1190" s="141">
        <v>32.918836751476491</v>
      </c>
      <c r="T1190" s="142"/>
      <c r="U1190" s="141">
        <v>67.081163248523509</v>
      </c>
      <c r="V1190" s="142"/>
      <c r="W1190" s="42"/>
      <c r="X1190" s="42"/>
      <c r="Y1190" s="42"/>
      <c r="Z1190" s="42"/>
      <c r="AA1190" s="42"/>
      <c r="AB1190" s="42"/>
      <c r="AC1190" s="42"/>
      <c r="AD1190" s="110"/>
      <c r="AE1190" s="46" t="s">
        <v>7</v>
      </c>
      <c r="AF1190" s="141">
        <v>20.813097681870527</v>
      </c>
      <c r="AG1190" s="142"/>
      <c r="AH1190" s="141">
        <v>79.186902318129469</v>
      </c>
      <c r="AI1190" s="142"/>
      <c r="AJ1190" s="42"/>
      <c r="AK1190" s="42"/>
      <c r="AL1190" s="42"/>
      <c r="AM1190" s="42"/>
      <c r="AN1190" s="42"/>
      <c r="AO1190" s="42"/>
      <c r="AQ1190" s="110"/>
      <c r="AR1190" s="46" t="s">
        <v>7</v>
      </c>
      <c r="AS1190" s="141">
        <v>22.478157267672756</v>
      </c>
      <c r="AT1190" s="142"/>
      <c r="AU1190" s="141">
        <v>77.521842732327244</v>
      </c>
      <c r="AV1190" s="142"/>
      <c r="AW1190" s="42"/>
      <c r="AX1190" s="42"/>
      <c r="AY1190" s="42"/>
      <c r="AZ1190" s="42"/>
      <c r="BA1190" s="42"/>
      <c r="BB1190" s="42"/>
      <c r="BC1190" s="42"/>
      <c r="BD1190" s="110"/>
      <c r="BE1190" s="46" t="s">
        <v>7</v>
      </c>
      <c r="BF1190" s="141">
        <v>29.049518979789696</v>
      </c>
      <c r="BG1190" s="142"/>
      <c r="BH1190" s="141">
        <v>70.950481020210304</v>
      </c>
      <c r="BI1190" s="142"/>
      <c r="BJ1190" s="42"/>
      <c r="BK1190" s="42"/>
      <c r="BL1190" s="42"/>
      <c r="BM1190" s="42"/>
      <c r="BN1190" s="42"/>
      <c r="BO1190" s="42"/>
      <c r="BQ1190" s="110"/>
      <c r="BR1190" s="46" t="s">
        <v>7</v>
      </c>
      <c r="BS1190" s="141">
        <v>13.562091503267974</v>
      </c>
      <c r="BT1190" s="142"/>
      <c r="BU1190" s="141">
        <v>86.437908496732035</v>
      </c>
      <c r="BV1190" s="142"/>
      <c r="BW1190" s="42"/>
      <c r="BX1190" s="42"/>
      <c r="BY1190" s="42"/>
      <c r="BZ1190" s="42"/>
      <c r="CA1190" s="42"/>
      <c r="CB1190" s="42"/>
      <c r="CC1190" s="42"/>
      <c r="CD1190" s="110"/>
      <c r="CE1190" s="46" t="s">
        <v>7</v>
      </c>
      <c r="CF1190" s="141">
        <v>29.004184827466368</v>
      </c>
      <c r="CG1190" s="142"/>
      <c r="CH1190" s="141">
        <v>70.995815172533625</v>
      </c>
      <c r="CI1190" s="142"/>
      <c r="CJ1190" s="42"/>
      <c r="CK1190" s="42"/>
      <c r="CL1190" s="42"/>
      <c r="CM1190" s="42"/>
      <c r="CN1190" s="42"/>
      <c r="CO1190" s="42"/>
      <c r="CQ1190" s="110"/>
      <c r="CR1190" s="46" t="s">
        <v>7</v>
      </c>
      <c r="CS1190" s="141">
        <v>46.475239284228046</v>
      </c>
      <c r="CT1190" s="142"/>
      <c r="CU1190" s="141">
        <v>53.524760715771947</v>
      </c>
      <c r="CV1190" s="142"/>
      <c r="CW1190" s="42"/>
      <c r="CX1190" s="42"/>
      <c r="CY1190" s="42"/>
      <c r="CZ1190" s="42"/>
      <c r="DA1190" s="42"/>
      <c r="DB1190" s="42"/>
      <c r="DC1190" s="42"/>
      <c r="DD1190" s="110"/>
      <c r="DE1190" s="46" t="s">
        <v>7</v>
      </c>
      <c r="DF1190" s="141">
        <v>23.420511313546871</v>
      </c>
      <c r="DG1190" s="142"/>
      <c r="DH1190" s="141">
        <v>76.579488686453132</v>
      </c>
      <c r="DI1190" s="142"/>
      <c r="DJ1190" s="42"/>
      <c r="DK1190" s="42"/>
      <c r="DL1190" s="42"/>
      <c r="DM1190" s="42"/>
      <c r="DN1190" s="42"/>
      <c r="DO1190" s="42"/>
    </row>
    <row r="1191" spans="2:119" ht="15.4" x14ac:dyDescent="0.45">
      <c r="B1191" s="99"/>
      <c r="C1191" s="42"/>
      <c r="D1191" s="110"/>
      <c r="E1191" s="46" t="s">
        <v>8</v>
      </c>
      <c r="F1191" s="141">
        <v>37.273208527840609</v>
      </c>
      <c r="G1191" s="142"/>
      <c r="H1191" s="141">
        <v>62.726791472159391</v>
      </c>
      <c r="I1191" s="142"/>
      <c r="J1191" s="42"/>
      <c r="K1191" s="42"/>
      <c r="L1191" s="42"/>
      <c r="M1191" s="42"/>
      <c r="N1191" s="42"/>
      <c r="O1191" s="42"/>
      <c r="P1191" s="42"/>
      <c r="Q1191" s="110"/>
      <c r="R1191" s="46" t="s">
        <v>8</v>
      </c>
      <c r="S1191" s="141">
        <v>43.983206308981224</v>
      </c>
      <c r="T1191" s="142"/>
      <c r="U1191" s="141">
        <v>56.016793691018783</v>
      </c>
      <c r="V1191" s="142"/>
      <c r="W1191" s="42"/>
      <c r="X1191" s="42"/>
      <c r="Y1191" s="42"/>
      <c r="Z1191" s="42"/>
      <c r="AA1191" s="42"/>
      <c r="AB1191" s="42"/>
      <c r="AC1191" s="42"/>
      <c r="AD1191" s="110"/>
      <c r="AE1191" s="46" t="s">
        <v>8</v>
      </c>
      <c r="AF1191" s="141">
        <v>30.31871104316124</v>
      </c>
      <c r="AG1191" s="142"/>
      <c r="AH1191" s="141">
        <v>69.681288956838756</v>
      </c>
      <c r="AI1191" s="142"/>
      <c r="AJ1191" s="42"/>
      <c r="AK1191" s="42"/>
      <c r="AL1191" s="42"/>
      <c r="AM1191" s="42"/>
      <c r="AN1191" s="42"/>
      <c r="AO1191" s="42"/>
      <c r="AQ1191" s="110"/>
      <c r="AR1191" s="46" t="s">
        <v>8</v>
      </c>
      <c r="AS1191" s="141">
        <v>31.082510578279265</v>
      </c>
      <c r="AT1191" s="142"/>
      <c r="AU1191" s="141">
        <v>68.917489421720731</v>
      </c>
      <c r="AV1191" s="142"/>
      <c r="AW1191" s="42"/>
      <c r="AX1191" s="42"/>
      <c r="AY1191" s="42"/>
      <c r="AZ1191" s="42"/>
      <c r="BA1191" s="42"/>
      <c r="BB1191" s="42"/>
      <c r="BC1191" s="42"/>
      <c r="BD1191" s="110"/>
      <c r="BE1191" s="46" t="s">
        <v>8</v>
      </c>
      <c r="BF1191" s="141">
        <v>39.597537565367048</v>
      </c>
      <c r="BG1191" s="142"/>
      <c r="BH1191" s="141">
        <v>60.402462434632952</v>
      </c>
      <c r="BI1191" s="142"/>
      <c r="BJ1191" s="42"/>
      <c r="BK1191" s="42"/>
      <c r="BL1191" s="42"/>
      <c r="BM1191" s="42"/>
      <c r="BN1191" s="42"/>
      <c r="BO1191" s="42"/>
      <c r="BQ1191" s="110"/>
      <c r="BR1191" s="46" t="s">
        <v>8</v>
      </c>
      <c r="BS1191" s="141">
        <v>20.30593558116988</v>
      </c>
      <c r="BT1191" s="142"/>
      <c r="BU1191" s="141">
        <v>79.694064418830123</v>
      </c>
      <c r="BV1191" s="142"/>
      <c r="BW1191" s="42"/>
      <c r="BX1191" s="42"/>
      <c r="BY1191" s="42"/>
      <c r="BZ1191" s="42"/>
      <c r="CA1191" s="42"/>
      <c r="CB1191" s="42"/>
      <c r="CC1191" s="42"/>
      <c r="CD1191" s="110"/>
      <c r="CE1191" s="46" t="s">
        <v>8</v>
      </c>
      <c r="CF1191" s="141">
        <v>38.93797826914134</v>
      </c>
      <c r="CG1191" s="142"/>
      <c r="CH1191" s="141">
        <v>61.06202173085866</v>
      </c>
      <c r="CI1191" s="142"/>
      <c r="CJ1191" s="42"/>
      <c r="CK1191" s="42"/>
      <c r="CL1191" s="42"/>
      <c r="CM1191" s="42"/>
      <c r="CN1191" s="42"/>
      <c r="CO1191" s="42"/>
      <c r="CQ1191" s="110"/>
      <c r="CR1191" s="46" t="s">
        <v>8</v>
      </c>
      <c r="CS1191" s="141">
        <v>55.260361317747076</v>
      </c>
      <c r="CT1191" s="142"/>
      <c r="CU1191" s="141">
        <v>44.739638682252924</v>
      </c>
      <c r="CV1191" s="142"/>
      <c r="CW1191" s="42"/>
      <c r="CX1191" s="42"/>
      <c r="CY1191" s="42"/>
      <c r="CZ1191" s="42"/>
      <c r="DA1191" s="42"/>
      <c r="DB1191" s="42"/>
      <c r="DC1191" s="42"/>
      <c r="DD1191" s="110"/>
      <c r="DE1191" s="46" t="s">
        <v>8</v>
      </c>
      <c r="DF1191" s="141">
        <v>34.445310759634665</v>
      </c>
      <c r="DG1191" s="142"/>
      <c r="DH1191" s="141">
        <v>65.554689240365335</v>
      </c>
      <c r="DI1191" s="142"/>
      <c r="DJ1191" s="42"/>
      <c r="DK1191" s="42"/>
      <c r="DL1191" s="42"/>
      <c r="DM1191" s="42"/>
      <c r="DN1191" s="42"/>
      <c r="DO1191" s="42"/>
    </row>
    <row r="1192" spans="2:119" ht="15.4" x14ac:dyDescent="0.45">
      <c r="B1192" s="99"/>
      <c r="C1192" s="42"/>
      <c r="D1192" s="110"/>
      <c r="E1192" s="46" t="s">
        <v>9</v>
      </c>
      <c r="F1192" s="141">
        <v>50.376840112123858</v>
      </c>
      <c r="G1192" s="142"/>
      <c r="H1192" s="141">
        <v>49.623159887876142</v>
      </c>
      <c r="I1192" s="142"/>
      <c r="J1192" s="42"/>
      <c r="K1192" s="42"/>
      <c r="L1192" s="42"/>
      <c r="M1192" s="42"/>
      <c r="N1192" s="42"/>
      <c r="O1192" s="42"/>
      <c r="P1192" s="42"/>
      <c r="Q1192" s="110"/>
      <c r="R1192" s="46" t="s">
        <v>9</v>
      </c>
      <c r="S1192" s="141">
        <v>57.098150252407656</v>
      </c>
      <c r="T1192" s="142"/>
      <c r="U1192" s="141">
        <v>42.901849747592344</v>
      </c>
      <c r="V1192" s="142"/>
      <c r="W1192" s="42"/>
      <c r="X1192" s="42"/>
      <c r="Y1192" s="42"/>
      <c r="Z1192" s="42"/>
      <c r="AA1192" s="42"/>
      <c r="AB1192" s="42"/>
      <c r="AC1192" s="42"/>
      <c r="AD1192" s="110"/>
      <c r="AE1192" s="46" t="s">
        <v>9</v>
      </c>
      <c r="AF1192" s="141">
        <v>43.701785218758673</v>
      </c>
      <c r="AG1192" s="142"/>
      <c r="AH1192" s="141">
        <v>56.298214781241327</v>
      </c>
      <c r="AI1192" s="142"/>
      <c r="AJ1192" s="42"/>
      <c r="AK1192" s="42"/>
      <c r="AL1192" s="42"/>
      <c r="AM1192" s="42"/>
      <c r="AN1192" s="42"/>
      <c r="AO1192" s="42"/>
      <c r="AQ1192" s="110"/>
      <c r="AR1192" s="46" t="s">
        <v>9</v>
      </c>
      <c r="AS1192" s="141">
        <v>42.755763212412397</v>
      </c>
      <c r="AT1192" s="142"/>
      <c r="AU1192" s="141">
        <v>57.24423678758761</v>
      </c>
      <c r="AV1192" s="142"/>
      <c r="AW1192" s="42"/>
      <c r="AX1192" s="42"/>
      <c r="AY1192" s="42"/>
      <c r="AZ1192" s="42"/>
      <c r="BA1192" s="42"/>
      <c r="BB1192" s="42"/>
      <c r="BC1192" s="42"/>
      <c r="BD1192" s="110"/>
      <c r="BE1192" s="46" t="s">
        <v>9</v>
      </c>
      <c r="BF1192" s="141">
        <v>52.409730632208905</v>
      </c>
      <c r="BG1192" s="142"/>
      <c r="BH1192" s="141">
        <v>47.590269367791088</v>
      </c>
      <c r="BI1192" s="142"/>
      <c r="BJ1192" s="42"/>
      <c r="BK1192" s="42"/>
      <c r="BL1192" s="42"/>
      <c r="BM1192" s="42"/>
      <c r="BN1192" s="42"/>
      <c r="BO1192" s="42"/>
      <c r="BQ1192" s="110"/>
      <c r="BR1192" s="46" t="s">
        <v>9</v>
      </c>
      <c r="BS1192" s="141">
        <v>29.815895823978444</v>
      </c>
      <c r="BT1192" s="142"/>
      <c r="BU1192" s="141">
        <v>70.184104176021549</v>
      </c>
      <c r="BV1192" s="142"/>
      <c r="BW1192" s="42"/>
      <c r="BX1192" s="42"/>
      <c r="BY1192" s="42"/>
      <c r="BZ1192" s="42"/>
      <c r="CA1192" s="42"/>
      <c r="CB1192" s="42"/>
      <c r="CC1192" s="42"/>
      <c r="CD1192" s="110"/>
      <c r="CE1192" s="46" t="s">
        <v>9</v>
      </c>
      <c r="CF1192" s="141">
        <v>51.736148906062915</v>
      </c>
      <c r="CG1192" s="142"/>
      <c r="CH1192" s="141">
        <v>48.263851093937085</v>
      </c>
      <c r="CI1192" s="142"/>
      <c r="CJ1192" s="42"/>
      <c r="CK1192" s="42"/>
      <c r="CL1192" s="42"/>
      <c r="CM1192" s="42"/>
      <c r="CN1192" s="42"/>
      <c r="CO1192" s="42"/>
      <c r="CQ1192" s="110"/>
      <c r="CR1192" s="46" t="s">
        <v>9</v>
      </c>
      <c r="CS1192" s="141">
        <v>65.164326152488783</v>
      </c>
      <c r="CT1192" s="142"/>
      <c r="CU1192" s="141">
        <v>34.83567384751121</v>
      </c>
      <c r="CV1192" s="142"/>
      <c r="CW1192" s="42"/>
      <c r="CX1192" s="42"/>
      <c r="CY1192" s="42"/>
      <c r="CZ1192" s="42"/>
      <c r="DA1192" s="42"/>
      <c r="DB1192" s="42"/>
      <c r="DC1192" s="42"/>
      <c r="DD1192" s="110"/>
      <c r="DE1192" s="46" t="s">
        <v>9</v>
      </c>
      <c r="DF1192" s="141">
        <v>48.240330582024072</v>
      </c>
      <c r="DG1192" s="142"/>
      <c r="DH1192" s="141">
        <v>51.759669417975928</v>
      </c>
      <c r="DI1192" s="142"/>
      <c r="DJ1192" s="42"/>
      <c r="DK1192" s="42"/>
      <c r="DL1192" s="42"/>
      <c r="DM1192" s="42"/>
      <c r="DN1192" s="42"/>
      <c r="DO1192" s="42"/>
    </row>
    <row r="1193" spans="2:119" ht="15.4" x14ac:dyDescent="0.45">
      <c r="B1193" s="99"/>
      <c r="C1193" s="42"/>
      <c r="D1193" s="110"/>
      <c r="E1193" s="46" t="s">
        <v>10</v>
      </c>
      <c r="F1193" s="141">
        <v>63.562196745244535</v>
      </c>
      <c r="G1193" s="142"/>
      <c r="H1193" s="141">
        <v>36.437803254755465</v>
      </c>
      <c r="I1193" s="142"/>
      <c r="J1193" s="42"/>
      <c r="K1193" s="42"/>
      <c r="L1193" s="42"/>
      <c r="M1193" s="42"/>
      <c r="N1193" s="42"/>
      <c r="O1193" s="42"/>
      <c r="P1193" s="42"/>
      <c r="Q1193" s="110"/>
      <c r="R1193" s="46" t="s">
        <v>10</v>
      </c>
      <c r="S1193" s="141">
        <v>69.063590018781866</v>
      </c>
      <c r="T1193" s="142"/>
      <c r="U1193" s="141">
        <v>30.936409981218137</v>
      </c>
      <c r="V1193" s="142"/>
      <c r="W1193" s="42"/>
      <c r="X1193" s="42"/>
      <c r="Y1193" s="42"/>
      <c r="Z1193" s="42"/>
      <c r="AA1193" s="42"/>
      <c r="AB1193" s="42"/>
      <c r="AC1193" s="42"/>
      <c r="AD1193" s="110"/>
      <c r="AE1193" s="46" t="s">
        <v>10</v>
      </c>
      <c r="AF1193" s="141">
        <v>58.481995374958707</v>
      </c>
      <c r="AG1193" s="142"/>
      <c r="AH1193" s="141">
        <v>41.518004625041293</v>
      </c>
      <c r="AI1193" s="142"/>
      <c r="AJ1193" s="42"/>
      <c r="AK1193" s="42"/>
      <c r="AL1193" s="42"/>
      <c r="AM1193" s="42"/>
      <c r="AN1193" s="42"/>
      <c r="AO1193" s="42"/>
      <c r="AQ1193" s="110"/>
      <c r="AR1193" s="46" t="s">
        <v>10</v>
      </c>
      <c r="AS1193" s="141">
        <v>53.644805147327631</v>
      </c>
      <c r="AT1193" s="142"/>
      <c r="AU1193" s="141">
        <v>46.355194852672369</v>
      </c>
      <c r="AV1193" s="142"/>
      <c r="AW1193" s="42"/>
      <c r="AX1193" s="42"/>
      <c r="AY1193" s="42"/>
      <c r="AZ1193" s="42"/>
      <c r="BA1193" s="42"/>
      <c r="BB1193" s="42"/>
      <c r="BC1193" s="42"/>
      <c r="BD1193" s="110"/>
      <c r="BE1193" s="46" t="s">
        <v>10</v>
      </c>
      <c r="BF1193" s="141">
        <v>65.268813145610793</v>
      </c>
      <c r="BG1193" s="142"/>
      <c r="BH1193" s="141">
        <v>34.731186854389215</v>
      </c>
      <c r="BI1193" s="142"/>
      <c r="BJ1193" s="42"/>
      <c r="BK1193" s="42"/>
      <c r="BL1193" s="42"/>
      <c r="BM1193" s="42"/>
      <c r="BN1193" s="42"/>
      <c r="BO1193" s="42"/>
      <c r="BQ1193" s="110"/>
      <c r="BR1193" s="46" t="s">
        <v>10</v>
      </c>
      <c r="BS1193" s="141">
        <v>45.116162877841617</v>
      </c>
      <c r="BT1193" s="142"/>
      <c r="BU1193" s="141">
        <v>54.883837122158383</v>
      </c>
      <c r="BV1193" s="142"/>
      <c r="BW1193" s="42"/>
      <c r="BX1193" s="42"/>
      <c r="BY1193" s="42"/>
      <c r="BZ1193" s="42"/>
      <c r="CA1193" s="42"/>
      <c r="CB1193" s="42"/>
      <c r="CC1193" s="42"/>
      <c r="CD1193" s="110"/>
      <c r="CE1193" s="46" t="s">
        <v>10</v>
      </c>
      <c r="CF1193" s="141">
        <v>64.390429935055465</v>
      </c>
      <c r="CG1193" s="142"/>
      <c r="CH1193" s="141">
        <v>35.609570064944535</v>
      </c>
      <c r="CI1193" s="142"/>
      <c r="CJ1193" s="42"/>
      <c r="CK1193" s="42"/>
      <c r="CL1193" s="42"/>
      <c r="CM1193" s="42"/>
      <c r="CN1193" s="42"/>
      <c r="CO1193" s="42"/>
      <c r="CQ1193" s="110"/>
      <c r="CR1193" s="46" t="s">
        <v>10</v>
      </c>
      <c r="CS1193" s="141">
        <v>73.48176383955645</v>
      </c>
      <c r="CT1193" s="142"/>
      <c r="CU1193" s="141">
        <v>26.518236160443561</v>
      </c>
      <c r="CV1193" s="142"/>
      <c r="CW1193" s="42"/>
      <c r="CX1193" s="42"/>
      <c r="CY1193" s="42"/>
      <c r="CZ1193" s="42"/>
      <c r="DA1193" s="42"/>
      <c r="DB1193" s="42"/>
      <c r="DC1193" s="42"/>
      <c r="DD1193" s="110"/>
      <c r="DE1193" s="46" t="s">
        <v>10</v>
      </c>
      <c r="DF1193" s="141">
        <v>62.159214830970555</v>
      </c>
      <c r="DG1193" s="142"/>
      <c r="DH1193" s="141">
        <v>37.840785169029445</v>
      </c>
      <c r="DI1193" s="142"/>
      <c r="DJ1193" s="42"/>
      <c r="DK1193" s="42"/>
      <c r="DL1193" s="42"/>
      <c r="DM1193" s="42"/>
      <c r="DN1193" s="42"/>
      <c r="DO1193" s="42"/>
    </row>
    <row r="1194" spans="2:119" ht="15.4" x14ac:dyDescent="0.45">
      <c r="B1194" s="99"/>
      <c r="C1194" s="42"/>
      <c r="D1194" s="111"/>
      <c r="E1194" s="46" t="s">
        <v>11</v>
      </c>
      <c r="F1194" s="141">
        <v>75.631553333628275</v>
      </c>
      <c r="G1194" s="142"/>
      <c r="H1194" s="141">
        <v>24.368446666371721</v>
      </c>
      <c r="I1194" s="142"/>
      <c r="J1194" s="42"/>
      <c r="K1194" s="42"/>
      <c r="L1194" s="42"/>
      <c r="M1194" s="42"/>
      <c r="N1194" s="42"/>
      <c r="O1194" s="42"/>
      <c r="P1194" s="42"/>
      <c r="Q1194" s="111"/>
      <c r="R1194" s="46" t="s">
        <v>11</v>
      </c>
      <c r="S1194" s="141">
        <v>79.103541012998662</v>
      </c>
      <c r="T1194" s="142"/>
      <c r="U1194" s="141">
        <v>20.896458987001346</v>
      </c>
      <c r="V1194" s="142"/>
      <c r="W1194" s="42"/>
      <c r="X1194" s="42"/>
      <c r="Y1194" s="42"/>
      <c r="Z1194" s="42"/>
      <c r="AA1194" s="42"/>
      <c r="AB1194" s="42"/>
      <c r="AC1194" s="42"/>
      <c r="AD1194" s="111"/>
      <c r="AE1194" s="46" t="s">
        <v>11</v>
      </c>
      <c r="AF1194" s="141">
        <v>72.24842767295597</v>
      </c>
      <c r="AG1194" s="142"/>
      <c r="AH1194" s="141">
        <v>27.751572327044027</v>
      </c>
      <c r="AI1194" s="142"/>
      <c r="AJ1194" s="42"/>
      <c r="AK1194" s="42"/>
      <c r="AL1194" s="42"/>
      <c r="AM1194" s="42"/>
      <c r="AN1194" s="42"/>
      <c r="AO1194" s="42"/>
      <c r="AQ1194" s="111"/>
      <c r="AR1194" s="46" t="s">
        <v>11</v>
      </c>
      <c r="AS1194" s="141">
        <v>64.113110539845763</v>
      </c>
      <c r="AT1194" s="142"/>
      <c r="AU1194" s="141">
        <v>35.886889460154244</v>
      </c>
      <c r="AV1194" s="142"/>
      <c r="AW1194" s="42"/>
      <c r="AX1194" s="42"/>
      <c r="AY1194" s="42"/>
      <c r="AZ1194" s="42"/>
      <c r="BA1194" s="42"/>
      <c r="BB1194" s="42"/>
      <c r="BC1194" s="42"/>
      <c r="BD1194" s="111"/>
      <c r="BE1194" s="46" t="s">
        <v>11</v>
      </c>
      <c r="BF1194" s="141">
        <v>76.716042211249885</v>
      </c>
      <c r="BG1194" s="142"/>
      <c r="BH1194" s="141">
        <v>23.283957788750122</v>
      </c>
      <c r="BI1194" s="142"/>
      <c r="BJ1194" s="42"/>
      <c r="BK1194" s="42"/>
      <c r="BL1194" s="42"/>
      <c r="BM1194" s="42"/>
      <c r="BN1194" s="42"/>
      <c r="BO1194" s="42"/>
      <c r="BQ1194" s="111"/>
      <c r="BR1194" s="46" t="s">
        <v>11</v>
      </c>
      <c r="BS1194" s="141">
        <v>56.037991858887381</v>
      </c>
      <c r="BT1194" s="142"/>
      <c r="BU1194" s="141">
        <v>43.962008141112619</v>
      </c>
      <c r="BV1194" s="142"/>
      <c r="BW1194" s="42"/>
      <c r="BX1194" s="42"/>
      <c r="BY1194" s="42"/>
      <c r="BZ1194" s="42"/>
      <c r="CA1194" s="42"/>
      <c r="CB1194" s="42"/>
      <c r="CC1194" s="42"/>
      <c r="CD1194" s="111"/>
      <c r="CE1194" s="46" t="s">
        <v>11</v>
      </c>
      <c r="CF1194" s="141">
        <v>76.291960120735396</v>
      </c>
      <c r="CG1194" s="142"/>
      <c r="CH1194" s="141">
        <v>23.708039879264611</v>
      </c>
      <c r="CI1194" s="142"/>
      <c r="CJ1194" s="42"/>
      <c r="CK1194" s="42"/>
      <c r="CL1194" s="42"/>
      <c r="CM1194" s="42"/>
      <c r="CN1194" s="42"/>
      <c r="CO1194" s="42"/>
      <c r="CQ1194" s="111"/>
      <c r="CR1194" s="46" t="s">
        <v>11</v>
      </c>
      <c r="CS1194" s="141">
        <v>82.754538279400151</v>
      </c>
      <c r="CT1194" s="142"/>
      <c r="CU1194" s="141">
        <v>17.245461720599842</v>
      </c>
      <c r="CV1194" s="142"/>
      <c r="CW1194" s="42"/>
      <c r="CX1194" s="42"/>
      <c r="CY1194" s="42"/>
      <c r="CZ1194" s="42"/>
      <c r="DA1194" s="42"/>
      <c r="DB1194" s="42"/>
      <c r="DC1194" s="42"/>
      <c r="DD1194" s="111"/>
      <c r="DE1194" s="46" t="s">
        <v>11</v>
      </c>
      <c r="DF1194" s="141">
        <v>74.732173999701033</v>
      </c>
      <c r="DG1194" s="142"/>
      <c r="DH1194" s="141">
        <v>25.267826000298971</v>
      </c>
      <c r="DI1194" s="142"/>
      <c r="DJ1194" s="42"/>
      <c r="DK1194" s="42"/>
      <c r="DL1194" s="42"/>
      <c r="DM1194" s="42"/>
      <c r="DN1194" s="42"/>
      <c r="DO1194" s="42"/>
    </row>
    <row r="1195" spans="2:119" x14ac:dyDescent="0.45">
      <c r="B1195" s="99"/>
      <c r="C1195" s="42"/>
      <c r="D1195" s="42"/>
      <c r="E1195" s="42"/>
      <c r="F1195" s="42"/>
      <c r="G1195" s="42"/>
      <c r="H1195" s="42"/>
      <c r="I1195" s="42"/>
      <c r="J1195" s="42"/>
      <c r="K1195" s="42"/>
      <c r="L1195" s="42"/>
      <c r="M1195" s="42"/>
      <c r="N1195" s="42"/>
      <c r="O1195" s="42"/>
      <c r="P1195" s="42"/>
      <c r="Q1195" s="42"/>
      <c r="R1195" s="42"/>
      <c r="S1195" s="42"/>
      <c r="T1195" s="42"/>
      <c r="U1195" s="42"/>
      <c r="V1195" s="42"/>
      <c r="W1195" s="42"/>
      <c r="X1195" s="42"/>
      <c r="Y1195" s="42"/>
      <c r="Z1195" s="42"/>
      <c r="AA1195" s="42"/>
      <c r="AB1195" s="42"/>
      <c r="AC1195" s="42"/>
      <c r="AD1195" s="42"/>
      <c r="AE1195" s="42"/>
      <c r="AF1195" s="42"/>
      <c r="AG1195" s="42"/>
      <c r="AH1195" s="42"/>
      <c r="AI1195" s="42"/>
      <c r="AJ1195" s="42"/>
      <c r="AK1195" s="42"/>
      <c r="AL1195" s="42"/>
      <c r="AM1195" s="42"/>
      <c r="AN1195" s="42"/>
      <c r="AO1195" s="42"/>
      <c r="AQ1195" s="42"/>
      <c r="AR1195" s="42"/>
      <c r="AS1195" s="42"/>
      <c r="AT1195" s="42"/>
      <c r="AU1195" s="42"/>
      <c r="AV1195" s="42"/>
      <c r="AW1195" s="42"/>
      <c r="AX1195" s="42"/>
      <c r="AY1195" s="42"/>
      <c r="AZ1195" s="42"/>
      <c r="BA1195" s="42"/>
      <c r="BB1195" s="42"/>
      <c r="BC1195" s="42"/>
      <c r="BD1195" s="42"/>
      <c r="BE1195" s="42"/>
      <c r="BF1195" s="42"/>
      <c r="BG1195" s="42"/>
      <c r="BH1195" s="42"/>
      <c r="BI1195" s="42"/>
      <c r="BJ1195" s="42"/>
      <c r="BK1195" s="42"/>
      <c r="BL1195" s="42"/>
      <c r="BM1195" s="42"/>
      <c r="BN1195" s="42"/>
      <c r="BO1195" s="42"/>
      <c r="BQ1195" s="42"/>
      <c r="BR1195" s="42"/>
      <c r="BS1195" s="42"/>
      <c r="BT1195" s="42"/>
      <c r="BU1195" s="42"/>
      <c r="BV1195" s="42"/>
      <c r="BW1195" s="42"/>
      <c r="BX1195" s="42"/>
      <c r="BY1195" s="42"/>
      <c r="BZ1195" s="42"/>
      <c r="CA1195" s="42"/>
      <c r="CB1195" s="42"/>
      <c r="CC1195" s="42"/>
      <c r="CD1195" s="42"/>
      <c r="CE1195" s="42"/>
      <c r="CF1195" s="42"/>
      <c r="CG1195" s="42"/>
      <c r="CH1195" s="42"/>
      <c r="CI1195" s="42"/>
      <c r="CJ1195" s="42"/>
      <c r="CK1195" s="42"/>
      <c r="CL1195" s="42"/>
      <c r="CM1195" s="42"/>
      <c r="CN1195" s="42"/>
      <c r="CO1195" s="42"/>
      <c r="CQ1195" s="42"/>
      <c r="CR1195" s="42"/>
      <c r="CS1195" s="42"/>
      <c r="CT1195" s="42"/>
      <c r="CU1195" s="42"/>
      <c r="CV1195" s="42"/>
      <c r="CW1195" s="42"/>
      <c r="CX1195" s="42"/>
      <c r="CY1195" s="42"/>
      <c r="CZ1195" s="42"/>
      <c r="DA1195" s="42"/>
      <c r="DB1195" s="42"/>
      <c r="DC1195" s="42"/>
      <c r="DD1195" s="42"/>
      <c r="DE1195" s="42"/>
      <c r="DF1195" s="42"/>
      <c r="DG1195" s="42"/>
      <c r="DH1195" s="42"/>
      <c r="DI1195" s="42"/>
      <c r="DJ1195" s="42"/>
      <c r="DK1195" s="42"/>
      <c r="DL1195" s="42"/>
      <c r="DM1195" s="42"/>
      <c r="DN1195" s="42"/>
      <c r="DO1195" s="42"/>
    </row>
    <row r="1196" spans="2:119" x14ac:dyDescent="0.45">
      <c r="B1196" s="99"/>
      <c r="C1196" s="42"/>
      <c r="D1196" s="42"/>
      <c r="E1196" s="42"/>
      <c r="F1196" s="42"/>
      <c r="G1196" s="42"/>
      <c r="H1196" s="42"/>
      <c r="I1196" s="42"/>
      <c r="J1196" s="42"/>
      <c r="K1196" s="42"/>
      <c r="L1196" s="42"/>
      <c r="M1196" s="42"/>
      <c r="N1196" s="42"/>
      <c r="O1196" s="42"/>
      <c r="P1196" s="42"/>
      <c r="Q1196" s="42"/>
      <c r="R1196" s="42"/>
      <c r="S1196" s="42"/>
      <c r="T1196" s="42"/>
      <c r="U1196" s="42"/>
      <c r="V1196" s="42"/>
      <c r="W1196" s="42"/>
      <c r="X1196" s="42"/>
      <c r="Y1196" s="42"/>
      <c r="Z1196" s="42"/>
      <c r="AA1196" s="42"/>
      <c r="AB1196" s="42"/>
      <c r="AC1196" s="42"/>
      <c r="AD1196" s="42"/>
      <c r="AE1196" s="42"/>
      <c r="AF1196" s="42"/>
      <c r="AG1196" s="42"/>
      <c r="AH1196" s="42"/>
      <c r="AI1196" s="42"/>
      <c r="AJ1196" s="42"/>
      <c r="AK1196" s="42"/>
      <c r="AL1196" s="42"/>
      <c r="AM1196" s="42"/>
      <c r="AN1196" s="42"/>
      <c r="AO1196" s="42"/>
      <c r="AQ1196" s="42"/>
      <c r="AR1196" s="42"/>
      <c r="AS1196" s="42"/>
      <c r="AT1196" s="42"/>
      <c r="AU1196" s="42"/>
      <c r="AV1196" s="42"/>
      <c r="AW1196" s="42"/>
      <c r="AX1196" s="42"/>
      <c r="AY1196" s="42"/>
      <c r="AZ1196" s="42"/>
      <c r="BA1196" s="42"/>
      <c r="BB1196" s="42"/>
      <c r="BC1196" s="42"/>
      <c r="BD1196" s="42"/>
      <c r="BE1196" s="42"/>
      <c r="BF1196" s="42"/>
      <c r="BG1196" s="42"/>
      <c r="BH1196" s="42"/>
      <c r="BI1196" s="42"/>
      <c r="BJ1196" s="42"/>
      <c r="BK1196" s="42"/>
      <c r="BL1196" s="42"/>
      <c r="BM1196" s="42"/>
      <c r="BN1196" s="42"/>
      <c r="BO1196" s="42"/>
      <c r="BQ1196" s="42"/>
      <c r="BR1196" s="42"/>
      <c r="BS1196" s="42"/>
      <c r="BT1196" s="42"/>
      <c r="BU1196" s="42"/>
      <c r="BV1196" s="42"/>
      <c r="BW1196" s="42"/>
      <c r="BX1196" s="42"/>
      <c r="BY1196" s="42"/>
      <c r="BZ1196" s="42"/>
      <c r="CA1196" s="42"/>
      <c r="CB1196" s="42"/>
      <c r="CC1196" s="42"/>
      <c r="CD1196" s="42"/>
      <c r="CE1196" s="42"/>
      <c r="CF1196" s="42"/>
      <c r="CG1196" s="42"/>
      <c r="CH1196" s="42"/>
      <c r="CI1196" s="42"/>
      <c r="CJ1196" s="42"/>
      <c r="CK1196" s="42"/>
      <c r="CL1196" s="42"/>
      <c r="CM1196" s="42"/>
      <c r="CN1196" s="42"/>
      <c r="CO1196" s="42"/>
      <c r="CQ1196" s="42"/>
      <c r="CR1196" s="42"/>
      <c r="CS1196" s="42"/>
      <c r="CT1196" s="42"/>
      <c r="CU1196" s="42"/>
      <c r="CV1196" s="42"/>
      <c r="CW1196" s="42"/>
      <c r="CX1196" s="42"/>
      <c r="CY1196" s="42"/>
      <c r="CZ1196" s="42"/>
      <c r="DA1196" s="42"/>
      <c r="DB1196" s="42"/>
      <c r="DC1196" s="42"/>
      <c r="DD1196" s="42"/>
      <c r="DE1196" s="42"/>
      <c r="DF1196" s="42"/>
      <c r="DG1196" s="42"/>
      <c r="DH1196" s="42"/>
      <c r="DI1196" s="42"/>
      <c r="DJ1196" s="42"/>
      <c r="DK1196" s="42"/>
      <c r="DL1196" s="42"/>
      <c r="DM1196" s="42"/>
      <c r="DN1196" s="42"/>
      <c r="DO1196" s="42"/>
    </row>
    <row r="1197" spans="2:119" ht="18.75" customHeight="1" x14ac:dyDescent="0.55000000000000004">
      <c r="B1197" s="99"/>
      <c r="C1197" s="42"/>
      <c r="D1197" s="112" t="s">
        <v>24</v>
      </c>
      <c r="E1197" s="112"/>
      <c r="F1197" s="45"/>
      <c r="G1197" s="45"/>
      <c r="H1197" s="42"/>
      <c r="I1197" s="42"/>
      <c r="J1197" s="42"/>
      <c r="K1197" s="42"/>
      <c r="L1197" s="42"/>
      <c r="M1197" s="42"/>
      <c r="N1197" s="42"/>
      <c r="O1197" s="42"/>
      <c r="P1197" s="42"/>
      <c r="Q1197" s="112" t="s">
        <v>24</v>
      </c>
      <c r="R1197" s="112"/>
      <c r="S1197" s="45"/>
      <c r="T1197" s="45"/>
      <c r="U1197" s="42"/>
      <c r="V1197" s="42"/>
      <c r="W1197" s="42"/>
      <c r="X1197" s="42"/>
      <c r="Y1197" s="42"/>
      <c r="Z1197" s="42"/>
      <c r="AA1197" s="42"/>
      <c r="AB1197" s="42"/>
      <c r="AC1197" s="42"/>
      <c r="AD1197" s="112" t="s">
        <v>24</v>
      </c>
      <c r="AE1197" s="112"/>
      <c r="AF1197" s="45"/>
      <c r="AG1197" s="45"/>
      <c r="AH1197" s="42"/>
      <c r="AI1197" s="42"/>
      <c r="AJ1197" s="42"/>
      <c r="AK1197" s="42"/>
      <c r="AL1197" s="42"/>
      <c r="AM1197" s="42"/>
      <c r="AN1197" s="42"/>
      <c r="AO1197" s="42"/>
      <c r="AQ1197" s="112" t="s">
        <v>24</v>
      </c>
      <c r="AR1197" s="112"/>
      <c r="AS1197" s="45"/>
      <c r="AT1197" s="45"/>
      <c r="AU1197" s="42"/>
      <c r="AV1197" s="42"/>
      <c r="AW1197" s="42"/>
      <c r="AX1197" s="42"/>
      <c r="AY1197" s="42"/>
      <c r="AZ1197" s="42"/>
      <c r="BA1197" s="42"/>
      <c r="BB1197" s="42"/>
      <c r="BC1197" s="42"/>
      <c r="BD1197" s="112" t="s">
        <v>24</v>
      </c>
      <c r="BE1197" s="112"/>
      <c r="BF1197" s="45"/>
      <c r="BG1197" s="45"/>
      <c r="BH1197" s="42"/>
      <c r="BI1197" s="42"/>
      <c r="BJ1197" s="42"/>
      <c r="BK1197" s="42"/>
      <c r="BL1197" s="42"/>
      <c r="BM1197" s="42"/>
      <c r="BN1197" s="42"/>
      <c r="BO1197" s="42"/>
      <c r="BQ1197" s="112" t="s">
        <v>24</v>
      </c>
      <c r="BR1197" s="112"/>
      <c r="BS1197" s="45"/>
      <c r="BT1197" s="45"/>
      <c r="BU1197" s="42"/>
      <c r="BV1197" s="42"/>
      <c r="BW1197" s="42"/>
      <c r="BX1197" s="42"/>
      <c r="BY1197" s="42"/>
      <c r="BZ1197" s="42"/>
      <c r="CA1197" s="42"/>
      <c r="CB1197" s="42"/>
      <c r="CC1197" s="42"/>
      <c r="CD1197" s="112" t="s">
        <v>24</v>
      </c>
      <c r="CE1197" s="112"/>
      <c r="CF1197" s="45"/>
      <c r="CG1197" s="45"/>
      <c r="CH1197" s="42"/>
      <c r="CI1197" s="42"/>
      <c r="CJ1197" s="42"/>
      <c r="CK1197" s="42"/>
      <c r="CL1197" s="42"/>
      <c r="CM1197" s="42"/>
      <c r="CN1197" s="42"/>
      <c r="CO1197" s="42"/>
      <c r="CQ1197" s="112" t="s">
        <v>24</v>
      </c>
      <c r="CR1197" s="112"/>
      <c r="CS1197" s="45"/>
      <c r="CT1197" s="45"/>
      <c r="CU1197" s="42"/>
      <c r="CV1197" s="42"/>
      <c r="CW1197" s="42"/>
      <c r="CX1197" s="42"/>
      <c r="CY1197" s="42"/>
      <c r="CZ1197" s="42"/>
      <c r="DA1197" s="42"/>
      <c r="DB1197" s="42"/>
      <c r="DC1197" s="42"/>
      <c r="DD1197" s="112" t="s">
        <v>24</v>
      </c>
      <c r="DE1197" s="112"/>
      <c r="DF1197" s="45"/>
      <c r="DG1197" s="45"/>
      <c r="DH1197" s="42"/>
      <c r="DI1197" s="42"/>
      <c r="DJ1197" s="42"/>
      <c r="DK1197" s="42"/>
      <c r="DL1197" s="42"/>
      <c r="DM1197" s="42"/>
      <c r="DN1197" s="42"/>
      <c r="DO1197" s="42"/>
    </row>
    <row r="1198" spans="2:119" ht="28.9" customHeight="1" x14ac:dyDescent="0.45">
      <c r="B1198" s="99"/>
      <c r="C1198" s="42"/>
      <c r="D1198" s="112"/>
      <c r="E1198" s="112"/>
      <c r="F1198" s="108" t="s">
        <v>58</v>
      </c>
      <c r="G1198" s="108"/>
      <c r="H1198" s="108"/>
      <c r="I1198" s="108"/>
      <c r="J1198" s="42"/>
      <c r="K1198" s="42"/>
      <c r="L1198" s="42"/>
      <c r="M1198" s="42"/>
      <c r="N1198" s="42"/>
      <c r="O1198" s="42"/>
      <c r="P1198" s="42"/>
      <c r="Q1198" s="112"/>
      <c r="R1198" s="112"/>
      <c r="S1198" s="108" t="s">
        <v>58</v>
      </c>
      <c r="T1198" s="108"/>
      <c r="U1198" s="108"/>
      <c r="V1198" s="108"/>
      <c r="W1198" s="42"/>
      <c r="X1198" s="42"/>
      <c r="Y1198" s="42"/>
      <c r="Z1198" s="42"/>
      <c r="AA1198" s="42"/>
      <c r="AB1198" s="42"/>
      <c r="AC1198" s="42"/>
      <c r="AD1198" s="112"/>
      <c r="AE1198" s="112"/>
      <c r="AF1198" s="108" t="s">
        <v>58</v>
      </c>
      <c r="AG1198" s="108"/>
      <c r="AH1198" s="108"/>
      <c r="AI1198" s="108"/>
      <c r="AJ1198" s="42"/>
      <c r="AK1198" s="42"/>
      <c r="AL1198" s="42"/>
      <c r="AM1198" s="42"/>
      <c r="AN1198" s="42"/>
      <c r="AO1198" s="42"/>
      <c r="AQ1198" s="112"/>
      <c r="AR1198" s="112"/>
      <c r="AS1198" s="108" t="s">
        <v>58</v>
      </c>
      <c r="AT1198" s="108"/>
      <c r="AU1198" s="108"/>
      <c r="AV1198" s="108"/>
      <c r="AW1198" s="42"/>
      <c r="AX1198" s="42"/>
      <c r="AY1198" s="42"/>
      <c r="AZ1198" s="42"/>
      <c r="BA1198" s="42"/>
      <c r="BB1198" s="42"/>
      <c r="BC1198" s="42"/>
      <c r="BD1198" s="112"/>
      <c r="BE1198" s="112"/>
      <c r="BF1198" s="108" t="s">
        <v>58</v>
      </c>
      <c r="BG1198" s="108"/>
      <c r="BH1198" s="108"/>
      <c r="BI1198" s="108"/>
      <c r="BJ1198" s="42"/>
      <c r="BK1198" s="42"/>
      <c r="BL1198" s="42"/>
      <c r="BM1198" s="42"/>
      <c r="BN1198" s="42"/>
      <c r="BO1198" s="42"/>
      <c r="BQ1198" s="112"/>
      <c r="BR1198" s="112"/>
      <c r="BS1198" s="108" t="s">
        <v>58</v>
      </c>
      <c r="BT1198" s="108"/>
      <c r="BU1198" s="108"/>
      <c r="BV1198" s="108"/>
      <c r="BW1198" s="42"/>
      <c r="BX1198" s="42"/>
      <c r="BY1198" s="42"/>
      <c r="BZ1198" s="42"/>
      <c r="CA1198" s="42"/>
      <c r="CB1198" s="42"/>
      <c r="CC1198" s="42"/>
      <c r="CD1198" s="112"/>
      <c r="CE1198" s="112"/>
      <c r="CF1198" s="108" t="s">
        <v>58</v>
      </c>
      <c r="CG1198" s="108"/>
      <c r="CH1198" s="108"/>
      <c r="CI1198" s="108"/>
      <c r="CJ1198" s="42"/>
      <c r="CK1198" s="42"/>
      <c r="CL1198" s="42"/>
      <c r="CM1198" s="42"/>
      <c r="CN1198" s="42"/>
      <c r="CO1198" s="42"/>
      <c r="CQ1198" s="112"/>
      <c r="CR1198" s="112"/>
      <c r="CS1198" s="108" t="s">
        <v>58</v>
      </c>
      <c r="CT1198" s="108"/>
      <c r="CU1198" s="108"/>
      <c r="CV1198" s="108"/>
      <c r="CW1198" s="42"/>
      <c r="CX1198" s="42"/>
      <c r="CY1198" s="42"/>
      <c r="CZ1198" s="42"/>
      <c r="DA1198" s="42"/>
      <c r="DB1198" s="42"/>
      <c r="DC1198" s="42"/>
      <c r="DD1198" s="112"/>
      <c r="DE1198" s="112"/>
      <c r="DF1198" s="108" t="s">
        <v>58</v>
      </c>
      <c r="DG1198" s="108"/>
      <c r="DH1198" s="108"/>
      <c r="DI1198" s="108"/>
      <c r="DJ1198" s="42"/>
      <c r="DK1198" s="42"/>
      <c r="DL1198" s="42"/>
      <c r="DM1198" s="42"/>
      <c r="DN1198" s="42"/>
      <c r="DO1198" s="42"/>
    </row>
    <row r="1199" spans="2:119" ht="15" customHeight="1" x14ac:dyDescent="0.45">
      <c r="B1199" s="99"/>
      <c r="C1199" s="42"/>
      <c r="D1199" s="113"/>
      <c r="E1199" s="113"/>
      <c r="F1199" s="143" t="s">
        <v>64</v>
      </c>
      <c r="G1199" s="144"/>
      <c r="H1199" s="143" t="s">
        <v>110</v>
      </c>
      <c r="I1199" s="144"/>
      <c r="J1199" s="42"/>
      <c r="K1199" s="42"/>
      <c r="L1199" s="42"/>
      <c r="M1199" s="42"/>
      <c r="N1199" s="42"/>
      <c r="O1199" s="42"/>
      <c r="P1199" s="42"/>
      <c r="Q1199" s="113"/>
      <c r="R1199" s="113"/>
      <c r="S1199" s="143" t="s">
        <v>64</v>
      </c>
      <c r="T1199" s="144"/>
      <c r="U1199" s="143" t="s">
        <v>110</v>
      </c>
      <c r="V1199" s="144"/>
      <c r="W1199" s="42"/>
      <c r="X1199" s="42"/>
      <c r="Y1199" s="42"/>
      <c r="Z1199" s="42"/>
      <c r="AA1199" s="42"/>
      <c r="AB1199" s="42"/>
      <c r="AC1199" s="42"/>
      <c r="AD1199" s="113"/>
      <c r="AE1199" s="113"/>
      <c r="AF1199" s="143" t="s">
        <v>64</v>
      </c>
      <c r="AG1199" s="144"/>
      <c r="AH1199" s="143" t="s">
        <v>110</v>
      </c>
      <c r="AI1199" s="144"/>
      <c r="AJ1199" s="42"/>
      <c r="AK1199" s="42"/>
      <c r="AL1199" s="42"/>
      <c r="AM1199" s="42"/>
      <c r="AN1199" s="42"/>
      <c r="AO1199" s="42"/>
      <c r="AQ1199" s="113"/>
      <c r="AR1199" s="113"/>
      <c r="AS1199" s="143" t="s">
        <v>64</v>
      </c>
      <c r="AT1199" s="144"/>
      <c r="AU1199" s="143" t="s">
        <v>110</v>
      </c>
      <c r="AV1199" s="144"/>
      <c r="AW1199" s="42"/>
      <c r="AX1199" s="42"/>
      <c r="AY1199" s="42"/>
      <c r="AZ1199" s="42"/>
      <c r="BA1199" s="42"/>
      <c r="BB1199" s="42"/>
      <c r="BC1199" s="42"/>
      <c r="BD1199" s="113"/>
      <c r="BE1199" s="113"/>
      <c r="BF1199" s="143" t="s">
        <v>64</v>
      </c>
      <c r="BG1199" s="144"/>
      <c r="BH1199" s="143" t="s">
        <v>110</v>
      </c>
      <c r="BI1199" s="144"/>
      <c r="BJ1199" s="42"/>
      <c r="BK1199" s="42"/>
      <c r="BL1199" s="42"/>
      <c r="BM1199" s="42"/>
      <c r="BN1199" s="42"/>
      <c r="BO1199" s="42"/>
      <c r="BQ1199" s="113"/>
      <c r="BR1199" s="113"/>
      <c r="BS1199" s="143" t="s">
        <v>64</v>
      </c>
      <c r="BT1199" s="144"/>
      <c r="BU1199" s="143" t="s">
        <v>110</v>
      </c>
      <c r="BV1199" s="144"/>
      <c r="BW1199" s="42"/>
      <c r="BX1199" s="42"/>
      <c r="BY1199" s="42"/>
      <c r="BZ1199" s="42"/>
      <c r="CA1199" s="42"/>
      <c r="CB1199" s="42"/>
      <c r="CC1199" s="42"/>
      <c r="CD1199" s="113"/>
      <c r="CE1199" s="113"/>
      <c r="CF1199" s="143" t="s">
        <v>64</v>
      </c>
      <c r="CG1199" s="144"/>
      <c r="CH1199" s="143" t="s">
        <v>110</v>
      </c>
      <c r="CI1199" s="144"/>
      <c r="CJ1199" s="42"/>
      <c r="CK1199" s="42"/>
      <c r="CL1199" s="42"/>
      <c r="CM1199" s="42"/>
      <c r="CN1199" s="42"/>
      <c r="CO1199" s="42"/>
      <c r="CQ1199" s="113"/>
      <c r="CR1199" s="113"/>
      <c r="CS1199" s="143" t="s">
        <v>64</v>
      </c>
      <c r="CT1199" s="144"/>
      <c r="CU1199" s="143" t="s">
        <v>110</v>
      </c>
      <c r="CV1199" s="144"/>
      <c r="CW1199" s="42"/>
      <c r="CX1199" s="42"/>
      <c r="CY1199" s="42"/>
      <c r="CZ1199" s="42"/>
      <c r="DA1199" s="42"/>
      <c r="DB1199" s="42"/>
      <c r="DC1199" s="42"/>
      <c r="DD1199" s="113"/>
      <c r="DE1199" s="113"/>
      <c r="DF1199" s="143" t="s">
        <v>64</v>
      </c>
      <c r="DG1199" s="144"/>
      <c r="DH1199" s="143" t="s">
        <v>110</v>
      </c>
      <c r="DI1199" s="144"/>
      <c r="DJ1199" s="42"/>
      <c r="DK1199" s="42"/>
      <c r="DL1199" s="42"/>
      <c r="DM1199" s="42"/>
      <c r="DN1199" s="42"/>
      <c r="DO1199" s="42"/>
    </row>
    <row r="1200" spans="2:119" ht="15.4" customHeight="1" x14ac:dyDescent="0.45">
      <c r="B1200" s="134" t="s">
        <v>60</v>
      </c>
      <c r="C1200" s="42"/>
      <c r="D1200" s="109" t="s">
        <v>13</v>
      </c>
      <c r="E1200" s="46" t="s">
        <v>1</v>
      </c>
      <c r="F1200" s="141">
        <v>7</v>
      </c>
      <c r="G1200" s="142"/>
      <c r="H1200" s="141">
        <v>2682</v>
      </c>
      <c r="I1200" s="142"/>
      <c r="J1200" s="42"/>
      <c r="K1200" s="42"/>
      <c r="L1200" s="42"/>
      <c r="M1200" s="42"/>
      <c r="N1200" s="42"/>
      <c r="O1200" s="42"/>
      <c r="P1200" s="42"/>
      <c r="Q1200" s="109" t="s">
        <v>13</v>
      </c>
      <c r="R1200" s="46" t="s">
        <v>1</v>
      </c>
      <c r="S1200" s="141">
        <v>5</v>
      </c>
      <c r="T1200" s="142"/>
      <c r="U1200" s="141">
        <v>928</v>
      </c>
      <c r="V1200" s="142"/>
      <c r="W1200" s="42"/>
      <c r="X1200" s="42"/>
      <c r="Y1200" s="42"/>
      <c r="Z1200" s="42"/>
      <c r="AA1200" s="42"/>
      <c r="AB1200" s="42"/>
      <c r="AC1200" s="42"/>
      <c r="AD1200" s="109" t="s">
        <v>13</v>
      </c>
      <c r="AE1200" s="46" t="s">
        <v>1</v>
      </c>
      <c r="AF1200" s="141">
        <v>2</v>
      </c>
      <c r="AG1200" s="142"/>
      <c r="AH1200" s="141">
        <v>1754</v>
      </c>
      <c r="AI1200" s="142"/>
      <c r="AJ1200" s="42"/>
      <c r="AK1200" s="42"/>
      <c r="AL1200" s="42"/>
      <c r="AM1200" s="42"/>
      <c r="AN1200" s="42"/>
      <c r="AO1200" s="42"/>
      <c r="AQ1200" s="109" t="s">
        <v>13</v>
      </c>
      <c r="AR1200" s="46" t="s">
        <v>1</v>
      </c>
      <c r="AS1200" s="141">
        <v>2</v>
      </c>
      <c r="AT1200" s="142"/>
      <c r="AU1200" s="141">
        <v>1414</v>
      </c>
      <c r="AV1200" s="142"/>
      <c r="AW1200" s="42"/>
      <c r="AX1200" s="42"/>
      <c r="AY1200" s="42"/>
      <c r="AZ1200" s="42"/>
      <c r="BA1200" s="42"/>
      <c r="BB1200" s="42"/>
      <c r="BC1200" s="42"/>
      <c r="BD1200" s="109" t="s">
        <v>13</v>
      </c>
      <c r="BE1200" s="46" t="s">
        <v>1</v>
      </c>
      <c r="BF1200" s="141">
        <v>5</v>
      </c>
      <c r="BG1200" s="142"/>
      <c r="BH1200" s="141">
        <v>1268</v>
      </c>
      <c r="BI1200" s="142"/>
      <c r="BJ1200" s="42"/>
      <c r="BK1200" s="42"/>
      <c r="BL1200" s="42"/>
      <c r="BM1200" s="42"/>
      <c r="BN1200" s="42"/>
      <c r="BO1200" s="42"/>
      <c r="BQ1200" s="109" t="s">
        <v>13</v>
      </c>
      <c r="BR1200" s="46" t="s">
        <v>1</v>
      </c>
      <c r="BS1200" s="141">
        <v>1</v>
      </c>
      <c r="BT1200" s="142"/>
      <c r="BU1200" s="141">
        <v>2630</v>
      </c>
      <c r="BV1200" s="142"/>
      <c r="BW1200" s="42"/>
      <c r="BX1200" s="42"/>
      <c r="BY1200" s="42"/>
      <c r="BZ1200" s="42"/>
      <c r="CA1200" s="42"/>
      <c r="CB1200" s="42"/>
      <c r="CC1200" s="42"/>
      <c r="CD1200" s="109" t="s">
        <v>13</v>
      </c>
      <c r="CE1200" s="46" t="s">
        <v>1</v>
      </c>
      <c r="CF1200" s="141">
        <v>6</v>
      </c>
      <c r="CG1200" s="142"/>
      <c r="CH1200" s="141">
        <v>52</v>
      </c>
      <c r="CI1200" s="142"/>
      <c r="CJ1200" s="42"/>
      <c r="CK1200" s="42"/>
      <c r="CL1200" s="42"/>
      <c r="CM1200" s="42"/>
      <c r="CN1200" s="42"/>
      <c r="CO1200" s="42"/>
      <c r="CQ1200" s="109" t="s">
        <v>13</v>
      </c>
      <c r="CR1200" s="46" t="s">
        <v>1</v>
      </c>
      <c r="CS1200" s="141">
        <v>7</v>
      </c>
      <c r="CT1200" s="142"/>
      <c r="CU1200" s="141">
        <v>637</v>
      </c>
      <c r="CV1200" s="142"/>
      <c r="CW1200" s="42"/>
      <c r="CX1200" s="42"/>
      <c r="CY1200" s="42"/>
      <c r="CZ1200" s="42"/>
      <c r="DA1200" s="42"/>
      <c r="DB1200" s="42"/>
      <c r="DC1200" s="42"/>
      <c r="DD1200" s="109" t="s">
        <v>13</v>
      </c>
      <c r="DE1200" s="46" t="s">
        <v>1</v>
      </c>
      <c r="DF1200" s="141">
        <v>0</v>
      </c>
      <c r="DG1200" s="142"/>
      <c r="DH1200" s="141">
        <v>2045</v>
      </c>
      <c r="DI1200" s="142"/>
      <c r="DJ1200" s="42"/>
      <c r="DK1200" s="42"/>
      <c r="DL1200" s="42"/>
      <c r="DM1200" s="42"/>
      <c r="DN1200" s="42"/>
      <c r="DO1200" s="42"/>
    </row>
    <row r="1201" spans="2:119" ht="15.4" x14ac:dyDescent="0.45">
      <c r="B1201" s="134"/>
      <c r="C1201" s="42"/>
      <c r="D1201" s="110"/>
      <c r="E1201" s="46" t="s">
        <v>56</v>
      </c>
      <c r="F1201" s="141">
        <v>14</v>
      </c>
      <c r="G1201" s="142"/>
      <c r="H1201" s="141">
        <v>2099</v>
      </c>
      <c r="I1201" s="142"/>
      <c r="J1201" s="42"/>
      <c r="K1201" s="42"/>
      <c r="L1201" s="42"/>
      <c r="M1201" s="42"/>
      <c r="N1201" s="42"/>
      <c r="O1201" s="42"/>
      <c r="P1201" s="42"/>
      <c r="Q1201" s="110"/>
      <c r="R1201" s="46" t="s">
        <v>56</v>
      </c>
      <c r="S1201" s="141">
        <v>9</v>
      </c>
      <c r="T1201" s="142"/>
      <c r="U1201" s="141">
        <v>749</v>
      </c>
      <c r="V1201" s="142"/>
      <c r="W1201" s="42"/>
      <c r="X1201" s="42"/>
      <c r="Y1201" s="42"/>
      <c r="Z1201" s="42"/>
      <c r="AA1201" s="42"/>
      <c r="AB1201" s="42"/>
      <c r="AC1201" s="42"/>
      <c r="AD1201" s="110"/>
      <c r="AE1201" s="46" t="s">
        <v>56</v>
      </c>
      <c r="AF1201" s="141">
        <v>5</v>
      </c>
      <c r="AG1201" s="142"/>
      <c r="AH1201" s="141">
        <v>1350</v>
      </c>
      <c r="AI1201" s="142"/>
      <c r="AJ1201" s="42"/>
      <c r="AK1201" s="42"/>
      <c r="AL1201" s="42"/>
      <c r="AM1201" s="42"/>
      <c r="AN1201" s="42"/>
      <c r="AO1201" s="42"/>
      <c r="AQ1201" s="110"/>
      <c r="AR1201" s="46" t="s">
        <v>56</v>
      </c>
      <c r="AS1201" s="141">
        <v>3</v>
      </c>
      <c r="AT1201" s="142"/>
      <c r="AU1201" s="141">
        <v>1118</v>
      </c>
      <c r="AV1201" s="142"/>
      <c r="AW1201" s="42"/>
      <c r="AX1201" s="42"/>
      <c r="AY1201" s="42"/>
      <c r="AZ1201" s="42"/>
      <c r="BA1201" s="42"/>
      <c r="BB1201" s="42"/>
      <c r="BC1201" s="42"/>
      <c r="BD1201" s="110"/>
      <c r="BE1201" s="46" t="s">
        <v>56</v>
      </c>
      <c r="BF1201" s="141">
        <v>11</v>
      </c>
      <c r="BG1201" s="142"/>
      <c r="BH1201" s="141">
        <v>981</v>
      </c>
      <c r="BI1201" s="142"/>
      <c r="BJ1201" s="42"/>
      <c r="BK1201" s="42"/>
      <c r="BL1201" s="42"/>
      <c r="BM1201" s="42"/>
      <c r="BN1201" s="42"/>
      <c r="BO1201" s="42"/>
      <c r="BQ1201" s="110"/>
      <c r="BR1201" s="46" t="s">
        <v>56</v>
      </c>
      <c r="BS1201" s="141">
        <v>0</v>
      </c>
      <c r="BT1201" s="142"/>
      <c r="BU1201" s="141">
        <v>1975</v>
      </c>
      <c r="BV1201" s="142"/>
      <c r="BW1201" s="42"/>
      <c r="BX1201" s="42"/>
      <c r="BY1201" s="42"/>
      <c r="BZ1201" s="42"/>
      <c r="CA1201" s="42"/>
      <c r="CB1201" s="42"/>
      <c r="CC1201" s="42"/>
      <c r="CD1201" s="110"/>
      <c r="CE1201" s="46" t="s">
        <v>56</v>
      </c>
      <c r="CF1201" s="141">
        <v>14</v>
      </c>
      <c r="CG1201" s="142"/>
      <c r="CH1201" s="141">
        <v>124</v>
      </c>
      <c r="CI1201" s="142"/>
      <c r="CJ1201" s="42"/>
      <c r="CK1201" s="42"/>
      <c r="CL1201" s="42"/>
      <c r="CM1201" s="42"/>
      <c r="CN1201" s="42"/>
      <c r="CO1201" s="42"/>
      <c r="CQ1201" s="110"/>
      <c r="CR1201" s="46" t="s">
        <v>56</v>
      </c>
      <c r="CS1201" s="141">
        <v>14</v>
      </c>
      <c r="CT1201" s="142"/>
      <c r="CU1201" s="141">
        <v>422</v>
      </c>
      <c r="CV1201" s="142"/>
      <c r="CW1201" s="42"/>
      <c r="CX1201" s="42"/>
      <c r="CY1201" s="42"/>
      <c r="CZ1201" s="42"/>
      <c r="DA1201" s="42"/>
      <c r="DB1201" s="42"/>
      <c r="DC1201" s="42"/>
      <c r="DD1201" s="110"/>
      <c r="DE1201" s="46" t="s">
        <v>56</v>
      </c>
      <c r="DF1201" s="141">
        <v>0</v>
      </c>
      <c r="DG1201" s="142"/>
      <c r="DH1201" s="141">
        <v>1677</v>
      </c>
      <c r="DI1201" s="142"/>
      <c r="DJ1201" s="42"/>
      <c r="DK1201" s="42"/>
      <c r="DL1201" s="42"/>
      <c r="DM1201" s="42"/>
      <c r="DN1201" s="42"/>
      <c r="DO1201" s="42"/>
    </row>
    <row r="1202" spans="2:119" ht="15.4" x14ac:dyDescent="0.45">
      <c r="B1202" s="134"/>
      <c r="C1202" s="42"/>
      <c r="D1202" s="110"/>
      <c r="E1202" s="46" t="s">
        <v>2</v>
      </c>
      <c r="F1202" s="141">
        <v>96</v>
      </c>
      <c r="G1202" s="142"/>
      <c r="H1202" s="141">
        <v>14289</v>
      </c>
      <c r="I1202" s="142"/>
      <c r="J1202" s="42"/>
      <c r="K1202" s="42"/>
      <c r="L1202" s="42"/>
      <c r="M1202" s="42"/>
      <c r="N1202" s="42"/>
      <c r="O1202" s="42"/>
      <c r="P1202" s="42"/>
      <c r="Q1202" s="110"/>
      <c r="R1202" s="46" t="s">
        <v>2</v>
      </c>
      <c r="S1202" s="141">
        <v>57</v>
      </c>
      <c r="T1202" s="142"/>
      <c r="U1202" s="141">
        <v>5760</v>
      </c>
      <c r="V1202" s="142"/>
      <c r="W1202" s="42"/>
      <c r="X1202" s="42"/>
      <c r="Y1202" s="42"/>
      <c r="Z1202" s="42"/>
      <c r="AA1202" s="42"/>
      <c r="AB1202" s="42"/>
      <c r="AC1202" s="42"/>
      <c r="AD1202" s="110"/>
      <c r="AE1202" s="46" t="s">
        <v>2</v>
      </c>
      <c r="AF1202" s="141">
        <v>39</v>
      </c>
      <c r="AG1202" s="142"/>
      <c r="AH1202" s="141">
        <v>8529</v>
      </c>
      <c r="AI1202" s="142"/>
      <c r="AJ1202" s="42"/>
      <c r="AK1202" s="42"/>
      <c r="AL1202" s="42"/>
      <c r="AM1202" s="42"/>
      <c r="AN1202" s="42"/>
      <c r="AO1202" s="42"/>
      <c r="AQ1202" s="110"/>
      <c r="AR1202" s="46" t="s">
        <v>2</v>
      </c>
      <c r="AS1202" s="141">
        <v>29</v>
      </c>
      <c r="AT1202" s="142"/>
      <c r="AU1202" s="141">
        <v>7655</v>
      </c>
      <c r="AV1202" s="142"/>
      <c r="AW1202" s="42"/>
      <c r="AX1202" s="42"/>
      <c r="AY1202" s="42"/>
      <c r="AZ1202" s="42"/>
      <c r="BA1202" s="42"/>
      <c r="BB1202" s="42"/>
      <c r="BC1202" s="42"/>
      <c r="BD1202" s="110"/>
      <c r="BE1202" s="46" t="s">
        <v>2</v>
      </c>
      <c r="BF1202" s="141">
        <v>67</v>
      </c>
      <c r="BG1202" s="142"/>
      <c r="BH1202" s="141">
        <v>6634</v>
      </c>
      <c r="BI1202" s="142"/>
      <c r="BJ1202" s="42"/>
      <c r="BK1202" s="42"/>
      <c r="BL1202" s="42"/>
      <c r="BM1202" s="42"/>
      <c r="BN1202" s="42"/>
      <c r="BO1202" s="42"/>
      <c r="BQ1202" s="110"/>
      <c r="BR1202" s="46" t="s">
        <v>2</v>
      </c>
      <c r="BS1202" s="141">
        <v>13</v>
      </c>
      <c r="BT1202" s="142"/>
      <c r="BU1202" s="141">
        <v>11035</v>
      </c>
      <c r="BV1202" s="142"/>
      <c r="BW1202" s="42"/>
      <c r="BX1202" s="42"/>
      <c r="BY1202" s="42"/>
      <c r="BZ1202" s="42"/>
      <c r="CA1202" s="42"/>
      <c r="CB1202" s="42"/>
      <c r="CC1202" s="42"/>
      <c r="CD1202" s="110"/>
      <c r="CE1202" s="46" t="s">
        <v>2</v>
      </c>
      <c r="CF1202" s="141">
        <v>83</v>
      </c>
      <c r="CG1202" s="142"/>
      <c r="CH1202" s="141">
        <v>3254</v>
      </c>
      <c r="CI1202" s="142"/>
      <c r="CJ1202" s="42"/>
      <c r="CK1202" s="42"/>
      <c r="CL1202" s="42"/>
      <c r="CM1202" s="42"/>
      <c r="CN1202" s="42"/>
      <c r="CO1202" s="42"/>
      <c r="CQ1202" s="110"/>
      <c r="CR1202" s="46" t="s">
        <v>2</v>
      </c>
      <c r="CS1202" s="141">
        <v>91</v>
      </c>
      <c r="CT1202" s="142"/>
      <c r="CU1202" s="141">
        <v>3259</v>
      </c>
      <c r="CV1202" s="142"/>
      <c r="CW1202" s="42"/>
      <c r="CX1202" s="42"/>
      <c r="CY1202" s="42"/>
      <c r="CZ1202" s="42"/>
      <c r="DA1202" s="42"/>
      <c r="DB1202" s="42"/>
      <c r="DC1202" s="42"/>
      <c r="DD1202" s="110"/>
      <c r="DE1202" s="46" t="s">
        <v>2</v>
      </c>
      <c r="DF1202" s="141">
        <v>5</v>
      </c>
      <c r="DG1202" s="142"/>
      <c r="DH1202" s="141">
        <v>11030</v>
      </c>
      <c r="DI1202" s="142"/>
      <c r="DJ1202" s="42"/>
      <c r="DK1202" s="42"/>
      <c r="DL1202" s="42"/>
      <c r="DM1202" s="42"/>
      <c r="DN1202" s="42"/>
      <c r="DO1202" s="42"/>
    </row>
    <row r="1203" spans="2:119" ht="15.4" x14ac:dyDescent="0.45">
      <c r="B1203" s="134"/>
      <c r="C1203" s="42"/>
      <c r="D1203" s="110"/>
      <c r="E1203" s="46" t="s">
        <v>3</v>
      </c>
      <c r="F1203" s="141">
        <v>48</v>
      </c>
      <c r="G1203" s="142"/>
      <c r="H1203" s="141">
        <v>8001</v>
      </c>
      <c r="I1203" s="142"/>
      <c r="J1203" s="42"/>
      <c r="K1203" s="42"/>
      <c r="L1203" s="42"/>
      <c r="M1203" s="42"/>
      <c r="N1203" s="42"/>
      <c r="O1203" s="42"/>
      <c r="P1203" s="42"/>
      <c r="Q1203" s="110"/>
      <c r="R1203" s="46" t="s">
        <v>3</v>
      </c>
      <c r="S1203" s="141">
        <v>24</v>
      </c>
      <c r="T1203" s="142"/>
      <c r="U1203" s="141">
        <v>3503</v>
      </c>
      <c r="V1203" s="142"/>
      <c r="W1203" s="42"/>
      <c r="X1203" s="42"/>
      <c r="Y1203" s="42"/>
      <c r="Z1203" s="42"/>
      <c r="AA1203" s="42"/>
      <c r="AB1203" s="42"/>
      <c r="AC1203" s="42"/>
      <c r="AD1203" s="110"/>
      <c r="AE1203" s="46" t="s">
        <v>3</v>
      </c>
      <c r="AF1203" s="141">
        <v>24</v>
      </c>
      <c r="AG1203" s="142"/>
      <c r="AH1203" s="141">
        <v>4498</v>
      </c>
      <c r="AI1203" s="142"/>
      <c r="AJ1203" s="42"/>
      <c r="AK1203" s="42"/>
      <c r="AL1203" s="42"/>
      <c r="AM1203" s="42"/>
      <c r="AN1203" s="42"/>
      <c r="AO1203" s="42"/>
      <c r="AQ1203" s="110"/>
      <c r="AR1203" s="46" t="s">
        <v>3</v>
      </c>
      <c r="AS1203" s="141">
        <v>15</v>
      </c>
      <c r="AT1203" s="142"/>
      <c r="AU1203" s="141">
        <v>3880</v>
      </c>
      <c r="AV1203" s="142"/>
      <c r="AW1203" s="42"/>
      <c r="AX1203" s="42"/>
      <c r="AY1203" s="42"/>
      <c r="AZ1203" s="42"/>
      <c r="BA1203" s="42"/>
      <c r="BB1203" s="42"/>
      <c r="BC1203" s="42"/>
      <c r="BD1203" s="110"/>
      <c r="BE1203" s="46" t="s">
        <v>3</v>
      </c>
      <c r="BF1203" s="141">
        <v>33</v>
      </c>
      <c r="BG1203" s="142"/>
      <c r="BH1203" s="141">
        <v>4121</v>
      </c>
      <c r="BI1203" s="142"/>
      <c r="BJ1203" s="42"/>
      <c r="BK1203" s="42"/>
      <c r="BL1203" s="42"/>
      <c r="BM1203" s="42"/>
      <c r="BN1203" s="42"/>
      <c r="BO1203" s="42"/>
      <c r="BQ1203" s="110"/>
      <c r="BR1203" s="46" t="s">
        <v>3</v>
      </c>
      <c r="BS1203" s="141">
        <v>7</v>
      </c>
      <c r="BT1203" s="142"/>
      <c r="BU1203" s="141">
        <v>4701</v>
      </c>
      <c r="BV1203" s="142"/>
      <c r="BW1203" s="42"/>
      <c r="BX1203" s="42"/>
      <c r="BY1203" s="42"/>
      <c r="BZ1203" s="42"/>
      <c r="CA1203" s="42"/>
      <c r="CB1203" s="42"/>
      <c r="CC1203" s="42"/>
      <c r="CD1203" s="110"/>
      <c r="CE1203" s="46" t="s">
        <v>3</v>
      </c>
      <c r="CF1203" s="141">
        <v>41</v>
      </c>
      <c r="CG1203" s="142"/>
      <c r="CH1203" s="141">
        <v>3300</v>
      </c>
      <c r="CI1203" s="142"/>
      <c r="CJ1203" s="42"/>
      <c r="CK1203" s="42"/>
      <c r="CL1203" s="42"/>
      <c r="CM1203" s="42"/>
      <c r="CN1203" s="42"/>
      <c r="CO1203" s="42"/>
      <c r="CQ1203" s="110"/>
      <c r="CR1203" s="46" t="s">
        <v>3</v>
      </c>
      <c r="CS1203" s="141">
        <v>44</v>
      </c>
      <c r="CT1203" s="142"/>
      <c r="CU1203" s="141">
        <v>1580</v>
      </c>
      <c r="CV1203" s="142"/>
      <c r="CW1203" s="42"/>
      <c r="CX1203" s="42"/>
      <c r="CY1203" s="42"/>
      <c r="CZ1203" s="42"/>
      <c r="DA1203" s="42"/>
      <c r="DB1203" s="42"/>
      <c r="DC1203" s="42"/>
      <c r="DD1203" s="110"/>
      <c r="DE1203" s="46" t="s">
        <v>3</v>
      </c>
      <c r="DF1203" s="141">
        <v>4</v>
      </c>
      <c r="DG1203" s="142"/>
      <c r="DH1203" s="141">
        <v>6421</v>
      </c>
      <c r="DI1203" s="142"/>
      <c r="DJ1203" s="42"/>
      <c r="DK1203" s="42"/>
      <c r="DL1203" s="42"/>
      <c r="DM1203" s="42"/>
      <c r="DN1203" s="42"/>
      <c r="DO1203" s="42"/>
    </row>
    <row r="1204" spans="2:119" ht="15.4" x14ac:dyDescent="0.45">
      <c r="B1204" s="134"/>
      <c r="C1204" s="42"/>
      <c r="D1204" s="110"/>
      <c r="E1204" s="46" t="s">
        <v>4</v>
      </c>
      <c r="F1204" s="141">
        <v>120</v>
      </c>
      <c r="G1204" s="142"/>
      <c r="H1204" s="141">
        <v>12065</v>
      </c>
      <c r="I1204" s="142"/>
      <c r="J1204" s="42"/>
      <c r="K1204" s="42"/>
      <c r="L1204" s="42"/>
      <c r="M1204" s="42"/>
      <c r="N1204" s="42"/>
      <c r="O1204" s="42"/>
      <c r="P1204" s="42"/>
      <c r="Q1204" s="110"/>
      <c r="R1204" s="46" t="s">
        <v>4</v>
      </c>
      <c r="S1204" s="141">
        <v>79</v>
      </c>
      <c r="T1204" s="142"/>
      <c r="U1204" s="141">
        <v>5527</v>
      </c>
      <c r="V1204" s="142"/>
      <c r="W1204" s="42"/>
      <c r="X1204" s="42"/>
      <c r="Y1204" s="42"/>
      <c r="Z1204" s="42"/>
      <c r="AA1204" s="42"/>
      <c r="AB1204" s="42"/>
      <c r="AC1204" s="42"/>
      <c r="AD1204" s="110"/>
      <c r="AE1204" s="46" t="s">
        <v>4</v>
      </c>
      <c r="AF1204" s="141">
        <v>41</v>
      </c>
      <c r="AG1204" s="142"/>
      <c r="AH1204" s="141">
        <v>6538</v>
      </c>
      <c r="AI1204" s="142"/>
      <c r="AJ1204" s="42"/>
      <c r="AK1204" s="42"/>
      <c r="AL1204" s="42"/>
      <c r="AM1204" s="42"/>
      <c r="AN1204" s="42"/>
      <c r="AO1204" s="42"/>
      <c r="AQ1204" s="110"/>
      <c r="AR1204" s="46" t="s">
        <v>4</v>
      </c>
      <c r="AS1204" s="141">
        <v>32</v>
      </c>
      <c r="AT1204" s="142"/>
      <c r="AU1204" s="141">
        <v>5591</v>
      </c>
      <c r="AV1204" s="142"/>
      <c r="AW1204" s="42"/>
      <c r="AX1204" s="42"/>
      <c r="AY1204" s="42"/>
      <c r="AZ1204" s="42"/>
      <c r="BA1204" s="42"/>
      <c r="BB1204" s="42"/>
      <c r="BC1204" s="42"/>
      <c r="BD1204" s="110"/>
      <c r="BE1204" s="46" t="s">
        <v>4</v>
      </c>
      <c r="BF1204" s="141">
        <v>88</v>
      </c>
      <c r="BG1204" s="142"/>
      <c r="BH1204" s="141">
        <v>6474</v>
      </c>
      <c r="BI1204" s="142"/>
      <c r="BJ1204" s="42"/>
      <c r="BK1204" s="42"/>
      <c r="BL1204" s="42"/>
      <c r="BM1204" s="42"/>
      <c r="BN1204" s="42"/>
      <c r="BO1204" s="42"/>
      <c r="BQ1204" s="110"/>
      <c r="BR1204" s="46" t="s">
        <v>4</v>
      </c>
      <c r="BS1204" s="141">
        <v>10</v>
      </c>
      <c r="BT1204" s="142"/>
      <c r="BU1204" s="141">
        <v>5636</v>
      </c>
      <c r="BV1204" s="142"/>
      <c r="BW1204" s="42"/>
      <c r="BX1204" s="42"/>
      <c r="BY1204" s="42"/>
      <c r="BZ1204" s="42"/>
      <c r="CA1204" s="42"/>
      <c r="CB1204" s="42"/>
      <c r="CC1204" s="42"/>
      <c r="CD1204" s="110"/>
      <c r="CE1204" s="46" t="s">
        <v>4</v>
      </c>
      <c r="CF1204" s="141">
        <v>110</v>
      </c>
      <c r="CG1204" s="142"/>
      <c r="CH1204" s="141">
        <v>6429</v>
      </c>
      <c r="CI1204" s="142"/>
      <c r="CJ1204" s="42"/>
      <c r="CK1204" s="42"/>
      <c r="CL1204" s="42"/>
      <c r="CM1204" s="42"/>
      <c r="CN1204" s="42"/>
      <c r="CO1204" s="42"/>
      <c r="CQ1204" s="110"/>
      <c r="CR1204" s="46" t="s">
        <v>4</v>
      </c>
      <c r="CS1204" s="141">
        <v>105</v>
      </c>
      <c r="CT1204" s="142"/>
      <c r="CU1204" s="141">
        <v>2218</v>
      </c>
      <c r="CV1204" s="142"/>
      <c r="CW1204" s="42"/>
      <c r="CX1204" s="42"/>
      <c r="CY1204" s="42"/>
      <c r="CZ1204" s="42"/>
      <c r="DA1204" s="42"/>
      <c r="DB1204" s="42"/>
      <c r="DC1204" s="42"/>
      <c r="DD1204" s="110"/>
      <c r="DE1204" s="46" t="s">
        <v>4</v>
      </c>
      <c r="DF1204" s="141">
        <v>15</v>
      </c>
      <c r="DG1204" s="142"/>
      <c r="DH1204" s="141">
        <v>9847</v>
      </c>
      <c r="DI1204" s="142"/>
      <c r="DJ1204" s="42"/>
      <c r="DK1204" s="42"/>
      <c r="DL1204" s="42"/>
      <c r="DM1204" s="42"/>
      <c r="DN1204" s="42"/>
      <c r="DO1204" s="42"/>
    </row>
    <row r="1205" spans="2:119" ht="15.4" x14ac:dyDescent="0.45">
      <c r="B1205" s="134"/>
      <c r="C1205" s="42"/>
      <c r="D1205" s="110"/>
      <c r="E1205" s="46" t="s">
        <v>5</v>
      </c>
      <c r="F1205" s="141">
        <v>260</v>
      </c>
      <c r="G1205" s="142"/>
      <c r="H1205" s="141">
        <v>21094</v>
      </c>
      <c r="I1205" s="142"/>
      <c r="J1205" s="42"/>
      <c r="K1205" s="42"/>
      <c r="L1205" s="42"/>
      <c r="M1205" s="42"/>
      <c r="N1205" s="42"/>
      <c r="O1205" s="42"/>
      <c r="P1205" s="42"/>
      <c r="Q1205" s="110"/>
      <c r="R1205" s="46" t="s">
        <v>5</v>
      </c>
      <c r="S1205" s="141">
        <v>176</v>
      </c>
      <c r="T1205" s="142"/>
      <c r="U1205" s="141">
        <v>10295</v>
      </c>
      <c r="V1205" s="142"/>
      <c r="W1205" s="42"/>
      <c r="X1205" s="42"/>
      <c r="Y1205" s="42"/>
      <c r="Z1205" s="42"/>
      <c r="AA1205" s="42"/>
      <c r="AB1205" s="42"/>
      <c r="AC1205" s="42"/>
      <c r="AD1205" s="110"/>
      <c r="AE1205" s="46" t="s">
        <v>5</v>
      </c>
      <c r="AF1205" s="141">
        <v>84</v>
      </c>
      <c r="AG1205" s="142"/>
      <c r="AH1205" s="141">
        <v>10799</v>
      </c>
      <c r="AI1205" s="142"/>
      <c r="AJ1205" s="42"/>
      <c r="AK1205" s="42"/>
      <c r="AL1205" s="42"/>
      <c r="AM1205" s="42"/>
      <c r="AN1205" s="42"/>
      <c r="AO1205" s="42"/>
      <c r="AQ1205" s="110"/>
      <c r="AR1205" s="46" t="s">
        <v>5</v>
      </c>
      <c r="AS1205" s="141">
        <v>71</v>
      </c>
      <c r="AT1205" s="142"/>
      <c r="AU1205" s="141">
        <v>8698</v>
      </c>
      <c r="AV1205" s="142"/>
      <c r="AW1205" s="42"/>
      <c r="AX1205" s="42"/>
      <c r="AY1205" s="42"/>
      <c r="AZ1205" s="42"/>
      <c r="BA1205" s="42"/>
      <c r="BB1205" s="42"/>
      <c r="BC1205" s="42"/>
      <c r="BD1205" s="110"/>
      <c r="BE1205" s="46" t="s">
        <v>5</v>
      </c>
      <c r="BF1205" s="141">
        <v>189</v>
      </c>
      <c r="BG1205" s="142"/>
      <c r="BH1205" s="141">
        <v>12396</v>
      </c>
      <c r="BI1205" s="142"/>
      <c r="BJ1205" s="42"/>
      <c r="BK1205" s="42"/>
      <c r="BL1205" s="42"/>
      <c r="BM1205" s="42"/>
      <c r="BN1205" s="42"/>
      <c r="BO1205" s="42"/>
      <c r="BQ1205" s="110"/>
      <c r="BR1205" s="46" t="s">
        <v>5</v>
      </c>
      <c r="BS1205" s="141">
        <v>39</v>
      </c>
      <c r="BT1205" s="142"/>
      <c r="BU1205" s="141">
        <v>7021</v>
      </c>
      <c r="BV1205" s="142"/>
      <c r="BW1205" s="42"/>
      <c r="BX1205" s="42"/>
      <c r="BY1205" s="42"/>
      <c r="BZ1205" s="42"/>
      <c r="CA1205" s="42"/>
      <c r="CB1205" s="42"/>
      <c r="CC1205" s="42"/>
      <c r="CD1205" s="110"/>
      <c r="CE1205" s="46" t="s">
        <v>5</v>
      </c>
      <c r="CF1205" s="141">
        <v>221</v>
      </c>
      <c r="CG1205" s="142"/>
      <c r="CH1205" s="141">
        <v>14073</v>
      </c>
      <c r="CI1205" s="142"/>
      <c r="CJ1205" s="42"/>
      <c r="CK1205" s="42"/>
      <c r="CL1205" s="42"/>
      <c r="CM1205" s="42"/>
      <c r="CN1205" s="42"/>
      <c r="CO1205" s="42"/>
      <c r="CQ1205" s="110"/>
      <c r="CR1205" s="46" t="s">
        <v>5</v>
      </c>
      <c r="CS1205" s="141">
        <v>155</v>
      </c>
      <c r="CT1205" s="142"/>
      <c r="CU1205" s="141">
        <v>3397</v>
      </c>
      <c r="CV1205" s="142"/>
      <c r="CW1205" s="42"/>
      <c r="CX1205" s="42"/>
      <c r="CY1205" s="42"/>
      <c r="CZ1205" s="42"/>
      <c r="DA1205" s="42"/>
      <c r="DB1205" s="42"/>
      <c r="DC1205" s="42"/>
      <c r="DD1205" s="110"/>
      <c r="DE1205" s="46" t="s">
        <v>5</v>
      </c>
      <c r="DF1205" s="141">
        <v>105</v>
      </c>
      <c r="DG1205" s="142"/>
      <c r="DH1205" s="141">
        <v>17697</v>
      </c>
      <c r="DI1205" s="142"/>
      <c r="DJ1205" s="42"/>
      <c r="DK1205" s="42"/>
      <c r="DL1205" s="42"/>
      <c r="DM1205" s="42"/>
      <c r="DN1205" s="42"/>
      <c r="DO1205" s="42"/>
    </row>
    <row r="1206" spans="2:119" ht="15.4" x14ac:dyDescent="0.45">
      <c r="B1206" s="134"/>
      <c r="C1206" s="42"/>
      <c r="D1206" s="110"/>
      <c r="E1206" s="46" t="s">
        <v>6</v>
      </c>
      <c r="F1206" s="141">
        <v>1398</v>
      </c>
      <c r="G1206" s="142"/>
      <c r="H1206" s="141">
        <v>42757</v>
      </c>
      <c r="I1206" s="142"/>
      <c r="J1206" s="42"/>
      <c r="K1206" s="42"/>
      <c r="L1206" s="42"/>
      <c r="M1206" s="42"/>
      <c r="N1206" s="42"/>
      <c r="O1206" s="42"/>
      <c r="P1206" s="42"/>
      <c r="Q1206" s="110"/>
      <c r="R1206" s="46" t="s">
        <v>6</v>
      </c>
      <c r="S1206" s="141">
        <v>977</v>
      </c>
      <c r="T1206" s="142"/>
      <c r="U1206" s="141">
        <v>20893</v>
      </c>
      <c r="V1206" s="142"/>
      <c r="W1206" s="42"/>
      <c r="X1206" s="42"/>
      <c r="Y1206" s="42"/>
      <c r="Z1206" s="42"/>
      <c r="AA1206" s="42"/>
      <c r="AB1206" s="42"/>
      <c r="AC1206" s="42"/>
      <c r="AD1206" s="110"/>
      <c r="AE1206" s="46" t="s">
        <v>6</v>
      </c>
      <c r="AF1206" s="141">
        <v>421</v>
      </c>
      <c r="AG1206" s="142"/>
      <c r="AH1206" s="141">
        <v>21864</v>
      </c>
      <c r="AI1206" s="142"/>
      <c r="AJ1206" s="42"/>
      <c r="AK1206" s="42"/>
      <c r="AL1206" s="42"/>
      <c r="AM1206" s="42"/>
      <c r="AN1206" s="42"/>
      <c r="AO1206" s="42"/>
      <c r="AQ1206" s="110"/>
      <c r="AR1206" s="46" t="s">
        <v>6</v>
      </c>
      <c r="AS1206" s="141">
        <v>341</v>
      </c>
      <c r="AT1206" s="142"/>
      <c r="AU1206" s="141">
        <v>16186</v>
      </c>
      <c r="AV1206" s="142"/>
      <c r="AW1206" s="42"/>
      <c r="AX1206" s="42"/>
      <c r="AY1206" s="42"/>
      <c r="AZ1206" s="42"/>
      <c r="BA1206" s="42"/>
      <c r="BB1206" s="42"/>
      <c r="BC1206" s="42"/>
      <c r="BD1206" s="110"/>
      <c r="BE1206" s="46" t="s">
        <v>6</v>
      </c>
      <c r="BF1206" s="141">
        <v>1057</v>
      </c>
      <c r="BG1206" s="142"/>
      <c r="BH1206" s="141">
        <v>26571</v>
      </c>
      <c r="BI1206" s="142"/>
      <c r="BJ1206" s="42"/>
      <c r="BK1206" s="42"/>
      <c r="BL1206" s="42"/>
      <c r="BM1206" s="42"/>
      <c r="BN1206" s="42"/>
      <c r="BO1206" s="42"/>
      <c r="BQ1206" s="110"/>
      <c r="BR1206" s="46" t="s">
        <v>6</v>
      </c>
      <c r="BS1206" s="141">
        <v>98</v>
      </c>
      <c r="BT1206" s="142"/>
      <c r="BU1206" s="141">
        <v>9378</v>
      </c>
      <c r="BV1206" s="142"/>
      <c r="BW1206" s="42"/>
      <c r="BX1206" s="42"/>
      <c r="BY1206" s="42"/>
      <c r="BZ1206" s="42"/>
      <c r="CA1206" s="42"/>
      <c r="CB1206" s="42"/>
      <c r="CC1206" s="42"/>
      <c r="CD1206" s="110"/>
      <c r="CE1206" s="46" t="s">
        <v>6</v>
      </c>
      <c r="CF1206" s="141">
        <v>1300</v>
      </c>
      <c r="CG1206" s="142"/>
      <c r="CH1206" s="141">
        <v>33379</v>
      </c>
      <c r="CI1206" s="142"/>
      <c r="CJ1206" s="42"/>
      <c r="CK1206" s="42"/>
      <c r="CL1206" s="42"/>
      <c r="CM1206" s="42"/>
      <c r="CN1206" s="42"/>
      <c r="CO1206" s="42"/>
      <c r="CQ1206" s="110"/>
      <c r="CR1206" s="46" t="s">
        <v>6</v>
      </c>
      <c r="CS1206" s="141">
        <v>631</v>
      </c>
      <c r="CT1206" s="142"/>
      <c r="CU1206" s="141">
        <v>6351</v>
      </c>
      <c r="CV1206" s="142"/>
      <c r="CW1206" s="42"/>
      <c r="CX1206" s="42"/>
      <c r="CY1206" s="42"/>
      <c r="CZ1206" s="42"/>
      <c r="DA1206" s="42"/>
      <c r="DB1206" s="42"/>
      <c r="DC1206" s="42"/>
      <c r="DD1206" s="110"/>
      <c r="DE1206" s="46" t="s">
        <v>6</v>
      </c>
      <c r="DF1206" s="141">
        <v>767</v>
      </c>
      <c r="DG1206" s="142"/>
      <c r="DH1206" s="141">
        <v>36406</v>
      </c>
      <c r="DI1206" s="142"/>
      <c r="DJ1206" s="42"/>
      <c r="DK1206" s="42"/>
      <c r="DL1206" s="42"/>
      <c r="DM1206" s="42"/>
      <c r="DN1206" s="42"/>
      <c r="DO1206" s="42"/>
    </row>
    <row r="1207" spans="2:119" ht="15.4" x14ac:dyDescent="0.45">
      <c r="B1207" s="134"/>
      <c r="C1207" s="42"/>
      <c r="D1207" s="110"/>
      <c r="E1207" s="46" t="s">
        <v>7</v>
      </c>
      <c r="F1207" s="141">
        <v>6023</v>
      </c>
      <c r="G1207" s="142"/>
      <c r="H1207" s="141">
        <v>74052</v>
      </c>
      <c r="I1207" s="142"/>
      <c r="J1207" s="42"/>
      <c r="K1207" s="42"/>
      <c r="L1207" s="42"/>
      <c r="M1207" s="42"/>
      <c r="N1207" s="42"/>
      <c r="O1207" s="42"/>
      <c r="P1207" s="42"/>
      <c r="Q1207" s="110"/>
      <c r="R1207" s="46" t="s">
        <v>7</v>
      </c>
      <c r="S1207" s="141">
        <v>4272</v>
      </c>
      <c r="T1207" s="142"/>
      <c r="U1207" s="141">
        <v>35857</v>
      </c>
      <c r="V1207" s="142"/>
      <c r="W1207" s="42"/>
      <c r="X1207" s="42"/>
      <c r="Y1207" s="42"/>
      <c r="Z1207" s="42"/>
      <c r="AA1207" s="42"/>
      <c r="AB1207" s="42"/>
      <c r="AC1207" s="42"/>
      <c r="AD1207" s="110"/>
      <c r="AE1207" s="46" t="s">
        <v>7</v>
      </c>
      <c r="AF1207" s="141">
        <v>1751</v>
      </c>
      <c r="AG1207" s="142"/>
      <c r="AH1207" s="141">
        <v>38195</v>
      </c>
      <c r="AI1207" s="142"/>
      <c r="AJ1207" s="42"/>
      <c r="AK1207" s="42"/>
      <c r="AL1207" s="42"/>
      <c r="AM1207" s="42"/>
      <c r="AN1207" s="42"/>
      <c r="AO1207" s="42"/>
      <c r="AQ1207" s="110"/>
      <c r="AR1207" s="46" t="s">
        <v>7</v>
      </c>
      <c r="AS1207" s="141">
        <v>1337</v>
      </c>
      <c r="AT1207" s="142"/>
      <c r="AU1207" s="141">
        <v>25102</v>
      </c>
      <c r="AV1207" s="142"/>
      <c r="AW1207" s="42"/>
      <c r="AX1207" s="42"/>
      <c r="AY1207" s="42"/>
      <c r="AZ1207" s="42"/>
      <c r="BA1207" s="42"/>
      <c r="BB1207" s="42"/>
      <c r="BC1207" s="42"/>
      <c r="BD1207" s="110"/>
      <c r="BE1207" s="46" t="s">
        <v>7</v>
      </c>
      <c r="BF1207" s="141">
        <v>4686</v>
      </c>
      <c r="BG1207" s="142"/>
      <c r="BH1207" s="141">
        <v>48950</v>
      </c>
      <c r="BI1207" s="142"/>
      <c r="BJ1207" s="42"/>
      <c r="BK1207" s="42"/>
      <c r="BL1207" s="42"/>
      <c r="BM1207" s="42"/>
      <c r="BN1207" s="42"/>
      <c r="BO1207" s="42"/>
      <c r="BQ1207" s="110"/>
      <c r="BR1207" s="46" t="s">
        <v>7</v>
      </c>
      <c r="BS1207" s="141">
        <v>278</v>
      </c>
      <c r="BT1207" s="142"/>
      <c r="BU1207" s="141">
        <v>10738</v>
      </c>
      <c r="BV1207" s="142"/>
      <c r="BW1207" s="42"/>
      <c r="BX1207" s="42"/>
      <c r="BY1207" s="42"/>
      <c r="BZ1207" s="42"/>
      <c r="CA1207" s="42"/>
      <c r="CB1207" s="42"/>
      <c r="CC1207" s="42"/>
      <c r="CD1207" s="110"/>
      <c r="CE1207" s="46" t="s">
        <v>7</v>
      </c>
      <c r="CF1207" s="141">
        <v>5745</v>
      </c>
      <c r="CG1207" s="142"/>
      <c r="CH1207" s="141">
        <v>63314</v>
      </c>
      <c r="CI1207" s="142"/>
      <c r="CJ1207" s="42"/>
      <c r="CK1207" s="42"/>
      <c r="CL1207" s="42"/>
      <c r="CM1207" s="42"/>
      <c r="CN1207" s="42"/>
      <c r="CO1207" s="42"/>
      <c r="CQ1207" s="110"/>
      <c r="CR1207" s="46" t="s">
        <v>7</v>
      </c>
      <c r="CS1207" s="141">
        <v>1984</v>
      </c>
      <c r="CT1207" s="142"/>
      <c r="CU1207" s="141">
        <v>10031</v>
      </c>
      <c r="CV1207" s="142"/>
      <c r="CW1207" s="42"/>
      <c r="CX1207" s="42"/>
      <c r="CY1207" s="42"/>
      <c r="CZ1207" s="42"/>
      <c r="DA1207" s="42"/>
      <c r="DB1207" s="42"/>
      <c r="DC1207" s="42"/>
      <c r="DD1207" s="110"/>
      <c r="DE1207" s="46" t="s">
        <v>7</v>
      </c>
      <c r="DF1207" s="141">
        <v>4039</v>
      </c>
      <c r="DG1207" s="142"/>
      <c r="DH1207" s="141">
        <v>64021</v>
      </c>
      <c r="DI1207" s="142"/>
      <c r="DJ1207" s="42"/>
      <c r="DK1207" s="42"/>
      <c r="DL1207" s="42"/>
      <c r="DM1207" s="42"/>
      <c r="DN1207" s="42"/>
      <c r="DO1207" s="42"/>
    </row>
    <row r="1208" spans="2:119" ht="15.4" x14ac:dyDescent="0.45">
      <c r="B1208" s="134"/>
      <c r="C1208" s="42"/>
      <c r="D1208" s="110"/>
      <c r="E1208" s="46" t="s">
        <v>8</v>
      </c>
      <c r="F1208" s="141">
        <v>17755</v>
      </c>
      <c r="G1208" s="142"/>
      <c r="H1208" s="141">
        <v>86140</v>
      </c>
      <c r="I1208" s="142"/>
      <c r="J1208" s="42"/>
      <c r="K1208" s="42"/>
      <c r="L1208" s="42"/>
      <c r="M1208" s="42"/>
      <c r="N1208" s="42"/>
      <c r="O1208" s="42"/>
      <c r="P1208" s="42"/>
      <c r="Q1208" s="110"/>
      <c r="R1208" s="46" t="s">
        <v>8</v>
      </c>
      <c r="S1208" s="141">
        <v>12225</v>
      </c>
      <c r="T1208" s="142"/>
      <c r="U1208" s="141">
        <v>40652</v>
      </c>
      <c r="V1208" s="142"/>
      <c r="W1208" s="42"/>
      <c r="X1208" s="42"/>
      <c r="Y1208" s="42"/>
      <c r="Z1208" s="42"/>
      <c r="AA1208" s="42"/>
      <c r="AB1208" s="42"/>
      <c r="AC1208" s="42"/>
      <c r="AD1208" s="110"/>
      <c r="AE1208" s="46" t="s">
        <v>8</v>
      </c>
      <c r="AF1208" s="141">
        <v>5530</v>
      </c>
      <c r="AG1208" s="142"/>
      <c r="AH1208" s="141">
        <v>45488</v>
      </c>
      <c r="AI1208" s="142"/>
      <c r="AJ1208" s="42"/>
      <c r="AK1208" s="42"/>
      <c r="AL1208" s="42"/>
      <c r="AM1208" s="42"/>
      <c r="AN1208" s="42"/>
      <c r="AO1208" s="42"/>
      <c r="AQ1208" s="110"/>
      <c r="AR1208" s="46" t="s">
        <v>8</v>
      </c>
      <c r="AS1208" s="141">
        <v>3335</v>
      </c>
      <c r="AT1208" s="142"/>
      <c r="AU1208" s="141">
        <v>25025</v>
      </c>
      <c r="AV1208" s="142"/>
      <c r="AW1208" s="42"/>
      <c r="AX1208" s="42"/>
      <c r="AY1208" s="42"/>
      <c r="AZ1208" s="42"/>
      <c r="BA1208" s="42"/>
      <c r="BB1208" s="42"/>
      <c r="BC1208" s="42"/>
      <c r="BD1208" s="110"/>
      <c r="BE1208" s="46" t="s">
        <v>8</v>
      </c>
      <c r="BF1208" s="141">
        <v>14420</v>
      </c>
      <c r="BG1208" s="142"/>
      <c r="BH1208" s="141">
        <v>61115</v>
      </c>
      <c r="BI1208" s="142"/>
      <c r="BJ1208" s="42"/>
      <c r="BK1208" s="42"/>
      <c r="BL1208" s="42"/>
      <c r="BM1208" s="42"/>
      <c r="BN1208" s="42"/>
      <c r="BO1208" s="42"/>
      <c r="BQ1208" s="110"/>
      <c r="BR1208" s="46" t="s">
        <v>8</v>
      </c>
      <c r="BS1208" s="141">
        <v>633</v>
      </c>
      <c r="BT1208" s="142"/>
      <c r="BU1208" s="141">
        <v>8650</v>
      </c>
      <c r="BV1208" s="142"/>
      <c r="BW1208" s="42"/>
      <c r="BX1208" s="42"/>
      <c r="BY1208" s="42"/>
      <c r="BZ1208" s="42"/>
      <c r="CA1208" s="42"/>
      <c r="CB1208" s="42"/>
      <c r="CC1208" s="42"/>
      <c r="CD1208" s="110"/>
      <c r="CE1208" s="46" t="s">
        <v>8</v>
      </c>
      <c r="CF1208" s="141">
        <v>17122</v>
      </c>
      <c r="CG1208" s="142"/>
      <c r="CH1208" s="141">
        <v>77490</v>
      </c>
      <c r="CI1208" s="142"/>
      <c r="CJ1208" s="42"/>
      <c r="CK1208" s="42"/>
      <c r="CL1208" s="42"/>
      <c r="CM1208" s="42"/>
      <c r="CN1208" s="42"/>
      <c r="CO1208" s="42"/>
      <c r="CQ1208" s="110"/>
      <c r="CR1208" s="46" t="s">
        <v>8</v>
      </c>
      <c r="CS1208" s="141">
        <v>4263</v>
      </c>
      <c r="CT1208" s="142"/>
      <c r="CU1208" s="141">
        <v>9852</v>
      </c>
      <c r="CV1208" s="142"/>
      <c r="CW1208" s="42"/>
      <c r="CX1208" s="42"/>
      <c r="CY1208" s="42"/>
      <c r="CZ1208" s="42"/>
      <c r="DA1208" s="42"/>
      <c r="DB1208" s="42"/>
      <c r="DC1208" s="42"/>
      <c r="DD1208" s="110"/>
      <c r="DE1208" s="46" t="s">
        <v>8</v>
      </c>
      <c r="DF1208" s="141">
        <v>13492</v>
      </c>
      <c r="DG1208" s="142"/>
      <c r="DH1208" s="141">
        <v>76288</v>
      </c>
      <c r="DI1208" s="142"/>
      <c r="DJ1208" s="42"/>
      <c r="DK1208" s="42"/>
      <c r="DL1208" s="42"/>
      <c r="DM1208" s="42"/>
      <c r="DN1208" s="42"/>
      <c r="DO1208" s="42"/>
    </row>
    <row r="1209" spans="2:119" ht="15.4" x14ac:dyDescent="0.45">
      <c r="B1209" s="134"/>
      <c r="C1209" s="42"/>
      <c r="D1209" s="110"/>
      <c r="E1209" s="46" t="s">
        <v>9</v>
      </c>
      <c r="F1209" s="141">
        <v>35638</v>
      </c>
      <c r="G1209" s="142"/>
      <c r="H1209" s="141">
        <v>72100</v>
      </c>
      <c r="I1209" s="142"/>
      <c r="J1209" s="42"/>
      <c r="K1209" s="42"/>
      <c r="L1209" s="42"/>
      <c r="M1209" s="42"/>
      <c r="N1209" s="42"/>
      <c r="O1209" s="42"/>
      <c r="P1209" s="42"/>
      <c r="Q1209" s="110"/>
      <c r="R1209" s="46" t="s">
        <v>9</v>
      </c>
      <c r="S1209" s="141">
        <v>22510</v>
      </c>
      <c r="T1209" s="142"/>
      <c r="U1209" s="141">
        <v>31173</v>
      </c>
      <c r="V1209" s="142"/>
      <c r="W1209" s="42"/>
      <c r="X1209" s="42"/>
      <c r="Y1209" s="42"/>
      <c r="Z1209" s="42"/>
      <c r="AA1209" s="42"/>
      <c r="AB1209" s="42"/>
      <c r="AC1209" s="42"/>
      <c r="AD1209" s="110"/>
      <c r="AE1209" s="46" t="s">
        <v>9</v>
      </c>
      <c r="AF1209" s="141">
        <v>13128</v>
      </c>
      <c r="AG1209" s="142"/>
      <c r="AH1209" s="141">
        <v>40927</v>
      </c>
      <c r="AI1209" s="142"/>
      <c r="AJ1209" s="42"/>
      <c r="AK1209" s="42"/>
      <c r="AL1209" s="42"/>
      <c r="AM1209" s="42"/>
      <c r="AN1209" s="42"/>
      <c r="AO1209" s="42"/>
      <c r="AQ1209" s="110"/>
      <c r="AR1209" s="46" t="s">
        <v>9</v>
      </c>
      <c r="AS1209" s="141">
        <v>5504</v>
      </c>
      <c r="AT1209" s="142"/>
      <c r="AU1209" s="141">
        <v>17183</v>
      </c>
      <c r="AV1209" s="142"/>
      <c r="AW1209" s="42"/>
      <c r="AX1209" s="42"/>
      <c r="AY1209" s="42"/>
      <c r="AZ1209" s="42"/>
      <c r="BA1209" s="42"/>
      <c r="BB1209" s="42"/>
      <c r="BC1209" s="42"/>
      <c r="BD1209" s="110"/>
      <c r="BE1209" s="46" t="s">
        <v>9</v>
      </c>
      <c r="BF1209" s="141">
        <v>30134</v>
      </c>
      <c r="BG1209" s="142"/>
      <c r="BH1209" s="141">
        <v>54917</v>
      </c>
      <c r="BI1209" s="142"/>
      <c r="BJ1209" s="42"/>
      <c r="BK1209" s="42"/>
      <c r="BL1209" s="42"/>
      <c r="BM1209" s="42"/>
      <c r="BN1209" s="42"/>
      <c r="BO1209" s="42"/>
      <c r="BQ1209" s="110"/>
      <c r="BR1209" s="46" t="s">
        <v>9</v>
      </c>
      <c r="BS1209" s="141">
        <v>1123</v>
      </c>
      <c r="BT1209" s="142"/>
      <c r="BU1209" s="141">
        <v>5558</v>
      </c>
      <c r="BV1209" s="142"/>
      <c r="BW1209" s="42"/>
      <c r="BX1209" s="42"/>
      <c r="BY1209" s="42"/>
      <c r="BZ1209" s="42"/>
      <c r="CA1209" s="42"/>
      <c r="CB1209" s="42"/>
      <c r="CC1209" s="42"/>
      <c r="CD1209" s="110"/>
      <c r="CE1209" s="46" t="s">
        <v>9</v>
      </c>
      <c r="CF1209" s="141">
        <v>34515</v>
      </c>
      <c r="CG1209" s="142"/>
      <c r="CH1209" s="141">
        <v>66542</v>
      </c>
      <c r="CI1209" s="142"/>
      <c r="CJ1209" s="42"/>
      <c r="CK1209" s="42"/>
      <c r="CL1209" s="42"/>
      <c r="CM1209" s="42"/>
      <c r="CN1209" s="42"/>
      <c r="CO1209" s="42"/>
      <c r="CQ1209" s="110"/>
      <c r="CR1209" s="46" t="s">
        <v>9</v>
      </c>
      <c r="CS1209" s="141">
        <v>6429</v>
      </c>
      <c r="CT1209" s="142"/>
      <c r="CU1209" s="141">
        <v>7172</v>
      </c>
      <c r="CV1209" s="142"/>
      <c r="CW1209" s="42"/>
      <c r="CX1209" s="42"/>
      <c r="CY1209" s="42"/>
      <c r="CZ1209" s="42"/>
      <c r="DA1209" s="42"/>
      <c r="DB1209" s="42"/>
      <c r="DC1209" s="42"/>
      <c r="DD1209" s="110"/>
      <c r="DE1209" s="46" t="s">
        <v>9</v>
      </c>
      <c r="DF1209" s="141">
        <v>29209</v>
      </c>
      <c r="DG1209" s="142"/>
      <c r="DH1209" s="141">
        <v>64928</v>
      </c>
      <c r="DI1209" s="142"/>
      <c r="DJ1209" s="42"/>
      <c r="DK1209" s="42"/>
      <c r="DL1209" s="42"/>
      <c r="DM1209" s="42"/>
      <c r="DN1209" s="42"/>
      <c r="DO1209" s="42"/>
    </row>
    <row r="1210" spans="2:119" ht="15.4" x14ac:dyDescent="0.45">
      <c r="B1210" s="134"/>
      <c r="C1210" s="42"/>
      <c r="D1210" s="110"/>
      <c r="E1210" s="46" t="s">
        <v>10</v>
      </c>
      <c r="F1210" s="141">
        <v>50381</v>
      </c>
      <c r="G1210" s="142"/>
      <c r="H1210" s="141">
        <v>42775</v>
      </c>
      <c r="I1210" s="142"/>
      <c r="J1210" s="42"/>
      <c r="K1210" s="42"/>
      <c r="L1210" s="42"/>
      <c r="M1210" s="42"/>
      <c r="N1210" s="42"/>
      <c r="O1210" s="42"/>
      <c r="P1210" s="42"/>
      <c r="Q1210" s="110"/>
      <c r="R1210" s="46" t="s">
        <v>10</v>
      </c>
      <c r="S1210" s="141">
        <v>27860</v>
      </c>
      <c r="T1210" s="142"/>
      <c r="U1210" s="141">
        <v>16864</v>
      </c>
      <c r="V1210" s="142"/>
      <c r="W1210" s="42"/>
      <c r="X1210" s="42"/>
      <c r="Y1210" s="42"/>
      <c r="Z1210" s="42"/>
      <c r="AA1210" s="42"/>
      <c r="AB1210" s="42"/>
      <c r="AC1210" s="42"/>
      <c r="AD1210" s="110"/>
      <c r="AE1210" s="46" t="s">
        <v>10</v>
      </c>
      <c r="AF1210" s="141">
        <v>22521</v>
      </c>
      <c r="AG1210" s="142"/>
      <c r="AH1210" s="141">
        <v>25911</v>
      </c>
      <c r="AI1210" s="142"/>
      <c r="AJ1210" s="42"/>
      <c r="AK1210" s="42"/>
      <c r="AL1210" s="42"/>
      <c r="AM1210" s="42"/>
      <c r="AN1210" s="42"/>
      <c r="AO1210" s="42"/>
      <c r="AQ1210" s="110"/>
      <c r="AR1210" s="46" t="s">
        <v>10</v>
      </c>
      <c r="AS1210" s="141">
        <v>5618</v>
      </c>
      <c r="AT1210" s="142"/>
      <c r="AU1210" s="141">
        <v>8059</v>
      </c>
      <c r="AV1210" s="142"/>
      <c r="AW1210" s="42"/>
      <c r="AX1210" s="42"/>
      <c r="AY1210" s="42"/>
      <c r="AZ1210" s="42"/>
      <c r="BA1210" s="42"/>
      <c r="BB1210" s="42"/>
      <c r="BC1210" s="42"/>
      <c r="BD1210" s="110"/>
      <c r="BE1210" s="46" t="s">
        <v>10</v>
      </c>
      <c r="BF1210" s="141">
        <v>44763</v>
      </c>
      <c r="BG1210" s="142"/>
      <c r="BH1210" s="141">
        <v>34716</v>
      </c>
      <c r="BI1210" s="142"/>
      <c r="BJ1210" s="42"/>
      <c r="BK1210" s="42"/>
      <c r="BL1210" s="42"/>
      <c r="BM1210" s="42"/>
      <c r="BN1210" s="42"/>
      <c r="BO1210" s="42"/>
      <c r="BQ1210" s="110"/>
      <c r="BR1210" s="46" t="s">
        <v>10</v>
      </c>
      <c r="BS1210" s="141">
        <v>1409</v>
      </c>
      <c r="BT1210" s="142"/>
      <c r="BU1210" s="141">
        <v>2594</v>
      </c>
      <c r="BV1210" s="142"/>
      <c r="BW1210" s="42"/>
      <c r="BX1210" s="42"/>
      <c r="BY1210" s="42"/>
      <c r="BZ1210" s="42"/>
      <c r="CA1210" s="42"/>
      <c r="CB1210" s="42"/>
      <c r="CC1210" s="42"/>
      <c r="CD1210" s="110"/>
      <c r="CE1210" s="46" t="s">
        <v>10</v>
      </c>
      <c r="CF1210" s="141">
        <v>48972</v>
      </c>
      <c r="CG1210" s="142"/>
      <c r="CH1210" s="141">
        <v>40181</v>
      </c>
      <c r="CI1210" s="142"/>
      <c r="CJ1210" s="42"/>
      <c r="CK1210" s="42"/>
      <c r="CL1210" s="42"/>
      <c r="CM1210" s="42"/>
      <c r="CN1210" s="42"/>
      <c r="CO1210" s="42"/>
      <c r="CQ1210" s="110"/>
      <c r="CR1210" s="46" t="s">
        <v>10</v>
      </c>
      <c r="CS1210" s="141">
        <v>7463</v>
      </c>
      <c r="CT1210" s="142"/>
      <c r="CU1210" s="141">
        <v>4080</v>
      </c>
      <c r="CV1210" s="142"/>
      <c r="CW1210" s="42"/>
      <c r="CX1210" s="42"/>
      <c r="CY1210" s="42"/>
      <c r="CZ1210" s="42"/>
      <c r="DA1210" s="42"/>
      <c r="DB1210" s="42"/>
      <c r="DC1210" s="42"/>
      <c r="DD1210" s="110"/>
      <c r="DE1210" s="46" t="s">
        <v>10</v>
      </c>
      <c r="DF1210" s="141">
        <v>42918</v>
      </c>
      <c r="DG1210" s="142"/>
      <c r="DH1210" s="141">
        <v>38695</v>
      </c>
      <c r="DI1210" s="142"/>
      <c r="DJ1210" s="42"/>
      <c r="DK1210" s="42"/>
      <c r="DL1210" s="42"/>
      <c r="DM1210" s="42"/>
      <c r="DN1210" s="42"/>
      <c r="DO1210" s="42"/>
    </row>
    <row r="1211" spans="2:119" ht="15.4" x14ac:dyDescent="0.45">
      <c r="B1211" s="134"/>
      <c r="C1211" s="42"/>
      <c r="D1211" s="111"/>
      <c r="E1211" s="46" t="s">
        <v>11</v>
      </c>
      <c r="F1211" s="141">
        <v>16400</v>
      </c>
      <c r="G1211" s="142"/>
      <c r="H1211" s="141">
        <v>6203</v>
      </c>
      <c r="I1211" s="142"/>
      <c r="J1211" s="42"/>
      <c r="K1211" s="42"/>
      <c r="L1211" s="42"/>
      <c r="M1211" s="42"/>
      <c r="N1211" s="42"/>
      <c r="O1211" s="42"/>
      <c r="P1211" s="42"/>
      <c r="Q1211" s="111"/>
      <c r="R1211" s="46" t="s">
        <v>11</v>
      </c>
      <c r="S1211" s="141">
        <v>8602</v>
      </c>
      <c r="T1211" s="142"/>
      <c r="U1211" s="141">
        <v>2553</v>
      </c>
      <c r="V1211" s="142"/>
      <c r="W1211" s="42"/>
      <c r="X1211" s="42"/>
      <c r="Y1211" s="42"/>
      <c r="Z1211" s="42"/>
      <c r="AA1211" s="42"/>
      <c r="AB1211" s="42"/>
      <c r="AC1211" s="42"/>
      <c r="AD1211" s="111"/>
      <c r="AE1211" s="46" t="s">
        <v>11</v>
      </c>
      <c r="AF1211" s="141">
        <v>7798</v>
      </c>
      <c r="AG1211" s="142"/>
      <c r="AH1211" s="141">
        <v>3650</v>
      </c>
      <c r="AI1211" s="142"/>
      <c r="AJ1211" s="42"/>
      <c r="AK1211" s="42"/>
      <c r="AL1211" s="42"/>
      <c r="AM1211" s="42"/>
      <c r="AN1211" s="42"/>
      <c r="AO1211" s="42"/>
      <c r="AQ1211" s="111"/>
      <c r="AR1211" s="46" t="s">
        <v>11</v>
      </c>
      <c r="AS1211" s="141">
        <v>1145</v>
      </c>
      <c r="AT1211" s="142"/>
      <c r="AU1211" s="141">
        <v>800</v>
      </c>
      <c r="AV1211" s="142"/>
      <c r="AW1211" s="42"/>
      <c r="AX1211" s="42"/>
      <c r="AY1211" s="42"/>
      <c r="AZ1211" s="42"/>
      <c r="BA1211" s="42"/>
      <c r="BB1211" s="42"/>
      <c r="BC1211" s="42"/>
      <c r="BD1211" s="111"/>
      <c r="BE1211" s="46" t="s">
        <v>11</v>
      </c>
      <c r="BF1211" s="141">
        <v>15255</v>
      </c>
      <c r="BG1211" s="142"/>
      <c r="BH1211" s="141">
        <v>5403</v>
      </c>
      <c r="BI1211" s="142"/>
      <c r="BJ1211" s="42"/>
      <c r="BK1211" s="42"/>
      <c r="BL1211" s="42"/>
      <c r="BM1211" s="42"/>
      <c r="BN1211" s="42"/>
      <c r="BO1211" s="42"/>
      <c r="BQ1211" s="111"/>
      <c r="BR1211" s="46" t="s">
        <v>11</v>
      </c>
      <c r="BS1211" s="141">
        <v>382</v>
      </c>
      <c r="BT1211" s="142"/>
      <c r="BU1211" s="141">
        <v>355</v>
      </c>
      <c r="BV1211" s="142"/>
      <c r="BW1211" s="42"/>
      <c r="BX1211" s="42"/>
      <c r="BY1211" s="42"/>
      <c r="BZ1211" s="42"/>
      <c r="CA1211" s="42"/>
      <c r="CB1211" s="42"/>
      <c r="CC1211" s="42"/>
      <c r="CD1211" s="111"/>
      <c r="CE1211" s="46" t="s">
        <v>11</v>
      </c>
      <c r="CF1211" s="141">
        <v>16018</v>
      </c>
      <c r="CG1211" s="142"/>
      <c r="CH1211" s="141">
        <v>5848</v>
      </c>
      <c r="CI1211" s="142"/>
      <c r="CJ1211" s="42"/>
      <c r="CK1211" s="42"/>
      <c r="CL1211" s="42"/>
      <c r="CM1211" s="42"/>
      <c r="CN1211" s="42"/>
      <c r="CO1211" s="42"/>
      <c r="CQ1211" s="111"/>
      <c r="CR1211" s="46" t="s">
        <v>11</v>
      </c>
      <c r="CS1211" s="141">
        <v>2035</v>
      </c>
      <c r="CT1211" s="142"/>
      <c r="CU1211" s="141">
        <v>499</v>
      </c>
      <c r="CV1211" s="142"/>
      <c r="CW1211" s="42"/>
      <c r="CX1211" s="42"/>
      <c r="CY1211" s="42"/>
      <c r="CZ1211" s="42"/>
      <c r="DA1211" s="42"/>
      <c r="DB1211" s="42"/>
      <c r="DC1211" s="42"/>
      <c r="DD1211" s="111"/>
      <c r="DE1211" s="46" t="s">
        <v>11</v>
      </c>
      <c r="DF1211" s="141">
        <v>14365</v>
      </c>
      <c r="DG1211" s="142"/>
      <c r="DH1211" s="141">
        <v>5704</v>
      </c>
      <c r="DI1211" s="142"/>
      <c r="DJ1211" s="42"/>
      <c r="DK1211" s="42"/>
      <c r="DL1211" s="42"/>
      <c r="DM1211" s="42"/>
      <c r="DN1211" s="42"/>
      <c r="DO1211" s="42"/>
    </row>
    <row r="1212" spans="2:119" ht="15.75" x14ac:dyDescent="0.5">
      <c r="B1212" s="99"/>
      <c r="C1212" s="42"/>
      <c r="D1212" s="42"/>
      <c r="E1212" s="50"/>
      <c r="F1212" s="42"/>
      <c r="G1212" s="42"/>
      <c r="H1212" s="42"/>
      <c r="I1212" s="42"/>
      <c r="J1212" s="42"/>
      <c r="K1212" s="42"/>
      <c r="L1212" s="42"/>
      <c r="M1212" s="42"/>
      <c r="N1212" s="42"/>
      <c r="O1212" s="42"/>
      <c r="P1212" s="42"/>
      <c r="Q1212" s="42"/>
      <c r="R1212" s="42"/>
      <c r="S1212" s="42"/>
      <c r="T1212" s="42"/>
      <c r="U1212" s="42"/>
      <c r="V1212" s="42"/>
      <c r="W1212" s="42"/>
      <c r="X1212" s="42"/>
      <c r="Y1212" s="42"/>
      <c r="Z1212" s="42"/>
      <c r="AA1212" s="42"/>
      <c r="AB1212" s="42"/>
      <c r="AC1212" s="42"/>
      <c r="AD1212" s="42"/>
      <c r="AE1212" s="42"/>
      <c r="AF1212" s="42"/>
      <c r="AG1212" s="42"/>
      <c r="AH1212" s="42"/>
      <c r="AI1212" s="42"/>
      <c r="AJ1212" s="42"/>
      <c r="AK1212" s="42"/>
      <c r="AL1212" s="42"/>
      <c r="AM1212" s="42"/>
      <c r="AN1212" s="42"/>
      <c r="AO1212" s="42"/>
      <c r="AQ1212" s="42"/>
      <c r="AR1212" s="42"/>
      <c r="AS1212" s="42"/>
      <c r="AT1212" s="42"/>
      <c r="AU1212" s="42"/>
      <c r="AV1212" s="42"/>
      <c r="AW1212" s="42"/>
      <c r="AX1212" s="42"/>
      <c r="AY1212" s="42"/>
      <c r="AZ1212" s="42"/>
      <c r="BA1212" s="42"/>
      <c r="BB1212" s="42"/>
      <c r="BC1212" s="42"/>
      <c r="BD1212" s="42"/>
      <c r="BE1212" s="42"/>
      <c r="BF1212" s="42"/>
      <c r="BG1212" s="42"/>
      <c r="BH1212" s="42"/>
      <c r="BI1212" s="42"/>
      <c r="BJ1212" s="42"/>
      <c r="BK1212" s="42"/>
      <c r="BL1212" s="42"/>
      <c r="BM1212" s="42"/>
      <c r="BN1212" s="42"/>
      <c r="BO1212" s="42"/>
      <c r="BQ1212" s="42"/>
      <c r="BR1212" s="42"/>
      <c r="BS1212" s="42"/>
      <c r="BT1212" s="42"/>
      <c r="BU1212" s="42"/>
      <c r="BV1212" s="42"/>
      <c r="BW1212" s="42"/>
      <c r="BX1212" s="42"/>
      <c r="BY1212" s="42"/>
      <c r="BZ1212" s="42"/>
      <c r="CA1212" s="42"/>
      <c r="CB1212" s="42"/>
      <c r="CC1212" s="42"/>
      <c r="CD1212" s="42"/>
      <c r="CE1212" s="42"/>
      <c r="CF1212" s="42"/>
      <c r="CG1212" s="42"/>
      <c r="CH1212" s="42"/>
      <c r="CI1212" s="42"/>
      <c r="CJ1212" s="42"/>
      <c r="CK1212" s="42"/>
      <c r="CL1212" s="42"/>
      <c r="CM1212" s="42"/>
      <c r="CN1212" s="42"/>
      <c r="CO1212" s="42"/>
      <c r="CQ1212" s="42"/>
      <c r="CR1212" s="42"/>
      <c r="CS1212" s="42"/>
      <c r="CT1212" s="42"/>
      <c r="CU1212" s="42"/>
      <c r="CV1212" s="42"/>
      <c r="CW1212" s="42"/>
      <c r="CX1212" s="42"/>
      <c r="CY1212" s="42"/>
      <c r="CZ1212" s="42"/>
      <c r="DA1212" s="42"/>
      <c r="DB1212" s="42"/>
      <c r="DC1212" s="42"/>
      <c r="DD1212" s="42"/>
      <c r="DE1212" s="42"/>
      <c r="DF1212" s="42"/>
      <c r="DG1212" s="42"/>
      <c r="DH1212" s="42"/>
      <c r="DI1212" s="42"/>
      <c r="DJ1212" s="42"/>
      <c r="DK1212" s="42"/>
      <c r="DL1212" s="42"/>
      <c r="DM1212" s="42"/>
      <c r="DN1212" s="42"/>
      <c r="DO1212" s="42"/>
    </row>
    <row r="1213" spans="2:119" ht="18.75" customHeight="1" x14ac:dyDescent="0.55000000000000004">
      <c r="B1213" s="99"/>
      <c r="C1213" s="42"/>
      <c r="D1213" s="112" t="s">
        <v>16</v>
      </c>
      <c r="E1213" s="112"/>
      <c r="F1213" s="45"/>
      <c r="G1213" s="45"/>
      <c r="H1213" s="42"/>
      <c r="I1213" s="42"/>
      <c r="J1213" s="42"/>
      <c r="K1213" s="42"/>
      <c r="L1213" s="42"/>
      <c r="M1213" s="42"/>
      <c r="N1213" s="42"/>
      <c r="O1213" s="42"/>
      <c r="P1213" s="42"/>
      <c r="Q1213" s="112" t="s">
        <v>16</v>
      </c>
      <c r="R1213" s="112"/>
      <c r="S1213" s="45"/>
      <c r="T1213" s="45"/>
      <c r="U1213" s="42"/>
      <c r="V1213" s="42"/>
      <c r="W1213" s="42"/>
      <c r="X1213" s="42"/>
      <c r="Y1213" s="42"/>
      <c r="Z1213" s="42"/>
      <c r="AA1213" s="42"/>
      <c r="AB1213" s="42"/>
      <c r="AC1213" s="42"/>
      <c r="AD1213" s="112" t="s">
        <v>16</v>
      </c>
      <c r="AE1213" s="112"/>
      <c r="AF1213" s="45"/>
      <c r="AG1213" s="45"/>
      <c r="AH1213" s="42"/>
      <c r="AI1213" s="42"/>
      <c r="AJ1213" s="42"/>
      <c r="AK1213" s="42"/>
      <c r="AL1213" s="42"/>
      <c r="AM1213" s="42"/>
      <c r="AN1213" s="42"/>
      <c r="AO1213" s="42"/>
      <c r="AQ1213" s="112" t="s">
        <v>16</v>
      </c>
      <c r="AR1213" s="112"/>
      <c r="AS1213" s="45"/>
      <c r="AT1213" s="45"/>
      <c r="AU1213" s="42"/>
      <c r="AV1213" s="42"/>
      <c r="AW1213" s="42"/>
      <c r="AX1213" s="42"/>
      <c r="AY1213" s="42"/>
      <c r="AZ1213" s="42"/>
      <c r="BA1213" s="42"/>
      <c r="BB1213" s="42"/>
      <c r="BC1213" s="42"/>
      <c r="BD1213" s="112" t="s">
        <v>16</v>
      </c>
      <c r="BE1213" s="112"/>
      <c r="BF1213" s="45"/>
      <c r="BG1213" s="45"/>
      <c r="BH1213" s="42"/>
      <c r="BI1213" s="42"/>
      <c r="BJ1213" s="42"/>
      <c r="BK1213" s="42"/>
      <c r="BL1213" s="42"/>
      <c r="BM1213" s="42"/>
      <c r="BN1213" s="42"/>
      <c r="BO1213" s="42"/>
      <c r="BQ1213" s="112" t="s">
        <v>16</v>
      </c>
      <c r="BR1213" s="112"/>
      <c r="BS1213" s="45"/>
      <c r="BT1213" s="45"/>
      <c r="BU1213" s="42"/>
      <c r="BV1213" s="42"/>
      <c r="BW1213" s="42"/>
      <c r="BX1213" s="42"/>
      <c r="BY1213" s="42"/>
      <c r="BZ1213" s="42"/>
      <c r="CA1213" s="42"/>
      <c r="CB1213" s="42"/>
      <c r="CC1213" s="42"/>
      <c r="CD1213" s="112" t="s">
        <v>16</v>
      </c>
      <c r="CE1213" s="112"/>
      <c r="CF1213" s="45"/>
      <c r="CG1213" s="45"/>
      <c r="CH1213" s="42"/>
      <c r="CI1213" s="42"/>
      <c r="CJ1213" s="42"/>
      <c r="CK1213" s="42"/>
      <c r="CL1213" s="42"/>
      <c r="CM1213" s="42"/>
      <c r="CN1213" s="42"/>
      <c r="CO1213" s="42"/>
      <c r="CQ1213" s="112" t="s">
        <v>16</v>
      </c>
      <c r="CR1213" s="112"/>
      <c r="CS1213" s="45"/>
      <c r="CT1213" s="45"/>
      <c r="CU1213" s="42"/>
      <c r="CV1213" s="42"/>
      <c r="CW1213" s="42"/>
      <c r="CX1213" s="42"/>
      <c r="CY1213" s="42"/>
      <c r="CZ1213" s="42"/>
      <c r="DA1213" s="42"/>
      <c r="DB1213" s="42"/>
      <c r="DC1213" s="42"/>
      <c r="DD1213" s="112" t="s">
        <v>16</v>
      </c>
      <c r="DE1213" s="112"/>
      <c r="DF1213" s="45"/>
      <c r="DG1213" s="45"/>
      <c r="DH1213" s="42"/>
      <c r="DI1213" s="42"/>
      <c r="DJ1213" s="42"/>
      <c r="DK1213" s="42"/>
      <c r="DL1213" s="42"/>
      <c r="DM1213" s="42"/>
      <c r="DN1213" s="42"/>
      <c r="DO1213" s="42"/>
    </row>
    <row r="1214" spans="2:119" ht="28.9" customHeight="1" x14ac:dyDescent="0.45">
      <c r="B1214" s="99"/>
      <c r="C1214" s="42"/>
      <c r="D1214" s="112"/>
      <c r="E1214" s="112"/>
      <c r="F1214" s="108" t="s">
        <v>58</v>
      </c>
      <c r="G1214" s="108"/>
      <c r="H1214" s="108"/>
      <c r="I1214" s="108"/>
      <c r="J1214" s="42"/>
      <c r="K1214" s="42"/>
      <c r="L1214" s="42"/>
      <c r="M1214" s="42"/>
      <c r="N1214" s="42"/>
      <c r="O1214" s="42"/>
      <c r="P1214" s="42"/>
      <c r="Q1214" s="112"/>
      <c r="R1214" s="112"/>
      <c r="S1214" s="108" t="s">
        <v>58</v>
      </c>
      <c r="T1214" s="108"/>
      <c r="U1214" s="108"/>
      <c r="V1214" s="108"/>
      <c r="W1214" s="42"/>
      <c r="X1214" s="42"/>
      <c r="Y1214" s="42"/>
      <c r="Z1214" s="42"/>
      <c r="AA1214" s="42"/>
      <c r="AB1214" s="42"/>
      <c r="AC1214" s="42"/>
      <c r="AD1214" s="112"/>
      <c r="AE1214" s="112"/>
      <c r="AF1214" s="108" t="s">
        <v>58</v>
      </c>
      <c r="AG1214" s="108"/>
      <c r="AH1214" s="108"/>
      <c r="AI1214" s="108"/>
      <c r="AJ1214" s="42"/>
      <c r="AK1214" s="42"/>
      <c r="AL1214" s="42"/>
      <c r="AM1214" s="42"/>
      <c r="AN1214" s="42"/>
      <c r="AO1214" s="42"/>
      <c r="AQ1214" s="112"/>
      <c r="AR1214" s="112"/>
      <c r="AS1214" s="108" t="s">
        <v>58</v>
      </c>
      <c r="AT1214" s="108"/>
      <c r="AU1214" s="108"/>
      <c r="AV1214" s="108"/>
      <c r="AW1214" s="42"/>
      <c r="AX1214" s="42"/>
      <c r="AY1214" s="42"/>
      <c r="AZ1214" s="42"/>
      <c r="BA1214" s="42"/>
      <c r="BB1214" s="42"/>
      <c r="BC1214" s="42"/>
      <c r="BD1214" s="112"/>
      <c r="BE1214" s="112"/>
      <c r="BF1214" s="108" t="s">
        <v>58</v>
      </c>
      <c r="BG1214" s="108"/>
      <c r="BH1214" s="108"/>
      <c r="BI1214" s="108"/>
      <c r="BJ1214" s="42"/>
      <c r="BK1214" s="42"/>
      <c r="BL1214" s="42"/>
      <c r="BM1214" s="42"/>
      <c r="BN1214" s="42"/>
      <c r="BO1214" s="42"/>
      <c r="BQ1214" s="112"/>
      <c r="BR1214" s="112"/>
      <c r="BS1214" s="108" t="s">
        <v>58</v>
      </c>
      <c r="BT1214" s="108"/>
      <c r="BU1214" s="108"/>
      <c r="BV1214" s="108"/>
      <c r="BW1214" s="42"/>
      <c r="BX1214" s="42"/>
      <c r="BY1214" s="42"/>
      <c r="BZ1214" s="42"/>
      <c r="CA1214" s="42"/>
      <c r="CB1214" s="42"/>
      <c r="CC1214" s="42"/>
      <c r="CD1214" s="112"/>
      <c r="CE1214" s="112"/>
      <c r="CF1214" s="108" t="s">
        <v>58</v>
      </c>
      <c r="CG1214" s="108"/>
      <c r="CH1214" s="108"/>
      <c r="CI1214" s="108"/>
      <c r="CJ1214" s="42"/>
      <c r="CK1214" s="42"/>
      <c r="CL1214" s="42"/>
      <c r="CM1214" s="42"/>
      <c r="CN1214" s="42"/>
      <c r="CO1214" s="42"/>
      <c r="CQ1214" s="112"/>
      <c r="CR1214" s="112"/>
      <c r="CS1214" s="108" t="s">
        <v>58</v>
      </c>
      <c r="CT1214" s="108"/>
      <c r="CU1214" s="108"/>
      <c r="CV1214" s="108"/>
      <c r="CW1214" s="42"/>
      <c r="CX1214" s="42"/>
      <c r="CY1214" s="42"/>
      <c r="CZ1214" s="42"/>
      <c r="DA1214" s="42"/>
      <c r="DB1214" s="42"/>
      <c r="DC1214" s="42"/>
      <c r="DD1214" s="112"/>
      <c r="DE1214" s="112"/>
      <c r="DF1214" s="108" t="s">
        <v>58</v>
      </c>
      <c r="DG1214" s="108"/>
      <c r="DH1214" s="108"/>
      <c r="DI1214" s="108"/>
      <c r="DJ1214" s="42"/>
      <c r="DK1214" s="42"/>
      <c r="DL1214" s="42"/>
      <c r="DM1214" s="42"/>
      <c r="DN1214" s="42"/>
      <c r="DO1214" s="42"/>
    </row>
    <row r="1215" spans="2:119" ht="15" customHeight="1" x14ac:dyDescent="0.45">
      <c r="B1215" s="99"/>
      <c r="C1215" s="42"/>
      <c r="D1215" s="113"/>
      <c r="E1215" s="113"/>
      <c r="F1215" s="143" t="s">
        <v>64</v>
      </c>
      <c r="G1215" s="144"/>
      <c r="H1215" s="143" t="s">
        <v>110</v>
      </c>
      <c r="I1215" s="144"/>
      <c r="J1215" s="42"/>
      <c r="K1215" s="42"/>
      <c r="L1215" s="42"/>
      <c r="M1215" s="42"/>
      <c r="N1215" s="42"/>
      <c r="O1215" s="42"/>
      <c r="P1215" s="42"/>
      <c r="Q1215" s="113"/>
      <c r="R1215" s="113"/>
      <c r="S1215" s="143" t="s">
        <v>64</v>
      </c>
      <c r="T1215" s="144"/>
      <c r="U1215" s="143" t="s">
        <v>110</v>
      </c>
      <c r="V1215" s="144"/>
      <c r="W1215" s="42"/>
      <c r="X1215" s="42"/>
      <c r="Y1215" s="42"/>
      <c r="Z1215" s="42"/>
      <c r="AA1215" s="42"/>
      <c r="AB1215" s="42"/>
      <c r="AC1215" s="42"/>
      <c r="AD1215" s="113"/>
      <c r="AE1215" s="113"/>
      <c r="AF1215" s="143" t="s">
        <v>64</v>
      </c>
      <c r="AG1215" s="144"/>
      <c r="AH1215" s="143" t="s">
        <v>110</v>
      </c>
      <c r="AI1215" s="144"/>
      <c r="AJ1215" s="42"/>
      <c r="AK1215" s="42"/>
      <c r="AL1215" s="42"/>
      <c r="AM1215" s="42"/>
      <c r="AN1215" s="42"/>
      <c r="AO1215" s="42"/>
      <c r="AQ1215" s="113"/>
      <c r="AR1215" s="113"/>
      <c r="AS1215" s="143" t="s">
        <v>64</v>
      </c>
      <c r="AT1215" s="144"/>
      <c r="AU1215" s="143" t="s">
        <v>110</v>
      </c>
      <c r="AV1215" s="144"/>
      <c r="AW1215" s="42"/>
      <c r="AX1215" s="42"/>
      <c r="AY1215" s="42"/>
      <c r="AZ1215" s="42"/>
      <c r="BA1215" s="42"/>
      <c r="BB1215" s="42"/>
      <c r="BC1215" s="42"/>
      <c r="BD1215" s="113"/>
      <c r="BE1215" s="113"/>
      <c r="BF1215" s="143" t="s">
        <v>64</v>
      </c>
      <c r="BG1215" s="144"/>
      <c r="BH1215" s="143" t="s">
        <v>110</v>
      </c>
      <c r="BI1215" s="144"/>
      <c r="BJ1215" s="42"/>
      <c r="BK1215" s="42"/>
      <c r="BL1215" s="42"/>
      <c r="BM1215" s="42"/>
      <c r="BN1215" s="42"/>
      <c r="BO1215" s="42"/>
      <c r="BQ1215" s="113"/>
      <c r="BR1215" s="113"/>
      <c r="BS1215" s="143" t="s">
        <v>64</v>
      </c>
      <c r="BT1215" s="144"/>
      <c r="BU1215" s="143" t="s">
        <v>110</v>
      </c>
      <c r="BV1215" s="144"/>
      <c r="BW1215" s="42"/>
      <c r="BX1215" s="42"/>
      <c r="BY1215" s="42"/>
      <c r="BZ1215" s="42"/>
      <c r="CA1215" s="42"/>
      <c r="CB1215" s="42"/>
      <c r="CC1215" s="42"/>
      <c r="CD1215" s="113"/>
      <c r="CE1215" s="113"/>
      <c r="CF1215" s="143" t="s">
        <v>64</v>
      </c>
      <c r="CG1215" s="144"/>
      <c r="CH1215" s="143" t="s">
        <v>110</v>
      </c>
      <c r="CI1215" s="144"/>
      <c r="CJ1215" s="42"/>
      <c r="CK1215" s="42"/>
      <c r="CL1215" s="42"/>
      <c r="CM1215" s="42"/>
      <c r="CN1215" s="42"/>
      <c r="CO1215" s="42"/>
      <c r="CQ1215" s="113"/>
      <c r="CR1215" s="113"/>
      <c r="CS1215" s="143" t="s">
        <v>64</v>
      </c>
      <c r="CT1215" s="144"/>
      <c r="CU1215" s="143" t="s">
        <v>110</v>
      </c>
      <c r="CV1215" s="144"/>
      <c r="CW1215" s="42"/>
      <c r="CX1215" s="42"/>
      <c r="CY1215" s="42"/>
      <c r="CZ1215" s="42"/>
      <c r="DA1215" s="42"/>
      <c r="DB1215" s="42"/>
      <c r="DC1215" s="42"/>
      <c r="DD1215" s="113"/>
      <c r="DE1215" s="113"/>
      <c r="DF1215" s="143" t="s">
        <v>64</v>
      </c>
      <c r="DG1215" s="144"/>
      <c r="DH1215" s="143" t="s">
        <v>110</v>
      </c>
      <c r="DI1215" s="144"/>
      <c r="DJ1215" s="42"/>
      <c r="DK1215" s="42"/>
      <c r="DL1215" s="42"/>
      <c r="DM1215" s="42"/>
      <c r="DN1215" s="42"/>
      <c r="DO1215" s="42"/>
    </row>
    <row r="1216" spans="2:119" ht="15.4" customHeight="1" x14ac:dyDescent="0.45">
      <c r="B1216" s="99"/>
      <c r="C1216" s="42"/>
      <c r="D1216" s="109" t="s">
        <v>13</v>
      </c>
      <c r="E1216" s="46" t="s">
        <v>1</v>
      </c>
      <c r="F1216" s="141">
        <v>0.26031982149497956</v>
      </c>
      <c r="G1216" s="142"/>
      <c r="H1216" s="141">
        <v>99.739680178505026</v>
      </c>
      <c r="I1216" s="142"/>
      <c r="J1216" s="42"/>
      <c r="K1216" s="42"/>
      <c r="L1216" s="42"/>
      <c r="M1216" s="42"/>
      <c r="N1216" s="42"/>
      <c r="O1216" s="42"/>
      <c r="P1216" s="42"/>
      <c r="Q1216" s="109" t="s">
        <v>13</v>
      </c>
      <c r="R1216" s="46" t="s">
        <v>1</v>
      </c>
      <c r="S1216" s="141">
        <v>0.53590568060021437</v>
      </c>
      <c r="T1216" s="142"/>
      <c r="U1216" s="141">
        <v>99.464094319399791</v>
      </c>
      <c r="V1216" s="142"/>
      <c r="W1216" s="42"/>
      <c r="X1216" s="42"/>
      <c r="Y1216" s="42"/>
      <c r="Z1216" s="42"/>
      <c r="AA1216" s="42"/>
      <c r="AB1216" s="42"/>
      <c r="AC1216" s="42"/>
      <c r="AD1216" s="109" t="s">
        <v>13</v>
      </c>
      <c r="AE1216" s="46" t="s">
        <v>1</v>
      </c>
      <c r="AF1216" s="141">
        <v>0.11389521640091116</v>
      </c>
      <c r="AG1216" s="142"/>
      <c r="AH1216" s="141">
        <v>99.88610478359908</v>
      </c>
      <c r="AI1216" s="142"/>
      <c r="AJ1216" s="42"/>
      <c r="AK1216" s="42"/>
      <c r="AL1216" s="42"/>
      <c r="AM1216" s="42"/>
      <c r="AN1216" s="42"/>
      <c r="AO1216" s="42"/>
      <c r="AQ1216" s="109" t="s">
        <v>13</v>
      </c>
      <c r="AR1216" s="46" t="s">
        <v>1</v>
      </c>
      <c r="AS1216" s="141">
        <v>0.14124293785310735</v>
      </c>
      <c r="AT1216" s="142"/>
      <c r="AU1216" s="141">
        <v>99.858757062146893</v>
      </c>
      <c r="AV1216" s="142"/>
      <c r="AW1216" s="42"/>
      <c r="AX1216" s="42"/>
      <c r="AY1216" s="42"/>
      <c r="AZ1216" s="42"/>
      <c r="BA1216" s="42"/>
      <c r="BB1216" s="42"/>
      <c r="BC1216" s="42"/>
      <c r="BD1216" s="109" t="s">
        <v>13</v>
      </c>
      <c r="BE1216" s="46" t="s">
        <v>1</v>
      </c>
      <c r="BF1216" s="141">
        <v>0.39277297721916732</v>
      </c>
      <c r="BG1216" s="142"/>
      <c r="BH1216" s="141">
        <v>99.607227022780833</v>
      </c>
      <c r="BI1216" s="142"/>
      <c r="BJ1216" s="42"/>
      <c r="BK1216" s="42"/>
      <c r="BL1216" s="42"/>
      <c r="BM1216" s="42"/>
      <c r="BN1216" s="42"/>
      <c r="BO1216" s="42"/>
      <c r="BQ1216" s="109" t="s">
        <v>13</v>
      </c>
      <c r="BR1216" s="46" t="s">
        <v>1</v>
      </c>
      <c r="BS1216" s="141">
        <v>3.800836183960471E-2</v>
      </c>
      <c r="BT1216" s="142"/>
      <c r="BU1216" s="141">
        <v>99.961991638160399</v>
      </c>
      <c r="BV1216" s="142"/>
      <c r="BW1216" s="42"/>
      <c r="BX1216" s="42"/>
      <c r="BY1216" s="42"/>
      <c r="BZ1216" s="42"/>
      <c r="CA1216" s="42"/>
      <c r="CB1216" s="42"/>
      <c r="CC1216" s="42"/>
      <c r="CD1216" s="109" t="s">
        <v>13</v>
      </c>
      <c r="CE1216" s="46" t="s">
        <v>1</v>
      </c>
      <c r="CF1216" s="141">
        <v>10.344827586206897</v>
      </c>
      <c r="CG1216" s="142"/>
      <c r="CH1216" s="141">
        <v>89.65517241379311</v>
      </c>
      <c r="CI1216" s="142"/>
      <c r="CJ1216" s="42"/>
      <c r="CK1216" s="42"/>
      <c r="CL1216" s="42"/>
      <c r="CM1216" s="42"/>
      <c r="CN1216" s="42"/>
      <c r="CO1216" s="42"/>
      <c r="CQ1216" s="109" t="s">
        <v>13</v>
      </c>
      <c r="CR1216" s="46" t="s">
        <v>1</v>
      </c>
      <c r="CS1216" s="141">
        <v>1.0869565217391304</v>
      </c>
      <c r="CT1216" s="142"/>
      <c r="CU1216" s="141">
        <v>98.91304347826086</v>
      </c>
      <c r="CV1216" s="142"/>
      <c r="CW1216" s="42"/>
      <c r="CX1216" s="42"/>
      <c r="CY1216" s="42"/>
      <c r="CZ1216" s="42"/>
      <c r="DA1216" s="42"/>
      <c r="DB1216" s="42"/>
      <c r="DC1216" s="42"/>
      <c r="DD1216" s="109" t="s">
        <v>13</v>
      </c>
      <c r="DE1216" s="46" t="s">
        <v>1</v>
      </c>
      <c r="DF1216" s="141">
        <v>0</v>
      </c>
      <c r="DG1216" s="142"/>
      <c r="DH1216" s="141">
        <v>100</v>
      </c>
      <c r="DI1216" s="142"/>
      <c r="DJ1216" s="42"/>
      <c r="DK1216" s="42"/>
      <c r="DL1216" s="42"/>
      <c r="DM1216" s="42"/>
      <c r="DN1216" s="42"/>
      <c r="DO1216" s="42"/>
    </row>
    <row r="1217" spans="2:119" ht="15.4" x14ac:dyDescent="0.45">
      <c r="B1217" s="99"/>
      <c r="C1217" s="42"/>
      <c r="D1217" s="110"/>
      <c r="E1217" s="46" t="s">
        <v>56</v>
      </c>
      <c r="F1217" s="141">
        <v>0.66256507335541881</v>
      </c>
      <c r="G1217" s="142"/>
      <c r="H1217" s="141">
        <v>99.33743492664459</v>
      </c>
      <c r="I1217" s="142"/>
      <c r="J1217" s="42"/>
      <c r="K1217" s="42"/>
      <c r="L1217" s="42"/>
      <c r="M1217" s="42"/>
      <c r="N1217" s="42"/>
      <c r="O1217" s="42"/>
      <c r="P1217" s="42"/>
      <c r="Q1217" s="110"/>
      <c r="R1217" s="46" t="s">
        <v>56</v>
      </c>
      <c r="S1217" s="141">
        <v>1.1873350923482848</v>
      </c>
      <c r="T1217" s="142"/>
      <c r="U1217" s="141">
        <v>98.812664907651708</v>
      </c>
      <c r="V1217" s="142"/>
      <c r="W1217" s="42"/>
      <c r="X1217" s="42"/>
      <c r="Y1217" s="42"/>
      <c r="Z1217" s="42"/>
      <c r="AA1217" s="42"/>
      <c r="AB1217" s="42"/>
      <c r="AC1217" s="42"/>
      <c r="AD1217" s="110"/>
      <c r="AE1217" s="46" t="s">
        <v>56</v>
      </c>
      <c r="AF1217" s="141">
        <v>0.36900369003690037</v>
      </c>
      <c r="AG1217" s="142"/>
      <c r="AH1217" s="141">
        <v>99.630996309963109</v>
      </c>
      <c r="AI1217" s="142"/>
      <c r="AJ1217" s="42"/>
      <c r="AK1217" s="42"/>
      <c r="AL1217" s="42"/>
      <c r="AM1217" s="42"/>
      <c r="AN1217" s="42"/>
      <c r="AO1217" s="42"/>
      <c r="AQ1217" s="110"/>
      <c r="AR1217" s="46" t="s">
        <v>56</v>
      </c>
      <c r="AS1217" s="141">
        <v>0.2676181980374665</v>
      </c>
      <c r="AT1217" s="142"/>
      <c r="AU1217" s="141">
        <v>99.732381801962532</v>
      </c>
      <c r="AV1217" s="142"/>
      <c r="AW1217" s="42"/>
      <c r="AX1217" s="42"/>
      <c r="AY1217" s="42"/>
      <c r="AZ1217" s="42"/>
      <c r="BA1217" s="42"/>
      <c r="BB1217" s="42"/>
      <c r="BC1217" s="42"/>
      <c r="BD1217" s="110"/>
      <c r="BE1217" s="46" t="s">
        <v>56</v>
      </c>
      <c r="BF1217" s="141">
        <v>1.1088709677419355</v>
      </c>
      <c r="BG1217" s="142"/>
      <c r="BH1217" s="141">
        <v>98.891129032258064</v>
      </c>
      <c r="BI1217" s="142"/>
      <c r="BJ1217" s="42"/>
      <c r="BK1217" s="42"/>
      <c r="BL1217" s="42"/>
      <c r="BM1217" s="42"/>
      <c r="BN1217" s="42"/>
      <c r="BO1217" s="42"/>
      <c r="BQ1217" s="110"/>
      <c r="BR1217" s="46" t="s">
        <v>56</v>
      </c>
      <c r="BS1217" s="141">
        <v>0</v>
      </c>
      <c r="BT1217" s="142"/>
      <c r="BU1217" s="141">
        <v>100</v>
      </c>
      <c r="BV1217" s="142"/>
      <c r="BW1217" s="42"/>
      <c r="BX1217" s="42"/>
      <c r="BY1217" s="42"/>
      <c r="BZ1217" s="42"/>
      <c r="CA1217" s="42"/>
      <c r="CB1217" s="42"/>
      <c r="CC1217" s="42"/>
      <c r="CD1217" s="110"/>
      <c r="CE1217" s="46" t="s">
        <v>56</v>
      </c>
      <c r="CF1217" s="141">
        <v>10.144927536231885</v>
      </c>
      <c r="CG1217" s="142"/>
      <c r="CH1217" s="141">
        <v>89.85507246376811</v>
      </c>
      <c r="CI1217" s="142"/>
      <c r="CJ1217" s="42"/>
      <c r="CK1217" s="42"/>
      <c r="CL1217" s="42"/>
      <c r="CM1217" s="42"/>
      <c r="CN1217" s="42"/>
      <c r="CO1217" s="42"/>
      <c r="CQ1217" s="110"/>
      <c r="CR1217" s="46" t="s">
        <v>56</v>
      </c>
      <c r="CS1217" s="141">
        <v>3.2110091743119269</v>
      </c>
      <c r="CT1217" s="142"/>
      <c r="CU1217" s="141">
        <v>96.788990825688074</v>
      </c>
      <c r="CV1217" s="142"/>
      <c r="CW1217" s="42"/>
      <c r="CX1217" s="42"/>
      <c r="CY1217" s="42"/>
      <c r="CZ1217" s="42"/>
      <c r="DA1217" s="42"/>
      <c r="DB1217" s="42"/>
      <c r="DC1217" s="42"/>
      <c r="DD1217" s="110"/>
      <c r="DE1217" s="46" t="s">
        <v>56</v>
      </c>
      <c r="DF1217" s="141">
        <v>0</v>
      </c>
      <c r="DG1217" s="142"/>
      <c r="DH1217" s="141">
        <v>100</v>
      </c>
      <c r="DI1217" s="142"/>
      <c r="DJ1217" s="42"/>
      <c r="DK1217" s="42"/>
      <c r="DL1217" s="42"/>
      <c r="DM1217" s="42"/>
      <c r="DN1217" s="42"/>
      <c r="DO1217" s="42"/>
    </row>
    <row r="1218" spans="2:119" ht="15.4" x14ac:dyDescent="0.45">
      <c r="B1218" s="99"/>
      <c r="C1218" s="42"/>
      <c r="D1218" s="110"/>
      <c r="E1218" s="46" t="s">
        <v>2</v>
      </c>
      <c r="F1218" s="141">
        <v>0.66736183524504689</v>
      </c>
      <c r="G1218" s="142"/>
      <c r="H1218" s="141">
        <v>99.332638164754954</v>
      </c>
      <c r="I1218" s="142"/>
      <c r="J1218" s="42"/>
      <c r="K1218" s="42"/>
      <c r="L1218" s="42"/>
      <c r="M1218" s="42"/>
      <c r="N1218" s="42"/>
      <c r="O1218" s="42"/>
      <c r="P1218" s="42"/>
      <c r="Q1218" s="110"/>
      <c r="R1218" s="46" t="s">
        <v>2</v>
      </c>
      <c r="S1218" s="141">
        <v>0.97988653945332638</v>
      </c>
      <c r="T1218" s="142"/>
      <c r="U1218" s="141">
        <v>99.020113460546682</v>
      </c>
      <c r="V1218" s="142"/>
      <c r="W1218" s="42"/>
      <c r="X1218" s="42"/>
      <c r="Y1218" s="42"/>
      <c r="Z1218" s="42"/>
      <c r="AA1218" s="42"/>
      <c r="AB1218" s="42"/>
      <c r="AC1218" s="42"/>
      <c r="AD1218" s="110"/>
      <c r="AE1218" s="46" t="s">
        <v>2</v>
      </c>
      <c r="AF1218" s="141">
        <v>0.4551820728291317</v>
      </c>
      <c r="AG1218" s="142"/>
      <c r="AH1218" s="141">
        <v>99.544817927170868</v>
      </c>
      <c r="AI1218" s="142"/>
      <c r="AJ1218" s="42"/>
      <c r="AK1218" s="42"/>
      <c r="AL1218" s="42"/>
      <c r="AM1218" s="42"/>
      <c r="AN1218" s="42"/>
      <c r="AO1218" s="42"/>
      <c r="AQ1218" s="110"/>
      <c r="AR1218" s="46" t="s">
        <v>2</v>
      </c>
      <c r="AS1218" s="141">
        <v>0.37740760020822489</v>
      </c>
      <c r="AT1218" s="142"/>
      <c r="AU1218" s="141">
        <v>99.62259239979177</v>
      </c>
      <c r="AV1218" s="142"/>
      <c r="AW1218" s="42"/>
      <c r="AX1218" s="42"/>
      <c r="AY1218" s="42"/>
      <c r="AZ1218" s="42"/>
      <c r="BA1218" s="42"/>
      <c r="BB1218" s="42"/>
      <c r="BC1218" s="42"/>
      <c r="BD1218" s="110"/>
      <c r="BE1218" s="46" t="s">
        <v>2</v>
      </c>
      <c r="BF1218" s="141">
        <v>0.99985076854200872</v>
      </c>
      <c r="BG1218" s="142"/>
      <c r="BH1218" s="141">
        <v>99.000149231457996</v>
      </c>
      <c r="BI1218" s="142"/>
      <c r="BJ1218" s="42"/>
      <c r="BK1218" s="42"/>
      <c r="BL1218" s="42"/>
      <c r="BM1218" s="42"/>
      <c r="BN1218" s="42"/>
      <c r="BO1218" s="42"/>
      <c r="BQ1218" s="110"/>
      <c r="BR1218" s="46" t="s">
        <v>2</v>
      </c>
      <c r="BS1218" s="141">
        <v>0.11766835626357713</v>
      </c>
      <c r="BT1218" s="142"/>
      <c r="BU1218" s="141">
        <v>99.882331643736421</v>
      </c>
      <c r="BV1218" s="142"/>
      <c r="BW1218" s="42"/>
      <c r="BX1218" s="42"/>
      <c r="BY1218" s="42"/>
      <c r="BZ1218" s="42"/>
      <c r="CA1218" s="42"/>
      <c r="CB1218" s="42"/>
      <c r="CC1218" s="42"/>
      <c r="CD1218" s="110"/>
      <c r="CE1218" s="46" t="s">
        <v>2</v>
      </c>
      <c r="CF1218" s="141">
        <v>2.4872640095894516</v>
      </c>
      <c r="CG1218" s="142"/>
      <c r="CH1218" s="141">
        <v>97.512735990410548</v>
      </c>
      <c r="CI1218" s="142"/>
      <c r="CJ1218" s="42"/>
      <c r="CK1218" s="42"/>
      <c r="CL1218" s="42"/>
      <c r="CM1218" s="42"/>
      <c r="CN1218" s="42"/>
      <c r="CO1218" s="42"/>
      <c r="CQ1218" s="110"/>
      <c r="CR1218" s="46" t="s">
        <v>2</v>
      </c>
      <c r="CS1218" s="141">
        <v>2.716417910447761</v>
      </c>
      <c r="CT1218" s="142"/>
      <c r="CU1218" s="141">
        <v>97.28358208955224</v>
      </c>
      <c r="CV1218" s="142"/>
      <c r="CW1218" s="42"/>
      <c r="CX1218" s="42"/>
      <c r="CY1218" s="42"/>
      <c r="CZ1218" s="42"/>
      <c r="DA1218" s="42"/>
      <c r="DB1218" s="42"/>
      <c r="DC1218" s="42"/>
      <c r="DD1218" s="110"/>
      <c r="DE1218" s="46" t="s">
        <v>2</v>
      </c>
      <c r="DF1218" s="141">
        <v>4.5310376076121435E-2</v>
      </c>
      <c r="DG1218" s="142"/>
      <c r="DH1218" s="141">
        <v>99.954689623923869</v>
      </c>
      <c r="DI1218" s="142"/>
      <c r="DJ1218" s="42"/>
      <c r="DK1218" s="42"/>
      <c r="DL1218" s="42"/>
      <c r="DM1218" s="42"/>
      <c r="DN1218" s="42"/>
      <c r="DO1218" s="42"/>
    </row>
    <row r="1219" spans="2:119" ht="15.4" x14ac:dyDescent="0.45">
      <c r="B1219" s="99"/>
      <c r="C1219" s="42"/>
      <c r="D1219" s="110"/>
      <c r="E1219" s="46" t="s">
        <v>3</v>
      </c>
      <c r="F1219" s="141">
        <v>0.59634737234439061</v>
      </c>
      <c r="G1219" s="142"/>
      <c r="H1219" s="141">
        <v>99.403652627655617</v>
      </c>
      <c r="I1219" s="142"/>
      <c r="J1219" s="42"/>
      <c r="K1219" s="42"/>
      <c r="L1219" s="42"/>
      <c r="M1219" s="42"/>
      <c r="N1219" s="42"/>
      <c r="O1219" s="42"/>
      <c r="P1219" s="42"/>
      <c r="Q1219" s="110"/>
      <c r="R1219" s="46" t="s">
        <v>3</v>
      </c>
      <c r="S1219" s="141">
        <v>0.68046498440601078</v>
      </c>
      <c r="T1219" s="142"/>
      <c r="U1219" s="141">
        <v>99.319535015593985</v>
      </c>
      <c r="V1219" s="142"/>
      <c r="W1219" s="42"/>
      <c r="X1219" s="42"/>
      <c r="Y1219" s="42"/>
      <c r="Z1219" s="42"/>
      <c r="AA1219" s="42"/>
      <c r="AB1219" s="42"/>
      <c r="AC1219" s="42"/>
      <c r="AD1219" s="110"/>
      <c r="AE1219" s="46" t="s">
        <v>3</v>
      </c>
      <c r="AF1219" s="141">
        <v>0.53073861123396726</v>
      </c>
      <c r="AG1219" s="142"/>
      <c r="AH1219" s="141">
        <v>99.469261388766029</v>
      </c>
      <c r="AI1219" s="142"/>
      <c r="AJ1219" s="42"/>
      <c r="AK1219" s="42"/>
      <c r="AL1219" s="42"/>
      <c r="AM1219" s="42"/>
      <c r="AN1219" s="42"/>
      <c r="AO1219" s="42"/>
      <c r="AQ1219" s="110"/>
      <c r="AR1219" s="46" t="s">
        <v>3</v>
      </c>
      <c r="AS1219" s="141">
        <v>0.38510911424903727</v>
      </c>
      <c r="AT1219" s="142"/>
      <c r="AU1219" s="141">
        <v>99.614890885750967</v>
      </c>
      <c r="AV1219" s="142"/>
      <c r="AW1219" s="42"/>
      <c r="AX1219" s="42"/>
      <c r="AY1219" s="42"/>
      <c r="AZ1219" s="42"/>
      <c r="BA1219" s="42"/>
      <c r="BB1219" s="42"/>
      <c r="BC1219" s="42"/>
      <c r="BD1219" s="110"/>
      <c r="BE1219" s="46" t="s">
        <v>3</v>
      </c>
      <c r="BF1219" s="141">
        <v>0.79441502166586431</v>
      </c>
      <c r="BG1219" s="142"/>
      <c r="BH1219" s="141">
        <v>99.205584978334144</v>
      </c>
      <c r="BI1219" s="142"/>
      <c r="BJ1219" s="42"/>
      <c r="BK1219" s="42"/>
      <c r="BL1219" s="42"/>
      <c r="BM1219" s="42"/>
      <c r="BN1219" s="42"/>
      <c r="BO1219" s="42"/>
      <c r="BQ1219" s="110"/>
      <c r="BR1219" s="46" t="s">
        <v>3</v>
      </c>
      <c r="BS1219" s="141">
        <v>0.14868309260832627</v>
      </c>
      <c r="BT1219" s="142"/>
      <c r="BU1219" s="141">
        <v>99.851316907391677</v>
      </c>
      <c r="BV1219" s="142"/>
      <c r="BW1219" s="42"/>
      <c r="BX1219" s="42"/>
      <c r="BY1219" s="42"/>
      <c r="BZ1219" s="42"/>
      <c r="CA1219" s="42"/>
      <c r="CB1219" s="42"/>
      <c r="CC1219" s="42"/>
      <c r="CD1219" s="110"/>
      <c r="CE1219" s="46" t="s">
        <v>3</v>
      </c>
      <c r="CF1219" s="141">
        <v>1.2271774917689315</v>
      </c>
      <c r="CG1219" s="142"/>
      <c r="CH1219" s="141">
        <v>98.772822508231073</v>
      </c>
      <c r="CI1219" s="142"/>
      <c r="CJ1219" s="42"/>
      <c r="CK1219" s="42"/>
      <c r="CL1219" s="42"/>
      <c r="CM1219" s="42"/>
      <c r="CN1219" s="42"/>
      <c r="CO1219" s="42"/>
      <c r="CQ1219" s="110"/>
      <c r="CR1219" s="46" t="s">
        <v>3</v>
      </c>
      <c r="CS1219" s="141">
        <v>2.7093596059113301</v>
      </c>
      <c r="CT1219" s="142"/>
      <c r="CU1219" s="141">
        <v>97.290640394088669</v>
      </c>
      <c r="CV1219" s="142"/>
      <c r="CW1219" s="42"/>
      <c r="CX1219" s="42"/>
      <c r="CY1219" s="42"/>
      <c r="CZ1219" s="42"/>
      <c r="DA1219" s="42"/>
      <c r="DB1219" s="42"/>
      <c r="DC1219" s="42"/>
      <c r="DD1219" s="110"/>
      <c r="DE1219" s="46" t="s">
        <v>3</v>
      </c>
      <c r="DF1219" s="141">
        <v>6.2256809338521402E-2</v>
      </c>
      <c r="DG1219" s="142"/>
      <c r="DH1219" s="141">
        <v>99.937743190661479</v>
      </c>
      <c r="DI1219" s="142"/>
      <c r="DJ1219" s="42"/>
      <c r="DK1219" s="42"/>
      <c r="DL1219" s="42"/>
      <c r="DM1219" s="42"/>
      <c r="DN1219" s="42"/>
      <c r="DO1219" s="42"/>
    </row>
    <row r="1220" spans="2:119" ht="15.4" x14ac:dyDescent="0.45">
      <c r="B1220" s="99"/>
      <c r="C1220" s="42"/>
      <c r="D1220" s="110"/>
      <c r="E1220" s="46" t="s">
        <v>4</v>
      </c>
      <c r="F1220" s="141">
        <v>0.98481739844070582</v>
      </c>
      <c r="G1220" s="142"/>
      <c r="H1220" s="141">
        <v>99.015182601559289</v>
      </c>
      <c r="I1220" s="142"/>
      <c r="J1220" s="42"/>
      <c r="K1220" s="42"/>
      <c r="L1220" s="42"/>
      <c r="M1220" s="42"/>
      <c r="N1220" s="42"/>
      <c r="O1220" s="42"/>
      <c r="P1220" s="42"/>
      <c r="Q1220" s="110"/>
      <c r="R1220" s="46" t="s">
        <v>4</v>
      </c>
      <c r="S1220" s="141">
        <v>1.409204423831609</v>
      </c>
      <c r="T1220" s="142"/>
      <c r="U1220" s="141">
        <v>98.590795576168389</v>
      </c>
      <c r="V1220" s="142"/>
      <c r="W1220" s="42"/>
      <c r="X1220" s="42"/>
      <c r="Y1220" s="42"/>
      <c r="Z1220" s="42"/>
      <c r="AA1220" s="42"/>
      <c r="AB1220" s="42"/>
      <c r="AC1220" s="42"/>
      <c r="AD1220" s="110"/>
      <c r="AE1220" s="46" t="s">
        <v>4</v>
      </c>
      <c r="AF1220" s="141">
        <v>0.62319501443988445</v>
      </c>
      <c r="AG1220" s="142"/>
      <c r="AH1220" s="141">
        <v>99.376804985560113</v>
      </c>
      <c r="AI1220" s="142"/>
      <c r="AJ1220" s="42"/>
      <c r="AK1220" s="42"/>
      <c r="AL1220" s="42"/>
      <c r="AM1220" s="42"/>
      <c r="AN1220" s="42"/>
      <c r="AO1220" s="42"/>
      <c r="AQ1220" s="110"/>
      <c r="AR1220" s="46" t="s">
        <v>4</v>
      </c>
      <c r="AS1220" s="141">
        <v>0.56909123243820026</v>
      </c>
      <c r="AT1220" s="142"/>
      <c r="AU1220" s="141">
        <v>99.430908767561803</v>
      </c>
      <c r="AV1220" s="142"/>
      <c r="AW1220" s="42"/>
      <c r="AX1220" s="42"/>
      <c r="AY1220" s="42"/>
      <c r="AZ1220" s="42"/>
      <c r="BA1220" s="42"/>
      <c r="BB1220" s="42"/>
      <c r="BC1220" s="42"/>
      <c r="BD1220" s="110"/>
      <c r="BE1220" s="46" t="s">
        <v>4</v>
      </c>
      <c r="BF1220" s="141">
        <v>1.3410545565376411</v>
      </c>
      <c r="BG1220" s="142"/>
      <c r="BH1220" s="141">
        <v>98.658945443462358</v>
      </c>
      <c r="BI1220" s="142"/>
      <c r="BJ1220" s="42"/>
      <c r="BK1220" s="42"/>
      <c r="BL1220" s="42"/>
      <c r="BM1220" s="42"/>
      <c r="BN1220" s="42"/>
      <c r="BO1220" s="42"/>
      <c r="BQ1220" s="110"/>
      <c r="BR1220" s="46" t="s">
        <v>4</v>
      </c>
      <c r="BS1220" s="141">
        <v>0.17711654268508678</v>
      </c>
      <c r="BT1220" s="142"/>
      <c r="BU1220" s="141">
        <v>99.822883457314916</v>
      </c>
      <c r="BV1220" s="142"/>
      <c r="BW1220" s="42"/>
      <c r="BX1220" s="42"/>
      <c r="BY1220" s="42"/>
      <c r="BZ1220" s="42"/>
      <c r="CA1220" s="42"/>
      <c r="CB1220" s="42"/>
      <c r="CC1220" s="42"/>
      <c r="CD1220" s="110"/>
      <c r="CE1220" s="46" t="s">
        <v>4</v>
      </c>
      <c r="CF1220" s="141">
        <v>1.6822144058724575</v>
      </c>
      <c r="CG1220" s="142"/>
      <c r="CH1220" s="141">
        <v>98.317785594127542</v>
      </c>
      <c r="CI1220" s="142"/>
      <c r="CJ1220" s="42"/>
      <c r="CK1220" s="42"/>
      <c r="CL1220" s="42"/>
      <c r="CM1220" s="42"/>
      <c r="CN1220" s="42"/>
      <c r="CO1220" s="42"/>
      <c r="CQ1220" s="110"/>
      <c r="CR1220" s="46" t="s">
        <v>4</v>
      </c>
      <c r="CS1220" s="141">
        <v>4.5200172191132157</v>
      </c>
      <c r="CT1220" s="142"/>
      <c r="CU1220" s="141">
        <v>95.479982780886786</v>
      </c>
      <c r="CV1220" s="142"/>
      <c r="CW1220" s="42"/>
      <c r="CX1220" s="42"/>
      <c r="CY1220" s="42"/>
      <c r="CZ1220" s="42"/>
      <c r="DA1220" s="42"/>
      <c r="DB1220" s="42"/>
      <c r="DC1220" s="42"/>
      <c r="DD1220" s="110"/>
      <c r="DE1220" s="46" t="s">
        <v>4</v>
      </c>
      <c r="DF1220" s="141">
        <v>0.15209896572703305</v>
      </c>
      <c r="DG1220" s="142"/>
      <c r="DH1220" s="141">
        <v>99.847901034272965</v>
      </c>
      <c r="DI1220" s="142"/>
      <c r="DJ1220" s="42"/>
      <c r="DK1220" s="42"/>
      <c r="DL1220" s="42"/>
      <c r="DM1220" s="42"/>
      <c r="DN1220" s="42"/>
      <c r="DO1220" s="42"/>
    </row>
    <row r="1221" spans="2:119" ht="15.4" x14ac:dyDescent="0.45">
      <c r="B1221" s="99"/>
      <c r="C1221" s="42"/>
      <c r="D1221" s="110"/>
      <c r="E1221" s="46" t="s">
        <v>5</v>
      </c>
      <c r="F1221" s="141">
        <v>1.2175704785988573</v>
      </c>
      <c r="G1221" s="142"/>
      <c r="H1221" s="141">
        <v>98.782429521401141</v>
      </c>
      <c r="I1221" s="142"/>
      <c r="J1221" s="42"/>
      <c r="K1221" s="42"/>
      <c r="L1221" s="42"/>
      <c r="M1221" s="42"/>
      <c r="N1221" s="42"/>
      <c r="O1221" s="42"/>
      <c r="P1221" s="42"/>
      <c r="Q1221" s="110"/>
      <c r="R1221" s="46" t="s">
        <v>5</v>
      </c>
      <c r="S1221" s="141">
        <v>1.6808327762391366</v>
      </c>
      <c r="T1221" s="142"/>
      <c r="U1221" s="141">
        <v>98.319167223760857</v>
      </c>
      <c r="V1221" s="142"/>
      <c r="W1221" s="42"/>
      <c r="X1221" s="42"/>
      <c r="Y1221" s="42"/>
      <c r="Z1221" s="42"/>
      <c r="AA1221" s="42"/>
      <c r="AB1221" s="42"/>
      <c r="AC1221" s="42"/>
      <c r="AD1221" s="110"/>
      <c r="AE1221" s="46" t="s">
        <v>5</v>
      </c>
      <c r="AF1221" s="141">
        <v>0.77184599834604428</v>
      </c>
      <c r="AG1221" s="142"/>
      <c r="AH1221" s="141">
        <v>99.228154001653962</v>
      </c>
      <c r="AI1221" s="142"/>
      <c r="AJ1221" s="42"/>
      <c r="AK1221" s="42"/>
      <c r="AL1221" s="42"/>
      <c r="AM1221" s="42"/>
      <c r="AN1221" s="42"/>
      <c r="AO1221" s="42"/>
      <c r="AQ1221" s="110"/>
      <c r="AR1221" s="46" t="s">
        <v>5</v>
      </c>
      <c r="AS1221" s="141">
        <v>0.8096704299235945</v>
      </c>
      <c r="AT1221" s="142"/>
      <c r="AU1221" s="141">
        <v>99.190329570076415</v>
      </c>
      <c r="AV1221" s="142"/>
      <c r="AW1221" s="42"/>
      <c r="AX1221" s="42"/>
      <c r="AY1221" s="42"/>
      <c r="AZ1221" s="42"/>
      <c r="BA1221" s="42"/>
      <c r="BB1221" s="42"/>
      <c r="BC1221" s="42"/>
      <c r="BD1221" s="110"/>
      <c r="BE1221" s="46" t="s">
        <v>5</v>
      </c>
      <c r="BF1221" s="141">
        <v>1.501787842669845</v>
      </c>
      <c r="BG1221" s="142"/>
      <c r="BH1221" s="141">
        <v>98.498212157330158</v>
      </c>
      <c r="BI1221" s="142"/>
      <c r="BJ1221" s="42"/>
      <c r="BK1221" s="42"/>
      <c r="BL1221" s="42"/>
      <c r="BM1221" s="42"/>
      <c r="BN1221" s="42"/>
      <c r="BO1221" s="42"/>
      <c r="BQ1221" s="110"/>
      <c r="BR1221" s="46" t="s">
        <v>5</v>
      </c>
      <c r="BS1221" s="141">
        <v>0.55240793201133143</v>
      </c>
      <c r="BT1221" s="142"/>
      <c r="BU1221" s="141">
        <v>99.447592067988666</v>
      </c>
      <c r="BV1221" s="142"/>
      <c r="BW1221" s="42"/>
      <c r="BX1221" s="42"/>
      <c r="BY1221" s="42"/>
      <c r="BZ1221" s="42"/>
      <c r="CA1221" s="42"/>
      <c r="CB1221" s="42"/>
      <c r="CC1221" s="42"/>
      <c r="CD1221" s="110"/>
      <c r="CE1221" s="46" t="s">
        <v>5</v>
      </c>
      <c r="CF1221" s="141">
        <v>1.5461032601091367</v>
      </c>
      <c r="CG1221" s="142"/>
      <c r="CH1221" s="141">
        <v>98.453896739890865</v>
      </c>
      <c r="CI1221" s="142"/>
      <c r="CJ1221" s="42"/>
      <c r="CK1221" s="42"/>
      <c r="CL1221" s="42"/>
      <c r="CM1221" s="42"/>
      <c r="CN1221" s="42"/>
      <c r="CO1221" s="42"/>
      <c r="CQ1221" s="110"/>
      <c r="CR1221" s="46" t="s">
        <v>5</v>
      </c>
      <c r="CS1221" s="141">
        <v>4.3637387387387383</v>
      </c>
      <c r="CT1221" s="142"/>
      <c r="CU1221" s="141">
        <v>95.636261261261254</v>
      </c>
      <c r="CV1221" s="142"/>
      <c r="CW1221" s="42"/>
      <c r="CX1221" s="42"/>
      <c r="CY1221" s="42"/>
      <c r="CZ1221" s="42"/>
      <c r="DA1221" s="42"/>
      <c r="DB1221" s="42"/>
      <c r="DC1221" s="42"/>
      <c r="DD1221" s="110"/>
      <c r="DE1221" s="46" t="s">
        <v>5</v>
      </c>
      <c r="DF1221" s="141">
        <v>0.58982136838557464</v>
      </c>
      <c r="DG1221" s="142"/>
      <c r="DH1221" s="141">
        <v>99.410178631614414</v>
      </c>
      <c r="DI1221" s="142"/>
      <c r="DJ1221" s="42"/>
      <c r="DK1221" s="42"/>
      <c r="DL1221" s="42"/>
      <c r="DM1221" s="42"/>
      <c r="DN1221" s="42"/>
      <c r="DO1221" s="42"/>
    </row>
    <row r="1222" spans="2:119" ht="15.4" x14ac:dyDescent="0.45">
      <c r="B1222" s="99"/>
      <c r="C1222" s="42"/>
      <c r="D1222" s="110"/>
      <c r="E1222" s="46" t="s">
        <v>6</v>
      </c>
      <c r="F1222" s="141">
        <v>3.166119352281735</v>
      </c>
      <c r="G1222" s="142"/>
      <c r="H1222" s="141">
        <v>96.83388064771826</v>
      </c>
      <c r="I1222" s="142"/>
      <c r="J1222" s="42"/>
      <c r="K1222" s="42"/>
      <c r="L1222" s="42"/>
      <c r="M1222" s="42"/>
      <c r="N1222" s="42"/>
      <c r="O1222" s="42"/>
      <c r="P1222" s="42"/>
      <c r="Q1222" s="110"/>
      <c r="R1222" s="46" t="s">
        <v>6</v>
      </c>
      <c r="S1222" s="141">
        <v>4.4673068129858251</v>
      </c>
      <c r="T1222" s="142"/>
      <c r="U1222" s="141">
        <v>95.532693187014175</v>
      </c>
      <c r="V1222" s="142"/>
      <c r="W1222" s="42"/>
      <c r="X1222" s="42"/>
      <c r="Y1222" s="42"/>
      <c r="Z1222" s="42"/>
      <c r="AA1222" s="42"/>
      <c r="AB1222" s="42"/>
      <c r="AC1222" s="42"/>
      <c r="AD1222" s="110"/>
      <c r="AE1222" s="46" t="s">
        <v>6</v>
      </c>
      <c r="AF1222" s="141">
        <v>1.8891631142023784</v>
      </c>
      <c r="AG1222" s="142"/>
      <c r="AH1222" s="141">
        <v>98.110836885797625</v>
      </c>
      <c r="AI1222" s="142"/>
      <c r="AJ1222" s="42"/>
      <c r="AK1222" s="42"/>
      <c r="AL1222" s="42"/>
      <c r="AM1222" s="42"/>
      <c r="AN1222" s="42"/>
      <c r="AO1222" s="42"/>
      <c r="AQ1222" s="110"/>
      <c r="AR1222" s="46" t="s">
        <v>6</v>
      </c>
      <c r="AS1222" s="141">
        <v>2.0632903733284929</v>
      </c>
      <c r="AT1222" s="142"/>
      <c r="AU1222" s="141">
        <v>97.936709626671501</v>
      </c>
      <c r="AV1222" s="142"/>
      <c r="AW1222" s="42"/>
      <c r="AX1222" s="42"/>
      <c r="AY1222" s="42"/>
      <c r="AZ1222" s="42"/>
      <c r="BA1222" s="42"/>
      <c r="BB1222" s="42"/>
      <c r="BC1222" s="42"/>
      <c r="BD1222" s="110"/>
      <c r="BE1222" s="46" t="s">
        <v>6</v>
      </c>
      <c r="BF1222" s="141">
        <v>3.8258288692630664</v>
      </c>
      <c r="BG1222" s="142"/>
      <c r="BH1222" s="141">
        <v>96.174171130736923</v>
      </c>
      <c r="BI1222" s="142"/>
      <c r="BJ1222" s="42"/>
      <c r="BK1222" s="42"/>
      <c r="BL1222" s="42"/>
      <c r="BM1222" s="42"/>
      <c r="BN1222" s="42"/>
      <c r="BO1222" s="42"/>
      <c r="BQ1222" s="110"/>
      <c r="BR1222" s="46" t="s">
        <v>6</v>
      </c>
      <c r="BS1222" s="141">
        <v>1.0341916420430561</v>
      </c>
      <c r="BT1222" s="142"/>
      <c r="BU1222" s="141">
        <v>98.965808357956945</v>
      </c>
      <c r="BV1222" s="142"/>
      <c r="BW1222" s="42"/>
      <c r="BX1222" s="42"/>
      <c r="BY1222" s="42"/>
      <c r="BZ1222" s="42"/>
      <c r="CA1222" s="42"/>
      <c r="CB1222" s="42"/>
      <c r="CC1222" s="42"/>
      <c r="CD1222" s="110"/>
      <c r="CE1222" s="46" t="s">
        <v>6</v>
      </c>
      <c r="CF1222" s="141">
        <v>3.7486663398598576</v>
      </c>
      <c r="CG1222" s="142"/>
      <c r="CH1222" s="141">
        <v>96.251333660140133</v>
      </c>
      <c r="CI1222" s="142"/>
      <c r="CJ1222" s="42"/>
      <c r="CK1222" s="42"/>
      <c r="CL1222" s="42"/>
      <c r="CM1222" s="42"/>
      <c r="CN1222" s="42"/>
      <c r="CO1222" s="42"/>
      <c r="CQ1222" s="110"/>
      <c r="CR1222" s="46" t="s">
        <v>6</v>
      </c>
      <c r="CS1222" s="141">
        <v>9.0375250644514455</v>
      </c>
      <c r="CT1222" s="142"/>
      <c r="CU1222" s="141">
        <v>90.962474935548556</v>
      </c>
      <c r="CV1222" s="142"/>
      <c r="CW1222" s="42"/>
      <c r="CX1222" s="42"/>
      <c r="CY1222" s="42"/>
      <c r="CZ1222" s="42"/>
      <c r="DA1222" s="42"/>
      <c r="DB1222" s="42"/>
      <c r="DC1222" s="42"/>
      <c r="DD1222" s="110"/>
      <c r="DE1222" s="46" t="s">
        <v>6</v>
      </c>
      <c r="DF1222" s="141">
        <v>2.0633255319721306</v>
      </c>
      <c r="DG1222" s="142"/>
      <c r="DH1222" s="141">
        <v>97.936674468027874</v>
      </c>
      <c r="DI1222" s="142"/>
      <c r="DJ1222" s="42"/>
      <c r="DK1222" s="42"/>
      <c r="DL1222" s="42"/>
      <c r="DM1222" s="42"/>
      <c r="DN1222" s="42"/>
      <c r="DO1222" s="42"/>
    </row>
    <row r="1223" spans="2:119" ht="15.4" x14ac:dyDescent="0.45">
      <c r="B1223" s="99"/>
      <c r="C1223" s="42"/>
      <c r="D1223" s="110"/>
      <c r="E1223" s="46" t="s">
        <v>7</v>
      </c>
      <c r="F1223" s="141">
        <v>7.5216984077427416</v>
      </c>
      <c r="G1223" s="142"/>
      <c r="H1223" s="141">
        <v>92.478301592257267</v>
      </c>
      <c r="I1223" s="142"/>
      <c r="J1223" s="42"/>
      <c r="K1223" s="42"/>
      <c r="L1223" s="42"/>
      <c r="M1223" s="42"/>
      <c r="N1223" s="42"/>
      <c r="O1223" s="42"/>
      <c r="P1223" s="42"/>
      <c r="Q1223" s="110"/>
      <c r="R1223" s="46" t="s">
        <v>7</v>
      </c>
      <c r="S1223" s="141">
        <v>10.645667721597848</v>
      </c>
      <c r="T1223" s="142"/>
      <c r="U1223" s="141">
        <v>89.354332278402154</v>
      </c>
      <c r="V1223" s="142"/>
      <c r="W1223" s="42"/>
      <c r="X1223" s="42"/>
      <c r="Y1223" s="42"/>
      <c r="Z1223" s="42"/>
      <c r="AA1223" s="42"/>
      <c r="AB1223" s="42"/>
      <c r="AC1223" s="42"/>
      <c r="AD1223" s="110"/>
      <c r="AE1223" s="46" t="s">
        <v>7</v>
      </c>
      <c r="AF1223" s="141">
        <v>4.3834176137786018</v>
      </c>
      <c r="AG1223" s="142"/>
      <c r="AH1223" s="141">
        <v>95.616582386221395</v>
      </c>
      <c r="AI1223" s="142"/>
      <c r="AJ1223" s="42"/>
      <c r="AK1223" s="42"/>
      <c r="AL1223" s="42"/>
      <c r="AM1223" s="42"/>
      <c r="AN1223" s="42"/>
      <c r="AO1223" s="42"/>
      <c r="AQ1223" s="110"/>
      <c r="AR1223" s="46" t="s">
        <v>7</v>
      </c>
      <c r="AS1223" s="141">
        <v>5.0569234842467568</v>
      </c>
      <c r="AT1223" s="142"/>
      <c r="AU1223" s="141">
        <v>94.943076515753248</v>
      </c>
      <c r="AV1223" s="142"/>
      <c r="AW1223" s="42"/>
      <c r="AX1223" s="42"/>
      <c r="AY1223" s="42"/>
      <c r="AZ1223" s="42"/>
      <c r="BA1223" s="42"/>
      <c r="BB1223" s="42"/>
      <c r="BC1223" s="42"/>
      <c r="BD1223" s="110"/>
      <c r="BE1223" s="46" t="s">
        <v>7</v>
      </c>
      <c r="BF1223" s="141">
        <v>8.7366694011484825</v>
      </c>
      <c r="BG1223" s="142"/>
      <c r="BH1223" s="141">
        <v>91.263330598851525</v>
      </c>
      <c r="BI1223" s="142"/>
      <c r="BJ1223" s="42"/>
      <c r="BK1223" s="42"/>
      <c r="BL1223" s="42"/>
      <c r="BM1223" s="42"/>
      <c r="BN1223" s="42"/>
      <c r="BO1223" s="42"/>
      <c r="BQ1223" s="110"/>
      <c r="BR1223" s="46" t="s">
        <v>7</v>
      </c>
      <c r="BS1223" s="141">
        <v>2.5236020334059548</v>
      </c>
      <c r="BT1223" s="142"/>
      <c r="BU1223" s="141">
        <v>97.476397966594035</v>
      </c>
      <c r="BV1223" s="142"/>
      <c r="BW1223" s="42"/>
      <c r="BX1223" s="42"/>
      <c r="BY1223" s="42"/>
      <c r="BZ1223" s="42"/>
      <c r="CA1223" s="42"/>
      <c r="CB1223" s="42"/>
      <c r="CC1223" s="42"/>
      <c r="CD1223" s="110"/>
      <c r="CE1223" s="46" t="s">
        <v>7</v>
      </c>
      <c r="CF1223" s="141">
        <v>8.3189736312428497</v>
      </c>
      <c r="CG1223" s="142"/>
      <c r="CH1223" s="141">
        <v>91.681026368757145</v>
      </c>
      <c r="CI1223" s="142"/>
      <c r="CJ1223" s="42"/>
      <c r="CK1223" s="42"/>
      <c r="CL1223" s="42"/>
      <c r="CM1223" s="42"/>
      <c r="CN1223" s="42"/>
      <c r="CO1223" s="42"/>
      <c r="CQ1223" s="110"/>
      <c r="CR1223" s="46" t="s">
        <v>7</v>
      </c>
      <c r="CS1223" s="141">
        <v>16.512692467748646</v>
      </c>
      <c r="CT1223" s="142"/>
      <c r="CU1223" s="141">
        <v>83.48730753225135</v>
      </c>
      <c r="CV1223" s="142"/>
      <c r="CW1223" s="42"/>
      <c r="CX1223" s="42"/>
      <c r="CY1223" s="42"/>
      <c r="CZ1223" s="42"/>
      <c r="DA1223" s="42"/>
      <c r="DB1223" s="42"/>
      <c r="DC1223" s="42"/>
      <c r="DD1223" s="110"/>
      <c r="DE1223" s="46" t="s">
        <v>7</v>
      </c>
      <c r="DF1223" s="141">
        <v>5.9344695856597118</v>
      </c>
      <c r="DG1223" s="142"/>
      <c r="DH1223" s="141">
        <v>94.065530414340287</v>
      </c>
      <c r="DI1223" s="142"/>
      <c r="DJ1223" s="42"/>
      <c r="DK1223" s="42"/>
      <c r="DL1223" s="42"/>
      <c r="DM1223" s="42"/>
      <c r="DN1223" s="42"/>
      <c r="DO1223" s="42"/>
    </row>
    <row r="1224" spans="2:119" ht="15.4" x14ac:dyDescent="0.45">
      <c r="B1224" s="99"/>
      <c r="C1224" s="42"/>
      <c r="D1224" s="110"/>
      <c r="E1224" s="46" t="s">
        <v>8</v>
      </c>
      <c r="F1224" s="141">
        <v>17.089369074546418</v>
      </c>
      <c r="G1224" s="142"/>
      <c r="H1224" s="141">
        <v>82.910630925453589</v>
      </c>
      <c r="I1224" s="142"/>
      <c r="J1224" s="42"/>
      <c r="K1224" s="42"/>
      <c r="L1224" s="42"/>
      <c r="M1224" s="42"/>
      <c r="N1224" s="42"/>
      <c r="O1224" s="42"/>
      <c r="P1224" s="42"/>
      <c r="Q1224" s="110"/>
      <c r="R1224" s="46" t="s">
        <v>8</v>
      </c>
      <c r="S1224" s="141">
        <v>23.119692872137225</v>
      </c>
      <c r="T1224" s="142"/>
      <c r="U1224" s="141">
        <v>76.880307127862778</v>
      </c>
      <c r="V1224" s="142"/>
      <c r="W1224" s="42"/>
      <c r="X1224" s="42"/>
      <c r="Y1224" s="42"/>
      <c r="Z1224" s="42"/>
      <c r="AA1224" s="42"/>
      <c r="AB1224" s="42"/>
      <c r="AC1224" s="42"/>
      <c r="AD1224" s="110"/>
      <c r="AE1224" s="46" t="s">
        <v>8</v>
      </c>
      <c r="AF1224" s="141">
        <v>10.839311615508251</v>
      </c>
      <c r="AG1224" s="142"/>
      <c r="AH1224" s="141">
        <v>89.160688384491749</v>
      </c>
      <c r="AI1224" s="142"/>
      <c r="AJ1224" s="42"/>
      <c r="AK1224" s="42"/>
      <c r="AL1224" s="42"/>
      <c r="AM1224" s="42"/>
      <c r="AN1224" s="42"/>
      <c r="AO1224" s="42"/>
      <c r="AQ1224" s="110"/>
      <c r="AR1224" s="46" t="s">
        <v>8</v>
      </c>
      <c r="AS1224" s="141">
        <v>11.759520451339915</v>
      </c>
      <c r="AT1224" s="142"/>
      <c r="AU1224" s="141">
        <v>88.24047954866009</v>
      </c>
      <c r="AV1224" s="142"/>
      <c r="AW1224" s="42"/>
      <c r="AX1224" s="42"/>
      <c r="AY1224" s="42"/>
      <c r="AZ1224" s="42"/>
      <c r="BA1224" s="42"/>
      <c r="BB1224" s="42"/>
      <c r="BC1224" s="42"/>
      <c r="BD1224" s="110"/>
      <c r="BE1224" s="46" t="s">
        <v>8</v>
      </c>
      <c r="BF1224" s="141">
        <v>19.090487853313036</v>
      </c>
      <c r="BG1224" s="142"/>
      <c r="BH1224" s="141">
        <v>80.909512146686964</v>
      </c>
      <c r="BI1224" s="142"/>
      <c r="BJ1224" s="42"/>
      <c r="BK1224" s="42"/>
      <c r="BL1224" s="42"/>
      <c r="BM1224" s="42"/>
      <c r="BN1224" s="42"/>
      <c r="BO1224" s="42"/>
      <c r="BQ1224" s="110"/>
      <c r="BR1224" s="46" t="s">
        <v>8</v>
      </c>
      <c r="BS1224" s="141">
        <v>6.8189162986103629</v>
      </c>
      <c r="BT1224" s="142"/>
      <c r="BU1224" s="141">
        <v>93.181083701389639</v>
      </c>
      <c r="BV1224" s="142"/>
      <c r="BW1224" s="42"/>
      <c r="BX1224" s="42"/>
      <c r="BY1224" s="42"/>
      <c r="BZ1224" s="42"/>
      <c r="CA1224" s="42"/>
      <c r="CB1224" s="42"/>
      <c r="CC1224" s="42"/>
      <c r="CD1224" s="110"/>
      <c r="CE1224" s="46" t="s">
        <v>8</v>
      </c>
      <c r="CF1224" s="141">
        <v>18.097070139094406</v>
      </c>
      <c r="CG1224" s="142"/>
      <c r="CH1224" s="141">
        <v>81.902929860905587</v>
      </c>
      <c r="CI1224" s="142"/>
      <c r="CJ1224" s="42"/>
      <c r="CK1224" s="42"/>
      <c r="CL1224" s="42"/>
      <c r="CM1224" s="42"/>
      <c r="CN1224" s="42"/>
      <c r="CO1224" s="42"/>
      <c r="CQ1224" s="110"/>
      <c r="CR1224" s="46" t="s">
        <v>8</v>
      </c>
      <c r="CS1224" s="141">
        <v>30.201912858661</v>
      </c>
      <c r="CT1224" s="142"/>
      <c r="CU1224" s="141">
        <v>69.79808714133901</v>
      </c>
      <c r="CV1224" s="142"/>
      <c r="CW1224" s="42"/>
      <c r="CX1224" s="42"/>
      <c r="CY1224" s="42"/>
      <c r="CZ1224" s="42"/>
      <c r="DA1224" s="42"/>
      <c r="DB1224" s="42"/>
      <c r="DC1224" s="42"/>
      <c r="DD1224" s="110"/>
      <c r="DE1224" s="46" t="s">
        <v>8</v>
      </c>
      <c r="DF1224" s="141">
        <v>15.027845845399867</v>
      </c>
      <c r="DG1224" s="142"/>
      <c r="DH1224" s="141">
        <v>84.972154154600133</v>
      </c>
      <c r="DI1224" s="142"/>
      <c r="DJ1224" s="42"/>
      <c r="DK1224" s="42"/>
      <c r="DL1224" s="42"/>
      <c r="DM1224" s="42"/>
      <c r="DN1224" s="42"/>
      <c r="DO1224" s="42"/>
    </row>
    <row r="1225" spans="2:119" ht="15.4" x14ac:dyDescent="0.45">
      <c r="B1225" s="99"/>
      <c r="C1225" s="42"/>
      <c r="D1225" s="110"/>
      <c r="E1225" s="46" t="s">
        <v>9</v>
      </c>
      <c r="F1225" s="141">
        <v>33.078393881453152</v>
      </c>
      <c r="G1225" s="142"/>
      <c r="H1225" s="141">
        <v>66.921606118546848</v>
      </c>
      <c r="I1225" s="142"/>
      <c r="J1225" s="42"/>
      <c r="K1225" s="42"/>
      <c r="L1225" s="42"/>
      <c r="M1225" s="42"/>
      <c r="N1225" s="42"/>
      <c r="O1225" s="42"/>
      <c r="P1225" s="42"/>
      <c r="Q1225" s="110"/>
      <c r="R1225" s="46" t="s">
        <v>9</v>
      </c>
      <c r="S1225" s="141">
        <v>41.931337667417992</v>
      </c>
      <c r="T1225" s="142"/>
      <c r="U1225" s="141">
        <v>58.068662332582008</v>
      </c>
      <c r="V1225" s="142"/>
      <c r="W1225" s="42"/>
      <c r="X1225" s="42"/>
      <c r="Y1225" s="42"/>
      <c r="Z1225" s="42"/>
      <c r="AA1225" s="42"/>
      <c r="AB1225" s="42"/>
      <c r="AC1225" s="42"/>
      <c r="AD1225" s="110"/>
      <c r="AE1225" s="46" t="s">
        <v>9</v>
      </c>
      <c r="AF1225" s="141">
        <v>24.286374988437704</v>
      </c>
      <c r="AG1225" s="142"/>
      <c r="AH1225" s="141">
        <v>75.7136250115623</v>
      </c>
      <c r="AI1225" s="142"/>
      <c r="AJ1225" s="42"/>
      <c r="AK1225" s="42"/>
      <c r="AL1225" s="42"/>
      <c r="AM1225" s="42"/>
      <c r="AN1225" s="42"/>
      <c r="AO1225" s="42"/>
      <c r="AQ1225" s="110"/>
      <c r="AR1225" s="46" t="s">
        <v>9</v>
      </c>
      <c r="AS1225" s="141">
        <v>24.260589765063692</v>
      </c>
      <c r="AT1225" s="142"/>
      <c r="AU1225" s="141">
        <v>75.739410234936315</v>
      </c>
      <c r="AV1225" s="142"/>
      <c r="AW1225" s="42"/>
      <c r="AX1225" s="42"/>
      <c r="AY1225" s="42"/>
      <c r="AZ1225" s="42"/>
      <c r="BA1225" s="42"/>
      <c r="BB1225" s="42"/>
      <c r="BC1225" s="42"/>
      <c r="BD1225" s="110"/>
      <c r="BE1225" s="46" t="s">
        <v>9</v>
      </c>
      <c r="BF1225" s="141">
        <v>35.430506402041132</v>
      </c>
      <c r="BG1225" s="142"/>
      <c r="BH1225" s="141">
        <v>64.569493597958868</v>
      </c>
      <c r="BI1225" s="142"/>
      <c r="BJ1225" s="42"/>
      <c r="BK1225" s="42"/>
      <c r="BL1225" s="42"/>
      <c r="BM1225" s="42"/>
      <c r="BN1225" s="42"/>
      <c r="BO1225" s="42"/>
      <c r="BQ1225" s="110"/>
      <c r="BR1225" s="46" t="s">
        <v>9</v>
      </c>
      <c r="BS1225" s="141">
        <v>16.808860948959737</v>
      </c>
      <c r="BT1225" s="142"/>
      <c r="BU1225" s="141">
        <v>83.191139051040267</v>
      </c>
      <c r="BV1225" s="142"/>
      <c r="BW1225" s="42"/>
      <c r="BX1225" s="42"/>
      <c r="BY1225" s="42"/>
      <c r="BZ1225" s="42"/>
      <c r="CA1225" s="42"/>
      <c r="CB1225" s="42"/>
      <c r="CC1225" s="42"/>
      <c r="CD1225" s="110"/>
      <c r="CE1225" s="46" t="s">
        <v>9</v>
      </c>
      <c r="CF1225" s="141">
        <v>34.153992301374473</v>
      </c>
      <c r="CG1225" s="142"/>
      <c r="CH1225" s="141">
        <v>65.846007698625527</v>
      </c>
      <c r="CI1225" s="142"/>
      <c r="CJ1225" s="42"/>
      <c r="CK1225" s="42"/>
      <c r="CL1225" s="42"/>
      <c r="CM1225" s="42"/>
      <c r="CN1225" s="42"/>
      <c r="CO1225" s="42"/>
      <c r="CQ1225" s="110"/>
      <c r="CR1225" s="46" t="s">
        <v>9</v>
      </c>
      <c r="CS1225" s="141">
        <v>47.268583192412322</v>
      </c>
      <c r="CT1225" s="142"/>
      <c r="CU1225" s="141">
        <v>52.731416807587671</v>
      </c>
      <c r="CV1225" s="142"/>
      <c r="CW1225" s="42"/>
      <c r="CX1225" s="42"/>
      <c r="CY1225" s="42"/>
      <c r="CZ1225" s="42"/>
      <c r="DA1225" s="42"/>
      <c r="DB1225" s="42"/>
      <c r="DC1225" s="42"/>
      <c r="DD1225" s="110"/>
      <c r="DE1225" s="46" t="s">
        <v>9</v>
      </c>
      <c r="DF1225" s="141">
        <v>31.028182330008391</v>
      </c>
      <c r="DG1225" s="142"/>
      <c r="DH1225" s="141">
        <v>68.971817669991609</v>
      </c>
      <c r="DI1225" s="142"/>
      <c r="DJ1225" s="42"/>
      <c r="DK1225" s="42"/>
      <c r="DL1225" s="42"/>
      <c r="DM1225" s="42"/>
      <c r="DN1225" s="42"/>
      <c r="DO1225" s="42"/>
    </row>
    <row r="1226" spans="2:119" ht="15.4" x14ac:dyDescent="0.45">
      <c r="B1226" s="99"/>
      <c r="C1226" s="42"/>
      <c r="D1226" s="110"/>
      <c r="E1226" s="46" t="s">
        <v>10</v>
      </c>
      <c r="F1226" s="141">
        <v>54.082399416033326</v>
      </c>
      <c r="G1226" s="142"/>
      <c r="H1226" s="141">
        <v>45.917600583966674</v>
      </c>
      <c r="I1226" s="142"/>
      <c r="J1226" s="42"/>
      <c r="K1226" s="42"/>
      <c r="L1226" s="42"/>
      <c r="M1226" s="42"/>
      <c r="N1226" s="42"/>
      <c r="O1226" s="42"/>
      <c r="P1226" s="42"/>
      <c r="Q1226" s="110"/>
      <c r="R1226" s="46" t="s">
        <v>10</v>
      </c>
      <c r="S1226" s="141">
        <v>62.293175923441559</v>
      </c>
      <c r="T1226" s="142"/>
      <c r="U1226" s="141">
        <v>37.706824076558448</v>
      </c>
      <c r="V1226" s="142"/>
      <c r="W1226" s="42"/>
      <c r="X1226" s="42"/>
      <c r="Y1226" s="42"/>
      <c r="Z1226" s="42"/>
      <c r="AA1226" s="42"/>
      <c r="AB1226" s="42"/>
      <c r="AC1226" s="42"/>
      <c r="AD1226" s="110"/>
      <c r="AE1226" s="46" t="s">
        <v>10</v>
      </c>
      <c r="AF1226" s="141">
        <v>46.500247770069372</v>
      </c>
      <c r="AG1226" s="142"/>
      <c r="AH1226" s="141">
        <v>53.499752229930621</v>
      </c>
      <c r="AI1226" s="142"/>
      <c r="AJ1226" s="42"/>
      <c r="AK1226" s="42"/>
      <c r="AL1226" s="42"/>
      <c r="AM1226" s="42"/>
      <c r="AN1226" s="42"/>
      <c r="AO1226" s="42"/>
      <c r="AQ1226" s="110"/>
      <c r="AR1226" s="46" t="s">
        <v>10</v>
      </c>
      <c r="AS1226" s="141">
        <v>41.076259413614096</v>
      </c>
      <c r="AT1226" s="142"/>
      <c r="AU1226" s="141">
        <v>58.923740586385911</v>
      </c>
      <c r="AV1226" s="142"/>
      <c r="AW1226" s="42"/>
      <c r="AX1226" s="42"/>
      <c r="AY1226" s="42"/>
      <c r="AZ1226" s="42"/>
      <c r="BA1226" s="42"/>
      <c r="BB1226" s="42"/>
      <c r="BC1226" s="42"/>
      <c r="BD1226" s="110"/>
      <c r="BE1226" s="46" t="s">
        <v>10</v>
      </c>
      <c r="BF1226" s="141">
        <v>56.320537500471822</v>
      </c>
      <c r="BG1226" s="142"/>
      <c r="BH1226" s="141">
        <v>43.679462499528178</v>
      </c>
      <c r="BI1226" s="142"/>
      <c r="BJ1226" s="42"/>
      <c r="BK1226" s="42"/>
      <c r="BL1226" s="42"/>
      <c r="BM1226" s="42"/>
      <c r="BN1226" s="42"/>
      <c r="BO1226" s="42"/>
      <c r="BQ1226" s="110"/>
      <c r="BR1226" s="46" t="s">
        <v>10</v>
      </c>
      <c r="BS1226" s="141">
        <v>35.198601049213089</v>
      </c>
      <c r="BT1226" s="142"/>
      <c r="BU1226" s="141">
        <v>64.801398950786918</v>
      </c>
      <c r="BV1226" s="142"/>
      <c r="BW1226" s="42"/>
      <c r="BX1226" s="42"/>
      <c r="BY1226" s="42"/>
      <c r="BZ1226" s="42"/>
      <c r="CA1226" s="42"/>
      <c r="CB1226" s="42"/>
      <c r="CC1226" s="42"/>
      <c r="CD1226" s="110"/>
      <c r="CE1226" s="46" t="s">
        <v>10</v>
      </c>
      <c r="CF1226" s="141">
        <v>54.930288380648996</v>
      </c>
      <c r="CG1226" s="142"/>
      <c r="CH1226" s="141">
        <v>45.069711619351004</v>
      </c>
      <c r="CI1226" s="142"/>
      <c r="CJ1226" s="42"/>
      <c r="CK1226" s="42"/>
      <c r="CL1226" s="42"/>
      <c r="CM1226" s="42"/>
      <c r="CN1226" s="42"/>
      <c r="CO1226" s="42"/>
      <c r="CQ1226" s="110"/>
      <c r="CR1226" s="46" t="s">
        <v>10</v>
      </c>
      <c r="CS1226" s="141">
        <v>64.653902798232693</v>
      </c>
      <c r="CT1226" s="142"/>
      <c r="CU1226" s="141">
        <v>35.346097201767307</v>
      </c>
      <c r="CV1226" s="142"/>
      <c r="CW1226" s="42"/>
      <c r="CX1226" s="42"/>
      <c r="CY1226" s="42"/>
      <c r="CZ1226" s="42"/>
      <c r="DA1226" s="42"/>
      <c r="DB1226" s="42"/>
      <c r="DC1226" s="42"/>
      <c r="DD1226" s="110"/>
      <c r="DE1226" s="46" t="s">
        <v>10</v>
      </c>
      <c r="DF1226" s="141">
        <v>52.587210370896798</v>
      </c>
      <c r="DG1226" s="142"/>
      <c r="DH1226" s="141">
        <v>47.412789629103209</v>
      </c>
      <c r="DI1226" s="142"/>
      <c r="DJ1226" s="42"/>
      <c r="DK1226" s="42"/>
      <c r="DL1226" s="42"/>
      <c r="DM1226" s="42"/>
      <c r="DN1226" s="42"/>
      <c r="DO1226" s="42"/>
    </row>
    <row r="1227" spans="2:119" ht="15.4" x14ac:dyDescent="0.45">
      <c r="B1227" s="99"/>
      <c r="C1227" s="42"/>
      <c r="D1227" s="111"/>
      <c r="E1227" s="46" t="s">
        <v>11</v>
      </c>
      <c r="F1227" s="141">
        <v>72.556740255718267</v>
      </c>
      <c r="G1227" s="142"/>
      <c r="H1227" s="141">
        <v>27.443259744281733</v>
      </c>
      <c r="I1227" s="142"/>
      <c r="J1227" s="42"/>
      <c r="K1227" s="42"/>
      <c r="L1227" s="42"/>
      <c r="M1227" s="42"/>
      <c r="N1227" s="42"/>
      <c r="O1227" s="42"/>
      <c r="P1227" s="42"/>
      <c r="Q1227" s="111"/>
      <c r="R1227" s="46" t="s">
        <v>11</v>
      </c>
      <c r="S1227" s="141">
        <v>77.11340206185568</v>
      </c>
      <c r="T1227" s="142"/>
      <c r="U1227" s="141">
        <v>22.88659793814433</v>
      </c>
      <c r="V1227" s="142"/>
      <c r="W1227" s="42"/>
      <c r="X1227" s="42"/>
      <c r="Y1227" s="42"/>
      <c r="Z1227" s="42"/>
      <c r="AA1227" s="42"/>
      <c r="AB1227" s="42"/>
      <c r="AC1227" s="42"/>
      <c r="AD1227" s="111"/>
      <c r="AE1227" s="46" t="s">
        <v>11</v>
      </c>
      <c r="AF1227" s="141">
        <v>68.116701607267643</v>
      </c>
      <c r="AG1227" s="142"/>
      <c r="AH1227" s="141">
        <v>31.883298392732357</v>
      </c>
      <c r="AI1227" s="142"/>
      <c r="AJ1227" s="42"/>
      <c r="AK1227" s="42"/>
      <c r="AL1227" s="42"/>
      <c r="AM1227" s="42"/>
      <c r="AN1227" s="42"/>
      <c r="AO1227" s="42"/>
      <c r="AQ1227" s="111"/>
      <c r="AR1227" s="46" t="s">
        <v>11</v>
      </c>
      <c r="AS1227" s="141">
        <v>58.868894601542422</v>
      </c>
      <c r="AT1227" s="142"/>
      <c r="AU1227" s="141">
        <v>41.131105398457585</v>
      </c>
      <c r="AV1227" s="142"/>
      <c r="AW1227" s="42"/>
      <c r="AX1227" s="42"/>
      <c r="AY1227" s="42"/>
      <c r="AZ1227" s="42"/>
      <c r="BA1227" s="42"/>
      <c r="BB1227" s="42"/>
      <c r="BC1227" s="42"/>
      <c r="BD1227" s="111"/>
      <c r="BE1227" s="46" t="s">
        <v>11</v>
      </c>
      <c r="BF1227" s="141">
        <v>73.845483589892538</v>
      </c>
      <c r="BG1227" s="142"/>
      <c r="BH1227" s="141">
        <v>26.154516410107465</v>
      </c>
      <c r="BI1227" s="142"/>
      <c r="BJ1227" s="42"/>
      <c r="BK1227" s="42"/>
      <c r="BL1227" s="42"/>
      <c r="BM1227" s="42"/>
      <c r="BN1227" s="42"/>
      <c r="BO1227" s="42"/>
      <c r="BQ1227" s="111"/>
      <c r="BR1227" s="46" t="s">
        <v>11</v>
      </c>
      <c r="BS1227" s="141">
        <v>51.831750339213023</v>
      </c>
      <c r="BT1227" s="142"/>
      <c r="BU1227" s="141">
        <v>48.168249660786969</v>
      </c>
      <c r="BV1227" s="142"/>
      <c r="BW1227" s="42"/>
      <c r="BX1227" s="42"/>
      <c r="BY1227" s="42"/>
      <c r="BZ1227" s="42"/>
      <c r="CA1227" s="42"/>
      <c r="CB1227" s="42"/>
      <c r="CC1227" s="42"/>
      <c r="CD1227" s="111"/>
      <c r="CE1227" s="46" t="s">
        <v>11</v>
      </c>
      <c r="CF1227" s="141">
        <v>73.255282173236992</v>
      </c>
      <c r="CG1227" s="142"/>
      <c r="CH1227" s="141">
        <v>26.744717826763008</v>
      </c>
      <c r="CI1227" s="142"/>
      <c r="CJ1227" s="42"/>
      <c r="CK1227" s="42"/>
      <c r="CL1227" s="42"/>
      <c r="CM1227" s="42"/>
      <c r="CN1227" s="42"/>
      <c r="CO1227" s="42"/>
      <c r="CQ1227" s="111"/>
      <c r="CR1227" s="46" t="s">
        <v>11</v>
      </c>
      <c r="CS1227" s="141">
        <v>80.307813733228102</v>
      </c>
      <c r="CT1227" s="142"/>
      <c r="CU1227" s="141">
        <v>19.692186266771902</v>
      </c>
      <c r="CV1227" s="142"/>
      <c r="CW1227" s="42"/>
      <c r="CX1227" s="42"/>
      <c r="CY1227" s="42"/>
      <c r="CZ1227" s="42"/>
      <c r="DA1227" s="42"/>
      <c r="DB1227" s="42"/>
      <c r="DC1227" s="42"/>
      <c r="DD1227" s="111"/>
      <c r="DE1227" s="46" t="s">
        <v>11</v>
      </c>
      <c r="DF1227" s="141">
        <v>71.578055707808062</v>
      </c>
      <c r="DG1227" s="142"/>
      <c r="DH1227" s="141">
        <v>28.421944292191938</v>
      </c>
      <c r="DI1227" s="142"/>
      <c r="DJ1227" s="42"/>
      <c r="DK1227" s="42"/>
      <c r="DL1227" s="42"/>
      <c r="DM1227" s="42"/>
      <c r="DN1227" s="42"/>
      <c r="DO1227" s="42"/>
    </row>
    <row r="1228" spans="2:119" x14ac:dyDescent="0.45">
      <c r="B1228" s="99"/>
      <c r="C1228" s="42"/>
      <c r="D1228" s="42"/>
      <c r="E1228" s="42"/>
      <c r="F1228" s="42"/>
      <c r="G1228" s="42"/>
      <c r="H1228" s="42"/>
      <c r="I1228" s="42"/>
      <c r="J1228" s="42"/>
      <c r="K1228" s="42"/>
      <c r="L1228" s="42"/>
      <c r="M1228" s="42"/>
      <c r="N1228" s="42"/>
      <c r="O1228" s="42"/>
      <c r="P1228" s="42"/>
      <c r="Q1228" s="42"/>
      <c r="R1228" s="42"/>
      <c r="S1228" s="42"/>
      <c r="T1228" s="42"/>
      <c r="U1228" s="42"/>
      <c r="V1228" s="42"/>
      <c r="W1228" s="42"/>
      <c r="X1228" s="42"/>
      <c r="Y1228" s="42"/>
      <c r="Z1228" s="42"/>
      <c r="AA1228" s="42"/>
      <c r="AB1228" s="42"/>
      <c r="AC1228" s="42"/>
      <c r="AD1228" s="42"/>
      <c r="AE1228" s="42"/>
      <c r="AF1228" s="42"/>
      <c r="AG1228" s="42"/>
      <c r="AH1228" s="42"/>
      <c r="AI1228" s="42"/>
      <c r="AJ1228" s="42"/>
      <c r="AK1228" s="42"/>
      <c r="AL1228" s="42"/>
      <c r="AM1228" s="42"/>
      <c r="AN1228" s="42"/>
      <c r="AO1228" s="42"/>
      <c r="AQ1228" s="42"/>
      <c r="AR1228" s="42"/>
      <c r="AS1228" s="42"/>
      <c r="AT1228" s="42"/>
      <c r="AU1228" s="42"/>
      <c r="AV1228" s="42"/>
      <c r="AW1228" s="42"/>
      <c r="AX1228" s="42"/>
      <c r="AY1228" s="42"/>
      <c r="AZ1228" s="42"/>
      <c r="BA1228" s="42"/>
      <c r="BB1228" s="42"/>
      <c r="BC1228" s="42"/>
      <c r="BD1228" s="42"/>
      <c r="BE1228" s="42"/>
      <c r="BF1228" s="42"/>
      <c r="BG1228" s="42"/>
      <c r="BH1228" s="42"/>
      <c r="BI1228" s="42"/>
      <c r="BJ1228" s="42"/>
      <c r="BK1228" s="42"/>
      <c r="BL1228" s="42"/>
      <c r="BM1228" s="42"/>
      <c r="BN1228" s="42"/>
      <c r="BO1228" s="42"/>
      <c r="BQ1228" s="42"/>
      <c r="BR1228" s="42"/>
      <c r="BS1228" s="42"/>
      <c r="BT1228" s="42"/>
      <c r="BU1228" s="42"/>
      <c r="BV1228" s="42"/>
      <c r="BW1228" s="42"/>
      <c r="BX1228" s="42"/>
      <c r="BY1228" s="42"/>
      <c r="BZ1228" s="42"/>
      <c r="CA1228" s="42"/>
      <c r="CB1228" s="42"/>
      <c r="CC1228" s="42"/>
      <c r="CD1228" s="42"/>
      <c r="CE1228" s="42"/>
      <c r="CF1228" s="42"/>
      <c r="CG1228" s="42"/>
      <c r="CH1228" s="42"/>
      <c r="CI1228" s="42"/>
      <c r="CJ1228" s="42"/>
      <c r="CK1228" s="42"/>
      <c r="CL1228" s="42"/>
      <c r="CM1228" s="42"/>
      <c r="CN1228" s="42"/>
      <c r="CO1228" s="42"/>
      <c r="CQ1228" s="42"/>
      <c r="CR1228" s="42"/>
      <c r="CS1228" s="42"/>
      <c r="CT1228" s="42"/>
      <c r="CU1228" s="42"/>
      <c r="CV1228" s="42"/>
      <c r="CW1228" s="42"/>
      <c r="CX1228" s="42"/>
      <c r="CY1228" s="42"/>
      <c r="CZ1228" s="42"/>
      <c r="DA1228" s="42"/>
      <c r="DB1228" s="42"/>
      <c r="DC1228" s="42"/>
      <c r="DD1228" s="42"/>
      <c r="DE1228" s="42"/>
      <c r="DF1228" s="42"/>
      <c r="DG1228" s="42"/>
      <c r="DH1228" s="42"/>
      <c r="DI1228" s="42"/>
      <c r="DJ1228" s="42"/>
      <c r="DK1228" s="42"/>
      <c r="DL1228" s="42"/>
      <c r="DM1228" s="42"/>
      <c r="DN1228" s="42"/>
      <c r="DO1228" s="42"/>
    </row>
    <row r="1229" spans="2:119" x14ac:dyDescent="0.45">
      <c r="B1229" s="99"/>
      <c r="C1229" s="42"/>
      <c r="D1229" s="42"/>
      <c r="E1229" s="42"/>
      <c r="F1229" s="42"/>
      <c r="G1229" s="42"/>
      <c r="H1229" s="42"/>
      <c r="I1229" s="42"/>
      <c r="J1229" s="42"/>
      <c r="K1229" s="42"/>
      <c r="L1229" s="42"/>
      <c r="M1229" s="42"/>
      <c r="N1229" s="42"/>
      <c r="O1229" s="42"/>
      <c r="P1229" s="42"/>
      <c r="Q1229" s="42"/>
      <c r="R1229" s="42"/>
      <c r="S1229" s="42"/>
      <c r="T1229" s="42"/>
      <c r="U1229" s="42"/>
      <c r="V1229" s="42"/>
      <c r="W1229" s="42"/>
      <c r="X1229" s="42"/>
      <c r="Y1229" s="42"/>
      <c r="Z1229" s="42"/>
      <c r="AA1229" s="42"/>
      <c r="AB1229" s="42"/>
      <c r="AC1229" s="42"/>
      <c r="AD1229" s="42"/>
      <c r="AE1229" s="42"/>
      <c r="AF1229" s="42"/>
      <c r="AG1229" s="42"/>
      <c r="AH1229" s="42"/>
      <c r="AI1229" s="42"/>
      <c r="AJ1229" s="42"/>
      <c r="AK1229" s="42"/>
      <c r="AL1229" s="42"/>
      <c r="AM1229" s="42"/>
      <c r="AN1229" s="42"/>
      <c r="AO1229" s="42"/>
      <c r="AQ1229" s="42"/>
      <c r="AR1229" s="42"/>
      <c r="AS1229" s="42"/>
      <c r="AT1229" s="42"/>
      <c r="AU1229" s="42"/>
      <c r="AV1229" s="42"/>
      <c r="AW1229" s="42"/>
      <c r="AX1229" s="42"/>
      <c r="AY1229" s="42"/>
      <c r="AZ1229" s="42"/>
      <c r="BA1229" s="42"/>
      <c r="BB1229" s="42"/>
      <c r="BC1229" s="42"/>
      <c r="BD1229" s="42"/>
      <c r="BE1229" s="42"/>
      <c r="BF1229" s="42"/>
      <c r="BG1229" s="42"/>
      <c r="BH1229" s="42"/>
      <c r="BI1229" s="42"/>
      <c r="BJ1229" s="42"/>
      <c r="BK1229" s="42"/>
      <c r="BL1229" s="42"/>
      <c r="BM1229" s="42"/>
      <c r="BN1229" s="42"/>
      <c r="BO1229" s="42"/>
      <c r="BQ1229" s="42"/>
      <c r="BR1229" s="42"/>
      <c r="BS1229" s="42"/>
      <c r="BT1229" s="42"/>
      <c r="BU1229" s="42"/>
      <c r="BV1229" s="42"/>
      <c r="BW1229" s="42"/>
      <c r="BX1229" s="42"/>
      <c r="BY1229" s="42"/>
      <c r="BZ1229" s="42"/>
      <c r="CA1229" s="42"/>
      <c r="CB1229" s="42"/>
      <c r="CC1229" s="42"/>
      <c r="CD1229" s="42"/>
      <c r="CE1229" s="42"/>
      <c r="CF1229" s="42"/>
      <c r="CG1229" s="42"/>
      <c r="CH1229" s="42"/>
      <c r="CI1229" s="42"/>
      <c r="CJ1229" s="42"/>
      <c r="CK1229" s="42"/>
      <c r="CL1229" s="42"/>
      <c r="CM1229" s="42"/>
      <c r="CN1229" s="42"/>
      <c r="CO1229" s="42"/>
      <c r="CQ1229" s="42"/>
      <c r="CR1229" s="42"/>
      <c r="CS1229" s="42"/>
      <c r="CT1229" s="42"/>
      <c r="CU1229" s="42"/>
      <c r="CV1229" s="42"/>
      <c r="CW1229" s="42"/>
      <c r="CX1229" s="42"/>
      <c r="CY1229" s="42"/>
      <c r="CZ1229" s="42"/>
      <c r="DA1229" s="42"/>
      <c r="DB1229" s="42"/>
      <c r="DC1229" s="42"/>
      <c r="DD1229" s="42"/>
      <c r="DE1229" s="42"/>
      <c r="DF1229" s="42"/>
      <c r="DG1229" s="42"/>
      <c r="DH1229" s="42"/>
      <c r="DI1229" s="42"/>
      <c r="DJ1229" s="42"/>
      <c r="DK1229" s="42"/>
      <c r="DL1229" s="42"/>
      <c r="DM1229" s="42"/>
      <c r="DN1229" s="42"/>
      <c r="DO1229" s="42"/>
    </row>
    <row r="1230" spans="2:119" ht="18.75" customHeight="1" x14ac:dyDescent="0.55000000000000004">
      <c r="B1230" s="99"/>
      <c r="C1230" s="42"/>
      <c r="D1230" s="112" t="s">
        <v>24</v>
      </c>
      <c r="E1230" s="112"/>
      <c r="F1230" s="45"/>
      <c r="G1230" s="45"/>
      <c r="H1230" s="42"/>
      <c r="I1230" s="42"/>
      <c r="J1230" s="42"/>
      <c r="K1230" s="42"/>
      <c r="L1230" s="42"/>
      <c r="M1230" s="42"/>
      <c r="N1230" s="42"/>
      <c r="O1230" s="42"/>
      <c r="P1230" s="42"/>
      <c r="Q1230" s="112" t="s">
        <v>24</v>
      </c>
      <c r="R1230" s="112"/>
      <c r="S1230" s="45"/>
      <c r="T1230" s="45"/>
      <c r="U1230" s="42"/>
      <c r="V1230" s="42"/>
      <c r="W1230" s="42"/>
      <c r="X1230" s="42"/>
      <c r="Y1230" s="42"/>
      <c r="Z1230" s="42"/>
      <c r="AA1230" s="42"/>
      <c r="AB1230" s="42"/>
      <c r="AC1230" s="42"/>
      <c r="AD1230" s="112" t="s">
        <v>24</v>
      </c>
      <c r="AE1230" s="112"/>
      <c r="AF1230" s="45"/>
      <c r="AG1230" s="45"/>
      <c r="AH1230" s="42"/>
      <c r="AI1230" s="42"/>
      <c r="AJ1230" s="42"/>
      <c r="AK1230" s="42"/>
      <c r="AL1230" s="42"/>
      <c r="AM1230" s="42"/>
      <c r="AN1230" s="42"/>
      <c r="AO1230" s="42"/>
      <c r="AQ1230" s="112" t="s">
        <v>24</v>
      </c>
      <c r="AR1230" s="112"/>
      <c r="AS1230" s="45"/>
      <c r="AT1230" s="45"/>
      <c r="AU1230" s="42"/>
      <c r="AV1230" s="42"/>
      <c r="AW1230" s="42"/>
      <c r="AX1230" s="42"/>
      <c r="AY1230" s="42"/>
      <c r="AZ1230" s="42"/>
      <c r="BA1230" s="42"/>
      <c r="BB1230" s="42"/>
      <c r="BC1230" s="42"/>
      <c r="BD1230" s="112" t="s">
        <v>24</v>
      </c>
      <c r="BE1230" s="112"/>
      <c r="BF1230" s="45"/>
      <c r="BG1230" s="45"/>
      <c r="BH1230" s="42"/>
      <c r="BI1230" s="42"/>
      <c r="BJ1230" s="42"/>
      <c r="BK1230" s="42"/>
      <c r="BL1230" s="42"/>
      <c r="BM1230" s="42"/>
      <c r="BN1230" s="42"/>
      <c r="BO1230" s="42"/>
      <c r="BQ1230" s="112" t="s">
        <v>24</v>
      </c>
      <c r="BR1230" s="112"/>
      <c r="BS1230" s="45"/>
      <c r="BT1230" s="45"/>
      <c r="BU1230" s="42"/>
      <c r="BV1230" s="42"/>
      <c r="BW1230" s="42"/>
      <c r="BX1230" s="42"/>
      <c r="BY1230" s="42"/>
      <c r="BZ1230" s="42"/>
      <c r="CA1230" s="42"/>
      <c r="CB1230" s="42"/>
      <c r="CC1230" s="42"/>
      <c r="CD1230" s="112" t="s">
        <v>24</v>
      </c>
      <c r="CE1230" s="112"/>
      <c r="CF1230" s="45"/>
      <c r="CG1230" s="45"/>
      <c r="CH1230" s="42"/>
      <c r="CI1230" s="42"/>
      <c r="CJ1230" s="42"/>
      <c r="CK1230" s="42"/>
      <c r="CL1230" s="42"/>
      <c r="CM1230" s="42"/>
      <c r="CN1230" s="42"/>
      <c r="CO1230" s="42"/>
      <c r="CQ1230" s="112" t="s">
        <v>24</v>
      </c>
      <c r="CR1230" s="112"/>
      <c r="CS1230" s="45"/>
      <c r="CT1230" s="45"/>
      <c r="CU1230" s="42"/>
      <c r="CV1230" s="42"/>
      <c r="CW1230" s="42"/>
      <c r="CX1230" s="42"/>
      <c r="CY1230" s="42"/>
      <c r="CZ1230" s="42"/>
      <c r="DA1230" s="42"/>
      <c r="DB1230" s="42"/>
      <c r="DC1230" s="42"/>
      <c r="DD1230" s="112" t="s">
        <v>24</v>
      </c>
      <c r="DE1230" s="112"/>
      <c r="DF1230" s="45"/>
      <c r="DG1230" s="45"/>
      <c r="DH1230" s="42"/>
      <c r="DI1230" s="42"/>
      <c r="DJ1230" s="42"/>
      <c r="DK1230" s="42"/>
      <c r="DL1230" s="42"/>
      <c r="DM1230" s="42"/>
      <c r="DN1230" s="42"/>
      <c r="DO1230" s="42"/>
    </row>
    <row r="1231" spans="2:119" ht="28.9" customHeight="1" x14ac:dyDescent="0.45">
      <c r="B1231" s="99"/>
      <c r="C1231" s="42"/>
      <c r="D1231" s="112"/>
      <c r="E1231" s="112"/>
      <c r="F1231" s="108" t="s">
        <v>58</v>
      </c>
      <c r="G1231" s="108"/>
      <c r="H1231" s="108"/>
      <c r="I1231" s="108"/>
      <c r="J1231" s="42"/>
      <c r="K1231" s="42"/>
      <c r="L1231" s="42"/>
      <c r="M1231" s="42"/>
      <c r="N1231" s="42"/>
      <c r="O1231" s="42"/>
      <c r="P1231" s="42"/>
      <c r="Q1231" s="112"/>
      <c r="R1231" s="112"/>
      <c r="S1231" s="108" t="s">
        <v>58</v>
      </c>
      <c r="T1231" s="108"/>
      <c r="U1231" s="108"/>
      <c r="V1231" s="108"/>
      <c r="W1231" s="42"/>
      <c r="X1231" s="42"/>
      <c r="Y1231" s="42"/>
      <c r="Z1231" s="42"/>
      <c r="AA1231" s="42"/>
      <c r="AB1231" s="42"/>
      <c r="AC1231" s="42"/>
      <c r="AD1231" s="112"/>
      <c r="AE1231" s="112"/>
      <c r="AF1231" s="108" t="s">
        <v>58</v>
      </c>
      <c r="AG1231" s="108"/>
      <c r="AH1231" s="108"/>
      <c r="AI1231" s="108"/>
      <c r="AJ1231" s="42"/>
      <c r="AK1231" s="42"/>
      <c r="AL1231" s="42"/>
      <c r="AM1231" s="42"/>
      <c r="AN1231" s="42"/>
      <c r="AO1231" s="42"/>
      <c r="AQ1231" s="112"/>
      <c r="AR1231" s="112"/>
      <c r="AS1231" s="108" t="s">
        <v>58</v>
      </c>
      <c r="AT1231" s="108"/>
      <c r="AU1231" s="108"/>
      <c r="AV1231" s="108"/>
      <c r="AW1231" s="42"/>
      <c r="AX1231" s="42"/>
      <c r="AY1231" s="42"/>
      <c r="AZ1231" s="42"/>
      <c r="BA1231" s="42"/>
      <c r="BB1231" s="42"/>
      <c r="BC1231" s="42"/>
      <c r="BD1231" s="112"/>
      <c r="BE1231" s="112"/>
      <c r="BF1231" s="108" t="s">
        <v>58</v>
      </c>
      <c r="BG1231" s="108"/>
      <c r="BH1231" s="108"/>
      <c r="BI1231" s="108"/>
      <c r="BJ1231" s="42"/>
      <c r="BK1231" s="42"/>
      <c r="BL1231" s="42"/>
      <c r="BM1231" s="42"/>
      <c r="BN1231" s="42"/>
      <c r="BO1231" s="42"/>
      <c r="BQ1231" s="112"/>
      <c r="BR1231" s="112"/>
      <c r="BS1231" s="108" t="s">
        <v>58</v>
      </c>
      <c r="BT1231" s="108"/>
      <c r="BU1231" s="108"/>
      <c r="BV1231" s="108"/>
      <c r="BW1231" s="42"/>
      <c r="BX1231" s="42"/>
      <c r="BY1231" s="42"/>
      <c r="BZ1231" s="42"/>
      <c r="CA1231" s="42"/>
      <c r="CB1231" s="42"/>
      <c r="CC1231" s="42"/>
      <c r="CD1231" s="112"/>
      <c r="CE1231" s="112"/>
      <c r="CF1231" s="108" t="s">
        <v>58</v>
      </c>
      <c r="CG1231" s="108"/>
      <c r="CH1231" s="108"/>
      <c r="CI1231" s="108"/>
      <c r="CJ1231" s="42"/>
      <c r="CK1231" s="42"/>
      <c r="CL1231" s="42"/>
      <c r="CM1231" s="42"/>
      <c r="CN1231" s="42"/>
      <c r="CO1231" s="42"/>
      <c r="CQ1231" s="112"/>
      <c r="CR1231" s="112"/>
      <c r="CS1231" s="108" t="s">
        <v>58</v>
      </c>
      <c r="CT1231" s="108"/>
      <c r="CU1231" s="108"/>
      <c r="CV1231" s="108"/>
      <c r="CW1231" s="42"/>
      <c r="CX1231" s="42"/>
      <c r="CY1231" s="42"/>
      <c r="CZ1231" s="42"/>
      <c r="DA1231" s="42"/>
      <c r="DB1231" s="42"/>
      <c r="DC1231" s="42"/>
      <c r="DD1231" s="112"/>
      <c r="DE1231" s="112"/>
      <c r="DF1231" s="108" t="s">
        <v>58</v>
      </c>
      <c r="DG1231" s="108"/>
      <c r="DH1231" s="108"/>
      <c r="DI1231" s="108"/>
      <c r="DJ1231" s="42"/>
      <c r="DK1231" s="42"/>
      <c r="DL1231" s="42"/>
      <c r="DM1231" s="42"/>
      <c r="DN1231" s="42"/>
      <c r="DO1231" s="42"/>
    </row>
    <row r="1232" spans="2:119" ht="15" customHeight="1" x14ac:dyDescent="0.45">
      <c r="B1232" s="99"/>
      <c r="C1232" s="42"/>
      <c r="D1232" s="113"/>
      <c r="E1232" s="113"/>
      <c r="F1232" s="143" t="s">
        <v>64</v>
      </c>
      <c r="G1232" s="144"/>
      <c r="H1232" s="143" t="s">
        <v>110</v>
      </c>
      <c r="I1232" s="144"/>
      <c r="J1232" s="42"/>
      <c r="K1232" s="42"/>
      <c r="L1232" s="42"/>
      <c r="M1232" s="42"/>
      <c r="N1232" s="42"/>
      <c r="O1232" s="42"/>
      <c r="P1232" s="42"/>
      <c r="Q1232" s="113"/>
      <c r="R1232" s="113"/>
      <c r="S1232" s="143" t="s">
        <v>64</v>
      </c>
      <c r="T1232" s="144"/>
      <c r="U1232" s="143" t="s">
        <v>110</v>
      </c>
      <c r="V1232" s="144"/>
      <c r="W1232" s="42"/>
      <c r="X1232" s="42"/>
      <c r="Y1232" s="42"/>
      <c r="Z1232" s="42"/>
      <c r="AA1232" s="42"/>
      <c r="AB1232" s="42"/>
      <c r="AC1232" s="42"/>
      <c r="AD1232" s="113"/>
      <c r="AE1232" s="113"/>
      <c r="AF1232" s="143" t="s">
        <v>64</v>
      </c>
      <c r="AG1232" s="144"/>
      <c r="AH1232" s="143" t="s">
        <v>110</v>
      </c>
      <c r="AI1232" s="144"/>
      <c r="AJ1232" s="42"/>
      <c r="AK1232" s="42"/>
      <c r="AL1232" s="42"/>
      <c r="AM1232" s="42"/>
      <c r="AN1232" s="42"/>
      <c r="AO1232" s="42"/>
      <c r="AQ1232" s="113"/>
      <c r="AR1232" s="113"/>
      <c r="AS1232" s="143" t="s">
        <v>64</v>
      </c>
      <c r="AT1232" s="144"/>
      <c r="AU1232" s="143" t="s">
        <v>110</v>
      </c>
      <c r="AV1232" s="144"/>
      <c r="AW1232" s="42"/>
      <c r="AX1232" s="42"/>
      <c r="AY1232" s="42"/>
      <c r="AZ1232" s="42"/>
      <c r="BA1232" s="42"/>
      <c r="BB1232" s="42"/>
      <c r="BC1232" s="42"/>
      <c r="BD1232" s="113"/>
      <c r="BE1232" s="113"/>
      <c r="BF1232" s="143" t="s">
        <v>64</v>
      </c>
      <c r="BG1232" s="144"/>
      <c r="BH1232" s="143" t="s">
        <v>110</v>
      </c>
      <c r="BI1232" s="144"/>
      <c r="BJ1232" s="42"/>
      <c r="BK1232" s="42"/>
      <c r="BL1232" s="42"/>
      <c r="BM1232" s="42"/>
      <c r="BN1232" s="42"/>
      <c r="BO1232" s="42"/>
      <c r="BQ1232" s="113"/>
      <c r="BR1232" s="113"/>
      <c r="BS1232" s="143" t="s">
        <v>64</v>
      </c>
      <c r="BT1232" s="144"/>
      <c r="BU1232" s="143" t="s">
        <v>110</v>
      </c>
      <c r="BV1232" s="144"/>
      <c r="BW1232" s="42"/>
      <c r="BX1232" s="42"/>
      <c r="BY1232" s="42"/>
      <c r="BZ1232" s="42"/>
      <c r="CA1232" s="42"/>
      <c r="CB1232" s="42"/>
      <c r="CC1232" s="42"/>
      <c r="CD1232" s="113"/>
      <c r="CE1232" s="113"/>
      <c r="CF1232" s="143" t="s">
        <v>64</v>
      </c>
      <c r="CG1232" s="144"/>
      <c r="CH1232" s="143" t="s">
        <v>110</v>
      </c>
      <c r="CI1232" s="144"/>
      <c r="CJ1232" s="42"/>
      <c r="CK1232" s="42"/>
      <c r="CL1232" s="42"/>
      <c r="CM1232" s="42"/>
      <c r="CN1232" s="42"/>
      <c r="CO1232" s="42"/>
      <c r="CQ1232" s="113"/>
      <c r="CR1232" s="113"/>
      <c r="CS1232" s="143" t="s">
        <v>64</v>
      </c>
      <c r="CT1232" s="144"/>
      <c r="CU1232" s="143" t="s">
        <v>110</v>
      </c>
      <c r="CV1232" s="144"/>
      <c r="CW1232" s="42"/>
      <c r="CX1232" s="42"/>
      <c r="CY1232" s="42"/>
      <c r="CZ1232" s="42"/>
      <c r="DA1232" s="42"/>
      <c r="DB1232" s="42"/>
      <c r="DC1232" s="42"/>
      <c r="DD1232" s="113"/>
      <c r="DE1232" s="113"/>
      <c r="DF1232" s="143" t="s">
        <v>64</v>
      </c>
      <c r="DG1232" s="144"/>
      <c r="DH1232" s="143" t="s">
        <v>110</v>
      </c>
      <c r="DI1232" s="144"/>
      <c r="DJ1232" s="42"/>
      <c r="DK1232" s="42"/>
      <c r="DL1232" s="42"/>
      <c r="DM1232" s="42"/>
      <c r="DN1232" s="42"/>
      <c r="DO1232" s="42"/>
    </row>
    <row r="1233" spans="2:119" ht="15.4" customHeight="1" x14ac:dyDescent="0.45">
      <c r="B1233" s="134" t="s">
        <v>61</v>
      </c>
      <c r="C1233" s="42"/>
      <c r="D1233" s="109" t="s">
        <v>13</v>
      </c>
      <c r="E1233" s="46" t="s">
        <v>1</v>
      </c>
      <c r="F1233" s="141">
        <v>3</v>
      </c>
      <c r="G1233" s="142"/>
      <c r="H1233" s="141">
        <v>2686</v>
      </c>
      <c r="I1233" s="142"/>
      <c r="J1233" s="42"/>
      <c r="K1233" s="42"/>
      <c r="L1233" s="42"/>
      <c r="M1233" s="42"/>
      <c r="N1233" s="42"/>
      <c r="O1233" s="42"/>
      <c r="P1233" s="42"/>
      <c r="Q1233" s="109" t="s">
        <v>13</v>
      </c>
      <c r="R1233" s="46" t="s">
        <v>1</v>
      </c>
      <c r="S1233" s="141">
        <v>2</v>
      </c>
      <c r="T1233" s="142"/>
      <c r="U1233" s="141">
        <v>931</v>
      </c>
      <c r="V1233" s="142"/>
      <c r="W1233" s="42"/>
      <c r="X1233" s="42"/>
      <c r="Y1233" s="42"/>
      <c r="Z1233" s="42"/>
      <c r="AA1233" s="42"/>
      <c r="AB1233" s="42"/>
      <c r="AC1233" s="42"/>
      <c r="AD1233" s="109" t="s">
        <v>13</v>
      </c>
      <c r="AE1233" s="46" t="s">
        <v>1</v>
      </c>
      <c r="AF1233" s="141">
        <v>1</v>
      </c>
      <c r="AG1233" s="142"/>
      <c r="AH1233" s="141">
        <v>1755</v>
      </c>
      <c r="AI1233" s="142"/>
      <c r="AJ1233" s="42"/>
      <c r="AK1233" s="42"/>
      <c r="AL1233" s="42"/>
      <c r="AM1233" s="42"/>
      <c r="AN1233" s="42"/>
      <c r="AO1233" s="42"/>
      <c r="AQ1233" s="109" t="s">
        <v>13</v>
      </c>
      <c r="AR1233" s="46" t="s">
        <v>1</v>
      </c>
      <c r="AS1233" s="141">
        <v>2</v>
      </c>
      <c r="AT1233" s="142"/>
      <c r="AU1233" s="141">
        <v>1414</v>
      </c>
      <c r="AV1233" s="142"/>
      <c r="AW1233" s="42"/>
      <c r="AX1233" s="42"/>
      <c r="AY1233" s="42"/>
      <c r="AZ1233" s="42"/>
      <c r="BA1233" s="42"/>
      <c r="BB1233" s="42"/>
      <c r="BC1233" s="42"/>
      <c r="BD1233" s="109" t="s">
        <v>13</v>
      </c>
      <c r="BE1233" s="46" t="s">
        <v>1</v>
      </c>
      <c r="BF1233" s="141">
        <v>1</v>
      </c>
      <c r="BG1233" s="142"/>
      <c r="BH1233" s="141">
        <v>1272</v>
      </c>
      <c r="BI1233" s="142"/>
      <c r="BJ1233" s="42"/>
      <c r="BK1233" s="42"/>
      <c r="BL1233" s="42"/>
      <c r="BM1233" s="42"/>
      <c r="BN1233" s="42"/>
      <c r="BO1233" s="42"/>
      <c r="BQ1233" s="109" t="s">
        <v>13</v>
      </c>
      <c r="BR1233" s="46" t="s">
        <v>1</v>
      </c>
      <c r="BS1233" s="141">
        <v>1</v>
      </c>
      <c r="BT1233" s="142"/>
      <c r="BU1233" s="141">
        <v>2630</v>
      </c>
      <c r="BV1233" s="142"/>
      <c r="BW1233" s="42"/>
      <c r="BX1233" s="42"/>
      <c r="BY1233" s="42"/>
      <c r="BZ1233" s="42"/>
      <c r="CA1233" s="42"/>
      <c r="CB1233" s="42"/>
      <c r="CC1233" s="42"/>
      <c r="CD1233" s="109" t="s">
        <v>13</v>
      </c>
      <c r="CE1233" s="46" t="s">
        <v>1</v>
      </c>
      <c r="CF1233" s="141">
        <v>2</v>
      </c>
      <c r="CG1233" s="142"/>
      <c r="CH1233" s="141">
        <v>56</v>
      </c>
      <c r="CI1233" s="142"/>
      <c r="CJ1233" s="42"/>
      <c r="CK1233" s="42"/>
      <c r="CL1233" s="42"/>
      <c r="CM1233" s="42"/>
      <c r="CN1233" s="42"/>
      <c r="CO1233" s="42"/>
      <c r="CQ1233" s="109" t="s">
        <v>13</v>
      </c>
      <c r="CR1233" s="46" t="s">
        <v>1</v>
      </c>
      <c r="CS1233" s="141">
        <v>3</v>
      </c>
      <c r="CT1233" s="142"/>
      <c r="CU1233" s="141">
        <v>641</v>
      </c>
      <c r="CV1233" s="142"/>
      <c r="CW1233" s="42"/>
      <c r="CX1233" s="42"/>
      <c r="CY1233" s="42"/>
      <c r="CZ1233" s="42"/>
      <c r="DA1233" s="42"/>
      <c r="DB1233" s="42"/>
      <c r="DC1233" s="42"/>
      <c r="DD1233" s="109" t="s">
        <v>13</v>
      </c>
      <c r="DE1233" s="46" t="s">
        <v>1</v>
      </c>
      <c r="DF1233" s="141">
        <v>0</v>
      </c>
      <c r="DG1233" s="142"/>
      <c r="DH1233" s="141">
        <v>2045</v>
      </c>
      <c r="DI1233" s="142"/>
      <c r="DJ1233" s="42"/>
      <c r="DK1233" s="42"/>
      <c r="DL1233" s="42"/>
      <c r="DM1233" s="42"/>
      <c r="DN1233" s="42"/>
      <c r="DO1233" s="42"/>
    </row>
    <row r="1234" spans="2:119" ht="15.4" x14ac:dyDescent="0.45">
      <c r="B1234" s="134"/>
      <c r="C1234" s="42"/>
      <c r="D1234" s="110"/>
      <c r="E1234" s="46" t="s">
        <v>56</v>
      </c>
      <c r="F1234" s="141">
        <v>9</v>
      </c>
      <c r="G1234" s="142"/>
      <c r="H1234" s="141">
        <v>2104</v>
      </c>
      <c r="I1234" s="142"/>
      <c r="J1234" s="42"/>
      <c r="K1234" s="42"/>
      <c r="L1234" s="42"/>
      <c r="M1234" s="42"/>
      <c r="N1234" s="42"/>
      <c r="O1234" s="42"/>
      <c r="P1234" s="42"/>
      <c r="Q1234" s="110"/>
      <c r="R1234" s="46" t="s">
        <v>56</v>
      </c>
      <c r="S1234" s="141">
        <v>5</v>
      </c>
      <c r="T1234" s="142"/>
      <c r="U1234" s="141">
        <v>753</v>
      </c>
      <c r="V1234" s="142"/>
      <c r="W1234" s="42"/>
      <c r="X1234" s="42"/>
      <c r="Y1234" s="42"/>
      <c r="Z1234" s="42"/>
      <c r="AA1234" s="42"/>
      <c r="AB1234" s="42"/>
      <c r="AC1234" s="42"/>
      <c r="AD1234" s="110"/>
      <c r="AE1234" s="46" t="s">
        <v>56</v>
      </c>
      <c r="AF1234" s="141">
        <v>4</v>
      </c>
      <c r="AG1234" s="142"/>
      <c r="AH1234" s="141">
        <v>1351</v>
      </c>
      <c r="AI1234" s="142"/>
      <c r="AJ1234" s="42"/>
      <c r="AK1234" s="42"/>
      <c r="AL1234" s="42"/>
      <c r="AM1234" s="42"/>
      <c r="AN1234" s="42"/>
      <c r="AO1234" s="42"/>
      <c r="AQ1234" s="110"/>
      <c r="AR1234" s="46" t="s">
        <v>56</v>
      </c>
      <c r="AS1234" s="141">
        <v>1</v>
      </c>
      <c r="AT1234" s="142"/>
      <c r="AU1234" s="141">
        <v>1120</v>
      </c>
      <c r="AV1234" s="142"/>
      <c r="AW1234" s="42"/>
      <c r="AX1234" s="42"/>
      <c r="AY1234" s="42"/>
      <c r="AZ1234" s="42"/>
      <c r="BA1234" s="42"/>
      <c r="BB1234" s="42"/>
      <c r="BC1234" s="42"/>
      <c r="BD1234" s="110"/>
      <c r="BE1234" s="46" t="s">
        <v>56</v>
      </c>
      <c r="BF1234" s="141">
        <v>8</v>
      </c>
      <c r="BG1234" s="142"/>
      <c r="BH1234" s="141">
        <v>984</v>
      </c>
      <c r="BI1234" s="142"/>
      <c r="BJ1234" s="42"/>
      <c r="BK1234" s="42"/>
      <c r="BL1234" s="42"/>
      <c r="BM1234" s="42"/>
      <c r="BN1234" s="42"/>
      <c r="BO1234" s="42"/>
      <c r="BQ1234" s="110"/>
      <c r="BR1234" s="46" t="s">
        <v>56</v>
      </c>
      <c r="BS1234" s="141">
        <v>0</v>
      </c>
      <c r="BT1234" s="142"/>
      <c r="BU1234" s="141">
        <v>1975</v>
      </c>
      <c r="BV1234" s="142"/>
      <c r="BW1234" s="42"/>
      <c r="BX1234" s="42"/>
      <c r="BY1234" s="42"/>
      <c r="BZ1234" s="42"/>
      <c r="CA1234" s="42"/>
      <c r="CB1234" s="42"/>
      <c r="CC1234" s="42"/>
      <c r="CD1234" s="110"/>
      <c r="CE1234" s="46" t="s">
        <v>56</v>
      </c>
      <c r="CF1234" s="141">
        <v>9</v>
      </c>
      <c r="CG1234" s="142"/>
      <c r="CH1234" s="141">
        <v>129</v>
      </c>
      <c r="CI1234" s="142"/>
      <c r="CJ1234" s="42"/>
      <c r="CK1234" s="42"/>
      <c r="CL1234" s="42"/>
      <c r="CM1234" s="42"/>
      <c r="CN1234" s="42"/>
      <c r="CO1234" s="42"/>
      <c r="CQ1234" s="110"/>
      <c r="CR1234" s="46" t="s">
        <v>56</v>
      </c>
      <c r="CS1234" s="141">
        <v>9</v>
      </c>
      <c r="CT1234" s="142"/>
      <c r="CU1234" s="141">
        <v>427</v>
      </c>
      <c r="CV1234" s="142"/>
      <c r="CW1234" s="42"/>
      <c r="CX1234" s="42"/>
      <c r="CY1234" s="42"/>
      <c r="CZ1234" s="42"/>
      <c r="DA1234" s="42"/>
      <c r="DB1234" s="42"/>
      <c r="DC1234" s="42"/>
      <c r="DD1234" s="110"/>
      <c r="DE1234" s="46" t="s">
        <v>56</v>
      </c>
      <c r="DF1234" s="141">
        <v>0</v>
      </c>
      <c r="DG1234" s="142"/>
      <c r="DH1234" s="141">
        <v>1677</v>
      </c>
      <c r="DI1234" s="142"/>
      <c r="DJ1234" s="42"/>
      <c r="DK1234" s="42"/>
      <c r="DL1234" s="42"/>
      <c r="DM1234" s="42"/>
      <c r="DN1234" s="42"/>
      <c r="DO1234" s="42"/>
    </row>
    <row r="1235" spans="2:119" ht="15.4" x14ac:dyDescent="0.45">
      <c r="B1235" s="134"/>
      <c r="C1235" s="42"/>
      <c r="D1235" s="110"/>
      <c r="E1235" s="46" t="s">
        <v>2</v>
      </c>
      <c r="F1235" s="141">
        <v>40</v>
      </c>
      <c r="G1235" s="142"/>
      <c r="H1235" s="141">
        <v>14345</v>
      </c>
      <c r="I1235" s="142"/>
      <c r="J1235" s="42"/>
      <c r="K1235" s="42"/>
      <c r="L1235" s="42"/>
      <c r="M1235" s="42"/>
      <c r="N1235" s="42"/>
      <c r="O1235" s="42"/>
      <c r="P1235" s="42"/>
      <c r="Q1235" s="110"/>
      <c r="R1235" s="46" t="s">
        <v>2</v>
      </c>
      <c r="S1235" s="141">
        <v>27</v>
      </c>
      <c r="T1235" s="142"/>
      <c r="U1235" s="141">
        <v>5790</v>
      </c>
      <c r="V1235" s="142"/>
      <c r="W1235" s="42"/>
      <c r="X1235" s="42"/>
      <c r="Y1235" s="42"/>
      <c r="Z1235" s="42"/>
      <c r="AA1235" s="42"/>
      <c r="AB1235" s="42"/>
      <c r="AC1235" s="42"/>
      <c r="AD1235" s="110"/>
      <c r="AE1235" s="46" t="s">
        <v>2</v>
      </c>
      <c r="AF1235" s="141">
        <v>13</v>
      </c>
      <c r="AG1235" s="142"/>
      <c r="AH1235" s="141">
        <v>8555</v>
      </c>
      <c r="AI1235" s="142"/>
      <c r="AJ1235" s="42"/>
      <c r="AK1235" s="42"/>
      <c r="AL1235" s="42"/>
      <c r="AM1235" s="42"/>
      <c r="AN1235" s="42"/>
      <c r="AO1235" s="42"/>
      <c r="AQ1235" s="110"/>
      <c r="AR1235" s="46" t="s">
        <v>2</v>
      </c>
      <c r="AS1235" s="141">
        <v>14</v>
      </c>
      <c r="AT1235" s="142"/>
      <c r="AU1235" s="141">
        <v>7670</v>
      </c>
      <c r="AV1235" s="142"/>
      <c r="AW1235" s="42"/>
      <c r="AX1235" s="42"/>
      <c r="AY1235" s="42"/>
      <c r="AZ1235" s="42"/>
      <c r="BA1235" s="42"/>
      <c r="BB1235" s="42"/>
      <c r="BC1235" s="42"/>
      <c r="BD1235" s="110"/>
      <c r="BE1235" s="46" t="s">
        <v>2</v>
      </c>
      <c r="BF1235" s="141">
        <v>26</v>
      </c>
      <c r="BG1235" s="142"/>
      <c r="BH1235" s="141">
        <v>6675</v>
      </c>
      <c r="BI1235" s="142"/>
      <c r="BJ1235" s="42"/>
      <c r="BK1235" s="42"/>
      <c r="BL1235" s="42"/>
      <c r="BM1235" s="42"/>
      <c r="BN1235" s="42"/>
      <c r="BO1235" s="42"/>
      <c r="BQ1235" s="110"/>
      <c r="BR1235" s="46" t="s">
        <v>2</v>
      </c>
      <c r="BS1235" s="141">
        <v>6</v>
      </c>
      <c r="BT1235" s="142"/>
      <c r="BU1235" s="141">
        <v>11042</v>
      </c>
      <c r="BV1235" s="142"/>
      <c r="BW1235" s="42"/>
      <c r="BX1235" s="42"/>
      <c r="BY1235" s="42"/>
      <c r="BZ1235" s="42"/>
      <c r="CA1235" s="42"/>
      <c r="CB1235" s="42"/>
      <c r="CC1235" s="42"/>
      <c r="CD1235" s="110"/>
      <c r="CE1235" s="46" t="s">
        <v>2</v>
      </c>
      <c r="CF1235" s="141">
        <v>34</v>
      </c>
      <c r="CG1235" s="142"/>
      <c r="CH1235" s="141">
        <v>3303</v>
      </c>
      <c r="CI1235" s="142"/>
      <c r="CJ1235" s="42"/>
      <c r="CK1235" s="42"/>
      <c r="CL1235" s="42"/>
      <c r="CM1235" s="42"/>
      <c r="CN1235" s="42"/>
      <c r="CO1235" s="42"/>
      <c r="CQ1235" s="110"/>
      <c r="CR1235" s="46" t="s">
        <v>2</v>
      </c>
      <c r="CS1235" s="141">
        <v>36</v>
      </c>
      <c r="CT1235" s="142"/>
      <c r="CU1235" s="141">
        <v>3314</v>
      </c>
      <c r="CV1235" s="142"/>
      <c r="CW1235" s="42"/>
      <c r="CX1235" s="42"/>
      <c r="CY1235" s="42"/>
      <c r="CZ1235" s="42"/>
      <c r="DA1235" s="42"/>
      <c r="DB1235" s="42"/>
      <c r="DC1235" s="42"/>
      <c r="DD1235" s="110"/>
      <c r="DE1235" s="46" t="s">
        <v>2</v>
      </c>
      <c r="DF1235" s="141">
        <v>4</v>
      </c>
      <c r="DG1235" s="142"/>
      <c r="DH1235" s="141">
        <v>11031</v>
      </c>
      <c r="DI1235" s="142"/>
      <c r="DJ1235" s="42"/>
      <c r="DK1235" s="42"/>
      <c r="DL1235" s="42"/>
      <c r="DM1235" s="42"/>
      <c r="DN1235" s="42"/>
      <c r="DO1235" s="42"/>
    </row>
    <row r="1236" spans="2:119" ht="15.4" x14ac:dyDescent="0.45">
      <c r="B1236" s="134"/>
      <c r="C1236" s="42"/>
      <c r="D1236" s="110"/>
      <c r="E1236" s="46" t="s">
        <v>3</v>
      </c>
      <c r="F1236" s="141">
        <v>20</v>
      </c>
      <c r="G1236" s="142"/>
      <c r="H1236" s="141">
        <v>8029</v>
      </c>
      <c r="I1236" s="142"/>
      <c r="J1236" s="42"/>
      <c r="K1236" s="42"/>
      <c r="L1236" s="42"/>
      <c r="M1236" s="42"/>
      <c r="N1236" s="42"/>
      <c r="O1236" s="42"/>
      <c r="P1236" s="42"/>
      <c r="Q1236" s="110"/>
      <c r="R1236" s="46" t="s">
        <v>3</v>
      </c>
      <c r="S1236" s="141">
        <v>8</v>
      </c>
      <c r="T1236" s="142"/>
      <c r="U1236" s="141">
        <v>3519</v>
      </c>
      <c r="V1236" s="142"/>
      <c r="W1236" s="42"/>
      <c r="X1236" s="42"/>
      <c r="Y1236" s="42"/>
      <c r="Z1236" s="42"/>
      <c r="AA1236" s="42"/>
      <c r="AB1236" s="42"/>
      <c r="AC1236" s="42"/>
      <c r="AD1236" s="110"/>
      <c r="AE1236" s="46" t="s">
        <v>3</v>
      </c>
      <c r="AF1236" s="141">
        <v>12</v>
      </c>
      <c r="AG1236" s="142"/>
      <c r="AH1236" s="141">
        <v>4510</v>
      </c>
      <c r="AI1236" s="142"/>
      <c r="AJ1236" s="42"/>
      <c r="AK1236" s="42"/>
      <c r="AL1236" s="42"/>
      <c r="AM1236" s="42"/>
      <c r="AN1236" s="42"/>
      <c r="AO1236" s="42"/>
      <c r="AQ1236" s="110"/>
      <c r="AR1236" s="46" t="s">
        <v>3</v>
      </c>
      <c r="AS1236" s="141">
        <v>5</v>
      </c>
      <c r="AT1236" s="142"/>
      <c r="AU1236" s="141">
        <v>3890</v>
      </c>
      <c r="AV1236" s="142"/>
      <c r="AW1236" s="42"/>
      <c r="AX1236" s="42"/>
      <c r="AY1236" s="42"/>
      <c r="AZ1236" s="42"/>
      <c r="BA1236" s="42"/>
      <c r="BB1236" s="42"/>
      <c r="BC1236" s="42"/>
      <c r="BD1236" s="110"/>
      <c r="BE1236" s="46" t="s">
        <v>3</v>
      </c>
      <c r="BF1236" s="141">
        <v>15</v>
      </c>
      <c r="BG1236" s="142"/>
      <c r="BH1236" s="141">
        <v>4139</v>
      </c>
      <c r="BI1236" s="142"/>
      <c r="BJ1236" s="42"/>
      <c r="BK1236" s="42"/>
      <c r="BL1236" s="42"/>
      <c r="BM1236" s="42"/>
      <c r="BN1236" s="42"/>
      <c r="BO1236" s="42"/>
      <c r="BQ1236" s="110"/>
      <c r="BR1236" s="46" t="s">
        <v>3</v>
      </c>
      <c r="BS1236" s="141">
        <v>1</v>
      </c>
      <c r="BT1236" s="142"/>
      <c r="BU1236" s="141">
        <v>4707</v>
      </c>
      <c r="BV1236" s="142"/>
      <c r="BW1236" s="42"/>
      <c r="BX1236" s="42"/>
      <c r="BY1236" s="42"/>
      <c r="BZ1236" s="42"/>
      <c r="CA1236" s="42"/>
      <c r="CB1236" s="42"/>
      <c r="CC1236" s="42"/>
      <c r="CD1236" s="110"/>
      <c r="CE1236" s="46" t="s">
        <v>3</v>
      </c>
      <c r="CF1236" s="141">
        <v>19</v>
      </c>
      <c r="CG1236" s="142"/>
      <c r="CH1236" s="141">
        <v>3322</v>
      </c>
      <c r="CI1236" s="142"/>
      <c r="CJ1236" s="42"/>
      <c r="CK1236" s="42"/>
      <c r="CL1236" s="42"/>
      <c r="CM1236" s="42"/>
      <c r="CN1236" s="42"/>
      <c r="CO1236" s="42"/>
      <c r="CQ1236" s="110"/>
      <c r="CR1236" s="46" t="s">
        <v>3</v>
      </c>
      <c r="CS1236" s="141">
        <v>20</v>
      </c>
      <c r="CT1236" s="142"/>
      <c r="CU1236" s="141">
        <v>1604</v>
      </c>
      <c r="CV1236" s="142"/>
      <c r="CW1236" s="42"/>
      <c r="CX1236" s="42"/>
      <c r="CY1236" s="42"/>
      <c r="CZ1236" s="42"/>
      <c r="DA1236" s="42"/>
      <c r="DB1236" s="42"/>
      <c r="DC1236" s="42"/>
      <c r="DD1236" s="110"/>
      <c r="DE1236" s="46" t="s">
        <v>3</v>
      </c>
      <c r="DF1236" s="141">
        <v>0</v>
      </c>
      <c r="DG1236" s="142"/>
      <c r="DH1236" s="141">
        <v>6425</v>
      </c>
      <c r="DI1236" s="142"/>
      <c r="DJ1236" s="42"/>
      <c r="DK1236" s="42"/>
      <c r="DL1236" s="42"/>
      <c r="DM1236" s="42"/>
      <c r="DN1236" s="42"/>
      <c r="DO1236" s="42"/>
    </row>
    <row r="1237" spans="2:119" ht="15.4" x14ac:dyDescent="0.45">
      <c r="B1237" s="134"/>
      <c r="C1237" s="42"/>
      <c r="D1237" s="110"/>
      <c r="E1237" s="46" t="s">
        <v>4</v>
      </c>
      <c r="F1237" s="141">
        <v>53</v>
      </c>
      <c r="G1237" s="142"/>
      <c r="H1237" s="141">
        <v>12132</v>
      </c>
      <c r="I1237" s="142"/>
      <c r="J1237" s="42"/>
      <c r="K1237" s="42"/>
      <c r="L1237" s="42"/>
      <c r="M1237" s="42"/>
      <c r="N1237" s="42"/>
      <c r="O1237" s="42"/>
      <c r="P1237" s="42"/>
      <c r="Q1237" s="110"/>
      <c r="R1237" s="46" t="s">
        <v>4</v>
      </c>
      <c r="S1237" s="141">
        <v>37</v>
      </c>
      <c r="T1237" s="142"/>
      <c r="U1237" s="141">
        <v>5569</v>
      </c>
      <c r="V1237" s="142"/>
      <c r="W1237" s="42"/>
      <c r="X1237" s="42"/>
      <c r="Y1237" s="42"/>
      <c r="Z1237" s="42"/>
      <c r="AA1237" s="42"/>
      <c r="AB1237" s="42"/>
      <c r="AC1237" s="42"/>
      <c r="AD1237" s="110"/>
      <c r="AE1237" s="46" t="s">
        <v>4</v>
      </c>
      <c r="AF1237" s="141">
        <v>16</v>
      </c>
      <c r="AG1237" s="142"/>
      <c r="AH1237" s="141">
        <v>6563</v>
      </c>
      <c r="AI1237" s="142"/>
      <c r="AJ1237" s="42"/>
      <c r="AK1237" s="42"/>
      <c r="AL1237" s="42"/>
      <c r="AM1237" s="42"/>
      <c r="AN1237" s="42"/>
      <c r="AO1237" s="42"/>
      <c r="AQ1237" s="110"/>
      <c r="AR1237" s="46" t="s">
        <v>4</v>
      </c>
      <c r="AS1237" s="141">
        <v>15</v>
      </c>
      <c r="AT1237" s="142"/>
      <c r="AU1237" s="141">
        <v>5608</v>
      </c>
      <c r="AV1237" s="142"/>
      <c r="AW1237" s="42"/>
      <c r="AX1237" s="42"/>
      <c r="AY1237" s="42"/>
      <c r="AZ1237" s="42"/>
      <c r="BA1237" s="42"/>
      <c r="BB1237" s="42"/>
      <c r="BC1237" s="42"/>
      <c r="BD1237" s="110"/>
      <c r="BE1237" s="46" t="s">
        <v>4</v>
      </c>
      <c r="BF1237" s="141">
        <v>38</v>
      </c>
      <c r="BG1237" s="142"/>
      <c r="BH1237" s="141">
        <v>6524</v>
      </c>
      <c r="BI1237" s="142"/>
      <c r="BJ1237" s="42"/>
      <c r="BK1237" s="42"/>
      <c r="BL1237" s="42"/>
      <c r="BM1237" s="42"/>
      <c r="BN1237" s="42"/>
      <c r="BO1237" s="42"/>
      <c r="BQ1237" s="110"/>
      <c r="BR1237" s="46" t="s">
        <v>4</v>
      </c>
      <c r="BS1237" s="141">
        <v>2</v>
      </c>
      <c r="BT1237" s="142"/>
      <c r="BU1237" s="141">
        <v>5644</v>
      </c>
      <c r="BV1237" s="142"/>
      <c r="BW1237" s="42"/>
      <c r="BX1237" s="42"/>
      <c r="BY1237" s="42"/>
      <c r="BZ1237" s="42"/>
      <c r="CA1237" s="42"/>
      <c r="CB1237" s="42"/>
      <c r="CC1237" s="42"/>
      <c r="CD1237" s="110"/>
      <c r="CE1237" s="46" t="s">
        <v>4</v>
      </c>
      <c r="CF1237" s="141">
        <v>51</v>
      </c>
      <c r="CG1237" s="142"/>
      <c r="CH1237" s="141">
        <v>6488</v>
      </c>
      <c r="CI1237" s="142"/>
      <c r="CJ1237" s="42"/>
      <c r="CK1237" s="42"/>
      <c r="CL1237" s="42"/>
      <c r="CM1237" s="42"/>
      <c r="CN1237" s="42"/>
      <c r="CO1237" s="42"/>
      <c r="CQ1237" s="110"/>
      <c r="CR1237" s="46" t="s">
        <v>4</v>
      </c>
      <c r="CS1237" s="141">
        <v>50</v>
      </c>
      <c r="CT1237" s="142"/>
      <c r="CU1237" s="141">
        <v>2273</v>
      </c>
      <c r="CV1237" s="142"/>
      <c r="CW1237" s="42"/>
      <c r="CX1237" s="42"/>
      <c r="CY1237" s="42"/>
      <c r="CZ1237" s="42"/>
      <c r="DA1237" s="42"/>
      <c r="DB1237" s="42"/>
      <c r="DC1237" s="42"/>
      <c r="DD1237" s="110"/>
      <c r="DE1237" s="46" t="s">
        <v>4</v>
      </c>
      <c r="DF1237" s="141">
        <v>3</v>
      </c>
      <c r="DG1237" s="142"/>
      <c r="DH1237" s="141">
        <v>9859</v>
      </c>
      <c r="DI1237" s="142"/>
      <c r="DJ1237" s="42"/>
      <c r="DK1237" s="42"/>
      <c r="DL1237" s="42"/>
      <c r="DM1237" s="42"/>
      <c r="DN1237" s="42"/>
      <c r="DO1237" s="42"/>
    </row>
    <row r="1238" spans="2:119" ht="15.4" x14ac:dyDescent="0.45">
      <c r="B1238" s="134"/>
      <c r="C1238" s="42"/>
      <c r="D1238" s="110"/>
      <c r="E1238" s="46" t="s">
        <v>5</v>
      </c>
      <c r="F1238" s="141">
        <v>76</v>
      </c>
      <c r="G1238" s="142"/>
      <c r="H1238" s="141">
        <v>21278</v>
      </c>
      <c r="I1238" s="142"/>
      <c r="J1238" s="42"/>
      <c r="K1238" s="42"/>
      <c r="L1238" s="42"/>
      <c r="M1238" s="42"/>
      <c r="N1238" s="42"/>
      <c r="O1238" s="42"/>
      <c r="P1238" s="42"/>
      <c r="Q1238" s="110"/>
      <c r="R1238" s="46" t="s">
        <v>5</v>
      </c>
      <c r="S1238" s="141">
        <v>46</v>
      </c>
      <c r="T1238" s="142"/>
      <c r="U1238" s="141">
        <v>10425</v>
      </c>
      <c r="V1238" s="142"/>
      <c r="W1238" s="42"/>
      <c r="X1238" s="42"/>
      <c r="Y1238" s="42"/>
      <c r="Z1238" s="42"/>
      <c r="AA1238" s="42"/>
      <c r="AB1238" s="42"/>
      <c r="AC1238" s="42"/>
      <c r="AD1238" s="110"/>
      <c r="AE1238" s="46" t="s">
        <v>5</v>
      </c>
      <c r="AF1238" s="141">
        <v>30</v>
      </c>
      <c r="AG1238" s="142"/>
      <c r="AH1238" s="141">
        <v>10853</v>
      </c>
      <c r="AI1238" s="142"/>
      <c r="AJ1238" s="42"/>
      <c r="AK1238" s="42"/>
      <c r="AL1238" s="42"/>
      <c r="AM1238" s="42"/>
      <c r="AN1238" s="42"/>
      <c r="AO1238" s="42"/>
      <c r="AQ1238" s="110"/>
      <c r="AR1238" s="46" t="s">
        <v>5</v>
      </c>
      <c r="AS1238" s="141">
        <v>24</v>
      </c>
      <c r="AT1238" s="142"/>
      <c r="AU1238" s="141">
        <v>8745</v>
      </c>
      <c r="AV1238" s="142"/>
      <c r="AW1238" s="42"/>
      <c r="AX1238" s="42"/>
      <c r="AY1238" s="42"/>
      <c r="AZ1238" s="42"/>
      <c r="BA1238" s="42"/>
      <c r="BB1238" s="42"/>
      <c r="BC1238" s="42"/>
      <c r="BD1238" s="110"/>
      <c r="BE1238" s="46" t="s">
        <v>5</v>
      </c>
      <c r="BF1238" s="141">
        <v>52</v>
      </c>
      <c r="BG1238" s="142"/>
      <c r="BH1238" s="141">
        <v>12533</v>
      </c>
      <c r="BI1238" s="142"/>
      <c r="BJ1238" s="42"/>
      <c r="BK1238" s="42"/>
      <c r="BL1238" s="42"/>
      <c r="BM1238" s="42"/>
      <c r="BN1238" s="42"/>
      <c r="BO1238" s="42"/>
      <c r="BQ1238" s="110"/>
      <c r="BR1238" s="46" t="s">
        <v>5</v>
      </c>
      <c r="BS1238" s="141">
        <v>12</v>
      </c>
      <c r="BT1238" s="142"/>
      <c r="BU1238" s="141">
        <v>7048</v>
      </c>
      <c r="BV1238" s="142"/>
      <c r="BW1238" s="42"/>
      <c r="BX1238" s="42"/>
      <c r="BY1238" s="42"/>
      <c r="BZ1238" s="42"/>
      <c r="CA1238" s="42"/>
      <c r="CB1238" s="42"/>
      <c r="CC1238" s="42"/>
      <c r="CD1238" s="110"/>
      <c r="CE1238" s="46" t="s">
        <v>5</v>
      </c>
      <c r="CF1238" s="141">
        <v>64</v>
      </c>
      <c r="CG1238" s="142"/>
      <c r="CH1238" s="141">
        <v>14230</v>
      </c>
      <c r="CI1238" s="142"/>
      <c r="CJ1238" s="42"/>
      <c r="CK1238" s="42"/>
      <c r="CL1238" s="42"/>
      <c r="CM1238" s="42"/>
      <c r="CN1238" s="42"/>
      <c r="CO1238" s="42"/>
      <c r="CQ1238" s="110"/>
      <c r="CR1238" s="46" t="s">
        <v>5</v>
      </c>
      <c r="CS1238" s="141">
        <v>57</v>
      </c>
      <c r="CT1238" s="142"/>
      <c r="CU1238" s="141">
        <v>3495</v>
      </c>
      <c r="CV1238" s="142"/>
      <c r="CW1238" s="42"/>
      <c r="CX1238" s="42"/>
      <c r="CY1238" s="42"/>
      <c r="CZ1238" s="42"/>
      <c r="DA1238" s="42"/>
      <c r="DB1238" s="42"/>
      <c r="DC1238" s="42"/>
      <c r="DD1238" s="110"/>
      <c r="DE1238" s="46" t="s">
        <v>5</v>
      </c>
      <c r="DF1238" s="141">
        <v>19</v>
      </c>
      <c r="DG1238" s="142"/>
      <c r="DH1238" s="141">
        <v>17783</v>
      </c>
      <c r="DI1238" s="142"/>
      <c r="DJ1238" s="42"/>
      <c r="DK1238" s="42"/>
      <c r="DL1238" s="42"/>
      <c r="DM1238" s="42"/>
      <c r="DN1238" s="42"/>
      <c r="DO1238" s="42"/>
    </row>
    <row r="1239" spans="2:119" ht="15.4" x14ac:dyDescent="0.45">
      <c r="B1239" s="134"/>
      <c r="C1239" s="42"/>
      <c r="D1239" s="110"/>
      <c r="E1239" s="46" t="s">
        <v>6</v>
      </c>
      <c r="F1239" s="141">
        <v>370</v>
      </c>
      <c r="G1239" s="142"/>
      <c r="H1239" s="141">
        <v>43785</v>
      </c>
      <c r="I1239" s="142"/>
      <c r="J1239" s="42"/>
      <c r="K1239" s="42"/>
      <c r="L1239" s="42"/>
      <c r="M1239" s="42"/>
      <c r="N1239" s="42"/>
      <c r="O1239" s="42"/>
      <c r="P1239" s="42"/>
      <c r="Q1239" s="110"/>
      <c r="R1239" s="46" t="s">
        <v>6</v>
      </c>
      <c r="S1239" s="141">
        <v>261</v>
      </c>
      <c r="T1239" s="142"/>
      <c r="U1239" s="141">
        <v>21609</v>
      </c>
      <c r="V1239" s="142"/>
      <c r="W1239" s="42"/>
      <c r="X1239" s="42"/>
      <c r="Y1239" s="42"/>
      <c r="Z1239" s="42"/>
      <c r="AA1239" s="42"/>
      <c r="AB1239" s="42"/>
      <c r="AC1239" s="42"/>
      <c r="AD1239" s="110"/>
      <c r="AE1239" s="46" t="s">
        <v>6</v>
      </c>
      <c r="AF1239" s="141">
        <v>109</v>
      </c>
      <c r="AG1239" s="142"/>
      <c r="AH1239" s="141">
        <v>22176</v>
      </c>
      <c r="AI1239" s="142"/>
      <c r="AJ1239" s="42"/>
      <c r="AK1239" s="42"/>
      <c r="AL1239" s="42"/>
      <c r="AM1239" s="42"/>
      <c r="AN1239" s="42"/>
      <c r="AO1239" s="42"/>
      <c r="AQ1239" s="110"/>
      <c r="AR1239" s="46" t="s">
        <v>6</v>
      </c>
      <c r="AS1239" s="141">
        <v>87</v>
      </c>
      <c r="AT1239" s="142"/>
      <c r="AU1239" s="141">
        <v>16440</v>
      </c>
      <c r="AV1239" s="142"/>
      <c r="AW1239" s="42"/>
      <c r="AX1239" s="42"/>
      <c r="AY1239" s="42"/>
      <c r="AZ1239" s="42"/>
      <c r="BA1239" s="42"/>
      <c r="BB1239" s="42"/>
      <c r="BC1239" s="42"/>
      <c r="BD1239" s="110"/>
      <c r="BE1239" s="46" t="s">
        <v>6</v>
      </c>
      <c r="BF1239" s="141">
        <v>283</v>
      </c>
      <c r="BG1239" s="142"/>
      <c r="BH1239" s="141">
        <v>27345</v>
      </c>
      <c r="BI1239" s="142"/>
      <c r="BJ1239" s="42"/>
      <c r="BK1239" s="42"/>
      <c r="BL1239" s="42"/>
      <c r="BM1239" s="42"/>
      <c r="BN1239" s="42"/>
      <c r="BO1239" s="42"/>
      <c r="BQ1239" s="110"/>
      <c r="BR1239" s="46" t="s">
        <v>6</v>
      </c>
      <c r="BS1239" s="141">
        <v>24</v>
      </c>
      <c r="BT1239" s="142"/>
      <c r="BU1239" s="141">
        <v>9452</v>
      </c>
      <c r="BV1239" s="142"/>
      <c r="BW1239" s="42"/>
      <c r="BX1239" s="42"/>
      <c r="BY1239" s="42"/>
      <c r="BZ1239" s="42"/>
      <c r="CA1239" s="42"/>
      <c r="CB1239" s="42"/>
      <c r="CC1239" s="42"/>
      <c r="CD1239" s="110"/>
      <c r="CE1239" s="46" t="s">
        <v>6</v>
      </c>
      <c r="CF1239" s="141">
        <v>346</v>
      </c>
      <c r="CG1239" s="142"/>
      <c r="CH1239" s="141">
        <v>34333</v>
      </c>
      <c r="CI1239" s="142"/>
      <c r="CJ1239" s="42"/>
      <c r="CK1239" s="42"/>
      <c r="CL1239" s="42"/>
      <c r="CM1239" s="42"/>
      <c r="CN1239" s="42"/>
      <c r="CO1239" s="42"/>
      <c r="CQ1239" s="110"/>
      <c r="CR1239" s="46" t="s">
        <v>6</v>
      </c>
      <c r="CS1239" s="141">
        <v>214</v>
      </c>
      <c r="CT1239" s="142"/>
      <c r="CU1239" s="141">
        <v>6768</v>
      </c>
      <c r="CV1239" s="142"/>
      <c r="CW1239" s="42"/>
      <c r="CX1239" s="42"/>
      <c r="CY1239" s="42"/>
      <c r="CZ1239" s="42"/>
      <c r="DA1239" s="42"/>
      <c r="DB1239" s="42"/>
      <c r="DC1239" s="42"/>
      <c r="DD1239" s="110"/>
      <c r="DE1239" s="46" t="s">
        <v>6</v>
      </c>
      <c r="DF1239" s="141">
        <v>156</v>
      </c>
      <c r="DG1239" s="142"/>
      <c r="DH1239" s="141">
        <v>37017</v>
      </c>
      <c r="DI1239" s="142"/>
      <c r="DJ1239" s="42"/>
      <c r="DK1239" s="42"/>
      <c r="DL1239" s="42"/>
      <c r="DM1239" s="42"/>
      <c r="DN1239" s="42"/>
      <c r="DO1239" s="42"/>
    </row>
    <row r="1240" spans="2:119" ht="15.4" x14ac:dyDescent="0.45">
      <c r="B1240" s="134"/>
      <c r="C1240" s="42"/>
      <c r="D1240" s="110"/>
      <c r="E1240" s="46" t="s">
        <v>7</v>
      </c>
      <c r="F1240" s="141">
        <v>1897</v>
      </c>
      <c r="G1240" s="142"/>
      <c r="H1240" s="141">
        <v>78178</v>
      </c>
      <c r="I1240" s="142"/>
      <c r="J1240" s="42"/>
      <c r="K1240" s="42"/>
      <c r="L1240" s="42"/>
      <c r="M1240" s="42"/>
      <c r="N1240" s="42"/>
      <c r="O1240" s="42"/>
      <c r="P1240" s="42"/>
      <c r="Q1240" s="110"/>
      <c r="R1240" s="46" t="s">
        <v>7</v>
      </c>
      <c r="S1240" s="141">
        <v>1370</v>
      </c>
      <c r="T1240" s="142"/>
      <c r="U1240" s="141">
        <v>38759</v>
      </c>
      <c r="V1240" s="142"/>
      <c r="W1240" s="42"/>
      <c r="X1240" s="42"/>
      <c r="Y1240" s="42"/>
      <c r="Z1240" s="42"/>
      <c r="AA1240" s="42"/>
      <c r="AB1240" s="42"/>
      <c r="AC1240" s="42"/>
      <c r="AD1240" s="110"/>
      <c r="AE1240" s="46" t="s">
        <v>7</v>
      </c>
      <c r="AF1240" s="141">
        <v>527</v>
      </c>
      <c r="AG1240" s="142"/>
      <c r="AH1240" s="141">
        <v>39419</v>
      </c>
      <c r="AI1240" s="142"/>
      <c r="AJ1240" s="42"/>
      <c r="AK1240" s="42"/>
      <c r="AL1240" s="42"/>
      <c r="AM1240" s="42"/>
      <c r="AN1240" s="42"/>
      <c r="AO1240" s="42"/>
      <c r="AQ1240" s="110"/>
      <c r="AR1240" s="46" t="s">
        <v>7</v>
      </c>
      <c r="AS1240" s="141">
        <v>382</v>
      </c>
      <c r="AT1240" s="142"/>
      <c r="AU1240" s="141">
        <v>26057</v>
      </c>
      <c r="AV1240" s="142"/>
      <c r="AW1240" s="42"/>
      <c r="AX1240" s="42"/>
      <c r="AY1240" s="42"/>
      <c r="AZ1240" s="42"/>
      <c r="BA1240" s="42"/>
      <c r="BB1240" s="42"/>
      <c r="BC1240" s="42"/>
      <c r="BD1240" s="110"/>
      <c r="BE1240" s="46" t="s">
        <v>7</v>
      </c>
      <c r="BF1240" s="141">
        <v>1515</v>
      </c>
      <c r="BG1240" s="142"/>
      <c r="BH1240" s="141">
        <v>52121</v>
      </c>
      <c r="BI1240" s="142"/>
      <c r="BJ1240" s="42"/>
      <c r="BK1240" s="42"/>
      <c r="BL1240" s="42"/>
      <c r="BM1240" s="42"/>
      <c r="BN1240" s="42"/>
      <c r="BO1240" s="42"/>
      <c r="BQ1240" s="110"/>
      <c r="BR1240" s="46" t="s">
        <v>7</v>
      </c>
      <c r="BS1240" s="141">
        <v>79</v>
      </c>
      <c r="BT1240" s="142"/>
      <c r="BU1240" s="141">
        <v>10937</v>
      </c>
      <c r="BV1240" s="142"/>
      <c r="BW1240" s="42"/>
      <c r="BX1240" s="42"/>
      <c r="BY1240" s="42"/>
      <c r="BZ1240" s="42"/>
      <c r="CA1240" s="42"/>
      <c r="CB1240" s="42"/>
      <c r="CC1240" s="42"/>
      <c r="CD1240" s="110"/>
      <c r="CE1240" s="46" t="s">
        <v>7</v>
      </c>
      <c r="CF1240" s="141">
        <v>1818</v>
      </c>
      <c r="CG1240" s="142"/>
      <c r="CH1240" s="141">
        <v>67241</v>
      </c>
      <c r="CI1240" s="142"/>
      <c r="CJ1240" s="42"/>
      <c r="CK1240" s="42"/>
      <c r="CL1240" s="42"/>
      <c r="CM1240" s="42"/>
      <c r="CN1240" s="42"/>
      <c r="CO1240" s="42"/>
      <c r="CQ1240" s="110"/>
      <c r="CR1240" s="46" t="s">
        <v>7</v>
      </c>
      <c r="CS1240" s="141">
        <v>786</v>
      </c>
      <c r="CT1240" s="142"/>
      <c r="CU1240" s="141">
        <v>11229</v>
      </c>
      <c r="CV1240" s="142"/>
      <c r="CW1240" s="42"/>
      <c r="CX1240" s="42"/>
      <c r="CY1240" s="42"/>
      <c r="CZ1240" s="42"/>
      <c r="DA1240" s="42"/>
      <c r="DB1240" s="42"/>
      <c r="DC1240" s="42"/>
      <c r="DD1240" s="110"/>
      <c r="DE1240" s="46" t="s">
        <v>7</v>
      </c>
      <c r="DF1240" s="141">
        <v>1111</v>
      </c>
      <c r="DG1240" s="142"/>
      <c r="DH1240" s="141">
        <v>66949</v>
      </c>
      <c r="DI1240" s="142"/>
      <c r="DJ1240" s="42"/>
      <c r="DK1240" s="42"/>
      <c r="DL1240" s="42"/>
      <c r="DM1240" s="42"/>
      <c r="DN1240" s="42"/>
      <c r="DO1240" s="42"/>
    </row>
    <row r="1241" spans="2:119" ht="15.4" x14ac:dyDescent="0.45">
      <c r="B1241" s="134"/>
      <c r="C1241" s="42"/>
      <c r="D1241" s="110"/>
      <c r="E1241" s="46" t="s">
        <v>8</v>
      </c>
      <c r="F1241" s="141">
        <v>7894</v>
      </c>
      <c r="G1241" s="142"/>
      <c r="H1241" s="141">
        <v>96001</v>
      </c>
      <c r="I1241" s="142"/>
      <c r="J1241" s="42"/>
      <c r="K1241" s="42"/>
      <c r="L1241" s="42"/>
      <c r="M1241" s="42"/>
      <c r="N1241" s="42"/>
      <c r="O1241" s="42"/>
      <c r="P1241" s="42"/>
      <c r="Q1241" s="110"/>
      <c r="R1241" s="46" t="s">
        <v>8</v>
      </c>
      <c r="S1241" s="141">
        <v>5656</v>
      </c>
      <c r="T1241" s="142"/>
      <c r="U1241" s="141">
        <v>47221</v>
      </c>
      <c r="V1241" s="142"/>
      <c r="W1241" s="42"/>
      <c r="X1241" s="42"/>
      <c r="Y1241" s="42"/>
      <c r="Z1241" s="42"/>
      <c r="AA1241" s="42"/>
      <c r="AB1241" s="42"/>
      <c r="AC1241" s="42"/>
      <c r="AD1241" s="110"/>
      <c r="AE1241" s="46" t="s">
        <v>8</v>
      </c>
      <c r="AF1241" s="141">
        <v>2238</v>
      </c>
      <c r="AG1241" s="142"/>
      <c r="AH1241" s="141">
        <v>48780</v>
      </c>
      <c r="AI1241" s="142"/>
      <c r="AJ1241" s="42"/>
      <c r="AK1241" s="42"/>
      <c r="AL1241" s="42"/>
      <c r="AM1241" s="42"/>
      <c r="AN1241" s="42"/>
      <c r="AO1241" s="42"/>
      <c r="AQ1241" s="110"/>
      <c r="AR1241" s="46" t="s">
        <v>8</v>
      </c>
      <c r="AS1241" s="141">
        <v>1371</v>
      </c>
      <c r="AT1241" s="142"/>
      <c r="AU1241" s="141">
        <v>26989</v>
      </c>
      <c r="AV1241" s="142"/>
      <c r="AW1241" s="42"/>
      <c r="AX1241" s="42"/>
      <c r="AY1241" s="42"/>
      <c r="AZ1241" s="42"/>
      <c r="BA1241" s="42"/>
      <c r="BB1241" s="42"/>
      <c r="BC1241" s="42"/>
      <c r="BD1241" s="110"/>
      <c r="BE1241" s="46" t="s">
        <v>8</v>
      </c>
      <c r="BF1241" s="141">
        <v>6523</v>
      </c>
      <c r="BG1241" s="142"/>
      <c r="BH1241" s="141">
        <v>69012</v>
      </c>
      <c r="BI1241" s="142"/>
      <c r="BJ1241" s="42"/>
      <c r="BK1241" s="42"/>
      <c r="BL1241" s="42"/>
      <c r="BM1241" s="42"/>
      <c r="BN1241" s="42"/>
      <c r="BO1241" s="42"/>
      <c r="BQ1241" s="110"/>
      <c r="BR1241" s="46" t="s">
        <v>8</v>
      </c>
      <c r="BS1241" s="141">
        <v>265</v>
      </c>
      <c r="BT1241" s="142"/>
      <c r="BU1241" s="141">
        <v>9018</v>
      </c>
      <c r="BV1241" s="142"/>
      <c r="BW1241" s="42"/>
      <c r="BX1241" s="42"/>
      <c r="BY1241" s="42"/>
      <c r="BZ1241" s="42"/>
      <c r="CA1241" s="42"/>
      <c r="CB1241" s="42"/>
      <c r="CC1241" s="42"/>
      <c r="CD1241" s="110"/>
      <c r="CE1241" s="46" t="s">
        <v>8</v>
      </c>
      <c r="CF1241" s="141">
        <v>7629</v>
      </c>
      <c r="CG1241" s="142"/>
      <c r="CH1241" s="141">
        <v>86983</v>
      </c>
      <c r="CI1241" s="142"/>
      <c r="CJ1241" s="42"/>
      <c r="CK1241" s="42"/>
      <c r="CL1241" s="42"/>
      <c r="CM1241" s="42"/>
      <c r="CN1241" s="42"/>
      <c r="CO1241" s="42"/>
      <c r="CQ1241" s="110"/>
      <c r="CR1241" s="46" t="s">
        <v>8</v>
      </c>
      <c r="CS1241" s="141">
        <v>2237</v>
      </c>
      <c r="CT1241" s="142"/>
      <c r="CU1241" s="141">
        <v>11878</v>
      </c>
      <c r="CV1241" s="142"/>
      <c r="CW1241" s="42"/>
      <c r="CX1241" s="42"/>
      <c r="CY1241" s="42"/>
      <c r="CZ1241" s="42"/>
      <c r="DA1241" s="42"/>
      <c r="DB1241" s="42"/>
      <c r="DC1241" s="42"/>
      <c r="DD1241" s="110"/>
      <c r="DE1241" s="46" t="s">
        <v>8</v>
      </c>
      <c r="DF1241" s="141">
        <v>5657</v>
      </c>
      <c r="DG1241" s="142"/>
      <c r="DH1241" s="141">
        <v>84123</v>
      </c>
      <c r="DI1241" s="142"/>
      <c r="DJ1241" s="42"/>
      <c r="DK1241" s="42"/>
      <c r="DL1241" s="42"/>
      <c r="DM1241" s="42"/>
      <c r="DN1241" s="42"/>
      <c r="DO1241" s="42"/>
    </row>
    <row r="1242" spans="2:119" ht="15.4" x14ac:dyDescent="0.45">
      <c r="B1242" s="134"/>
      <c r="C1242" s="42"/>
      <c r="D1242" s="110"/>
      <c r="E1242" s="46" t="s">
        <v>9</v>
      </c>
      <c r="F1242" s="141">
        <v>21876</v>
      </c>
      <c r="G1242" s="142"/>
      <c r="H1242" s="141">
        <v>85862</v>
      </c>
      <c r="I1242" s="142"/>
      <c r="J1242" s="42"/>
      <c r="K1242" s="42"/>
      <c r="L1242" s="42"/>
      <c r="M1242" s="42"/>
      <c r="N1242" s="42"/>
      <c r="O1242" s="42"/>
      <c r="P1242" s="42"/>
      <c r="Q1242" s="110"/>
      <c r="R1242" s="46" t="s">
        <v>9</v>
      </c>
      <c r="S1242" s="141">
        <v>14502</v>
      </c>
      <c r="T1242" s="142"/>
      <c r="U1242" s="141">
        <v>39181</v>
      </c>
      <c r="V1242" s="142"/>
      <c r="W1242" s="42"/>
      <c r="X1242" s="42"/>
      <c r="Y1242" s="42"/>
      <c r="Z1242" s="42"/>
      <c r="AA1242" s="42"/>
      <c r="AB1242" s="42"/>
      <c r="AC1242" s="42"/>
      <c r="AD1242" s="110"/>
      <c r="AE1242" s="46" t="s">
        <v>9</v>
      </c>
      <c r="AF1242" s="141">
        <v>7374</v>
      </c>
      <c r="AG1242" s="142"/>
      <c r="AH1242" s="141">
        <v>46681</v>
      </c>
      <c r="AI1242" s="142"/>
      <c r="AJ1242" s="42"/>
      <c r="AK1242" s="42"/>
      <c r="AL1242" s="42"/>
      <c r="AM1242" s="42"/>
      <c r="AN1242" s="42"/>
      <c r="AO1242" s="42"/>
      <c r="AQ1242" s="110"/>
      <c r="AR1242" s="46" t="s">
        <v>9</v>
      </c>
      <c r="AS1242" s="141">
        <v>3149</v>
      </c>
      <c r="AT1242" s="142"/>
      <c r="AU1242" s="141">
        <v>19538</v>
      </c>
      <c r="AV1242" s="142"/>
      <c r="AW1242" s="42"/>
      <c r="AX1242" s="42"/>
      <c r="AY1242" s="42"/>
      <c r="AZ1242" s="42"/>
      <c r="BA1242" s="42"/>
      <c r="BB1242" s="42"/>
      <c r="BC1242" s="42"/>
      <c r="BD1242" s="110"/>
      <c r="BE1242" s="46" t="s">
        <v>9</v>
      </c>
      <c r="BF1242" s="141">
        <v>18727</v>
      </c>
      <c r="BG1242" s="142"/>
      <c r="BH1242" s="141">
        <v>66324</v>
      </c>
      <c r="BI1242" s="142"/>
      <c r="BJ1242" s="42"/>
      <c r="BK1242" s="42"/>
      <c r="BL1242" s="42"/>
      <c r="BM1242" s="42"/>
      <c r="BN1242" s="42"/>
      <c r="BO1242" s="42"/>
      <c r="BQ1242" s="110"/>
      <c r="BR1242" s="46" t="s">
        <v>9</v>
      </c>
      <c r="BS1242" s="141">
        <v>642</v>
      </c>
      <c r="BT1242" s="142"/>
      <c r="BU1242" s="141">
        <v>6039</v>
      </c>
      <c r="BV1242" s="142"/>
      <c r="BW1242" s="42"/>
      <c r="BX1242" s="42"/>
      <c r="BY1242" s="42"/>
      <c r="BZ1242" s="42"/>
      <c r="CA1242" s="42"/>
      <c r="CB1242" s="42"/>
      <c r="CC1242" s="42"/>
      <c r="CD1242" s="110"/>
      <c r="CE1242" s="46" t="s">
        <v>9</v>
      </c>
      <c r="CF1242" s="141">
        <v>21234</v>
      </c>
      <c r="CG1242" s="142"/>
      <c r="CH1242" s="141">
        <v>79823</v>
      </c>
      <c r="CI1242" s="142"/>
      <c r="CJ1242" s="42"/>
      <c r="CK1242" s="42"/>
      <c r="CL1242" s="42"/>
      <c r="CM1242" s="42"/>
      <c r="CN1242" s="42"/>
      <c r="CO1242" s="42"/>
      <c r="CQ1242" s="110"/>
      <c r="CR1242" s="46" t="s">
        <v>9</v>
      </c>
      <c r="CS1242" s="141">
        <v>4411</v>
      </c>
      <c r="CT1242" s="142"/>
      <c r="CU1242" s="141">
        <v>9190</v>
      </c>
      <c r="CV1242" s="142"/>
      <c r="CW1242" s="42"/>
      <c r="CX1242" s="42"/>
      <c r="CY1242" s="42"/>
      <c r="CZ1242" s="42"/>
      <c r="DA1242" s="42"/>
      <c r="DB1242" s="42"/>
      <c r="DC1242" s="42"/>
      <c r="DD1242" s="110"/>
      <c r="DE1242" s="46" t="s">
        <v>9</v>
      </c>
      <c r="DF1242" s="141">
        <v>17465</v>
      </c>
      <c r="DG1242" s="142"/>
      <c r="DH1242" s="141">
        <v>76672</v>
      </c>
      <c r="DI1242" s="142"/>
      <c r="DJ1242" s="42"/>
      <c r="DK1242" s="42"/>
      <c r="DL1242" s="42"/>
      <c r="DM1242" s="42"/>
      <c r="DN1242" s="42"/>
      <c r="DO1242" s="42"/>
    </row>
    <row r="1243" spans="2:119" ht="15.4" x14ac:dyDescent="0.45">
      <c r="B1243" s="134"/>
      <c r="C1243" s="42"/>
      <c r="D1243" s="110"/>
      <c r="E1243" s="46" t="s">
        <v>10</v>
      </c>
      <c r="F1243" s="141">
        <v>40109</v>
      </c>
      <c r="G1243" s="142"/>
      <c r="H1243" s="141">
        <v>53047</v>
      </c>
      <c r="I1243" s="142"/>
      <c r="J1243" s="42"/>
      <c r="K1243" s="42"/>
      <c r="L1243" s="42"/>
      <c r="M1243" s="42"/>
      <c r="N1243" s="42"/>
      <c r="O1243" s="42"/>
      <c r="P1243" s="42"/>
      <c r="Q1243" s="110"/>
      <c r="R1243" s="46" t="s">
        <v>10</v>
      </c>
      <c r="S1243" s="141">
        <v>23259</v>
      </c>
      <c r="T1243" s="142"/>
      <c r="U1243" s="141">
        <v>21465</v>
      </c>
      <c r="V1243" s="142"/>
      <c r="W1243" s="42"/>
      <c r="X1243" s="42"/>
      <c r="Y1243" s="42"/>
      <c r="Z1243" s="42"/>
      <c r="AA1243" s="42"/>
      <c r="AB1243" s="42"/>
      <c r="AC1243" s="42"/>
      <c r="AD1243" s="110"/>
      <c r="AE1243" s="46" t="s">
        <v>10</v>
      </c>
      <c r="AF1243" s="141">
        <v>16850</v>
      </c>
      <c r="AG1243" s="142"/>
      <c r="AH1243" s="141">
        <v>31582</v>
      </c>
      <c r="AI1243" s="142"/>
      <c r="AJ1243" s="42"/>
      <c r="AK1243" s="42"/>
      <c r="AL1243" s="42"/>
      <c r="AM1243" s="42"/>
      <c r="AN1243" s="42"/>
      <c r="AO1243" s="42"/>
      <c r="AQ1243" s="110"/>
      <c r="AR1243" s="46" t="s">
        <v>10</v>
      </c>
      <c r="AS1243" s="141">
        <v>4080</v>
      </c>
      <c r="AT1243" s="142"/>
      <c r="AU1243" s="141">
        <v>9597</v>
      </c>
      <c r="AV1243" s="142"/>
      <c r="AW1243" s="42"/>
      <c r="AX1243" s="42"/>
      <c r="AY1243" s="42"/>
      <c r="AZ1243" s="42"/>
      <c r="BA1243" s="42"/>
      <c r="BB1243" s="42"/>
      <c r="BC1243" s="42"/>
      <c r="BD1243" s="110"/>
      <c r="BE1243" s="46" t="s">
        <v>10</v>
      </c>
      <c r="BF1243" s="141">
        <v>36029</v>
      </c>
      <c r="BG1243" s="142"/>
      <c r="BH1243" s="141">
        <v>43450</v>
      </c>
      <c r="BI1243" s="142"/>
      <c r="BJ1243" s="42"/>
      <c r="BK1243" s="42"/>
      <c r="BL1243" s="42"/>
      <c r="BM1243" s="42"/>
      <c r="BN1243" s="42"/>
      <c r="BO1243" s="42"/>
      <c r="BQ1243" s="110"/>
      <c r="BR1243" s="46" t="s">
        <v>10</v>
      </c>
      <c r="BS1243" s="141">
        <v>1039</v>
      </c>
      <c r="BT1243" s="142"/>
      <c r="BU1243" s="141">
        <v>2964</v>
      </c>
      <c r="BV1243" s="142"/>
      <c r="BW1243" s="42"/>
      <c r="BX1243" s="42"/>
      <c r="BY1243" s="42"/>
      <c r="BZ1243" s="42"/>
      <c r="CA1243" s="42"/>
      <c r="CB1243" s="42"/>
      <c r="CC1243" s="42"/>
      <c r="CD1243" s="110"/>
      <c r="CE1243" s="46" t="s">
        <v>10</v>
      </c>
      <c r="CF1243" s="141">
        <v>39070</v>
      </c>
      <c r="CG1243" s="142"/>
      <c r="CH1243" s="141">
        <v>50083</v>
      </c>
      <c r="CI1243" s="142"/>
      <c r="CJ1243" s="42"/>
      <c r="CK1243" s="42"/>
      <c r="CL1243" s="42"/>
      <c r="CM1243" s="42"/>
      <c r="CN1243" s="42"/>
      <c r="CO1243" s="42"/>
      <c r="CQ1243" s="110"/>
      <c r="CR1243" s="46" t="s">
        <v>10</v>
      </c>
      <c r="CS1243" s="141">
        <v>6324</v>
      </c>
      <c r="CT1243" s="142"/>
      <c r="CU1243" s="141">
        <v>5219</v>
      </c>
      <c r="CV1243" s="142"/>
      <c r="CW1243" s="42"/>
      <c r="CX1243" s="42"/>
      <c r="CY1243" s="42"/>
      <c r="CZ1243" s="42"/>
      <c r="DA1243" s="42"/>
      <c r="DB1243" s="42"/>
      <c r="DC1243" s="42"/>
      <c r="DD1243" s="110"/>
      <c r="DE1243" s="46" t="s">
        <v>10</v>
      </c>
      <c r="DF1243" s="141">
        <v>33785</v>
      </c>
      <c r="DG1243" s="142"/>
      <c r="DH1243" s="141">
        <v>47828</v>
      </c>
      <c r="DI1243" s="142"/>
      <c r="DJ1243" s="42"/>
      <c r="DK1243" s="42"/>
      <c r="DL1243" s="42"/>
      <c r="DM1243" s="42"/>
      <c r="DN1243" s="42"/>
      <c r="DO1243" s="42"/>
    </row>
    <row r="1244" spans="2:119" ht="15.4" x14ac:dyDescent="0.45">
      <c r="B1244" s="134"/>
      <c r="C1244" s="42"/>
      <c r="D1244" s="111"/>
      <c r="E1244" s="46" t="s">
        <v>11</v>
      </c>
      <c r="F1244" s="141">
        <v>15267</v>
      </c>
      <c r="G1244" s="142"/>
      <c r="H1244" s="141">
        <v>7336</v>
      </c>
      <c r="I1244" s="142"/>
      <c r="J1244" s="42"/>
      <c r="K1244" s="42"/>
      <c r="L1244" s="42"/>
      <c r="M1244" s="42"/>
      <c r="N1244" s="42"/>
      <c r="O1244" s="42"/>
      <c r="P1244" s="42"/>
      <c r="Q1244" s="111"/>
      <c r="R1244" s="46" t="s">
        <v>11</v>
      </c>
      <c r="S1244" s="141">
        <v>8210</v>
      </c>
      <c r="T1244" s="142"/>
      <c r="U1244" s="141">
        <v>2945</v>
      </c>
      <c r="V1244" s="142"/>
      <c r="W1244" s="42"/>
      <c r="X1244" s="42"/>
      <c r="Y1244" s="42"/>
      <c r="Z1244" s="42"/>
      <c r="AA1244" s="42"/>
      <c r="AB1244" s="42"/>
      <c r="AC1244" s="42"/>
      <c r="AD1244" s="111"/>
      <c r="AE1244" s="46" t="s">
        <v>11</v>
      </c>
      <c r="AF1244" s="141">
        <v>7057</v>
      </c>
      <c r="AG1244" s="142"/>
      <c r="AH1244" s="141">
        <v>4391</v>
      </c>
      <c r="AI1244" s="142"/>
      <c r="AJ1244" s="42"/>
      <c r="AK1244" s="42"/>
      <c r="AL1244" s="42"/>
      <c r="AM1244" s="42"/>
      <c r="AN1244" s="42"/>
      <c r="AO1244" s="42"/>
      <c r="AQ1244" s="111"/>
      <c r="AR1244" s="46" t="s">
        <v>11</v>
      </c>
      <c r="AS1244" s="141">
        <v>1024</v>
      </c>
      <c r="AT1244" s="142"/>
      <c r="AU1244" s="141">
        <v>921</v>
      </c>
      <c r="AV1244" s="142"/>
      <c r="AW1244" s="42"/>
      <c r="AX1244" s="42"/>
      <c r="AY1244" s="42"/>
      <c r="AZ1244" s="42"/>
      <c r="BA1244" s="42"/>
      <c r="BB1244" s="42"/>
      <c r="BC1244" s="42"/>
      <c r="BD1244" s="111"/>
      <c r="BE1244" s="46" t="s">
        <v>11</v>
      </c>
      <c r="BF1244" s="141">
        <v>14243</v>
      </c>
      <c r="BG1244" s="142"/>
      <c r="BH1244" s="141">
        <v>6415</v>
      </c>
      <c r="BI1244" s="142"/>
      <c r="BJ1244" s="42"/>
      <c r="BK1244" s="42"/>
      <c r="BL1244" s="42"/>
      <c r="BM1244" s="42"/>
      <c r="BN1244" s="42"/>
      <c r="BO1244" s="42"/>
      <c r="BQ1244" s="111"/>
      <c r="BR1244" s="46" t="s">
        <v>11</v>
      </c>
      <c r="BS1244" s="141">
        <v>348</v>
      </c>
      <c r="BT1244" s="142"/>
      <c r="BU1244" s="141">
        <v>389</v>
      </c>
      <c r="BV1244" s="142"/>
      <c r="BW1244" s="42"/>
      <c r="BX1244" s="42"/>
      <c r="BY1244" s="42"/>
      <c r="BZ1244" s="42"/>
      <c r="CA1244" s="42"/>
      <c r="CB1244" s="42"/>
      <c r="CC1244" s="42"/>
      <c r="CD1244" s="111"/>
      <c r="CE1244" s="46" t="s">
        <v>11</v>
      </c>
      <c r="CF1244" s="141">
        <v>14919</v>
      </c>
      <c r="CG1244" s="142"/>
      <c r="CH1244" s="141">
        <v>6947</v>
      </c>
      <c r="CI1244" s="142"/>
      <c r="CJ1244" s="42"/>
      <c r="CK1244" s="42"/>
      <c r="CL1244" s="42"/>
      <c r="CM1244" s="42"/>
      <c r="CN1244" s="42"/>
      <c r="CO1244" s="42"/>
      <c r="CQ1244" s="111"/>
      <c r="CR1244" s="46" t="s">
        <v>11</v>
      </c>
      <c r="CS1244" s="141">
        <v>1946</v>
      </c>
      <c r="CT1244" s="142"/>
      <c r="CU1244" s="141">
        <v>588</v>
      </c>
      <c r="CV1244" s="142"/>
      <c r="CW1244" s="42"/>
      <c r="CX1244" s="42"/>
      <c r="CY1244" s="42"/>
      <c r="CZ1244" s="42"/>
      <c r="DA1244" s="42"/>
      <c r="DB1244" s="42"/>
      <c r="DC1244" s="42"/>
      <c r="DD1244" s="111"/>
      <c r="DE1244" s="46" t="s">
        <v>11</v>
      </c>
      <c r="DF1244" s="141">
        <v>13321</v>
      </c>
      <c r="DG1244" s="142"/>
      <c r="DH1244" s="141">
        <v>6748</v>
      </c>
      <c r="DI1244" s="142"/>
      <c r="DJ1244" s="42"/>
      <c r="DK1244" s="42"/>
      <c r="DL1244" s="42"/>
      <c r="DM1244" s="42"/>
      <c r="DN1244" s="42"/>
      <c r="DO1244" s="42"/>
    </row>
    <row r="1245" spans="2:119" ht="15.75" x14ac:dyDescent="0.5">
      <c r="B1245" s="99"/>
      <c r="C1245" s="42"/>
      <c r="D1245" s="42"/>
      <c r="E1245" s="50"/>
      <c r="F1245" s="42"/>
      <c r="G1245" s="42"/>
      <c r="H1245" s="42"/>
      <c r="I1245" s="42"/>
      <c r="J1245" s="42"/>
      <c r="K1245" s="42"/>
      <c r="L1245" s="42"/>
      <c r="M1245" s="42"/>
      <c r="N1245" s="42"/>
      <c r="O1245" s="42"/>
      <c r="P1245" s="42"/>
      <c r="Q1245" s="42"/>
      <c r="R1245" s="42"/>
      <c r="S1245" s="42"/>
      <c r="T1245" s="42"/>
      <c r="U1245" s="42"/>
      <c r="V1245" s="42"/>
      <c r="W1245" s="42"/>
      <c r="X1245" s="42"/>
      <c r="Y1245" s="42"/>
      <c r="Z1245" s="42"/>
      <c r="AA1245" s="42"/>
      <c r="AB1245" s="42"/>
      <c r="AC1245" s="42"/>
      <c r="AD1245" s="42"/>
      <c r="AE1245" s="42"/>
      <c r="AF1245" s="42"/>
      <c r="AG1245" s="42"/>
      <c r="AH1245" s="42"/>
      <c r="AI1245" s="42"/>
      <c r="AJ1245" s="42"/>
      <c r="AK1245" s="42"/>
      <c r="AL1245" s="42"/>
      <c r="AM1245" s="42"/>
      <c r="AN1245" s="42"/>
      <c r="AO1245" s="42"/>
      <c r="AQ1245" s="42"/>
      <c r="AR1245" s="42"/>
      <c r="AS1245" s="42"/>
      <c r="AT1245" s="42"/>
      <c r="AU1245" s="42"/>
      <c r="AV1245" s="42"/>
      <c r="AW1245" s="42"/>
      <c r="AX1245" s="42"/>
      <c r="AY1245" s="42"/>
      <c r="AZ1245" s="42"/>
      <c r="BA1245" s="42"/>
      <c r="BB1245" s="42"/>
      <c r="BC1245" s="42"/>
      <c r="BD1245" s="42"/>
      <c r="BE1245" s="42"/>
      <c r="BF1245" s="42"/>
      <c r="BG1245" s="42"/>
      <c r="BH1245" s="42"/>
      <c r="BI1245" s="42"/>
      <c r="BJ1245" s="42"/>
      <c r="BK1245" s="42"/>
      <c r="BL1245" s="42"/>
      <c r="BM1245" s="42"/>
      <c r="BN1245" s="42"/>
      <c r="BO1245" s="42"/>
      <c r="BQ1245" s="42"/>
      <c r="BR1245" s="42"/>
      <c r="BS1245" s="42"/>
      <c r="BT1245" s="42"/>
      <c r="BU1245" s="42"/>
      <c r="BV1245" s="42"/>
      <c r="BW1245" s="42"/>
      <c r="BX1245" s="42"/>
      <c r="BY1245" s="42"/>
      <c r="BZ1245" s="42"/>
      <c r="CA1245" s="42"/>
      <c r="CB1245" s="42"/>
      <c r="CC1245" s="42"/>
      <c r="CD1245" s="42"/>
      <c r="CE1245" s="42"/>
      <c r="CF1245" s="42"/>
      <c r="CG1245" s="42"/>
      <c r="CH1245" s="42"/>
      <c r="CI1245" s="42"/>
      <c r="CJ1245" s="42"/>
      <c r="CK1245" s="42"/>
      <c r="CL1245" s="42"/>
      <c r="CM1245" s="42"/>
      <c r="CN1245" s="42"/>
      <c r="CO1245" s="42"/>
      <c r="CQ1245" s="42"/>
      <c r="CR1245" s="42"/>
      <c r="CS1245" s="42"/>
      <c r="CT1245" s="42"/>
      <c r="CU1245" s="42"/>
      <c r="CV1245" s="42"/>
      <c r="CW1245" s="42"/>
      <c r="CX1245" s="42"/>
      <c r="CY1245" s="42"/>
      <c r="CZ1245" s="42"/>
      <c r="DA1245" s="42"/>
      <c r="DB1245" s="42"/>
      <c r="DC1245" s="42"/>
      <c r="DD1245" s="42"/>
      <c r="DE1245" s="42"/>
      <c r="DF1245" s="42"/>
      <c r="DG1245" s="42"/>
      <c r="DH1245" s="42"/>
      <c r="DI1245" s="42"/>
      <c r="DJ1245" s="42"/>
      <c r="DK1245" s="42"/>
      <c r="DL1245" s="42"/>
      <c r="DM1245" s="42"/>
      <c r="DN1245" s="42"/>
      <c r="DO1245" s="42"/>
    </row>
    <row r="1246" spans="2:119" ht="18.75" customHeight="1" x14ac:dyDescent="0.55000000000000004">
      <c r="B1246" s="99"/>
      <c r="C1246" s="42"/>
      <c r="D1246" s="112" t="s">
        <v>16</v>
      </c>
      <c r="E1246" s="112"/>
      <c r="F1246" s="45"/>
      <c r="G1246" s="45"/>
      <c r="H1246" s="42"/>
      <c r="I1246" s="42"/>
      <c r="J1246" s="42"/>
      <c r="K1246" s="42"/>
      <c r="L1246" s="42"/>
      <c r="M1246" s="42"/>
      <c r="N1246" s="42"/>
      <c r="O1246" s="42"/>
      <c r="P1246" s="42"/>
      <c r="Q1246" s="112" t="s">
        <v>16</v>
      </c>
      <c r="R1246" s="112"/>
      <c r="S1246" s="45"/>
      <c r="T1246" s="45"/>
      <c r="U1246" s="42"/>
      <c r="V1246" s="42"/>
      <c r="W1246" s="42"/>
      <c r="X1246" s="42"/>
      <c r="Y1246" s="42"/>
      <c r="Z1246" s="42"/>
      <c r="AA1246" s="42"/>
      <c r="AB1246" s="42"/>
      <c r="AC1246" s="42"/>
      <c r="AD1246" s="112" t="s">
        <v>16</v>
      </c>
      <c r="AE1246" s="112"/>
      <c r="AF1246" s="45"/>
      <c r="AG1246" s="45"/>
      <c r="AH1246" s="42"/>
      <c r="AI1246" s="42"/>
      <c r="AJ1246" s="42"/>
      <c r="AK1246" s="42"/>
      <c r="AL1246" s="42"/>
      <c r="AM1246" s="42"/>
      <c r="AN1246" s="42"/>
      <c r="AO1246" s="42"/>
      <c r="AQ1246" s="112" t="s">
        <v>16</v>
      </c>
      <c r="AR1246" s="112"/>
      <c r="AS1246" s="45"/>
      <c r="AT1246" s="45"/>
      <c r="AU1246" s="42"/>
      <c r="AV1246" s="42"/>
      <c r="AW1246" s="42"/>
      <c r="AX1246" s="42"/>
      <c r="AY1246" s="42"/>
      <c r="AZ1246" s="42"/>
      <c r="BA1246" s="42"/>
      <c r="BB1246" s="42"/>
      <c r="BC1246" s="42"/>
      <c r="BD1246" s="112" t="s">
        <v>16</v>
      </c>
      <c r="BE1246" s="112"/>
      <c r="BF1246" s="45"/>
      <c r="BG1246" s="45"/>
      <c r="BH1246" s="42"/>
      <c r="BI1246" s="42"/>
      <c r="BJ1246" s="42"/>
      <c r="BK1246" s="42"/>
      <c r="BL1246" s="42"/>
      <c r="BM1246" s="42"/>
      <c r="BN1246" s="42"/>
      <c r="BO1246" s="42"/>
      <c r="BQ1246" s="112" t="s">
        <v>16</v>
      </c>
      <c r="BR1246" s="112"/>
      <c r="BS1246" s="45"/>
      <c r="BT1246" s="45"/>
      <c r="BU1246" s="42"/>
      <c r="BV1246" s="42"/>
      <c r="BW1246" s="42"/>
      <c r="BX1246" s="42"/>
      <c r="BY1246" s="42"/>
      <c r="BZ1246" s="42"/>
      <c r="CA1246" s="42"/>
      <c r="CB1246" s="42"/>
      <c r="CC1246" s="42"/>
      <c r="CD1246" s="112" t="s">
        <v>16</v>
      </c>
      <c r="CE1246" s="112"/>
      <c r="CF1246" s="45"/>
      <c r="CG1246" s="45"/>
      <c r="CH1246" s="42"/>
      <c r="CI1246" s="42"/>
      <c r="CJ1246" s="42"/>
      <c r="CK1246" s="42"/>
      <c r="CL1246" s="42"/>
      <c r="CM1246" s="42"/>
      <c r="CN1246" s="42"/>
      <c r="CO1246" s="42"/>
      <c r="CQ1246" s="112" t="s">
        <v>16</v>
      </c>
      <c r="CR1246" s="112"/>
      <c r="CS1246" s="45"/>
      <c r="CT1246" s="45"/>
      <c r="CU1246" s="42"/>
      <c r="CV1246" s="42"/>
      <c r="CW1246" s="42"/>
      <c r="CX1246" s="42"/>
      <c r="CY1246" s="42"/>
      <c r="CZ1246" s="42"/>
      <c r="DA1246" s="42"/>
      <c r="DB1246" s="42"/>
      <c r="DC1246" s="42"/>
      <c r="DD1246" s="112" t="s">
        <v>16</v>
      </c>
      <c r="DE1246" s="112"/>
      <c r="DF1246" s="45"/>
      <c r="DG1246" s="45"/>
      <c r="DH1246" s="42"/>
      <c r="DI1246" s="42"/>
      <c r="DJ1246" s="42"/>
      <c r="DK1246" s="42"/>
      <c r="DL1246" s="42"/>
      <c r="DM1246" s="42"/>
      <c r="DN1246" s="42"/>
      <c r="DO1246" s="42"/>
    </row>
    <row r="1247" spans="2:119" ht="28.9" customHeight="1" x14ac:dyDescent="0.45">
      <c r="B1247" s="99"/>
      <c r="C1247" s="42"/>
      <c r="D1247" s="112"/>
      <c r="E1247" s="112"/>
      <c r="F1247" s="108" t="s">
        <v>58</v>
      </c>
      <c r="G1247" s="108"/>
      <c r="H1247" s="108"/>
      <c r="I1247" s="108"/>
      <c r="J1247" s="42"/>
      <c r="K1247" s="42"/>
      <c r="L1247" s="42"/>
      <c r="M1247" s="42"/>
      <c r="N1247" s="42"/>
      <c r="O1247" s="42"/>
      <c r="P1247" s="42"/>
      <c r="Q1247" s="112"/>
      <c r="R1247" s="112"/>
      <c r="S1247" s="108" t="s">
        <v>58</v>
      </c>
      <c r="T1247" s="108"/>
      <c r="U1247" s="108"/>
      <c r="V1247" s="108"/>
      <c r="W1247" s="42"/>
      <c r="X1247" s="42"/>
      <c r="Y1247" s="42"/>
      <c r="Z1247" s="42"/>
      <c r="AA1247" s="42"/>
      <c r="AB1247" s="42"/>
      <c r="AC1247" s="42"/>
      <c r="AD1247" s="112"/>
      <c r="AE1247" s="112"/>
      <c r="AF1247" s="108" t="s">
        <v>58</v>
      </c>
      <c r="AG1247" s="108"/>
      <c r="AH1247" s="108"/>
      <c r="AI1247" s="108"/>
      <c r="AJ1247" s="42"/>
      <c r="AK1247" s="42"/>
      <c r="AL1247" s="42"/>
      <c r="AM1247" s="42"/>
      <c r="AN1247" s="42"/>
      <c r="AO1247" s="42"/>
      <c r="AQ1247" s="112"/>
      <c r="AR1247" s="112"/>
      <c r="AS1247" s="108" t="s">
        <v>58</v>
      </c>
      <c r="AT1247" s="108"/>
      <c r="AU1247" s="108"/>
      <c r="AV1247" s="108"/>
      <c r="AW1247" s="42"/>
      <c r="AX1247" s="42"/>
      <c r="AY1247" s="42"/>
      <c r="AZ1247" s="42"/>
      <c r="BA1247" s="42"/>
      <c r="BB1247" s="42"/>
      <c r="BC1247" s="42"/>
      <c r="BD1247" s="112"/>
      <c r="BE1247" s="112"/>
      <c r="BF1247" s="108" t="s">
        <v>58</v>
      </c>
      <c r="BG1247" s="108"/>
      <c r="BH1247" s="108"/>
      <c r="BI1247" s="108"/>
      <c r="BJ1247" s="42"/>
      <c r="BK1247" s="42"/>
      <c r="BL1247" s="42"/>
      <c r="BM1247" s="42"/>
      <c r="BN1247" s="42"/>
      <c r="BO1247" s="42"/>
      <c r="BQ1247" s="112"/>
      <c r="BR1247" s="112"/>
      <c r="BS1247" s="108" t="s">
        <v>58</v>
      </c>
      <c r="BT1247" s="108"/>
      <c r="BU1247" s="108"/>
      <c r="BV1247" s="108"/>
      <c r="BW1247" s="42"/>
      <c r="BX1247" s="42"/>
      <c r="BY1247" s="42"/>
      <c r="BZ1247" s="42"/>
      <c r="CA1247" s="42"/>
      <c r="CB1247" s="42"/>
      <c r="CC1247" s="42"/>
      <c r="CD1247" s="112"/>
      <c r="CE1247" s="112"/>
      <c r="CF1247" s="108" t="s">
        <v>58</v>
      </c>
      <c r="CG1247" s="108"/>
      <c r="CH1247" s="108"/>
      <c r="CI1247" s="108"/>
      <c r="CJ1247" s="42"/>
      <c r="CK1247" s="42"/>
      <c r="CL1247" s="42"/>
      <c r="CM1247" s="42"/>
      <c r="CN1247" s="42"/>
      <c r="CO1247" s="42"/>
      <c r="CQ1247" s="112"/>
      <c r="CR1247" s="112"/>
      <c r="CS1247" s="108" t="s">
        <v>58</v>
      </c>
      <c r="CT1247" s="108"/>
      <c r="CU1247" s="108"/>
      <c r="CV1247" s="108"/>
      <c r="CW1247" s="42"/>
      <c r="CX1247" s="42"/>
      <c r="CY1247" s="42"/>
      <c r="CZ1247" s="42"/>
      <c r="DA1247" s="42"/>
      <c r="DB1247" s="42"/>
      <c r="DC1247" s="42"/>
      <c r="DD1247" s="112"/>
      <c r="DE1247" s="112"/>
      <c r="DF1247" s="108" t="s">
        <v>58</v>
      </c>
      <c r="DG1247" s="108"/>
      <c r="DH1247" s="108"/>
      <c r="DI1247" s="108"/>
      <c r="DJ1247" s="42"/>
      <c r="DK1247" s="42"/>
      <c r="DL1247" s="42"/>
      <c r="DM1247" s="42"/>
      <c r="DN1247" s="42"/>
      <c r="DO1247" s="42"/>
    </row>
    <row r="1248" spans="2:119" ht="15" customHeight="1" x14ac:dyDescent="0.45">
      <c r="B1248" s="99"/>
      <c r="C1248" s="42"/>
      <c r="D1248" s="113"/>
      <c r="E1248" s="113"/>
      <c r="F1248" s="143" t="s">
        <v>64</v>
      </c>
      <c r="G1248" s="144"/>
      <c r="H1248" s="143" t="s">
        <v>110</v>
      </c>
      <c r="I1248" s="144"/>
      <c r="J1248" s="42"/>
      <c r="K1248" s="42"/>
      <c r="L1248" s="42"/>
      <c r="M1248" s="42"/>
      <c r="N1248" s="42"/>
      <c r="O1248" s="42"/>
      <c r="P1248" s="42"/>
      <c r="Q1248" s="113"/>
      <c r="R1248" s="113"/>
      <c r="S1248" s="143" t="s">
        <v>64</v>
      </c>
      <c r="T1248" s="144"/>
      <c r="U1248" s="143" t="s">
        <v>110</v>
      </c>
      <c r="V1248" s="144"/>
      <c r="W1248" s="42"/>
      <c r="X1248" s="42"/>
      <c r="Y1248" s="42"/>
      <c r="Z1248" s="42"/>
      <c r="AA1248" s="42"/>
      <c r="AB1248" s="42"/>
      <c r="AC1248" s="42"/>
      <c r="AD1248" s="113"/>
      <c r="AE1248" s="113"/>
      <c r="AF1248" s="143" t="s">
        <v>64</v>
      </c>
      <c r="AG1248" s="144"/>
      <c r="AH1248" s="143" t="s">
        <v>110</v>
      </c>
      <c r="AI1248" s="144"/>
      <c r="AJ1248" s="42"/>
      <c r="AK1248" s="42"/>
      <c r="AL1248" s="42"/>
      <c r="AM1248" s="42"/>
      <c r="AN1248" s="42"/>
      <c r="AO1248" s="42"/>
      <c r="AQ1248" s="113"/>
      <c r="AR1248" s="113"/>
      <c r="AS1248" s="143" t="s">
        <v>64</v>
      </c>
      <c r="AT1248" s="144"/>
      <c r="AU1248" s="143" t="s">
        <v>110</v>
      </c>
      <c r="AV1248" s="144"/>
      <c r="AW1248" s="42"/>
      <c r="AX1248" s="42"/>
      <c r="AY1248" s="42"/>
      <c r="AZ1248" s="42"/>
      <c r="BA1248" s="42"/>
      <c r="BB1248" s="42"/>
      <c r="BC1248" s="42"/>
      <c r="BD1248" s="113"/>
      <c r="BE1248" s="113"/>
      <c r="BF1248" s="143" t="s">
        <v>64</v>
      </c>
      <c r="BG1248" s="144"/>
      <c r="BH1248" s="143" t="s">
        <v>110</v>
      </c>
      <c r="BI1248" s="144"/>
      <c r="BJ1248" s="42"/>
      <c r="BK1248" s="42"/>
      <c r="BL1248" s="42"/>
      <c r="BM1248" s="42"/>
      <c r="BN1248" s="42"/>
      <c r="BO1248" s="42"/>
      <c r="BQ1248" s="113"/>
      <c r="BR1248" s="113"/>
      <c r="BS1248" s="143" t="s">
        <v>64</v>
      </c>
      <c r="BT1248" s="144"/>
      <c r="BU1248" s="143" t="s">
        <v>110</v>
      </c>
      <c r="BV1248" s="144"/>
      <c r="BW1248" s="42"/>
      <c r="BX1248" s="42"/>
      <c r="BY1248" s="42"/>
      <c r="BZ1248" s="42"/>
      <c r="CA1248" s="42"/>
      <c r="CB1248" s="42"/>
      <c r="CC1248" s="42"/>
      <c r="CD1248" s="113"/>
      <c r="CE1248" s="113"/>
      <c r="CF1248" s="143" t="s">
        <v>64</v>
      </c>
      <c r="CG1248" s="144"/>
      <c r="CH1248" s="143" t="s">
        <v>110</v>
      </c>
      <c r="CI1248" s="144"/>
      <c r="CJ1248" s="42"/>
      <c r="CK1248" s="42"/>
      <c r="CL1248" s="42"/>
      <c r="CM1248" s="42"/>
      <c r="CN1248" s="42"/>
      <c r="CO1248" s="42"/>
      <c r="CQ1248" s="113"/>
      <c r="CR1248" s="113"/>
      <c r="CS1248" s="143" t="s">
        <v>64</v>
      </c>
      <c r="CT1248" s="144"/>
      <c r="CU1248" s="143" t="s">
        <v>110</v>
      </c>
      <c r="CV1248" s="144"/>
      <c r="CW1248" s="42"/>
      <c r="CX1248" s="42"/>
      <c r="CY1248" s="42"/>
      <c r="CZ1248" s="42"/>
      <c r="DA1248" s="42"/>
      <c r="DB1248" s="42"/>
      <c r="DC1248" s="42"/>
      <c r="DD1248" s="113"/>
      <c r="DE1248" s="113"/>
      <c r="DF1248" s="143" t="s">
        <v>64</v>
      </c>
      <c r="DG1248" s="144"/>
      <c r="DH1248" s="143" t="s">
        <v>110</v>
      </c>
      <c r="DI1248" s="144"/>
      <c r="DJ1248" s="42"/>
      <c r="DK1248" s="42"/>
      <c r="DL1248" s="42"/>
      <c r="DM1248" s="42"/>
      <c r="DN1248" s="42"/>
      <c r="DO1248" s="42"/>
    </row>
    <row r="1249" spans="2:119" ht="15.4" customHeight="1" x14ac:dyDescent="0.45">
      <c r="B1249" s="99"/>
      <c r="C1249" s="42"/>
      <c r="D1249" s="109" t="s">
        <v>13</v>
      </c>
      <c r="E1249" s="46" t="s">
        <v>1</v>
      </c>
      <c r="F1249" s="141">
        <v>0.11156563778356265</v>
      </c>
      <c r="G1249" s="142"/>
      <c r="H1249" s="141">
        <v>99.888434362216444</v>
      </c>
      <c r="I1249" s="142"/>
      <c r="J1249" s="42"/>
      <c r="K1249" s="42"/>
      <c r="L1249" s="42"/>
      <c r="M1249" s="42"/>
      <c r="N1249" s="42"/>
      <c r="O1249" s="42"/>
      <c r="P1249" s="42"/>
      <c r="Q1249" s="109" t="s">
        <v>13</v>
      </c>
      <c r="R1249" s="46" t="s">
        <v>1</v>
      </c>
      <c r="S1249" s="141">
        <v>0.21436227224008575</v>
      </c>
      <c r="T1249" s="142"/>
      <c r="U1249" s="141">
        <v>99.785637727759919</v>
      </c>
      <c r="V1249" s="142"/>
      <c r="W1249" s="42"/>
      <c r="X1249" s="42"/>
      <c r="Y1249" s="42"/>
      <c r="Z1249" s="42"/>
      <c r="AA1249" s="42"/>
      <c r="AB1249" s="42"/>
      <c r="AC1249" s="42"/>
      <c r="AD1249" s="109" t="s">
        <v>13</v>
      </c>
      <c r="AE1249" s="46" t="s">
        <v>1</v>
      </c>
      <c r="AF1249" s="141">
        <v>5.6947608200455579E-2</v>
      </c>
      <c r="AG1249" s="142"/>
      <c r="AH1249" s="141">
        <v>99.94305239179954</v>
      </c>
      <c r="AI1249" s="142"/>
      <c r="AJ1249" s="42"/>
      <c r="AK1249" s="42"/>
      <c r="AL1249" s="42"/>
      <c r="AM1249" s="42"/>
      <c r="AN1249" s="42"/>
      <c r="AO1249" s="42"/>
      <c r="AQ1249" s="109" t="s">
        <v>13</v>
      </c>
      <c r="AR1249" s="46" t="s">
        <v>1</v>
      </c>
      <c r="AS1249" s="141">
        <v>0.14124293785310735</v>
      </c>
      <c r="AT1249" s="142"/>
      <c r="AU1249" s="141">
        <v>99.858757062146893</v>
      </c>
      <c r="AV1249" s="142"/>
      <c r="AW1249" s="42"/>
      <c r="AX1249" s="42"/>
      <c r="AY1249" s="42"/>
      <c r="AZ1249" s="42"/>
      <c r="BA1249" s="42"/>
      <c r="BB1249" s="42"/>
      <c r="BC1249" s="42"/>
      <c r="BD1249" s="109" t="s">
        <v>13</v>
      </c>
      <c r="BE1249" s="46" t="s">
        <v>1</v>
      </c>
      <c r="BF1249" s="141">
        <v>7.8554595443833475E-2</v>
      </c>
      <c r="BG1249" s="142"/>
      <c r="BH1249" s="141">
        <v>99.921445404556167</v>
      </c>
      <c r="BI1249" s="142"/>
      <c r="BJ1249" s="42"/>
      <c r="BK1249" s="42"/>
      <c r="BL1249" s="42"/>
      <c r="BM1249" s="42"/>
      <c r="BN1249" s="42"/>
      <c r="BO1249" s="42"/>
      <c r="BQ1249" s="109" t="s">
        <v>13</v>
      </c>
      <c r="BR1249" s="46" t="s">
        <v>1</v>
      </c>
      <c r="BS1249" s="141">
        <v>3.800836183960471E-2</v>
      </c>
      <c r="BT1249" s="142"/>
      <c r="BU1249" s="141">
        <v>99.961991638160399</v>
      </c>
      <c r="BV1249" s="142"/>
      <c r="BW1249" s="42"/>
      <c r="BX1249" s="42"/>
      <c r="BY1249" s="42"/>
      <c r="BZ1249" s="42"/>
      <c r="CA1249" s="42"/>
      <c r="CB1249" s="42"/>
      <c r="CC1249" s="42"/>
      <c r="CD1249" s="109" t="s">
        <v>13</v>
      </c>
      <c r="CE1249" s="46" t="s">
        <v>1</v>
      </c>
      <c r="CF1249" s="141">
        <v>3.4482758620689653</v>
      </c>
      <c r="CG1249" s="142"/>
      <c r="CH1249" s="141">
        <v>96.551724137931032</v>
      </c>
      <c r="CI1249" s="142"/>
      <c r="CJ1249" s="42"/>
      <c r="CK1249" s="42"/>
      <c r="CL1249" s="42"/>
      <c r="CM1249" s="42"/>
      <c r="CN1249" s="42"/>
      <c r="CO1249" s="42"/>
      <c r="CQ1249" s="109" t="s">
        <v>13</v>
      </c>
      <c r="CR1249" s="46" t="s">
        <v>1</v>
      </c>
      <c r="CS1249" s="141">
        <v>0.46583850931677018</v>
      </c>
      <c r="CT1249" s="142"/>
      <c r="CU1249" s="141">
        <v>99.534161490683232</v>
      </c>
      <c r="CV1249" s="142"/>
      <c r="CW1249" s="42"/>
      <c r="CX1249" s="42"/>
      <c r="CY1249" s="42"/>
      <c r="CZ1249" s="42"/>
      <c r="DA1249" s="42"/>
      <c r="DB1249" s="42"/>
      <c r="DC1249" s="42"/>
      <c r="DD1249" s="109" t="s">
        <v>13</v>
      </c>
      <c r="DE1249" s="46" t="s">
        <v>1</v>
      </c>
      <c r="DF1249" s="141">
        <v>0</v>
      </c>
      <c r="DG1249" s="142"/>
      <c r="DH1249" s="141">
        <v>100</v>
      </c>
      <c r="DI1249" s="142"/>
      <c r="DJ1249" s="42"/>
      <c r="DK1249" s="42"/>
      <c r="DL1249" s="42"/>
      <c r="DM1249" s="42"/>
      <c r="DN1249" s="42"/>
      <c r="DO1249" s="42"/>
    </row>
    <row r="1250" spans="2:119" ht="15.4" x14ac:dyDescent="0.45">
      <c r="B1250" s="99"/>
      <c r="C1250" s="42"/>
      <c r="D1250" s="110"/>
      <c r="E1250" s="46" t="s">
        <v>56</v>
      </c>
      <c r="F1250" s="141">
        <v>0.42593469001419781</v>
      </c>
      <c r="G1250" s="142"/>
      <c r="H1250" s="141">
        <v>99.574065309985798</v>
      </c>
      <c r="I1250" s="142"/>
      <c r="J1250" s="42"/>
      <c r="K1250" s="42"/>
      <c r="L1250" s="42"/>
      <c r="M1250" s="42"/>
      <c r="N1250" s="42"/>
      <c r="O1250" s="42"/>
      <c r="P1250" s="42"/>
      <c r="Q1250" s="110"/>
      <c r="R1250" s="46" t="s">
        <v>56</v>
      </c>
      <c r="S1250" s="141">
        <v>0.65963060686015829</v>
      </c>
      <c r="T1250" s="142"/>
      <c r="U1250" s="141">
        <v>99.340369393139838</v>
      </c>
      <c r="V1250" s="142"/>
      <c r="W1250" s="42"/>
      <c r="X1250" s="42"/>
      <c r="Y1250" s="42"/>
      <c r="Z1250" s="42"/>
      <c r="AA1250" s="42"/>
      <c r="AB1250" s="42"/>
      <c r="AC1250" s="42"/>
      <c r="AD1250" s="110"/>
      <c r="AE1250" s="46" t="s">
        <v>56</v>
      </c>
      <c r="AF1250" s="141">
        <v>0.29520295202952029</v>
      </c>
      <c r="AG1250" s="142"/>
      <c r="AH1250" s="141">
        <v>99.704797047970487</v>
      </c>
      <c r="AI1250" s="142"/>
      <c r="AJ1250" s="42"/>
      <c r="AK1250" s="42"/>
      <c r="AL1250" s="42"/>
      <c r="AM1250" s="42"/>
      <c r="AN1250" s="42"/>
      <c r="AO1250" s="42"/>
      <c r="AQ1250" s="110"/>
      <c r="AR1250" s="46" t="s">
        <v>56</v>
      </c>
      <c r="AS1250" s="141">
        <v>8.9206066012488858E-2</v>
      </c>
      <c r="AT1250" s="142"/>
      <c r="AU1250" s="141">
        <v>99.910793933987506</v>
      </c>
      <c r="AV1250" s="142"/>
      <c r="AW1250" s="42"/>
      <c r="AX1250" s="42"/>
      <c r="AY1250" s="42"/>
      <c r="AZ1250" s="42"/>
      <c r="BA1250" s="42"/>
      <c r="BB1250" s="42"/>
      <c r="BC1250" s="42"/>
      <c r="BD1250" s="110"/>
      <c r="BE1250" s="46" t="s">
        <v>56</v>
      </c>
      <c r="BF1250" s="141">
        <v>0.80645161290322576</v>
      </c>
      <c r="BG1250" s="142"/>
      <c r="BH1250" s="141">
        <v>99.193548387096769</v>
      </c>
      <c r="BI1250" s="142"/>
      <c r="BJ1250" s="42"/>
      <c r="BK1250" s="42"/>
      <c r="BL1250" s="42"/>
      <c r="BM1250" s="42"/>
      <c r="BN1250" s="42"/>
      <c r="BO1250" s="42"/>
      <c r="BQ1250" s="110"/>
      <c r="BR1250" s="46" t="s">
        <v>56</v>
      </c>
      <c r="BS1250" s="141">
        <v>0</v>
      </c>
      <c r="BT1250" s="142"/>
      <c r="BU1250" s="141">
        <v>100</v>
      </c>
      <c r="BV1250" s="142"/>
      <c r="BW1250" s="42"/>
      <c r="BX1250" s="42"/>
      <c r="BY1250" s="42"/>
      <c r="BZ1250" s="42"/>
      <c r="CA1250" s="42"/>
      <c r="CB1250" s="42"/>
      <c r="CC1250" s="42"/>
      <c r="CD1250" s="110"/>
      <c r="CE1250" s="46" t="s">
        <v>56</v>
      </c>
      <c r="CF1250" s="141">
        <v>6.5217391304347823</v>
      </c>
      <c r="CG1250" s="142"/>
      <c r="CH1250" s="141">
        <v>93.478260869565219</v>
      </c>
      <c r="CI1250" s="142"/>
      <c r="CJ1250" s="42"/>
      <c r="CK1250" s="42"/>
      <c r="CL1250" s="42"/>
      <c r="CM1250" s="42"/>
      <c r="CN1250" s="42"/>
      <c r="CO1250" s="42"/>
      <c r="CQ1250" s="110"/>
      <c r="CR1250" s="46" t="s">
        <v>56</v>
      </c>
      <c r="CS1250" s="141">
        <v>2.0642201834862388</v>
      </c>
      <c r="CT1250" s="142"/>
      <c r="CU1250" s="141">
        <v>97.935779816513758</v>
      </c>
      <c r="CV1250" s="142"/>
      <c r="CW1250" s="42"/>
      <c r="CX1250" s="42"/>
      <c r="CY1250" s="42"/>
      <c r="CZ1250" s="42"/>
      <c r="DA1250" s="42"/>
      <c r="DB1250" s="42"/>
      <c r="DC1250" s="42"/>
      <c r="DD1250" s="110"/>
      <c r="DE1250" s="46" t="s">
        <v>56</v>
      </c>
      <c r="DF1250" s="141">
        <v>0</v>
      </c>
      <c r="DG1250" s="142"/>
      <c r="DH1250" s="141">
        <v>100</v>
      </c>
      <c r="DI1250" s="142"/>
      <c r="DJ1250" s="42"/>
      <c r="DK1250" s="42"/>
      <c r="DL1250" s="42"/>
      <c r="DM1250" s="42"/>
      <c r="DN1250" s="42"/>
      <c r="DO1250" s="42"/>
    </row>
    <row r="1251" spans="2:119" ht="15.4" x14ac:dyDescent="0.45">
      <c r="B1251" s="99"/>
      <c r="C1251" s="42"/>
      <c r="D1251" s="110"/>
      <c r="E1251" s="46" t="s">
        <v>2</v>
      </c>
      <c r="F1251" s="141">
        <v>0.27806743135210288</v>
      </c>
      <c r="G1251" s="142"/>
      <c r="H1251" s="141">
        <v>99.721932568647901</v>
      </c>
      <c r="I1251" s="142"/>
      <c r="J1251" s="42"/>
      <c r="K1251" s="42"/>
      <c r="L1251" s="42"/>
      <c r="M1251" s="42"/>
      <c r="N1251" s="42"/>
      <c r="O1251" s="42"/>
      <c r="P1251" s="42"/>
      <c r="Q1251" s="110"/>
      <c r="R1251" s="46" t="s">
        <v>2</v>
      </c>
      <c r="S1251" s="141">
        <v>0.46415678184631254</v>
      </c>
      <c r="T1251" s="142"/>
      <c r="U1251" s="141">
        <v>99.535843218153687</v>
      </c>
      <c r="V1251" s="142"/>
      <c r="W1251" s="42"/>
      <c r="X1251" s="42"/>
      <c r="Y1251" s="42"/>
      <c r="Z1251" s="42"/>
      <c r="AA1251" s="42"/>
      <c r="AB1251" s="42"/>
      <c r="AC1251" s="42"/>
      <c r="AD1251" s="110"/>
      <c r="AE1251" s="46" t="s">
        <v>2</v>
      </c>
      <c r="AF1251" s="141">
        <v>0.15172735760971057</v>
      </c>
      <c r="AG1251" s="142"/>
      <c r="AH1251" s="141">
        <v>99.848272642390285</v>
      </c>
      <c r="AI1251" s="142"/>
      <c r="AJ1251" s="42"/>
      <c r="AK1251" s="42"/>
      <c r="AL1251" s="42"/>
      <c r="AM1251" s="42"/>
      <c r="AN1251" s="42"/>
      <c r="AO1251" s="42"/>
      <c r="AQ1251" s="110"/>
      <c r="AR1251" s="46" t="s">
        <v>2</v>
      </c>
      <c r="AS1251" s="141">
        <v>0.18219677251431546</v>
      </c>
      <c r="AT1251" s="142"/>
      <c r="AU1251" s="141">
        <v>99.817803227485683</v>
      </c>
      <c r="AV1251" s="142"/>
      <c r="AW1251" s="42"/>
      <c r="AX1251" s="42"/>
      <c r="AY1251" s="42"/>
      <c r="AZ1251" s="42"/>
      <c r="BA1251" s="42"/>
      <c r="BB1251" s="42"/>
      <c r="BC1251" s="42"/>
      <c r="BD1251" s="110"/>
      <c r="BE1251" s="46" t="s">
        <v>2</v>
      </c>
      <c r="BF1251" s="141">
        <v>0.38800179077749586</v>
      </c>
      <c r="BG1251" s="142"/>
      <c r="BH1251" s="141">
        <v>99.611998209222506</v>
      </c>
      <c r="BI1251" s="142"/>
      <c r="BJ1251" s="42"/>
      <c r="BK1251" s="42"/>
      <c r="BL1251" s="42"/>
      <c r="BM1251" s="42"/>
      <c r="BN1251" s="42"/>
      <c r="BO1251" s="42"/>
      <c r="BQ1251" s="110"/>
      <c r="BR1251" s="46" t="s">
        <v>2</v>
      </c>
      <c r="BS1251" s="141">
        <v>5.4308472121650977E-2</v>
      </c>
      <c r="BT1251" s="142"/>
      <c r="BU1251" s="141">
        <v>99.945691527878338</v>
      </c>
      <c r="BV1251" s="142"/>
      <c r="BW1251" s="42"/>
      <c r="BX1251" s="42"/>
      <c r="BY1251" s="42"/>
      <c r="BZ1251" s="42"/>
      <c r="CA1251" s="42"/>
      <c r="CB1251" s="42"/>
      <c r="CC1251" s="42"/>
      <c r="CD1251" s="110"/>
      <c r="CE1251" s="46" t="s">
        <v>2</v>
      </c>
      <c r="CF1251" s="141">
        <v>1.0188792328438718</v>
      </c>
      <c r="CG1251" s="142"/>
      <c r="CH1251" s="141">
        <v>98.981120767156128</v>
      </c>
      <c r="CI1251" s="142"/>
      <c r="CJ1251" s="42"/>
      <c r="CK1251" s="42"/>
      <c r="CL1251" s="42"/>
      <c r="CM1251" s="42"/>
      <c r="CN1251" s="42"/>
      <c r="CO1251" s="42"/>
      <c r="CQ1251" s="110"/>
      <c r="CR1251" s="46" t="s">
        <v>2</v>
      </c>
      <c r="CS1251" s="141">
        <v>1.0746268656716418</v>
      </c>
      <c r="CT1251" s="142"/>
      <c r="CU1251" s="141">
        <v>98.925373134328353</v>
      </c>
      <c r="CV1251" s="142"/>
      <c r="CW1251" s="42"/>
      <c r="CX1251" s="42"/>
      <c r="CY1251" s="42"/>
      <c r="CZ1251" s="42"/>
      <c r="DA1251" s="42"/>
      <c r="DB1251" s="42"/>
      <c r="DC1251" s="42"/>
      <c r="DD1251" s="110"/>
      <c r="DE1251" s="46" t="s">
        <v>2</v>
      </c>
      <c r="DF1251" s="141">
        <v>3.6248300860897149E-2</v>
      </c>
      <c r="DG1251" s="142"/>
      <c r="DH1251" s="141">
        <v>99.96375169913911</v>
      </c>
      <c r="DI1251" s="142"/>
      <c r="DJ1251" s="42"/>
      <c r="DK1251" s="42"/>
      <c r="DL1251" s="42"/>
      <c r="DM1251" s="42"/>
      <c r="DN1251" s="42"/>
      <c r="DO1251" s="42"/>
    </row>
    <row r="1252" spans="2:119" ht="15.4" x14ac:dyDescent="0.45">
      <c r="B1252" s="99"/>
      <c r="C1252" s="42"/>
      <c r="D1252" s="110"/>
      <c r="E1252" s="46" t="s">
        <v>3</v>
      </c>
      <c r="F1252" s="141">
        <v>0.24847807181016274</v>
      </c>
      <c r="G1252" s="142"/>
      <c r="H1252" s="141">
        <v>99.751521928189831</v>
      </c>
      <c r="I1252" s="142"/>
      <c r="J1252" s="42"/>
      <c r="K1252" s="42"/>
      <c r="L1252" s="42"/>
      <c r="M1252" s="42"/>
      <c r="N1252" s="42"/>
      <c r="O1252" s="42"/>
      <c r="P1252" s="42"/>
      <c r="Q1252" s="110"/>
      <c r="R1252" s="46" t="s">
        <v>3</v>
      </c>
      <c r="S1252" s="141">
        <v>0.22682166146867025</v>
      </c>
      <c r="T1252" s="142"/>
      <c r="U1252" s="141">
        <v>99.773178338531338</v>
      </c>
      <c r="V1252" s="142"/>
      <c r="W1252" s="42"/>
      <c r="X1252" s="42"/>
      <c r="Y1252" s="42"/>
      <c r="Z1252" s="42"/>
      <c r="AA1252" s="42"/>
      <c r="AB1252" s="42"/>
      <c r="AC1252" s="42"/>
      <c r="AD1252" s="110"/>
      <c r="AE1252" s="46" t="s">
        <v>3</v>
      </c>
      <c r="AF1252" s="141">
        <v>0.26536930561698363</v>
      </c>
      <c r="AG1252" s="142"/>
      <c r="AH1252" s="141">
        <v>99.734630694383014</v>
      </c>
      <c r="AI1252" s="142"/>
      <c r="AJ1252" s="42"/>
      <c r="AK1252" s="42"/>
      <c r="AL1252" s="42"/>
      <c r="AM1252" s="42"/>
      <c r="AN1252" s="42"/>
      <c r="AO1252" s="42"/>
      <c r="AQ1252" s="110"/>
      <c r="AR1252" s="46" t="s">
        <v>3</v>
      </c>
      <c r="AS1252" s="141">
        <v>0.12836970474967907</v>
      </c>
      <c r="AT1252" s="142"/>
      <c r="AU1252" s="141">
        <v>99.871630295250327</v>
      </c>
      <c r="AV1252" s="142"/>
      <c r="AW1252" s="42"/>
      <c r="AX1252" s="42"/>
      <c r="AY1252" s="42"/>
      <c r="AZ1252" s="42"/>
      <c r="BA1252" s="42"/>
      <c r="BB1252" s="42"/>
      <c r="BC1252" s="42"/>
      <c r="BD1252" s="110"/>
      <c r="BE1252" s="46" t="s">
        <v>3</v>
      </c>
      <c r="BF1252" s="141">
        <v>0.36109773712084736</v>
      </c>
      <c r="BG1252" s="142"/>
      <c r="BH1252" s="141">
        <v>99.638902262879142</v>
      </c>
      <c r="BI1252" s="142"/>
      <c r="BJ1252" s="42"/>
      <c r="BK1252" s="42"/>
      <c r="BL1252" s="42"/>
      <c r="BM1252" s="42"/>
      <c r="BN1252" s="42"/>
      <c r="BO1252" s="42"/>
      <c r="BQ1252" s="110"/>
      <c r="BR1252" s="46" t="s">
        <v>3</v>
      </c>
      <c r="BS1252" s="141">
        <v>2.1240441801189464E-2</v>
      </c>
      <c r="BT1252" s="142"/>
      <c r="BU1252" s="141">
        <v>99.978759558198817</v>
      </c>
      <c r="BV1252" s="142"/>
      <c r="BW1252" s="42"/>
      <c r="BX1252" s="42"/>
      <c r="BY1252" s="42"/>
      <c r="BZ1252" s="42"/>
      <c r="CA1252" s="42"/>
      <c r="CB1252" s="42"/>
      <c r="CC1252" s="42"/>
      <c r="CD1252" s="110"/>
      <c r="CE1252" s="46" t="s">
        <v>3</v>
      </c>
      <c r="CF1252" s="141">
        <v>0.56869200838072431</v>
      </c>
      <c r="CG1252" s="142"/>
      <c r="CH1252" s="141">
        <v>99.431307991619278</v>
      </c>
      <c r="CI1252" s="142"/>
      <c r="CJ1252" s="42"/>
      <c r="CK1252" s="42"/>
      <c r="CL1252" s="42"/>
      <c r="CM1252" s="42"/>
      <c r="CN1252" s="42"/>
      <c r="CO1252" s="42"/>
      <c r="CQ1252" s="110"/>
      <c r="CR1252" s="46" t="s">
        <v>3</v>
      </c>
      <c r="CS1252" s="141">
        <v>1.2315270935960592</v>
      </c>
      <c r="CT1252" s="142"/>
      <c r="CU1252" s="141">
        <v>98.768472906403943</v>
      </c>
      <c r="CV1252" s="142"/>
      <c r="CW1252" s="42"/>
      <c r="CX1252" s="42"/>
      <c r="CY1252" s="42"/>
      <c r="CZ1252" s="42"/>
      <c r="DA1252" s="42"/>
      <c r="DB1252" s="42"/>
      <c r="DC1252" s="42"/>
      <c r="DD1252" s="110"/>
      <c r="DE1252" s="46" t="s">
        <v>3</v>
      </c>
      <c r="DF1252" s="141">
        <v>0</v>
      </c>
      <c r="DG1252" s="142"/>
      <c r="DH1252" s="141">
        <v>100</v>
      </c>
      <c r="DI1252" s="142"/>
      <c r="DJ1252" s="42"/>
      <c r="DK1252" s="42"/>
      <c r="DL1252" s="42"/>
      <c r="DM1252" s="42"/>
      <c r="DN1252" s="42"/>
      <c r="DO1252" s="42"/>
    </row>
    <row r="1253" spans="2:119" ht="15.4" x14ac:dyDescent="0.45">
      <c r="B1253" s="99"/>
      <c r="C1253" s="42"/>
      <c r="D1253" s="110"/>
      <c r="E1253" s="46" t="s">
        <v>4</v>
      </c>
      <c r="F1253" s="141">
        <v>0.43496101764464506</v>
      </c>
      <c r="G1253" s="142"/>
      <c r="H1253" s="141">
        <v>99.565038982355361</v>
      </c>
      <c r="I1253" s="142"/>
      <c r="J1253" s="42"/>
      <c r="K1253" s="42"/>
      <c r="L1253" s="42"/>
      <c r="M1253" s="42"/>
      <c r="N1253" s="42"/>
      <c r="O1253" s="42"/>
      <c r="P1253" s="42"/>
      <c r="Q1253" s="110"/>
      <c r="R1253" s="46" t="s">
        <v>4</v>
      </c>
      <c r="S1253" s="141">
        <v>0.66000713521227261</v>
      </c>
      <c r="T1253" s="142"/>
      <c r="U1253" s="141">
        <v>99.339992864787732</v>
      </c>
      <c r="V1253" s="142"/>
      <c r="W1253" s="42"/>
      <c r="X1253" s="42"/>
      <c r="Y1253" s="42"/>
      <c r="Z1253" s="42"/>
      <c r="AA1253" s="42"/>
      <c r="AB1253" s="42"/>
      <c r="AC1253" s="42"/>
      <c r="AD1253" s="110"/>
      <c r="AE1253" s="46" t="s">
        <v>4</v>
      </c>
      <c r="AF1253" s="141">
        <v>0.24319805441556466</v>
      </c>
      <c r="AG1253" s="142"/>
      <c r="AH1253" s="141">
        <v>99.756801945584442</v>
      </c>
      <c r="AI1253" s="142"/>
      <c r="AJ1253" s="42"/>
      <c r="AK1253" s="42"/>
      <c r="AL1253" s="42"/>
      <c r="AM1253" s="42"/>
      <c r="AN1253" s="42"/>
      <c r="AO1253" s="42"/>
      <c r="AQ1253" s="110"/>
      <c r="AR1253" s="46" t="s">
        <v>4</v>
      </c>
      <c r="AS1253" s="141">
        <v>0.26676151520540636</v>
      </c>
      <c r="AT1253" s="142"/>
      <c r="AU1253" s="141">
        <v>99.733238484794597</v>
      </c>
      <c r="AV1253" s="142"/>
      <c r="AW1253" s="42"/>
      <c r="AX1253" s="42"/>
      <c r="AY1253" s="42"/>
      <c r="AZ1253" s="42"/>
      <c r="BA1253" s="42"/>
      <c r="BB1253" s="42"/>
      <c r="BC1253" s="42"/>
      <c r="BD1253" s="110"/>
      <c r="BE1253" s="46" t="s">
        <v>4</v>
      </c>
      <c r="BF1253" s="141">
        <v>0.57909174032307231</v>
      </c>
      <c r="BG1253" s="142"/>
      <c r="BH1253" s="141">
        <v>99.420908259676935</v>
      </c>
      <c r="BI1253" s="142"/>
      <c r="BJ1253" s="42"/>
      <c r="BK1253" s="42"/>
      <c r="BL1253" s="42"/>
      <c r="BM1253" s="42"/>
      <c r="BN1253" s="42"/>
      <c r="BO1253" s="42"/>
      <c r="BQ1253" s="110"/>
      <c r="BR1253" s="46" t="s">
        <v>4</v>
      </c>
      <c r="BS1253" s="141">
        <v>3.5423308537017355E-2</v>
      </c>
      <c r="BT1253" s="142"/>
      <c r="BU1253" s="141">
        <v>99.96457669146298</v>
      </c>
      <c r="BV1253" s="142"/>
      <c r="BW1253" s="42"/>
      <c r="BX1253" s="42"/>
      <c r="BY1253" s="42"/>
      <c r="BZ1253" s="42"/>
      <c r="CA1253" s="42"/>
      <c r="CB1253" s="42"/>
      <c r="CC1253" s="42"/>
      <c r="CD1253" s="110"/>
      <c r="CE1253" s="46" t="s">
        <v>4</v>
      </c>
      <c r="CF1253" s="141">
        <v>0.77993576999541214</v>
      </c>
      <c r="CG1253" s="142"/>
      <c r="CH1253" s="141">
        <v>99.220064230004596</v>
      </c>
      <c r="CI1253" s="142"/>
      <c r="CJ1253" s="42"/>
      <c r="CK1253" s="42"/>
      <c r="CL1253" s="42"/>
      <c r="CM1253" s="42"/>
      <c r="CN1253" s="42"/>
      <c r="CO1253" s="42"/>
      <c r="CQ1253" s="110"/>
      <c r="CR1253" s="46" t="s">
        <v>4</v>
      </c>
      <c r="CS1253" s="141">
        <v>2.152389151958674</v>
      </c>
      <c r="CT1253" s="142"/>
      <c r="CU1253" s="141">
        <v>97.847610848041327</v>
      </c>
      <c r="CV1253" s="142"/>
      <c r="CW1253" s="42"/>
      <c r="CX1253" s="42"/>
      <c r="CY1253" s="42"/>
      <c r="CZ1253" s="42"/>
      <c r="DA1253" s="42"/>
      <c r="DB1253" s="42"/>
      <c r="DC1253" s="42"/>
      <c r="DD1253" s="110"/>
      <c r="DE1253" s="46" t="s">
        <v>4</v>
      </c>
      <c r="DF1253" s="141">
        <v>3.0419793145406607E-2</v>
      </c>
      <c r="DG1253" s="142"/>
      <c r="DH1253" s="141">
        <v>99.969580206854587</v>
      </c>
      <c r="DI1253" s="142"/>
      <c r="DJ1253" s="42"/>
      <c r="DK1253" s="42"/>
      <c r="DL1253" s="42"/>
      <c r="DM1253" s="42"/>
      <c r="DN1253" s="42"/>
      <c r="DO1253" s="42"/>
    </row>
    <row r="1254" spans="2:119" ht="15.4" x14ac:dyDescent="0.45">
      <c r="B1254" s="99"/>
      <c r="C1254" s="42"/>
      <c r="D1254" s="110"/>
      <c r="E1254" s="46" t="s">
        <v>5</v>
      </c>
      <c r="F1254" s="141">
        <v>0.35590521682120446</v>
      </c>
      <c r="G1254" s="142"/>
      <c r="H1254" s="141">
        <v>99.644094783178787</v>
      </c>
      <c r="I1254" s="142"/>
      <c r="J1254" s="42"/>
      <c r="K1254" s="42"/>
      <c r="L1254" s="42"/>
      <c r="M1254" s="42"/>
      <c r="N1254" s="42"/>
      <c r="O1254" s="42"/>
      <c r="P1254" s="42"/>
      <c r="Q1254" s="110"/>
      <c r="R1254" s="46" t="s">
        <v>5</v>
      </c>
      <c r="S1254" s="141">
        <v>0.43930856651704703</v>
      </c>
      <c r="T1254" s="142"/>
      <c r="U1254" s="141">
        <v>99.560691433482944</v>
      </c>
      <c r="V1254" s="142"/>
      <c r="W1254" s="42"/>
      <c r="X1254" s="42"/>
      <c r="Y1254" s="42"/>
      <c r="Z1254" s="42"/>
      <c r="AA1254" s="42"/>
      <c r="AB1254" s="42"/>
      <c r="AC1254" s="42"/>
      <c r="AD1254" s="110"/>
      <c r="AE1254" s="46" t="s">
        <v>5</v>
      </c>
      <c r="AF1254" s="141">
        <v>0.27565928512358728</v>
      </c>
      <c r="AG1254" s="142"/>
      <c r="AH1254" s="141">
        <v>99.724340714876419</v>
      </c>
      <c r="AI1254" s="142"/>
      <c r="AJ1254" s="42"/>
      <c r="AK1254" s="42"/>
      <c r="AL1254" s="42"/>
      <c r="AM1254" s="42"/>
      <c r="AN1254" s="42"/>
      <c r="AO1254" s="42"/>
      <c r="AQ1254" s="110"/>
      <c r="AR1254" s="46" t="s">
        <v>5</v>
      </c>
      <c r="AS1254" s="141">
        <v>0.27369141293191923</v>
      </c>
      <c r="AT1254" s="142"/>
      <c r="AU1254" s="141">
        <v>99.726308587068075</v>
      </c>
      <c r="AV1254" s="142"/>
      <c r="AW1254" s="42"/>
      <c r="AX1254" s="42"/>
      <c r="AY1254" s="42"/>
      <c r="AZ1254" s="42"/>
      <c r="BA1254" s="42"/>
      <c r="BB1254" s="42"/>
      <c r="BC1254" s="42"/>
      <c r="BD1254" s="110"/>
      <c r="BE1254" s="46" t="s">
        <v>5</v>
      </c>
      <c r="BF1254" s="141">
        <v>0.4131903059197457</v>
      </c>
      <c r="BG1254" s="142"/>
      <c r="BH1254" s="141">
        <v>99.586809694080259</v>
      </c>
      <c r="BI1254" s="142"/>
      <c r="BJ1254" s="42"/>
      <c r="BK1254" s="42"/>
      <c r="BL1254" s="42"/>
      <c r="BM1254" s="42"/>
      <c r="BN1254" s="42"/>
      <c r="BO1254" s="42"/>
      <c r="BQ1254" s="110"/>
      <c r="BR1254" s="46" t="s">
        <v>5</v>
      </c>
      <c r="BS1254" s="141">
        <v>0.16997167138810199</v>
      </c>
      <c r="BT1254" s="142"/>
      <c r="BU1254" s="141">
        <v>99.830028328611903</v>
      </c>
      <c r="BV1254" s="142"/>
      <c r="BW1254" s="42"/>
      <c r="BX1254" s="42"/>
      <c r="BY1254" s="42"/>
      <c r="BZ1254" s="42"/>
      <c r="CA1254" s="42"/>
      <c r="CB1254" s="42"/>
      <c r="CC1254" s="42"/>
      <c r="CD1254" s="110"/>
      <c r="CE1254" s="46" t="s">
        <v>5</v>
      </c>
      <c r="CF1254" s="141">
        <v>0.44774031061984049</v>
      </c>
      <c r="CG1254" s="142"/>
      <c r="CH1254" s="141">
        <v>99.552259689380165</v>
      </c>
      <c r="CI1254" s="142"/>
      <c r="CJ1254" s="42"/>
      <c r="CK1254" s="42"/>
      <c r="CL1254" s="42"/>
      <c r="CM1254" s="42"/>
      <c r="CN1254" s="42"/>
      <c r="CO1254" s="42"/>
      <c r="CQ1254" s="110"/>
      <c r="CR1254" s="46" t="s">
        <v>5</v>
      </c>
      <c r="CS1254" s="141">
        <v>1.6047297297297296</v>
      </c>
      <c r="CT1254" s="142"/>
      <c r="CU1254" s="141">
        <v>98.395270270270274</v>
      </c>
      <c r="CV1254" s="142"/>
      <c r="CW1254" s="42"/>
      <c r="CX1254" s="42"/>
      <c r="CY1254" s="42"/>
      <c r="CZ1254" s="42"/>
      <c r="DA1254" s="42"/>
      <c r="DB1254" s="42"/>
      <c r="DC1254" s="42"/>
      <c r="DD1254" s="110"/>
      <c r="DE1254" s="46" t="s">
        <v>5</v>
      </c>
      <c r="DF1254" s="141">
        <v>0.10672958094596113</v>
      </c>
      <c r="DG1254" s="142"/>
      <c r="DH1254" s="141">
        <v>99.893270419054033</v>
      </c>
      <c r="DI1254" s="142"/>
      <c r="DJ1254" s="42"/>
      <c r="DK1254" s="42"/>
      <c r="DL1254" s="42"/>
      <c r="DM1254" s="42"/>
      <c r="DN1254" s="42"/>
      <c r="DO1254" s="42"/>
    </row>
    <row r="1255" spans="2:119" ht="15.4" x14ac:dyDescent="0.45">
      <c r="B1255" s="99"/>
      <c r="C1255" s="42"/>
      <c r="D1255" s="110"/>
      <c r="E1255" s="46" t="s">
        <v>6</v>
      </c>
      <c r="F1255" s="141">
        <v>0.83795719624051634</v>
      </c>
      <c r="G1255" s="142"/>
      <c r="H1255" s="141">
        <v>99.162042803759491</v>
      </c>
      <c r="I1255" s="142"/>
      <c r="J1255" s="42"/>
      <c r="K1255" s="42"/>
      <c r="L1255" s="42"/>
      <c r="M1255" s="42"/>
      <c r="N1255" s="42"/>
      <c r="O1255" s="42"/>
      <c r="P1255" s="42"/>
      <c r="Q1255" s="110"/>
      <c r="R1255" s="46" t="s">
        <v>6</v>
      </c>
      <c r="S1255" s="141">
        <v>1.1934156378600824</v>
      </c>
      <c r="T1255" s="142"/>
      <c r="U1255" s="141">
        <v>98.806584362139915</v>
      </c>
      <c r="V1255" s="142"/>
      <c r="W1255" s="42"/>
      <c r="X1255" s="42"/>
      <c r="Y1255" s="42"/>
      <c r="Z1255" s="42"/>
      <c r="AA1255" s="42"/>
      <c r="AB1255" s="42"/>
      <c r="AC1255" s="42"/>
      <c r="AD1255" s="110"/>
      <c r="AE1255" s="46" t="s">
        <v>6</v>
      </c>
      <c r="AF1255" s="141">
        <v>0.48911824096926182</v>
      </c>
      <c r="AG1255" s="142"/>
      <c r="AH1255" s="141">
        <v>99.510881759030738</v>
      </c>
      <c r="AI1255" s="142"/>
      <c r="AJ1255" s="42"/>
      <c r="AK1255" s="42"/>
      <c r="AL1255" s="42"/>
      <c r="AM1255" s="42"/>
      <c r="AN1255" s="42"/>
      <c r="AO1255" s="42"/>
      <c r="AQ1255" s="110"/>
      <c r="AR1255" s="46" t="s">
        <v>6</v>
      </c>
      <c r="AS1255" s="141">
        <v>0.52641132691958614</v>
      </c>
      <c r="AT1255" s="142"/>
      <c r="AU1255" s="141">
        <v>99.473588673080414</v>
      </c>
      <c r="AV1255" s="142"/>
      <c r="AW1255" s="42"/>
      <c r="AX1255" s="42"/>
      <c r="AY1255" s="42"/>
      <c r="AZ1255" s="42"/>
      <c r="BA1255" s="42"/>
      <c r="BB1255" s="42"/>
      <c r="BC1255" s="42"/>
      <c r="BD1255" s="110"/>
      <c r="BE1255" s="46" t="s">
        <v>6</v>
      </c>
      <c r="BF1255" s="141">
        <v>1.0243231504271029</v>
      </c>
      <c r="BG1255" s="142"/>
      <c r="BH1255" s="141">
        <v>98.975676849572906</v>
      </c>
      <c r="BI1255" s="142"/>
      <c r="BJ1255" s="42"/>
      <c r="BK1255" s="42"/>
      <c r="BL1255" s="42"/>
      <c r="BM1255" s="42"/>
      <c r="BN1255" s="42"/>
      <c r="BO1255" s="42"/>
      <c r="BQ1255" s="110"/>
      <c r="BR1255" s="46" t="s">
        <v>6</v>
      </c>
      <c r="BS1255" s="141">
        <v>0.25327142254115659</v>
      </c>
      <c r="BT1255" s="142"/>
      <c r="BU1255" s="141">
        <v>99.746728577458839</v>
      </c>
      <c r="BV1255" s="142"/>
      <c r="BW1255" s="42"/>
      <c r="BX1255" s="42"/>
      <c r="BY1255" s="42"/>
      <c r="BZ1255" s="42"/>
      <c r="CA1255" s="42"/>
      <c r="CB1255" s="42"/>
      <c r="CC1255" s="42"/>
      <c r="CD1255" s="110"/>
      <c r="CE1255" s="46" t="s">
        <v>6</v>
      </c>
      <c r="CF1255" s="141">
        <v>0.997721964301162</v>
      </c>
      <c r="CG1255" s="142"/>
      <c r="CH1255" s="141">
        <v>99.002278035698836</v>
      </c>
      <c r="CI1255" s="142"/>
      <c r="CJ1255" s="42"/>
      <c r="CK1255" s="42"/>
      <c r="CL1255" s="42"/>
      <c r="CM1255" s="42"/>
      <c r="CN1255" s="42"/>
      <c r="CO1255" s="42"/>
      <c r="CQ1255" s="110"/>
      <c r="CR1255" s="46" t="s">
        <v>6</v>
      </c>
      <c r="CS1255" s="141">
        <v>3.0650243483242625</v>
      </c>
      <c r="CT1255" s="142"/>
      <c r="CU1255" s="141">
        <v>96.934975651675742</v>
      </c>
      <c r="CV1255" s="142"/>
      <c r="CW1255" s="42"/>
      <c r="CX1255" s="42"/>
      <c r="CY1255" s="42"/>
      <c r="CZ1255" s="42"/>
      <c r="DA1255" s="42"/>
      <c r="DB1255" s="42"/>
      <c r="DC1255" s="42"/>
      <c r="DD1255" s="110"/>
      <c r="DE1255" s="46" t="s">
        <v>6</v>
      </c>
      <c r="DF1255" s="141">
        <v>0.41965943023161967</v>
      </c>
      <c r="DG1255" s="142"/>
      <c r="DH1255" s="141">
        <v>99.580340569768381</v>
      </c>
      <c r="DI1255" s="142"/>
      <c r="DJ1255" s="42"/>
      <c r="DK1255" s="42"/>
      <c r="DL1255" s="42"/>
      <c r="DM1255" s="42"/>
      <c r="DN1255" s="42"/>
      <c r="DO1255" s="42"/>
    </row>
    <row r="1256" spans="2:119" ht="15.4" x14ac:dyDescent="0.45">
      <c r="B1256" s="99"/>
      <c r="C1256" s="42"/>
      <c r="D1256" s="110"/>
      <c r="E1256" s="46" t="s">
        <v>7</v>
      </c>
      <c r="F1256" s="141">
        <v>2.3690290352794254</v>
      </c>
      <c r="G1256" s="142"/>
      <c r="H1256" s="141">
        <v>97.630970964720575</v>
      </c>
      <c r="I1256" s="142"/>
      <c r="J1256" s="42"/>
      <c r="K1256" s="42"/>
      <c r="L1256" s="42"/>
      <c r="M1256" s="42"/>
      <c r="N1256" s="42"/>
      <c r="O1256" s="42"/>
      <c r="P1256" s="42"/>
      <c r="Q1256" s="110"/>
      <c r="R1256" s="46" t="s">
        <v>7</v>
      </c>
      <c r="S1256" s="141">
        <v>3.4139898826285231</v>
      </c>
      <c r="T1256" s="142"/>
      <c r="U1256" s="141">
        <v>96.586010117371472</v>
      </c>
      <c r="V1256" s="142"/>
      <c r="W1256" s="42"/>
      <c r="X1256" s="42"/>
      <c r="Y1256" s="42"/>
      <c r="Z1256" s="42"/>
      <c r="AA1256" s="42"/>
      <c r="AB1256" s="42"/>
      <c r="AC1256" s="42"/>
      <c r="AD1256" s="110"/>
      <c r="AE1256" s="46" t="s">
        <v>7</v>
      </c>
      <c r="AF1256" s="141">
        <v>1.319281029389676</v>
      </c>
      <c r="AG1256" s="142"/>
      <c r="AH1256" s="141">
        <v>98.680718970610329</v>
      </c>
      <c r="AI1256" s="142"/>
      <c r="AJ1256" s="42"/>
      <c r="AK1256" s="42"/>
      <c r="AL1256" s="42"/>
      <c r="AM1256" s="42"/>
      <c r="AN1256" s="42"/>
      <c r="AO1256" s="42"/>
      <c r="AQ1256" s="110"/>
      <c r="AR1256" s="46" t="s">
        <v>7</v>
      </c>
      <c r="AS1256" s="141">
        <v>1.4448352812133591</v>
      </c>
      <c r="AT1256" s="142"/>
      <c r="AU1256" s="141">
        <v>98.555164718786642</v>
      </c>
      <c r="AV1256" s="142"/>
      <c r="AW1256" s="42"/>
      <c r="AX1256" s="42"/>
      <c r="AY1256" s="42"/>
      <c r="AZ1256" s="42"/>
      <c r="BA1256" s="42"/>
      <c r="BB1256" s="42"/>
      <c r="BC1256" s="42"/>
      <c r="BD1256" s="110"/>
      <c r="BE1256" s="46" t="s">
        <v>7</v>
      </c>
      <c r="BF1256" s="141">
        <v>2.8245954209859052</v>
      </c>
      <c r="BG1256" s="142"/>
      <c r="BH1256" s="141">
        <v>97.175404579014085</v>
      </c>
      <c r="BI1256" s="142"/>
      <c r="BJ1256" s="42"/>
      <c r="BK1256" s="42"/>
      <c r="BL1256" s="42"/>
      <c r="BM1256" s="42"/>
      <c r="BN1256" s="42"/>
      <c r="BO1256" s="42"/>
      <c r="BQ1256" s="110"/>
      <c r="BR1256" s="46" t="s">
        <v>7</v>
      </c>
      <c r="BS1256" s="141">
        <v>0.7171387073347858</v>
      </c>
      <c r="BT1256" s="142"/>
      <c r="BU1256" s="141">
        <v>99.282861292665217</v>
      </c>
      <c r="BV1256" s="142"/>
      <c r="BW1256" s="42"/>
      <c r="BX1256" s="42"/>
      <c r="BY1256" s="42"/>
      <c r="BZ1256" s="42"/>
      <c r="CA1256" s="42"/>
      <c r="CB1256" s="42"/>
      <c r="CC1256" s="42"/>
      <c r="CD1256" s="110"/>
      <c r="CE1256" s="46" t="s">
        <v>7</v>
      </c>
      <c r="CF1256" s="141">
        <v>2.6325316034115755</v>
      </c>
      <c r="CG1256" s="142"/>
      <c r="CH1256" s="141">
        <v>97.367468396588421</v>
      </c>
      <c r="CI1256" s="142"/>
      <c r="CJ1256" s="42"/>
      <c r="CK1256" s="42"/>
      <c r="CL1256" s="42"/>
      <c r="CM1256" s="42"/>
      <c r="CN1256" s="42"/>
      <c r="CO1256" s="42"/>
      <c r="CQ1256" s="110"/>
      <c r="CR1256" s="46" t="s">
        <v>7</v>
      </c>
      <c r="CS1256" s="141">
        <v>6.5418227215980025</v>
      </c>
      <c r="CT1256" s="142"/>
      <c r="CU1256" s="141">
        <v>93.458177278402005</v>
      </c>
      <c r="CV1256" s="142"/>
      <c r="CW1256" s="42"/>
      <c r="CX1256" s="42"/>
      <c r="CY1256" s="42"/>
      <c r="CZ1256" s="42"/>
      <c r="DA1256" s="42"/>
      <c r="DB1256" s="42"/>
      <c r="DC1256" s="42"/>
      <c r="DD1256" s="110"/>
      <c r="DE1256" s="46" t="s">
        <v>7</v>
      </c>
      <c r="DF1256" s="141">
        <v>1.6323831913017925</v>
      </c>
      <c r="DG1256" s="142"/>
      <c r="DH1256" s="141">
        <v>98.367616808698216</v>
      </c>
      <c r="DI1256" s="142"/>
      <c r="DJ1256" s="42"/>
      <c r="DK1256" s="42"/>
      <c r="DL1256" s="42"/>
      <c r="DM1256" s="42"/>
      <c r="DN1256" s="42"/>
      <c r="DO1256" s="42"/>
    </row>
    <row r="1257" spans="2:119" ht="15.4" x14ac:dyDescent="0.45">
      <c r="B1257" s="99"/>
      <c r="C1257" s="42"/>
      <c r="D1257" s="110"/>
      <c r="E1257" s="46" t="s">
        <v>8</v>
      </c>
      <c r="F1257" s="141">
        <v>7.5980557293421231</v>
      </c>
      <c r="G1257" s="142"/>
      <c r="H1257" s="141">
        <v>92.401944270657879</v>
      </c>
      <c r="I1257" s="142"/>
      <c r="J1257" s="42"/>
      <c r="K1257" s="42"/>
      <c r="L1257" s="42"/>
      <c r="M1257" s="42"/>
      <c r="N1257" s="42"/>
      <c r="O1257" s="42"/>
      <c r="P1257" s="42"/>
      <c r="Q1257" s="110"/>
      <c r="R1257" s="46" t="s">
        <v>8</v>
      </c>
      <c r="S1257" s="141">
        <v>10.696522117366719</v>
      </c>
      <c r="T1257" s="142"/>
      <c r="U1257" s="141">
        <v>89.303477882633288</v>
      </c>
      <c r="V1257" s="142"/>
      <c r="W1257" s="42"/>
      <c r="X1257" s="42"/>
      <c r="Y1257" s="42"/>
      <c r="Z1257" s="42"/>
      <c r="AA1257" s="42"/>
      <c r="AB1257" s="42"/>
      <c r="AC1257" s="42"/>
      <c r="AD1257" s="110"/>
      <c r="AE1257" s="46" t="s">
        <v>8</v>
      </c>
      <c r="AF1257" s="141">
        <v>4.3866870516288365</v>
      </c>
      <c r="AG1257" s="142"/>
      <c r="AH1257" s="141">
        <v>95.61331294837116</v>
      </c>
      <c r="AI1257" s="142"/>
      <c r="AJ1257" s="42"/>
      <c r="AK1257" s="42"/>
      <c r="AL1257" s="42"/>
      <c r="AM1257" s="42"/>
      <c r="AN1257" s="42"/>
      <c r="AO1257" s="42"/>
      <c r="AQ1257" s="110"/>
      <c r="AR1257" s="46" t="s">
        <v>8</v>
      </c>
      <c r="AS1257" s="141">
        <v>4.8342736248236955</v>
      </c>
      <c r="AT1257" s="142"/>
      <c r="AU1257" s="141">
        <v>95.165726375176305</v>
      </c>
      <c r="AV1257" s="142"/>
      <c r="AW1257" s="42"/>
      <c r="AX1257" s="42"/>
      <c r="AY1257" s="42"/>
      <c r="AZ1257" s="42"/>
      <c r="BA1257" s="42"/>
      <c r="BB1257" s="42"/>
      <c r="BC1257" s="42"/>
      <c r="BD1257" s="110"/>
      <c r="BE1257" s="46" t="s">
        <v>8</v>
      </c>
      <c r="BF1257" s="141">
        <v>8.6357317799695501</v>
      </c>
      <c r="BG1257" s="142"/>
      <c r="BH1257" s="141">
        <v>91.364268220030453</v>
      </c>
      <c r="BI1257" s="142"/>
      <c r="BJ1257" s="42"/>
      <c r="BK1257" s="42"/>
      <c r="BL1257" s="42"/>
      <c r="BM1257" s="42"/>
      <c r="BN1257" s="42"/>
      <c r="BO1257" s="42"/>
      <c r="BQ1257" s="110"/>
      <c r="BR1257" s="46" t="s">
        <v>8</v>
      </c>
      <c r="BS1257" s="141">
        <v>2.8546805989443067</v>
      </c>
      <c r="BT1257" s="142"/>
      <c r="BU1257" s="141">
        <v>97.145319401055701</v>
      </c>
      <c r="BV1257" s="142"/>
      <c r="BW1257" s="42"/>
      <c r="BX1257" s="42"/>
      <c r="BY1257" s="42"/>
      <c r="BZ1257" s="42"/>
      <c r="CA1257" s="42"/>
      <c r="CB1257" s="42"/>
      <c r="CC1257" s="42"/>
      <c r="CD1257" s="110"/>
      <c r="CE1257" s="46" t="s">
        <v>8</v>
      </c>
      <c r="CF1257" s="141">
        <v>8.0634591806536164</v>
      </c>
      <c r="CG1257" s="142"/>
      <c r="CH1257" s="141">
        <v>91.936540819346376</v>
      </c>
      <c r="CI1257" s="142"/>
      <c r="CJ1257" s="42"/>
      <c r="CK1257" s="42"/>
      <c r="CL1257" s="42"/>
      <c r="CM1257" s="42"/>
      <c r="CN1257" s="42"/>
      <c r="CO1257" s="42"/>
      <c r="CQ1257" s="110"/>
      <c r="CR1257" s="46" t="s">
        <v>8</v>
      </c>
      <c r="CS1257" s="141">
        <v>15.848388239461567</v>
      </c>
      <c r="CT1257" s="142"/>
      <c r="CU1257" s="141">
        <v>84.15161176053843</v>
      </c>
      <c r="CV1257" s="142"/>
      <c r="CW1257" s="42"/>
      <c r="CX1257" s="42"/>
      <c r="CY1257" s="42"/>
      <c r="CZ1257" s="42"/>
      <c r="DA1257" s="42"/>
      <c r="DB1257" s="42"/>
      <c r="DC1257" s="42"/>
      <c r="DD1257" s="110"/>
      <c r="DE1257" s="46" t="s">
        <v>8</v>
      </c>
      <c r="DF1257" s="141">
        <v>6.300957897081755</v>
      </c>
      <c r="DG1257" s="142"/>
      <c r="DH1257" s="141">
        <v>93.699042102918241</v>
      </c>
      <c r="DI1257" s="142"/>
      <c r="DJ1257" s="42"/>
      <c r="DK1257" s="42"/>
      <c r="DL1257" s="42"/>
      <c r="DM1257" s="42"/>
      <c r="DN1257" s="42"/>
      <c r="DO1257" s="42"/>
    </row>
    <row r="1258" spans="2:119" ht="15.4" x14ac:dyDescent="0.45">
      <c r="B1258" s="99"/>
      <c r="C1258" s="42"/>
      <c r="D1258" s="110"/>
      <c r="E1258" s="46" t="s">
        <v>9</v>
      </c>
      <c r="F1258" s="141">
        <v>20.304813529116934</v>
      </c>
      <c r="G1258" s="142"/>
      <c r="H1258" s="141">
        <v>79.695186470883073</v>
      </c>
      <c r="I1258" s="142"/>
      <c r="J1258" s="42"/>
      <c r="K1258" s="42"/>
      <c r="L1258" s="42"/>
      <c r="M1258" s="42"/>
      <c r="N1258" s="42"/>
      <c r="O1258" s="42"/>
      <c r="P1258" s="42"/>
      <c r="Q1258" s="110"/>
      <c r="R1258" s="46" t="s">
        <v>9</v>
      </c>
      <c r="S1258" s="141">
        <v>27.014138554104651</v>
      </c>
      <c r="T1258" s="142"/>
      <c r="U1258" s="141">
        <v>72.985861445895353</v>
      </c>
      <c r="V1258" s="142"/>
      <c r="W1258" s="42"/>
      <c r="X1258" s="42"/>
      <c r="Y1258" s="42"/>
      <c r="Z1258" s="42"/>
      <c r="AA1258" s="42"/>
      <c r="AB1258" s="42"/>
      <c r="AC1258" s="42"/>
      <c r="AD1258" s="110"/>
      <c r="AE1258" s="46" t="s">
        <v>9</v>
      </c>
      <c r="AF1258" s="141">
        <v>13.641661270927758</v>
      </c>
      <c r="AG1258" s="142"/>
      <c r="AH1258" s="141">
        <v>86.358338729072244</v>
      </c>
      <c r="AI1258" s="142"/>
      <c r="AJ1258" s="42"/>
      <c r="AK1258" s="42"/>
      <c r="AL1258" s="42"/>
      <c r="AM1258" s="42"/>
      <c r="AN1258" s="42"/>
      <c r="AO1258" s="42"/>
      <c r="AQ1258" s="110"/>
      <c r="AR1258" s="46" t="s">
        <v>9</v>
      </c>
      <c r="AS1258" s="141">
        <v>13.880195706792437</v>
      </c>
      <c r="AT1258" s="142"/>
      <c r="AU1258" s="141">
        <v>86.119804293207565</v>
      </c>
      <c r="AV1258" s="142"/>
      <c r="AW1258" s="42"/>
      <c r="AX1258" s="42"/>
      <c r="AY1258" s="42"/>
      <c r="AZ1258" s="42"/>
      <c r="BA1258" s="42"/>
      <c r="BB1258" s="42"/>
      <c r="BC1258" s="42"/>
      <c r="BD1258" s="110"/>
      <c r="BE1258" s="46" t="s">
        <v>9</v>
      </c>
      <c r="BF1258" s="141">
        <v>22.01855357373811</v>
      </c>
      <c r="BG1258" s="142"/>
      <c r="BH1258" s="141">
        <v>77.981446426261897</v>
      </c>
      <c r="BI1258" s="142"/>
      <c r="BJ1258" s="42"/>
      <c r="BK1258" s="42"/>
      <c r="BL1258" s="42"/>
      <c r="BM1258" s="42"/>
      <c r="BN1258" s="42"/>
      <c r="BO1258" s="42"/>
      <c r="BQ1258" s="110"/>
      <c r="BR1258" s="46" t="s">
        <v>9</v>
      </c>
      <c r="BS1258" s="141">
        <v>9.6093399191737756</v>
      </c>
      <c r="BT1258" s="142"/>
      <c r="BU1258" s="141">
        <v>90.390660080826223</v>
      </c>
      <c r="BV1258" s="142"/>
      <c r="BW1258" s="42"/>
      <c r="BX1258" s="42"/>
      <c r="BY1258" s="42"/>
      <c r="BZ1258" s="42"/>
      <c r="CA1258" s="42"/>
      <c r="CB1258" s="42"/>
      <c r="CC1258" s="42"/>
      <c r="CD1258" s="110"/>
      <c r="CE1258" s="46" t="s">
        <v>9</v>
      </c>
      <c r="CF1258" s="141">
        <v>21.011904172892525</v>
      </c>
      <c r="CG1258" s="142"/>
      <c r="CH1258" s="141">
        <v>78.988095827107472</v>
      </c>
      <c r="CI1258" s="142"/>
      <c r="CJ1258" s="42"/>
      <c r="CK1258" s="42"/>
      <c r="CL1258" s="42"/>
      <c r="CM1258" s="42"/>
      <c r="CN1258" s="42"/>
      <c r="CO1258" s="42"/>
      <c r="CQ1258" s="110"/>
      <c r="CR1258" s="46" t="s">
        <v>9</v>
      </c>
      <c r="CS1258" s="141">
        <v>32.431438864789349</v>
      </c>
      <c r="CT1258" s="142"/>
      <c r="CU1258" s="141">
        <v>67.568561135210643</v>
      </c>
      <c r="CV1258" s="142"/>
      <c r="CW1258" s="42"/>
      <c r="CX1258" s="42"/>
      <c r="CY1258" s="42"/>
      <c r="CZ1258" s="42"/>
      <c r="DA1258" s="42"/>
      <c r="DB1258" s="42"/>
      <c r="DC1258" s="42"/>
      <c r="DD1258" s="110"/>
      <c r="DE1258" s="46" t="s">
        <v>9</v>
      </c>
      <c r="DF1258" s="141">
        <v>18.552747591276546</v>
      </c>
      <c r="DG1258" s="142"/>
      <c r="DH1258" s="141">
        <v>81.447252408723458</v>
      </c>
      <c r="DI1258" s="142"/>
      <c r="DJ1258" s="42"/>
      <c r="DK1258" s="42"/>
      <c r="DL1258" s="42"/>
      <c r="DM1258" s="42"/>
      <c r="DN1258" s="42"/>
      <c r="DO1258" s="42"/>
    </row>
    <row r="1259" spans="2:119" ht="15.4" x14ac:dyDescent="0.45">
      <c r="B1259" s="99"/>
      <c r="C1259" s="42"/>
      <c r="D1259" s="110"/>
      <c r="E1259" s="46" t="s">
        <v>10</v>
      </c>
      <c r="F1259" s="141">
        <v>43.055734466915716</v>
      </c>
      <c r="G1259" s="142"/>
      <c r="H1259" s="141">
        <v>56.944265533084291</v>
      </c>
      <c r="I1259" s="142"/>
      <c r="J1259" s="42"/>
      <c r="K1259" s="42"/>
      <c r="L1259" s="42"/>
      <c r="M1259" s="42"/>
      <c r="N1259" s="42"/>
      <c r="O1259" s="42"/>
      <c r="P1259" s="42"/>
      <c r="Q1259" s="110"/>
      <c r="R1259" s="46" t="s">
        <v>10</v>
      </c>
      <c r="S1259" s="141">
        <v>52.005634558626248</v>
      </c>
      <c r="T1259" s="142"/>
      <c r="U1259" s="141">
        <v>47.994365441373759</v>
      </c>
      <c r="V1259" s="142"/>
      <c r="W1259" s="42"/>
      <c r="X1259" s="42"/>
      <c r="Y1259" s="42"/>
      <c r="Z1259" s="42"/>
      <c r="AA1259" s="42"/>
      <c r="AB1259" s="42"/>
      <c r="AC1259" s="42"/>
      <c r="AD1259" s="110"/>
      <c r="AE1259" s="46" t="s">
        <v>10</v>
      </c>
      <c r="AF1259" s="141">
        <v>34.791047241493231</v>
      </c>
      <c r="AG1259" s="142"/>
      <c r="AH1259" s="141">
        <v>65.208952758506783</v>
      </c>
      <c r="AI1259" s="142"/>
      <c r="AJ1259" s="42"/>
      <c r="AK1259" s="42"/>
      <c r="AL1259" s="42"/>
      <c r="AM1259" s="42"/>
      <c r="AN1259" s="42"/>
      <c r="AO1259" s="42"/>
      <c r="AQ1259" s="110"/>
      <c r="AR1259" s="46" t="s">
        <v>10</v>
      </c>
      <c r="AS1259" s="141">
        <v>29.831103312129851</v>
      </c>
      <c r="AT1259" s="142"/>
      <c r="AU1259" s="141">
        <v>70.168896687870145</v>
      </c>
      <c r="AV1259" s="142"/>
      <c r="AW1259" s="42"/>
      <c r="AX1259" s="42"/>
      <c r="AY1259" s="42"/>
      <c r="AZ1259" s="42"/>
      <c r="BA1259" s="42"/>
      <c r="BB1259" s="42"/>
      <c r="BC1259" s="42"/>
      <c r="BD1259" s="110"/>
      <c r="BE1259" s="46" t="s">
        <v>10</v>
      </c>
      <c r="BF1259" s="141">
        <v>45.331471206230574</v>
      </c>
      <c r="BG1259" s="142"/>
      <c r="BH1259" s="141">
        <v>54.668528793769426</v>
      </c>
      <c r="BI1259" s="142"/>
      <c r="BJ1259" s="42"/>
      <c r="BK1259" s="42"/>
      <c r="BL1259" s="42"/>
      <c r="BM1259" s="42"/>
      <c r="BN1259" s="42"/>
      <c r="BO1259" s="42"/>
      <c r="BQ1259" s="110"/>
      <c r="BR1259" s="46" t="s">
        <v>10</v>
      </c>
      <c r="BS1259" s="141">
        <v>25.955533349987508</v>
      </c>
      <c r="BT1259" s="142"/>
      <c r="BU1259" s="141">
        <v>74.044466650012481</v>
      </c>
      <c r="BV1259" s="142"/>
      <c r="BW1259" s="42"/>
      <c r="BX1259" s="42"/>
      <c r="BY1259" s="42"/>
      <c r="BZ1259" s="42"/>
      <c r="CA1259" s="42"/>
      <c r="CB1259" s="42"/>
      <c r="CC1259" s="42"/>
      <c r="CD1259" s="110"/>
      <c r="CE1259" s="46" t="s">
        <v>10</v>
      </c>
      <c r="CF1259" s="141">
        <v>43.823539308828643</v>
      </c>
      <c r="CG1259" s="142"/>
      <c r="CH1259" s="141">
        <v>56.176460691171357</v>
      </c>
      <c r="CI1259" s="142"/>
      <c r="CJ1259" s="42"/>
      <c r="CK1259" s="42"/>
      <c r="CL1259" s="42"/>
      <c r="CM1259" s="42"/>
      <c r="CN1259" s="42"/>
      <c r="CO1259" s="42"/>
      <c r="CQ1259" s="110"/>
      <c r="CR1259" s="46" t="s">
        <v>10</v>
      </c>
      <c r="CS1259" s="141">
        <v>54.786450662739327</v>
      </c>
      <c r="CT1259" s="142"/>
      <c r="CU1259" s="141">
        <v>45.21354933726068</v>
      </c>
      <c r="CV1259" s="142"/>
      <c r="CW1259" s="42"/>
      <c r="CX1259" s="42"/>
      <c r="CY1259" s="42"/>
      <c r="CZ1259" s="42"/>
      <c r="DA1259" s="42"/>
      <c r="DB1259" s="42"/>
      <c r="DC1259" s="42"/>
      <c r="DD1259" s="110"/>
      <c r="DE1259" s="46" t="s">
        <v>10</v>
      </c>
      <c r="DF1259" s="141">
        <v>41.396591229338462</v>
      </c>
      <c r="DG1259" s="142"/>
      <c r="DH1259" s="141">
        <v>58.603408770661538</v>
      </c>
      <c r="DI1259" s="142"/>
      <c r="DJ1259" s="42"/>
      <c r="DK1259" s="42"/>
      <c r="DL1259" s="42"/>
      <c r="DM1259" s="42"/>
      <c r="DN1259" s="42"/>
      <c r="DO1259" s="42"/>
    </row>
    <row r="1260" spans="2:119" ht="15.4" x14ac:dyDescent="0.45">
      <c r="B1260" s="99"/>
      <c r="C1260" s="42"/>
      <c r="D1260" s="111"/>
      <c r="E1260" s="46" t="s">
        <v>11</v>
      </c>
      <c r="F1260" s="141">
        <v>67.544131310003095</v>
      </c>
      <c r="G1260" s="142"/>
      <c r="H1260" s="141">
        <v>32.455868689996905</v>
      </c>
      <c r="I1260" s="142"/>
      <c r="J1260" s="42"/>
      <c r="K1260" s="42"/>
      <c r="L1260" s="42"/>
      <c r="M1260" s="42"/>
      <c r="N1260" s="42"/>
      <c r="O1260" s="42"/>
      <c r="P1260" s="42"/>
      <c r="Q1260" s="111"/>
      <c r="R1260" s="46" t="s">
        <v>11</v>
      </c>
      <c r="S1260" s="141">
        <v>73.599282832810403</v>
      </c>
      <c r="T1260" s="142"/>
      <c r="U1260" s="141">
        <v>26.400717167189601</v>
      </c>
      <c r="V1260" s="142"/>
      <c r="W1260" s="42"/>
      <c r="X1260" s="42"/>
      <c r="Y1260" s="42"/>
      <c r="Z1260" s="42"/>
      <c r="AA1260" s="42"/>
      <c r="AB1260" s="42"/>
      <c r="AC1260" s="42"/>
      <c r="AD1260" s="111"/>
      <c r="AE1260" s="46" t="s">
        <v>11</v>
      </c>
      <c r="AF1260" s="141">
        <v>61.643955276030752</v>
      </c>
      <c r="AG1260" s="142"/>
      <c r="AH1260" s="141">
        <v>38.356044723969248</v>
      </c>
      <c r="AI1260" s="142"/>
      <c r="AJ1260" s="42"/>
      <c r="AK1260" s="42"/>
      <c r="AL1260" s="42"/>
      <c r="AM1260" s="42"/>
      <c r="AN1260" s="42"/>
      <c r="AO1260" s="42"/>
      <c r="AQ1260" s="111"/>
      <c r="AR1260" s="46" t="s">
        <v>11</v>
      </c>
      <c r="AS1260" s="141">
        <v>52.647814910025701</v>
      </c>
      <c r="AT1260" s="142"/>
      <c r="AU1260" s="141">
        <v>47.352185089974292</v>
      </c>
      <c r="AV1260" s="142"/>
      <c r="AW1260" s="42"/>
      <c r="AX1260" s="42"/>
      <c r="AY1260" s="42"/>
      <c r="AZ1260" s="42"/>
      <c r="BA1260" s="42"/>
      <c r="BB1260" s="42"/>
      <c r="BC1260" s="42"/>
      <c r="BD1260" s="111"/>
      <c r="BE1260" s="46" t="s">
        <v>11</v>
      </c>
      <c r="BF1260" s="141">
        <v>68.946655048891472</v>
      </c>
      <c r="BG1260" s="142"/>
      <c r="BH1260" s="141">
        <v>31.053344951108532</v>
      </c>
      <c r="BI1260" s="142"/>
      <c r="BJ1260" s="42"/>
      <c r="BK1260" s="42"/>
      <c r="BL1260" s="42"/>
      <c r="BM1260" s="42"/>
      <c r="BN1260" s="42"/>
      <c r="BO1260" s="42"/>
      <c r="BQ1260" s="111"/>
      <c r="BR1260" s="46" t="s">
        <v>11</v>
      </c>
      <c r="BS1260" s="141">
        <v>47.218453188602446</v>
      </c>
      <c r="BT1260" s="142"/>
      <c r="BU1260" s="141">
        <v>52.781546811397561</v>
      </c>
      <c r="BV1260" s="142"/>
      <c r="BW1260" s="42"/>
      <c r="BX1260" s="42"/>
      <c r="BY1260" s="42"/>
      <c r="BZ1260" s="42"/>
      <c r="CA1260" s="42"/>
      <c r="CB1260" s="42"/>
      <c r="CC1260" s="42"/>
      <c r="CD1260" s="111"/>
      <c r="CE1260" s="46" t="s">
        <v>11</v>
      </c>
      <c r="CF1260" s="141">
        <v>68.229214305314187</v>
      </c>
      <c r="CG1260" s="142"/>
      <c r="CH1260" s="141">
        <v>31.770785694685816</v>
      </c>
      <c r="CI1260" s="142"/>
      <c r="CJ1260" s="42"/>
      <c r="CK1260" s="42"/>
      <c r="CL1260" s="42"/>
      <c r="CM1260" s="42"/>
      <c r="CN1260" s="42"/>
      <c r="CO1260" s="42"/>
      <c r="CQ1260" s="111"/>
      <c r="CR1260" s="46" t="s">
        <v>11</v>
      </c>
      <c r="CS1260" s="141">
        <v>76.795580110497241</v>
      </c>
      <c r="CT1260" s="142"/>
      <c r="CU1260" s="141">
        <v>23.204419889502763</v>
      </c>
      <c r="CV1260" s="142"/>
      <c r="CW1260" s="42"/>
      <c r="CX1260" s="42"/>
      <c r="CY1260" s="42"/>
      <c r="CZ1260" s="42"/>
      <c r="DA1260" s="42"/>
      <c r="DB1260" s="42"/>
      <c r="DC1260" s="42"/>
      <c r="DD1260" s="111"/>
      <c r="DE1260" s="46" t="s">
        <v>11</v>
      </c>
      <c r="DF1260" s="141">
        <v>66.376002790373207</v>
      </c>
      <c r="DG1260" s="142"/>
      <c r="DH1260" s="141">
        <v>33.623997209626786</v>
      </c>
      <c r="DI1260" s="142"/>
      <c r="DJ1260" s="42"/>
      <c r="DK1260" s="42"/>
      <c r="DL1260" s="42"/>
      <c r="DM1260" s="42"/>
      <c r="DN1260" s="42"/>
      <c r="DO1260" s="42"/>
    </row>
    <row r="1261" spans="2:119" x14ac:dyDescent="0.45">
      <c r="B1261" s="99"/>
      <c r="C1261" s="42"/>
      <c r="D1261" s="42"/>
      <c r="E1261" s="42"/>
      <c r="F1261" s="42"/>
      <c r="G1261" s="42"/>
      <c r="H1261" s="42"/>
      <c r="I1261" s="42"/>
      <c r="J1261" s="42"/>
      <c r="K1261" s="42"/>
      <c r="L1261" s="42"/>
      <c r="M1261" s="42"/>
      <c r="N1261" s="42"/>
      <c r="O1261" s="42"/>
      <c r="P1261" s="42"/>
      <c r="Q1261" s="42"/>
      <c r="R1261" s="42"/>
      <c r="S1261" s="42"/>
      <c r="T1261" s="42"/>
      <c r="U1261" s="42"/>
      <c r="V1261" s="42"/>
      <c r="W1261" s="42"/>
      <c r="X1261" s="42"/>
      <c r="Y1261" s="42"/>
      <c r="Z1261" s="42"/>
      <c r="AA1261" s="42"/>
      <c r="AB1261" s="42"/>
      <c r="AC1261" s="42"/>
      <c r="AD1261" s="42"/>
      <c r="AE1261" s="42"/>
      <c r="AF1261" s="42"/>
      <c r="AG1261" s="42"/>
      <c r="AH1261" s="42"/>
      <c r="AI1261" s="42"/>
      <c r="AJ1261" s="42"/>
      <c r="AK1261" s="42"/>
      <c r="AL1261" s="42"/>
      <c r="AM1261" s="42"/>
      <c r="AN1261" s="42"/>
      <c r="AO1261" s="42"/>
      <c r="AQ1261" s="42"/>
      <c r="AR1261" s="42"/>
      <c r="AS1261" s="42"/>
      <c r="AT1261" s="42"/>
      <c r="AU1261" s="42"/>
      <c r="AV1261" s="42"/>
      <c r="AW1261" s="42"/>
      <c r="AX1261" s="42"/>
      <c r="AY1261" s="42"/>
      <c r="AZ1261" s="42"/>
      <c r="BA1261" s="42"/>
      <c r="BB1261" s="42"/>
      <c r="BC1261" s="42"/>
      <c r="BD1261" s="42"/>
      <c r="BE1261" s="42"/>
      <c r="BF1261" s="42"/>
      <c r="BG1261" s="42"/>
      <c r="BH1261" s="42"/>
      <c r="BI1261" s="42"/>
      <c r="BJ1261" s="42"/>
      <c r="BK1261" s="42"/>
      <c r="BL1261" s="42"/>
      <c r="BM1261" s="42"/>
      <c r="BN1261" s="42"/>
      <c r="BO1261" s="42"/>
      <c r="BQ1261" s="42"/>
      <c r="BR1261" s="42"/>
      <c r="BS1261" s="42"/>
      <c r="BT1261" s="42"/>
      <c r="BU1261" s="42"/>
      <c r="BV1261" s="42"/>
      <c r="BW1261" s="42"/>
      <c r="BX1261" s="42"/>
      <c r="BY1261" s="42"/>
      <c r="BZ1261" s="42"/>
      <c r="CA1261" s="42"/>
      <c r="CB1261" s="42"/>
      <c r="CC1261" s="42"/>
      <c r="CD1261" s="42"/>
      <c r="CE1261" s="42"/>
      <c r="CF1261" s="42"/>
      <c r="CG1261" s="42"/>
      <c r="CH1261" s="42"/>
      <c r="CI1261" s="42"/>
      <c r="CJ1261" s="42"/>
      <c r="CK1261" s="42"/>
      <c r="CL1261" s="42"/>
      <c r="CM1261" s="42"/>
      <c r="CN1261" s="42"/>
      <c r="CO1261" s="42"/>
      <c r="CQ1261" s="42"/>
      <c r="CR1261" s="42"/>
      <c r="CS1261" s="42"/>
      <c r="CT1261" s="42"/>
      <c r="CU1261" s="42"/>
      <c r="CV1261" s="42"/>
      <c r="CW1261" s="42"/>
      <c r="CX1261" s="42"/>
      <c r="CY1261" s="42"/>
      <c r="CZ1261" s="42"/>
      <c r="DA1261" s="42"/>
      <c r="DB1261" s="42"/>
      <c r="DC1261" s="42"/>
      <c r="DD1261" s="42"/>
      <c r="DE1261" s="42"/>
      <c r="DF1261" s="42"/>
      <c r="DG1261" s="42"/>
      <c r="DH1261" s="42"/>
      <c r="DI1261" s="42"/>
      <c r="DJ1261" s="42"/>
      <c r="DK1261" s="42"/>
      <c r="DL1261" s="42"/>
      <c r="DM1261" s="42"/>
      <c r="DN1261" s="42"/>
      <c r="DO1261" s="42"/>
    </row>
    <row r="1262" spans="2:119" x14ac:dyDescent="0.45">
      <c r="B1262" s="99"/>
      <c r="C1262" s="42"/>
      <c r="D1262" s="42"/>
      <c r="E1262" s="42"/>
      <c r="F1262" s="42"/>
      <c r="G1262" s="42"/>
      <c r="H1262" s="42"/>
      <c r="I1262" s="42"/>
      <c r="J1262" s="42"/>
      <c r="K1262" s="42"/>
      <c r="L1262" s="42"/>
      <c r="M1262" s="42"/>
      <c r="N1262" s="42"/>
      <c r="O1262" s="42"/>
      <c r="P1262" s="42"/>
      <c r="Q1262" s="42"/>
      <c r="R1262" s="42"/>
      <c r="S1262" s="42"/>
      <c r="T1262" s="42"/>
      <c r="U1262" s="42"/>
      <c r="V1262" s="42"/>
      <c r="W1262" s="42"/>
      <c r="X1262" s="42"/>
      <c r="Y1262" s="42"/>
      <c r="Z1262" s="42"/>
      <c r="AA1262" s="42"/>
      <c r="AB1262" s="42"/>
      <c r="AC1262" s="42"/>
      <c r="AD1262" s="42"/>
      <c r="AE1262" s="42"/>
      <c r="AF1262" s="42"/>
      <c r="AG1262" s="42"/>
      <c r="AH1262" s="42"/>
      <c r="AI1262" s="42"/>
      <c r="AJ1262" s="42"/>
      <c r="AK1262" s="42"/>
      <c r="AL1262" s="42"/>
      <c r="AM1262" s="42"/>
      <c r="AN1262" s="42"/>
      <c r="AO1262" s="42"/>
      <c r="AQ1262" s="42"/>
      <c r="AR1262" s="42"/>
      <c r="AS1262" s="42"/>
      <c r="AT1262" s="42"/>
      <c r="AU1262" s="42"/>
      <c r="AV1262" s="42"/>
      <c r="AW1262" s="42"/>
      <c r="AX1262" s="42"/>
      <c r="AY1262" s="42"/>
      <c r="AZ1262" s="42"/>
      <c r="BA1262" s="42"/>
      <c r="BB1262" s="42"/>
      <c r="BC1262" s="42"/>
      <c r="BD1262" s="42"/>
      <c r="BE1262" s="42"/>
      <c r="BF1262" s="42"/>
      <c r="BG1262" s="42"/>
      <c r="BH1262" s="42"/>
      <c r="BI1262" s="42"/>
      <c r="BJ1262" s="42"/>
      <c r="BK1262" s="42"/>
      <c r="BL1262" s="42"/>
      <c r="BM1262" s="42"/>
      <c r="BN1262" s="42"/>
      <c r="BO1262" s="42"/>
      <c r="BQ1262" s="42"/>
      <c r="BR1262" s="42"/>
      <c r="BS1262" s="42"/>
      <c r="BT1262" s="42"/>
      <c r="BU1262" s="42"/>
      <c r="BV1262" s="42"/>
      <c r="BW1262" s="42"/>
      <c r="BX1262" s="42"/>
      <c r="BY1262" s="42"/>
      <c r="BZ1262" s="42"/>
      <c r="CA1262" s="42"/>
      <c r="CB1262" s="42"/>
      <c r="CC1262" s="42"/>
      <c r="CD1262" s="42"/>
      <c r="CE1262" s="42"/>
      <c r="CF1262" s="42"/>
      <c r="CG1262" s="42"/>
      <c r="CH1262" s="42"/>
      <c r="CI1262" s="42"/>
      <c r="CJ1262" s="42"/>
      <c r="CK1262" s="42"/>
      <c r="CL1262" s="42"/>
      <c r="CM1262" s="42"/>
      <c r="CN1262" s="42"/>
      <c r="CO1262" s="42"/>
      <c r="CQ1262" s="42"/>
      <c r="CR1262" s="42"/>
      <c r="CS1262" s="42"/>
      <c r="CT1262" s="42"/>
      <c r="CU1262" s="42"/>
      <c r="CV1262" s="42"/>
      <c r="CW1262" s="42"/>
      <c r="CX1262" s="42"/>
      <c r="CY1262" s="42"/>
      <c r="CZ1262" s="42"/>
      <c r="DA1262" s="42"/>
      <c r="DB1262" s="42"/>
      <c r="DC1262" s="42"/>
      <c r="DD1262" s="42"/>
      <c r="DE1262" s="42"/>
      <c r="DF1262" s="42"/>
      <c r="DG1262" s="42"/>
      <c r="DH1262" s="42"/>
      <c r="DI1262" s="42"/>
      <c r="DJ1262" s="42"/>
      <c r="DK1262" s="42"/>
      <c r="DL1262" s="42"/>
      <c r="DM1262" s="42"/>
      <c r="DN1262" s="42"/>
      <c r="DO1262" s="42"/>
    </row>
    <row r="1263" spans="2:119" ht="18.75" customHeight="1" x14ac:dyDescent="0.55000000000000004">
      <c r="B1263" s="99"/>
      <c r="C1263" s="42"/>
      <c r="D1263" s="112" t="s">
        <v>24</v>
      </c>
      <c r="E1263" s="112"/>
      <c r="F1263" s="45"/>
      <c r="G1263" s="45"/>
      <c r="H1263" s="42"/>
      <c r="I1263" s="42"/>
      <c r="J1263" s="42"/>
      <c r="K1263" s="42"/>
      <c r="L1263" s="42"/>
      <c r="M1263" s="42"/>
      <c r="N1263" s="42"/>
      <c r="O1263" s="42"/>
      <c r="P1263" s="42"/>
      <c r="Q1263" s="112" t="s">
        <v>24</v>
      </c>
      <c r="R1263" s="112"/>
      <c r="S1263" s="45"/>
      <c r="T1263" s="45"/>
      <c r="U1263" s="42"/>
      <c r="V1263" s="42"/>
      <c r="W1263" s="42"/>
      <c r="X1263" s="42"/>
      <c r="Y1263" s="42"/>
      <c r="Z1263" s="42"/>
      <c r="AA1263" s="42"/>
      <c r="AB1263" s="42"/>
      <c r="AC1263" s="42"/>
      <c r="AD1263" s="112" t="s">
        <v>24</v>
      </c>
      <c r="AE1263" s="112"/>
      <c r="AF1263" s="45"/>
      <c r="AG1263" s="45"/>
      <c r="AH1263" s="42"/>
      <c r="AI1263" s="42"/>
      <c r="AJ1263" s="42"/>
      <c r="AK1263" s="42"/>
      <c r="AL1263" s="42"/>
      <c r="AM1263" s="42"/>
      <c r="AN1263" s="42"/>
      <c r="AO1263" s="42"/>
      <c r="AQ1263" s="112" t="s">
        <v>24</v>
      </c>
      <c r="AR1263" s="112"/>
      <c r="AS1263" s="45"/>
      <c r="AT1263" s="45"/>
      <c r="AU1263" s="42"/>
      <c r="AV1263" s="42"/>
      <c r="AW1263" s="42"/>
      <c r="AX1263" s="42"/>
      <c r="AY1263" s="42"/>
      <c r="AZ1263" s="42"/>
      <c r="BA1263" s="42"/>
      <c r="BB1263" s="42"/>
      <c r="BC1263" s="42"/>
      <c r="BD1263" s="112" t="s">
        <v>24</v>
      </c>
      <c r="BE1263" s="112"/>
      <c r="BF1263" s="45"/>
      <c r="BG1263" s="45"/>
      <c r="BH1263" s="42"/>
      <c r="BI1263" s="42"/>
      <c r="BJ1263" s="42"/>
      <c r="BK1263" s="42"/>
      <c r="BL1263" s="42"/>
      <c r="BM1263" s="42"/>
      <c r="BN1263" s="42"/>
      <c r="BO1263" s="42"/>
      <c r="BQ1263" s="112" t="s">
        <v>24</v>
      </c>
      <c r="BR1263" s="112"/>
      <c r="BS1263" s="45"/>
      <c r="BT1263" s="45"/>
      <c r="BU1263" s="42"/>
      <c r="BV1263" s="42"/>
      <c r="BW1263" s="42"/>
      <c r="BX1263" s="42"/>
      <c r="BY1263" s="42"/>
      <c r="BZ1263" s="42"/>
      <c r="CA1263" s="42"/>
      <c r="CB1263" s="42"/>
      <c r="CC1263" s="42"/>
      <c r="CD1263" s="112" t="s">
        <v>24</v>
      </c>
      <c r="CE1263" s="112"/>
      <c r="CF1263" s="45"/>
      <c r="CG1263" s="45"/>
      <c r="CH1263" s="42"/>
      <c r="CI1263" s="42"/>
      <c r="CJ1263" s="42"/>
      <c r="CK1263" s="42"/>
      <c r="CL1263" s="42"/>
      <c r="CM1263" s="42"/>
      <c r="CN1263" s="42"/>
      <c r="CO1263" s="42"/>
      <c r="CQ1263" s="112" t="s">
        <v>24</v>
      </c>
      <c r="CR1263" s="112"/>
      <c r="CS1263" s="45"/>
      <c r="CT1263" s="45"/>
      <c r="CU1263" s="42"/>
      <c r="CV1263" s="42"/>
      <c r="CW1263" s="42"/>
      <c r="CX1263" s="42"/>
      <c r="CY1263" s="42"/>
      <c r="CZ1263" s="42"/>
      <c r="DA1263" s="42"/>
      <c r="DB1263" s="42"/>
      <c r="DC1263" s="42"/>
      <c r="DD1263" s="112" t="s">
        <v>24</v>
      </c>
      <c r="DE1263" s="112"/>
      <c r="DF1263" s="45"/>
      <c r="DG1263" s="45"/>
      <c r="DH1263" s="42"/>
      <c r="DI1263" s="42"/>
      <c r="DJ1263" s="42"/>
      <c r="DK1263" s="42"/>
      <c r="DL1263" s="42"/>
      <c r="DM1263" s="42"/>
      <c r="DN1263" s="42"/>
      <c r="DO1263" s="42"/>
    </row>
    <row r="1264" spans="2:119" ht="28.9" customHeight="1" x14ac:dyDescent="0.45">
      <c r="B1264" s="99"/>
      <c r="C1264" s="42"/>
      <c r="D1264" s="112"/>
      <c r="E1264" s="112"/>
      <c r="F1264" s="108" t="s">
        <v>58</v>
      </c>
      <c r="G1264" s="108"/>
      <c r="H1264" s="108"/>
      <c r="I1264" s="108"/>
      <c r="J1264" s="42"/>
      <c r="K1264" s="42"/>
      <c r="L1264" s="42"/>
      <c r="M1264" s="42"/>
      <c r="N1264" s="42"/>
      <c r="O1264" s="42"/>
      <c r="P1264" s="42"/>
      <c r="Q1264" s="112"/>
      <c r="R1264" s="112"/>
      <c r="S1264" s="108" t="s">
        <v>58</v>
      </c>
      <c r="T1264" s="108"/>
      <c r="U1264" s="108"/>
      <c r="V1264" s="108"/>
      <c r="W1264" s="42"/>
      <c r="X1264" s="42"/>
      <c r="Y1264" s="42"/>
      <c r="Z1264" s="42"/>
      <c r="AA1264" s="42"/>
      <c r="AB1264" s="42"/>
      <c r="AC1264" s="42"/>
      <c r="AD1264" s="112"/>
      <c r="AE1264" s="112"/>
      <c r="AF1264" s="108" t="s">
        <v>58</v>
      </c>
      <c r="AG1264" s="108"/>
      <c r="AH1264" s="108"/>
      <c r="AI1264" s="108"/>
      <c r="AJ1264" s="42"/>
      <c r="AK1264" s="42"/>
      <c r="AL1264" s="42"/>
      <c r="AM1264" s="42"/>
      <c r="AN1264" s="42"/>
      <c r="AO1264" s="42"/>
      <c r="AQ1264" s="112"/>
      <c r="AR1264" s="112"/>
      <c r="AS1264" s="108" t="s">
        <v>58</v>
      </c>
      <c r="AT1264" s="108"/>
      <c r="AU1264" s="108"/>
      <c r="AV1264" s="108"/>
      <c r="AW1264" s="42"/>
      <c r="AX1264" s="42"/>
      <c r="AY1264" s="42"/>
      <c r="AZ1264" s="42"/>
      <c r="BA1264" s="42"/>
      <c r="BB1264" s="42"/>
      <c r="BC1264" s="42"/>
      <c r="BD1264" s="112"/>
      <c r="BE1264" s="112"/>
      <c r="BF1264" s="108" t="s">
        <v>58</v>
      </c>
      <c r="BG1264" s="108"/>
      <c r="BH1264" s="108"/>
      <c r="BI1264" s="108"/>
      <c r="BJ1264" s="42"/>
      <c r="BK1264" s="42"/>
      <c r="BL1264" s="42"/>
      <c r="BM1264" s="42"/>
      <c r="BN1264" s="42"/>
      <c r="BO1264" s="42"/>
      <c r="BQ1264" s="112"/>
      <c r="BR1264" s="112"/>
      <c r="BS1264" s="108" t="s">
        <v>58</v>
      </c>
      <c r="BT1264" s="108"/>
      <c r="BU1264" s="108"/>
      <c r="BV1264" s="108"/>
      <c r="BW1264" s="42"/>
      <c r="BX1264" s="42"/>
      <c r="BY1264" s="42"/>
      <c r="BZ1264" s="42"/>
      <c r="CA1264" s="42"/>
      <c r="CB1264" s="42"/>
      <c r="CC1264" s="42"/>
      <c r="CD1264" s="112"/>
      <c r="CE1264" s="112"/>
      <c r="CF1264" s="108" t="s">
        <v>58</v>
      </c>
      <c r="CG1264" s="108"/>
      <c r="CH1264" s="108"/>
      <c r="CI1264" s="108"/>
      <c r="CJ1264" s="42"/>
      <c r="CK1264" s="42"/>
      <c r="CL1264" s="42"/>
      <c r="CM1264" s="42"/>
      <c r="CN1264" s="42"/>
      <c r="CO1264" s="42"/>
      <c r="CQ1264" s="112"/>
      <c r="CR1264" s="112"/>
      <c r="CS1264" s="108" t="s">
        <v>58</v>
      </c>
      <c r="CT1264" s="108"/>
      <c r="CU1264" s="108"/>
      <c r="CV1264" s="108"/>
      <c r="CW1264" s="42"/>
      <c r="CX1264" s="42"/>
      <c r="CY1264" s="42"/>
      <c r="CZ1264" s="42"/>
      <c r="DA1264" s="42"/>
      <c r="DB1264" s="42"/>
      <c r="DC1264" s="42"/>
      <c r="DD1264" s="112"/>
      <c r="DE1264" s="112"/>
      <c r="DF1264" s="108" t="s">
        <v>58</v>
      </c>
      <c r="DG1264" s="108"/>
      <c r="DH1264" s="108"/>
      <c r="DI1264" s="108"/>
      <c r="DJ1264" s="42"/>
      <c r="DK1264" s="42"/>
      <c r="DL1264" s="42"/>
      <c r="DM1264" s="42"/>
      <c r="DN1264" s="42"/>
      <c r="DO1264" s="42"/>
    </row>
    <row r="1265" spans="2:119" ht="15" customHeight="1" x14ac:dyDescent="0.45">
      <c r="B1265" s="99"/>
      <c r="C1265" s="42"/>
      <c r="D1265" s="113"/>
      <c r="E1265" s="113"/>
      <c r="F1265" s="143" t="s">
        <v>64</v>
      </c>
      <c r="G1265" s="144"/>
      <c r="H1265" s="143" t="s">
        <v>110</v>
      </c>
      <c r="I1265" s="144"/>
      <c r="J1265" s="42"/>
      <c r="K1265" s="42"/>
      <c r="L1265" s="42"/>
      <c r="M1265" s="42"/>
      <c r="N1265" s="42"/>
      <c r="O1265" s="42"/>
      <c r="P1265" s="42"/>
      <c r="Q1265" s="113"/>
      <c r="R1265" s="113"/>
      <c r="S1265" s="143" t="s">
        <v>64</v>
      </c>
      <c r="T1265" s="144"/>
      <c r="U1265" s="143" t="s">
        <v>110</v>
      </c>
      <c r="V1265" s="144"/>
      <c r="W1265" s="42"/>
      <c r="X1265" s="42"/>
      <c r="Y1265" s="42"/>
      <c r="Z1265" s="42"/>
      <c r="AA1265" s="42"/>
      <c r="AB1265" s="42"/>
      <c r="AC1265" s="42"/>
      <c r="AD1265" s="113"/>
      <c r="AE1265" s="113"/>
      <c r="AF1265" s="143" t="s">
        <v>64</v>
      </c>
      <c r="AG1265" s="144"/>
      <c r="AH1265" s="143" t="s">
        <v>110</v>
      </c>
      <c r="AI1265" s="144"/>
      <c r="AJ1265" s="42"/>
      <c r="AK1265" s="42"/>
      <c r="AL1265" s="42"/>
      <c r="AM1265" s="42"/>
      <c r="AN1265" s="42"/>
      <c r="AO1265" s="42"/>
      <c r="AQ1265" s="113"/>
      <c r="AR1265" s="113"/>
      <c r="AS1265" s="143" t="s">
        <v>64</v>
      </c>
      <c r="AT1265" s="144"/>
      <c r="AU1265" s="143" t="s">
        <v>110</v>
      </c>
      <c r="AV1265" s="144"/>
      <c r="AW1265" s="42"/>
      <c r="AX1265" s="42"/>
      <c r="AY1265" s="42"/>
      <c r="AZ1265" s="42"/>
      <c r="BA1265" s="42"/>
      <c r="BB1265" s="42"/>
      <c r="BC1265" s="42"/>
      <c r="BD1265" s="113"/>
      <c r="BE1265" s="113"/>
      <c r="BF1265" s="143" t="s">
        <v>64</v>
      </c>
      <c r="BG1265" s="144"/>
      <c r="BH1265" s="143" t="s">
        <v>110</v>
      </c>
      <c r="BI1265" s="144"/>
      <c r="BJ1265" s="42"/>
      <c r="BK1265" s="42"/>
      <c r="BL1265" s="42"/>
      <c r="BM1265" s="42"/>
      <c r="BN1265" s="42"/>
      <c r="BO1265" s="42"/>
      <c r="BQ1265" s="113"/>
      <c r="BR1265" s="113"/>
      <c r="BS1265" s="143" t="s">
        <v>64</v>
      </c>
      <c r="BT1265" s="144"/>
      <c r="BU1265" s="143" t="s">
        <v>110</v>
      </c>
      <c r="BV1265" s="144"/>
      <c r="BW1265" s="42"/>
      <c r="BX1265" s="42"/>
      <c r="BY1265" s="42"/>
      <c r="BZ1265" s="42"/>
      <c r="CA1265" s="42"/>
      <c r="CB1265" s="42"/>
      <c r="CC1265" s="42"/>
      <c r="CD1265" s="113"/>
      <c r="CE1265" s="113"/>
      <c r="CF1265" s="143" t="s">
        <v>64</v>
      </c>
      <c r="CG1265" s="144"/>
      <c r="CH1265" s="143" t="s">
        <v>110</v>
      </c>
      <c r="CI1265" s="144"/>
      <c r="CJ1265" s="42"/>
      <c r="CK1265" s="42"/>
      <c r="CL1265" s="42"/>
      <c r="CM1265" s="42"/>
      <c r="CN1265" s="42"/>
      <c r="CO1265" s="42"/>
      <c r="CQ1265" s="113"/>
      <c r="CR1265" s="113"/>
      <c r="CS1265" s="143" t="s">
        <v>64</v>
      </c>
      <c r="CT1265" s="144"/>
      <c r="CU1265" s="143" t="s">
        <v>110</v>
      </c>
      <c r="CV1265" s="144"/>
      <c r="CW1265" s="42"/>
      <c r="CX1265" s="42"/>
      <c r="CY1265" s="42"/>
      <c r="CZ1265" s="42"/>
      <c r="DA1265" s="42"/>
      <c r="DB1265" s="42"/>
      <c r="DC1265" s="42"/>
      <c r="DD1265" s="113"/>
      <c r="DE1265" s="113"/>
      <c r="DF1265" s="143" t="s">
        <v>64</v>
      </c>
      <c r="DG1265" s="144"/>
      <c r="DH1265" s="143" t="s">
        <v>110</v>
      </c>
      <c r="DI1265" s="144"/>
      <c r="DJ1265" s="42"/>
      <c r="DK1265" s="42"/>
      <c r="DL1265" s="42"/>
      <c r="DM1265" s="42"/>
      <c r="DN1265" s="42"/>
      <c r="DO1265" s="42"/>
    </row>
    <row r="1266" spans="2:119" ht="15.4" customHeight="1" x14ac:dyDescent="0.45">
      <c r="B1266" s="134" t="s">
        <v>62</v>
      </c>
      <c r="C1266" s="42"/>
      <c r="D1266" s="109" t="s">
        <v>13</v>
      </c>
      <c r="E1266" s="46" t="s">
        <v>1</v>
      </c>
      <c r="F1266" s="141">
        <v>15</v>
      </c>
      <c r="G1266" s="142"/>
      <c r="H1266" s="141">
        <v>2674</v>
      </c>
      <c r="I1266" s="142"/>
      <c r="J1266" s="42"/>
      <c r="K1266" s="42"/>
      <c r="L1266" s="42"/>
      <c r="M1266" s="42"/>
      <c r="N1266" s="42"/>
      <c r="O1266" s="42"/>
      <c r="P1266" s="42"/>
      <c r="Q1266" s="109" t="s">
        <v>13</v>
      </c>
      <c r="R1266" s="46" t="s">
        <v>1</v>
      </c>
      <c r="S1266" s="141">
        <v>8</v>
      </c>
      <c r="T1266" s="142"/>
      <c r="U1266" s="141">
        <v>925</v>
      </c>
      <c r="V1266" s="142"/>
      <c r="W1266" s="42"/>
      <c r="X1266" s="42"/>
      <c r="Y1266" s="42"/>
      <c r="Z1266" s="42"/>
      <c r="AA1266" s="42"/>
      <c r="AB1266" s="42"/>
      <c r="AC1266" s="42"/>
      <c r="AD1266" s="109" t="s">
        <v>13</v>
      </c>
      <c r="AE1266" s="46" t="s">
        <v>1</v>
      </c>
      <c r="AF1266" s="141">
        <v>7</v>
      </c>
      <c r="AG1266" s="142"/>
      <c r="AH1266" s="141">
        <v>1749</v>
      </c>
      <c r="AI1266" s="142"/>
      <c r="AJ1266" s="42"/>
      <c r="AK1266" s="42"/>
      <c r="AL1266" s="42"/>
      <c r="AM1266" s="42"/>
      <c r="AN1266" s="42"/>
      <c r="AO1266" s="42"/>
      <c r="AQ1266" s="109" t="s">
        <v>13</v>
      </c>
      <c r="AR1266" s="46" t="s">
        <v>1</v>
      </c>
      <c r="AS1266" s="141">
        <v>4</v>
      </c>
      <c r="AT1266" s="142"/>
      <c r="AU1266" s="141">
        <v>1412</v>
      </c>
      <c r="AV1266" s="142"/>
      <c r="AW1266" s="42"/>
      <c r="AX1266" s="42"/>
      <c r="AY1266" s="42"/>
      <c r="AZ1266" s="42"/>
      <c r="BA1266" s="42"/>
      <c r="BB1266" s="42"/>
      <c r="BC1266" s="42"/>
      <c r="BD1266" s="109" t="s">
        <v>13</v>
      </c>
      <c r="BE1266" s="46" t="s">
        <v>1</v>
      </c>
      <c r="BF1266" s="141">
        <v>11</v>
      </c>
      <c r="BG1266" s="142"/>
      <c r="BH1266" s="141">
        <v>1262</v>
      </c>
      <c r="BI1266" s="142"/>
      <c r="BJ1266" s="42"/>
      <c r="BK1266" s="42"/>
      <c r="BL1266" s="42"/>
      <c r="BM1266" s="42"/>
      <c r="BN1266" s="42"/>
      <c r="BO1266" s="42"/>
      <c r="BQ1266" s="109" t="s">
        <v>13</v>
      </c>
      <c r="BR1266" s="46" t="s">
        <v>1</v>
      </c>
      <c r="BS1266" s="141">
        <v>5</v>
      </c>
      <c r="BT1266" s="142"/>
      <c r="BU1266" s="141">
        <v>2626</v>
      </c>
      <c r="BV1266" s="142"/>
      <c r="BW1266" s="42"/>
      <c r="BX1266" s="42"/>
      <c r="BY1266" s="42"/>
      <c r="BZ1266" s="42"/>
      <c r="CA1266" s="42"/>
      <c r="CB1266" s="42"/>
      <c r="CC1266" s="42"/>
      <c r="CD1266" s="109" t="s">
        <v>13</v>
      </c>
      <c r="CE1266" s="46" t="s">
        <v>1</v>
      </c>
      <c r="CF1266" s="141">
        <v>10</v>
      </c>
      <c r="CG1266" s="142"/>
      <c r="CH1266" s="141">
        <v>48</v>
      </c>
      <c r="CI1266" s="142"/>
      <c r="CJ1266" s="42"/>
      <c r="CK1266" s="42"/>
      <c r="CL1266" s="42"/>
      <c r="CM1266" s="42"/>
      <c r="CN1266" s="42"/>
      <c r="CO1266" s="42"/>
      <c r="CQ1266" s="109" t="s">
        <v>13</v>
      </c>
      <c r="CR1266" s="46" t="s">
        <v>1</v>
      </c>
      <c r="CS1266" s="141">
        <v>12</v>
      </c>
      <c r="CT1266" s="142"/>
      <c r="CU1266" s="141">
        <v>632</v>
      </c>
      <c r="CV1266" s="142"/>
      <c r="CW1266" s="42"/>
      <c r="CX1266" s="42"/>
      <c r="CY1266" s="42"/>
      <c r="CZ1266" s="42"/>
      <c r="DA1266" s="42"/>
      <c r="DB1266" s="42"/>
      <c r="DC1266" s="42"/>
      <c r="DD1266" s="109" t="s">
        <v>13</v>
      </c>
      <c r="DE1266" s="46" t="s">
        <v>1</v>
      </c>
      <c r="DF1266" s="141">
        <v>3</v>
      </c>
      <c r="DG1266" s="142"/>
      <c r="DH1266" s="141">
        <v>2042</v>
      </c>
      <c r="DI1266" s="142"/>
      <c r="DJ1266" s="42"/>
      <c r="DK1266" s="42"/>
      <c r="DL1266" s="42"/>
      <c r="DM1266" s="42"/>
      <c r="DN1266" s="42"/>
      <c r="DO1266" s="42"/>
    </row>
    <row r="1267" spans="2:119" ht="15.4" x14ac:dyDescent="0.45">
      <c r="B1267" s="134"/>
      <c r="C1267" s="42"/>
      <c r="D1267" s="110"/>
      <c r="E1267" s="46" t="s">
        <v>56</v>
      </c>
      <c r="F1267" s="141">
        <v>28</v>
      </c>
      <c r="G1267" s="142"/>
      <c r="H1267" s="141">
        <v>2085</v>
      </c>
      <c r="I1267" s="142"/>
      <c r="J1267" s="42"/>
      <c r="K1267" s="42"/>
      <c r="L1267" s="42"/>
      <c r="M1267" s="42"/>
      <c r="N1267" s="42"/>
      <c r="O1267" s="42"/>
      <c r="P1267" s="42"/>
      <c r="Q1267" s="110"/>
      <c r="R1267" s="46" t="s">
        <v>56</v>
      </c>
      <c r="S1267" s="141">
        <v>16</v>
      </c>
      <c r="T1267" s="142"/>
      <c r="U1267" s="141">
        <v>742</v>
      </c>
      <c r="V1267" s="142"/>
      <c r="W1267" s="42"/>
      <c r="X1267" s="42"/>
      <c r="Y1267" s="42"/>
      <c r="Z1267" s="42"/>
      <c r="AA1267" s="42"/>
      <c r="AB1267" s="42"/>
      <c r="AC1267" s="42"/>
      <c r="AD1267" s="110"/>
      <c r="AE1267" s="46" t="s">
        <v>56</v>
      </c>
      <c r="AF1267" s="141">
        <v>12</v>
      </c>
      <c r="AG1267" s="142"/>
      <c r="AH1267" s="141">
        <v>1343</v>
      </c>
      <c r="AI1267" s="142"/>
      <c r="AJ1267" s="42"/>
      <c r="AK1267" s="42"/>
      <c r="AL1267" s="42"/>
      <c r="AM1267" s="42"/>
      <c r="AN1267" s="42"/>
      <c r="AO1267" s="42"/>
      <c r="AQ1267" s="110"/>
      <c r="AR1267" s="46" t="s">
        <v>56</v>
      </c>
      <c r="AS1267" s="141">
        <v>7</v>
      </c>
      <c r="AT1267" s="142"/>
      <c r="AU1267" s="141">
        <v>1114</v>
      </c>
      <c r="AV1267" s="142"/>
      <c r="AW1267" s="42"/>
      <c r="AX1267" s="42"/>
      <c r="AY1267" s="42"/>
      <c r="AZ1267" s="42"/>
      <c r="BA1267" s="42"/>
      <c r="BB1267" s="42"/>
      <c r="BC1267" s="42"/>
      <c r="BD1267" s="110"/>
      <c r="BE1267" s="46" t="s">
        <v>56</v>
      </c>
      <c r="BF1267" s="141">
        <v>21</v>
      </c>
      <c r="BG1267" s="142"/>
      <c r="BH1267" s="141">
        <v>971</v>
      </c>
      <c r="BI1267" s="142"/>
      <c r="BJ1267" s="42"/>
      <c r="BK1267" s="42"/>
      <c r="BL1267" s="42"/>
      <c r="BM1267" s="42"/>
      <c r="BN1267" s="42"/>
      <c r="BO1267" s="42"/>
      <c r="BQ1267" s="110"/>
      <c r="BR1267" s="46" t="s">
        <v>56</v>
      </c>
      <c r="BS1267" s="141">
        <v>1</v>
      </c>
      <c r="BT1267" s="142"/>
      <c r="BU1267" s="141">
        <v>1974</v>
      </c>
      <c r="BV1267" s="142"/>
      <c r="BW1267" s="42"/>
      <c r="BX1267" s="42"/>
      <c r="BY1267" s="42"/>
      <c r="BZ1267" s="42"/>
      <c r="CA1267" s="42"/>
      <c r="CB1267" s="42"/>
      <c r="CC1267" s="42"/>
      <c r="CD1267" s="110"/>
      <c r="CE1267" s="46" t="s">
        <v>56</v>
      </c>
      <c r="CF1267" s="141">
        <v>27</v>
      </c>
      <c r="CG1267" s="142"/>
      <c r="CH1267" s="141">
        <v>111</v>
      </c>
      <c r="CI1267" s="142"/>
      <c r="CJ1267" s="42"/>
      <c r="CK1267" s="42"/>
      <c r="CL1267" s="42"/>
      <c r="CM1267" s="42"/>
      <c r="CN1267" s="42"/>
      <c r="CO1267" s="42"/>
      <c r="CQ1267" s="110"/>
      <c r="CR1267" s="46" t="s">
        <v>56</v>
      </c>
      <c r="CS1267" s="141">
        <v>28</v>
      </c>
      <c r="CT1267" s="142"/>
      <c r="CU1267" s="141">
        <v>408</v>
      </c>
      <c r="CV1267" s="142"/>
      <c r="CW1267" s="42"/>
      <c r="CX1267" s="42"/>
      <c r="CY1267" s="42"/>
      <c r="CZ1267" s="42"/>
      <c r="DA1267" s="42"/>
      <c r="DB1267" s="42"/>
      <c r="DC1267" s="42"/>
      <c r="DD1267" s="110"/>
      <c r="DE1267" s="46" t="s">
        <v>56</v>
      </c>
      <c r="DF1267" s="141">
        <v>0</v>
      </c>
      <c r="DG1267" s="142"/>
      <c r="DH1267" s="141">
        <v>1677</v>
      </c>
      <c r="DI1267" s="142"/>
      <c r="DJ1267" s="42"/>
      <c r="DK1267" s="42"/>
      <c r="DL1267" s="42"/>
      <c r="DM1267" s="42"/>
      <c r="DN1267" s="42"/>
      <c r="DO1267" s="42"/>
    </row>
    <row r="1268" spans="2:119" ht="15.4" x14ac:dyDescent="0.45">
      <c r="B1268" s="134"/>
      <c r="C1268" s="42"/>
      <c r="D1268" s="110"/>
      <c r="E1268" s="46" t="s">
        <v>2</v>
      </c>
      <c r="F1268" s="141">
        <v>466</v>
      </c>
      <c r="G1268" s="142"/>
      <c r="H1268" s="141">
        <v>13919</v>
      </c>
      <c r="I1268" s="142"/>
      <c r="J1268" s="42"/>
      <c r="K1268" s="42"/>
      <c r="L1268" s="42"/>
      <c r="M1268" s="42"/>
      <c r="N1268" s="42"/>
      <c r="O1268" s="42"/>
      <c r="P1268" s="42"/>
      <c r="Q1268" s="110"/>
      <c r="R1268" s="46" t="s">
        <v>2</v>
      </c>
      <c r="S1268" s="141">
        <v>195</v>
      </c>
      <c r="T1268" s="142"/>
      <c r="U1268" s="141">
        <v>5622</v>
      </c>
      <c r="V1268" s="142"/>
      <c r="W1268" s="42"/>
      <c r="X1268" s="42"/>
      <c r="Y1268" s="42"/>
      <c r="Z1268" s="42"/>
      <c r="AA1268" s="42"/>
      <c r="AB1268" s="42"/>
      <c r="AC1268" s="42"/>
      <c r="AD1268" s="110"/>
      <c r="AE1268" s="46" t="s">
        <v>2</v>
      </c>
      <c r="AF1268" s="141">
        <v>271</v>
      </c>
      <c r="AG1268" s="142"/>
      <c r="AH1268" s="141">
        <v>8297</v>
      </c>
      <c r="AI1268" s="142"/>
      <c r="AJ1268" s="42"/>
      <c r="AK1268" s="42"/>
      <c r="AL1268" s="42"/>
      <c r="AM1268" s="42"/>
      <c r="AN1268" s="42"/>
      <c r="AO1268" s="42"/>
      <c r="AQ1268" s="110"/>
      <c r="AR1268" s="46" t="s">
        <v>2</v>
      </c>
      <c r="AS1268" s="141">
        <v>159</v>
      </c>
      <c r="AT1268" s="142"/>
      <c r="AU1268" s="141">
        <v>7525</v>
      </c>
      <c r="AV1268" s="142"/>
      <c r="AW1268" s="42"/>
      <c r="AX1268" s="42"/>
      <c r="AY1268" s="42"/>
      <c r="AZ1268" s="42"/>
      <c r="BA1268" s="42"/>
      <c r="BB1268" s="42"/>
      <c r="BC1268" s="42"/>
      <c r="BD1268" s="110"/>
      <c r="BE1268" s="46" t="s">
        <v>2</v>
      </c>
      <c r="BF1268" s="141">
        <v>307</v>
      </c>
      <c r="BG1268" s="142"/>
      <c r="BH1268" s="141">
        <v>6394</v>
      </c>
      <c r="BI1268" s="142"/>
      <c r="BJ1268" s="42"/>
      <c r="BK1268" s="42"/>
      <c r="BL1268" s="42"/>
      <c r="BM1268" s="42"/>
      <c r="BN1268" s="42"/>
      <c r="BO1268" s="42"/>
      <c r="BQ1268" s="110"/>
      <c r="BR1268" s="46" t="s">
        <v>2</v>
      </c>
      <c r="BS1268" s="141">
        <v>139</v>
      </c>
      <c r="BT1268" s="142"/>
      <c r="BU1268" s="141">
        <v>10909</v>
      </c>
      <c r="BV1268" s="142"/>
      <c r="BW1268" s="42"/>
      <c r="BX1268" s="42"/>
      <c r="BY1268" s="42"/>
      <c r="BZ1268" s="42"/>
      <c r="CA1268" s="42"/>
      <c r="CB1268" s="42"/>
      <c r="CC1268" s="42"/>
      <c r="CD1268" s="110"/>
      <c r="CE1268" s="46" t="s">
        <v>2</v>
      </c>
      <c r="CF1268" s="141">
        <v>327</v>
      </c>
      <c r="CG1268" s="142"/>
      <c r="CH1268" s="141">
        <v>3010</v>
      </c>
      <c r="CI1268" s="142"/>
      <c r="CJ1268" s="42"/>
      <c r="CK1268" s="42"/>
      <c r="CL1268" s="42"/>
      <c r="CM1268" s="42"/>
      <c r="CN1268" s="42"/>
      <c r="CO1268" s="42"/>
      <c r="CQ1268" s="110"/>
      <c r="CR1268" s="46" t="s">
        <v>2</v>
      </c>
      <c r="CS1268" s="141">
        <v>342</v>
      </c>
      <c r="CT1268" s="142"/>
      <c r="CU1268" s="141">
        <v>3008</v>
      </c>
      <c r="CV1268" s="142"/>
      <c r="CW1268" s="42"/>
      <c r="CX1268" s="42"/>
      <c r="CY1268" s="42"/>
      <c r="CZ1268" s="42"/>
      <c r="DA1268" s="42"/>
      <c r="DB1268" s="42"/>
      <c r="DC1268" s="42"/>
      <c r="DD1268" s="110"/>
      <c r="DE1268" s="46" t="s">
        <v>2</v>
      </c>
      <c r="DF1268" s="141">
        <v>124</v>
      </c>
      <c r="DG1268" s="142"/>
      <c r="DH1268" s="141">
        <v>10911</v>
      </c>
      <c r="DI1268" s="142"/>
      <c r="DJ1268" s="42"/>
      <c r="DK1268" s="42"/>
      <c r="DL1268" s="42"/>
      <c r="DM1268" s="42"/>
      <c r="DN1268" s="42"/>
      <c r="DO1268" s="42"/>
    </row>
    <row r="1269" spans="2:119" ht="15.4" x14ac:dyDescent="0.45">
      <c r="B1269" s="134"/>
      <c r="C1269" s="42"/>
      <c r="D1269" s="110"/>
      <c r="E1269" s="46" t="s">
        <v>3</v>
      </c>
      <c r="F1269" s="141">
        <v>458</v>
      </c>
      <c r="G1269" s="142"/>
      <c r="H1269" s="141">
        <v>7591</v>
      </c>
      <c r="I1269" s="142"/>
      <c r="J1269" s="42"/>
      <c r="K1269" s="42"/>
      <c r="L1269" s="42"/>
      <c r="M1269" s="42"/>
      <c r="N1269" s="42"/>
      <c r="O1269" s="42"/>
      <c r="P1269" s="42"/>
      <c r="Q1269" s="110"/>
      <c r="R1269" s="46" t="s">
        <v>3</v>
      </c>
      <c r="S1269" s="141">
        <v>181</v>
      </c>
      <c r="T1269" s="142"/>
      <c r="U1269" s="141">
        <v>3346</v>
      </c>
      <c r="V1269" s="142"/>
      <c r="W1269" s="42"/>
      <c r="X1269" s="42"/>
      <c r="Y1269" s="42"/>
      <c r="Z1269" s="42"/>
      <c r="AA1269" s="42"/>
      <c r="AB1269" s="42"/>
      <c r="AC1269" s="42"/>
      <c r="AD1269" s="110"/>
      <c r="AE1269" s="46" t="s">
        <v>3</v>
      </c>
      <c r="AF1269" s="141">
        <v>277</v>
      </c>
      <c r="AG1269" s="142"/>
      <c r="AH1269" s="141">
        <v>4245</v>
      </c>
      <c r="AI1269" s="142"/>
      <c r="AJ1269" s="42"/>
      <c r="AK1269" s="42"/>
      <c r="AL1269" s="42"/>
      <c r="AM1269" s="42"/>
      <c r="AN1269" s="42"/>
      <c r="AO1269" s="42"/>
      <c r="AQ1269" s="110"/>
      <c r="AR1269" s="46" t="s">
        <v>3</v>
      </c>
      <c r="AS1269" s="141">
        <v>154</v>
      </c>
      <c r="AT1269" s="142"/>
      <c r="AU1269" s="141">
        <v>3741</v>
      </c>
      <c r="AV1269" s="142"/>
      <c r="AW1269" s="42"/>
      <c r="AX1269" s="42"/>
      <c r="AY1269" s="42"/>
      <c r="AZ1269" s="42"/>
      <c r="BA1269" s="42"/>
      <c r="BB1269" s="42"/>
      <c r="BC1269" s="42"/>
      <c r="BD1269" s="110"/>
      <c r="BE1269" s="46" t="s">
        <v>3</v>
      </c>
      <c r="BF1269" s="141">
        <v>304</v>
      </c>
      <c r="BG1269" s="142"/>
      <c r="BH1269" s="141">
        <v>3850</v>
      </c>
      <c r="BI1269" s="142"/>
      <c r="BJ1269" s="42"/>
      <c r="BK1269" s="42"/>
      <c r="BL1269" s="42"/>
      <c r="BM1269" s="42"/>
      <c r="BN1269" s="42"/>
      <c r="BO1269" s="42"/>
      <c r="BQ1269" s="110"/>
      <c r="BR1269" s="46" t="s">
        <v>3</v>
      </c>
      <c r="BS1269" s="141">
        <v>200</v>
      </c>
      <c r="BT1269" s="142"/>
      <c r="BU1269" s="141">
        <v>4508</v>
      </c>
      <c r="BV1269" s="142"/>
      <c r="BW1269" s="42"/>
      <c r="BX1269" s="42"/>
      <c r="BY1269" s="42"/>
      <c r="BZ1269" s="42"/>
      <c r="CA1269" s="42"/>
      <c r="CB1269" s="42"/>
      <c r="CC1269" s="42"/>
      <c r="CD1269" s="110"/>
      <c r="CE1269" s="46" t="s">
        <v>3</v>
      </c>
      <c r="CF1269" s="141">
        <v>258</v>
      </c>
      <c r="CG1269" s="142"/>
      <c r="CH1269" s="141">
        <v>3083</v>
      </c>
      <c r="CI1269" s="142"/>
      <c r="CJ1269" s="42"/>
      <c r="CK1269" s="42"/>
      <c r="CL1269" s="42"/>
      <c r="CM1269" s="42"/>
      <c r="CN1269" s="42"/>
      <c r="CO1269" s="42"/>
      <c r="CQ1269" s="110"/>
      <c r="CR1269" s="46" t="s">
        <v>3</v>
      </c>
      <c r="CS1269" s="141">
        <v>232</v>
      </c>
      <c r="CT1269" s="142"/>
      <c r="CU1269" s="141">
        <v>1392</v>
      </c>
      <c r="CV1269" s="142"/>
      <c r="CW1269" s="42"/>
      <c r="CX1269" s="42"/>
      <c r="CY1269" s="42"/>
      <c r="CZ1269" s="42"/>
      <c r="DA1269" s="42"/>
      <c r="DB1269" s="42"/>
      <c r="DC1269" s="42"/>
      <c r="DD1269" s="110"/>
      <c r="DE1269" s="46" t="s">
        <v>3</v>
      </c>
      <c r="DF1269" s="141">
        <v>226</v>
      </c>
      <c r="DG1269" s="142"/>
      <c r="DH1269" s="141">
        <v>6199</v>
      </c>
      <c r="DI1269" s="142"/>
      <c r="DJ1269" s="42"/>
      <c r="DK1269" s="42"/>
      <c r="DL1269" s="42"/>
      <c r="DM1269" s="42"/>
      <c r="DN1269" s="42"/>
      <c r="DO1269" s="42"/>
    </row>
    <row r="1270" spans="2:119" ht="15.4" x14ac:dyDescent="0.45">
      <c r="B1270" s="134"/>
      <c r="C1270" s="42"/>
      <c r="D1270" s="110"/>
      <c r="E1270" s="46" t="s">
        <v>4</v>
      </c>
      <c r="F1270" s="141">
        <v>1070</v>
      </c>
      <c r="G1270" s="142"/>
      <c r="H1270" s="141">
        <v>11115</v>
      </c>
      <c r="I1270" s="142"/>
      <c r="J1270" s="42"/>
      <c r="K1270" s="42"/>
      <c r="L1270" s="42"/>
      <c r="M1270" s="42"/>
      <c r="N1270" s="42"/>
      <c r="O1270" s="42"/>
      <c r="P1270" s="42"/>
      <c r="Q1270" s="110"/>
      <c r="R1270" s="46" t="s">
        <v>4</v>
      </c>
      <c r="S1270" s="141">
        <v>524</v>
      </c>
      <c r="T1270" s="142"/>
      <c r="U1270" s="141">
        <v>5082</v>
      </c>
      <c r="V1270" s="142"/>
      <c r="W1270" s="42"/>
      <c r="X1270" s="42"/>
      <c r="Y1270" s="42"/>
      <c r="Z1270" s="42"/>
      <c r="AA1270" s="42"/>
      <c r="AB1270" s="42"/>
      <c r="AC1270" s="42"/>
      <c r="AD1270" s="110"/>
      <c r="AE1270" s="46" t="s">
        <v>4</v>
      </c>
      <c r="AF1270" s="141">
        <v>546</v>
      </c>
      <c r="AG1270" s="142"/>
      <c r="AH1270" s="141">
        <v>6033</v>
      </c>
      <c r="AI1270" s="142"/>
      <c r="AJ1270" s="42"/>
      <c r="AK1270" s="42"/>
      <c r="AL1270" s="42"/>
      <c r="AM1270" s="42"/>
      <c r="AN1270" s="42"/>
      <c r="AO1270" s="42"/>
      <c r="AQ1270" s="110"/>
      <c r="AR1270" s="46" t="s">
        <v>4</v>
      </c>
      <c r="AS1270" s="141">
        <v>354</v>
      </c>
      <c r="AT1270" s="142"/>
      <c r="AU1270" s="141">
        <v>5269</v>
      </c>
      <c r="AV1270" s="142"/>
      <c r="AW1270" s="42"/>
      <c r="AX1270" s="42"/>
      <c r="AY1270" s="42"/>
      <c r="AZ1270" s="42"/>
      <c r="BA1270" s="42"/>
      <c r="BB1270" s="42"/>
      <c r="BC1270" s="42"/>
      <c r="BD1270" s="110"/>
      <c r="BE1270" s="46" t="s">
        <v>4</v>
      </c>
      <c r="BF1270" s="141">
        <v>716</v>
      </c>
      <c r="BG1270" s="142"/>
      <c r="BH1270" s="141">
        <v>5846</v>
      </c>
      <c r="BI1270" s="142"/>
      <c r="BJ1270" s="42"/>
      <c r="BK1270" s="42"/>
      <c r="BL1270" s="42"/>
      <c r="BM1270" s="42"/>
      <c r="BN1270" s="42"/>
      <c r="BO1270" s="42"/>
      <c r="BQ1270" s="110"/>
      <c r="BR1270" s="46" t="s">
        <v>4</v>
      </c>
      <c r="BS1270" s="141">
        <v>358</v>
      </c>
      <c r="BT1270" s="142"/>
      <c r="BU1270" s="141">
        <v>5288</v>
      </c>
      <c r="BV1270" s="142"/>
      <c r="BW1270" s="42"/>
      <c r="BX1270" s="42"/>
      <c r="BY1270" s="42"/>
      <c r="BZ1270" s="42"/>
      <c r="CA1270" s="42"/>
      <c r="CB1270" s="42"/>
      <c r="CC1270" s="42"/>
      <c r="CD1270" s="110"/>
      <c r="CE1270" s="46" t="s">
        <v>4</v>
      </c>
      <c r="CF1270" s="141">
        <v>712</v>
      </c>
      <c r="CG1270" s="142"/>
      <c r="CH1270" s="141">
        <v>5827</v>
      </c>
      <c r="CI1270" s="142"/>
      <c r="CJ1270" s="42"/>
      <c r="CK1270" s="42"/>
      <c r="CL1270" s="42"/>
      <c r="CM1270" s="42"/>
      <c r="CN1270" s="42"/>
      <c r="CO1270" s="42"/>
      <c r="CQ1270" s="110"/>
      <c r="CR1270" s="46" t="s">
        <v>4</v>
      </c>
      <c r="CS1270" s="141">
        <v>456</v>
      </c>
      <c r="CT1270" s="142"/>
      <c r="CU1270" s="141">
        <v>1867</v>
      </c>
      <c r="CV1270" s="142"/>
      <c r="CW1270" s="42"/>
      <c r="CX1270" s="42"/>
      <c r="CY1270" s="42"/>
      <c r="CZ1270" s="42"/>
      <c r="DA1270" s="42"/>
      <c r="DB1270" s="42"/>
      <c r="DC1270" s="42"/>
      <c r="DD1270" s="110"/>
      <c r="DE1270" s="46" t="s">
        <v>4</v>
      </c>
      <c r="DF1270" s="141">
        <v>614</v>
      </c>
      <c r="DG1270" s="142"/>
      <c r="DH1270" s="141">
        <v>9248</v>
      </c>
      <c r="DI1270" s="142"/>
      <c r="DJ1270" s="42"/>
      <c r="DK1270" s="42"/>
      <c r="DL1270" s="42"/>
      <c r="DM1270" s="42"/>
      <c r="DN1270" s="42"/>
      <c r="DO1270" s="42"/>
    </row>
    <row r="1271" spans="2:119" ht="15.4" x14ac:dyDescent="0.45">
      <c r="B1271" s="134"/>
      <c r="C1271" s="42"/>
      <c r="D1271" s="110"/>
      <c r="E1271" s="46" t="s">
        <v>5</v>
      </c>
      <c r="F1271" s="141">
        <v>2987</v>
      </c>
      <c r="G1271" s="142"/>
      <c r="H1271" s="141">
        <v>18367</v>
      </c>
      <c r="I1271" s="142"/>
      <c r="J1271" s="42"/>
      <c r="K1271" s="42"/>
      <c r="L1271" s="42"/>
      <c r="M1271" s="42"/>
      <c r="N1271" s="42"/>
      <c r="O1271" s="42"/>
      <c r="P1271" s="42"/>
      <c r="Q1271" s="110"/>
      <c r="R1271" s="46" t="s">
        <v>5</v>
      </c>
      <c r="S1271" s="141">
        <v>1590</v>
      </c>
      <c r="T1271" s="142"/>
      <c r="U1271" s="141">
        <v>8881</v>
      </c>
      <c r="V1271" s="142"/>
      <c r="W1271" s="42"/>
      <c r="X1271" s="42"/>
      <c r="Y1271" s="42"/>
      <c r="Z1271" s="42"/>
      <c r="AA1271" s="42"/>
      <c r="AB1271" s="42"/>
      <c r="AC1271" s="42"/>
      <c r="AD1271" s="110"/>
      <c r="AE1271" s="46" t="s">
        <v>5</v>
      </c>
      <c r="AF1271" s="141">
        <v>1397</v>
      </c>
      <c r="AG1271" s="142"/>
      <c r="AH1271" s="141">
        <v>9486</v>
      </c>
      <c r="AI1271" s="142"/>
      <c r="AJ1271" s="42"/>
      <c r="AK1271" s="42"/>
      <c r="AL1271" s="42"/>
      <c r="AM1271" s="42"/>
      <c r="AN1271" s="42"/>
      <c r="AO1271" s="42"/>
      <c r="AQ1271" s="110"/>
      <c r="AR1271" s="46" t="s">
        <v>5</v>
      </c>
      <c r="AS1271" s="141">
        <v>825</v>
      </c>
      <c r="AT1271" s="142"/>
      <c r="AU1271" s="141">
        <v>7944</v>
      </c>
      <c r="AV1271" s="142"/>
      <c r="AW1271" s="42"/>
      <c r="AX1271" s="42"/>
      <c r="AY1271" s="42"/>
      <c r="AZ1271" s="42"/>
      <c r="BA1271" s="42"/>
      <c r="BB1271" s="42"/>
      <c r="BC1271" s="42"/>
      <c r="BD1271" s="110"/>
      <c r="BE1271" s="46" t="s">
        <v>5</v>
      </c>
      <c r="BF1271" s="141">
        <v>2162</v>
      </c>
      <c r="BG1271" s="142"/>
      <c r="BH1271" s="141">
        <v>10423</v>
      </c>
      <c r="BI1271" s="142"/>
      <c r="BJ1271" s="42"/>
      <c r="BK1271" s="42"/>
      <c r="BL1271" s="42"/>
      <c r="BM1271" s="42"/>
      <c r="BN1271" s="42"/>
      <c r="BO1271" s="42"/>
      <c r="BQ1271" s="110"/>
      <c r="BR1271" s="46" t="s">
        <v>5</v>
      </c>
      <c r="BS1271" s="141">
        <v>695</v>
      </c>
      <c r="BT1271" s="142"/>
      <c r="BU1271" s="141">
        <v>6365</v>
      </c>
      <c r="BV1271" s="142"/>
      <c r="BW1271" s="42"/>
      <c r="BX1271" s="42"/>
      <c r="BY1271" s="42"/>
      <c r="BZ1271" s="42"/>
      <c r="CA1271" s="42"/>
      <c r="CB1271" s="42"/>
      <c r="CC1271" s="42"/>
      <c r="CD1271" s="110"/>
      <c r="CE1271" s="46" t="s">
        <v>5</v>
      </c>
      <c r="CF1271" s="141">
        <v>2292</v>
      </c>
      <c r="CG1271" s="142"/>
      <c r="CH1271" s="141">
        <v>12002</v>
      </c>
      <c r="CI1271" s="142"/>
      <c r="CJ1271" s="42"/>
      <c r="CK1271" s="42"/>
      <c r="CL1271" s="42"/>
      <c r="CM1271" s="42"/>
      <c r="CN1271" s="42"/>
      <c r="CO1271" s="42"/>
      <c r="CQ1271" s="110"/>
      <c r="CR1271" s="46" t="s">
        <v>5</v>
      </c>
      <c r="CS1271" s="141">
        <v>944</v>
      </c>
      <c r="CT1271" s="142"/>
      <c r="CU1271" s="141">
        <v>2608</v>
      </c>
      <c r="CV1271" s="142"/>
      <c r="CW1271" s="42"/>
      <c r="CX1271" s="42"/>
      <c r="CY1271" s="42"/>
      <c r="CZ1271" s="42"/>
      <c r="DA1271" s="42"/>
      <c r="DB1271" s="42"/>
      <c r="DC1271" s="42"/>
      <c r="DD1271" s="110"/>
      <c r="DE1271" s="46" t="s">
        <v>5</v>
      </c>
      <c r="DF1271" s="141">
        <v>2043</v>
      </c>
      <c r="DG1271" s="142"/>
      <c r="DH1271" s="141">
        <v>15759</v>
      </c>
      <c r="DI1271" s="142"/>
      <c r="DJ1271" s="42"/>
      <c r="DK1271" s="42"/>
      <c r="DL1271" s="42"/>
      <c r="DM1271" s="42"/>
      <c r="DN1271" s="42"/>
      <c r="DO1271" s="42"/>
    </row>
    <row r="1272" spans="2:119" ht="15.4" x14ac:dyDescent="0.45">
      <c r="B1272" s="134"/>
      <c r="C1272" s="42"/>
      <c r="D1272" s="110"/>
      <c r="E1272" s="46" t="s">
        <v>6</v>
      </c>
      <c r="F1272" s="141">
        <v>11785</v>
      </c>
      <c r="G1272" s="142"/>
      <c r="H1272" s="141">
        <v>32370</v>
      </c>
      <c r="I1272" s="142"/>
      <c r="J1272" s="42"/>
      <c r="K1272" s="42"/>
      <c r="L1272" s="42"/>
      <c r="M1272" s="42"/>
      <c r="N1272" s="42"/>
      <c r="O1272" s="42"/>
      <c r="P1272" s="42"/>
      <c r="Q1272" s="110"/>
      <c r="R1272" s="46" t="s">
        <v>6</v>
      </c>
      <c r="S1272" s="141">
        <v>6459</v>
      </c>
      <c r="T1272" s="142"/>
      <c r="U1272" s="141">
        <v>15411</v>
      </c>
      <c r="V1272" s="142"/>
      <c r="W1272" s="42"/>
      <c r="X1272" s="42"/>
      <c r="Y1272" s="42"/>
      <c r="Z1272" s="42"/>
      <c r="AA1272" s="42"/>
      <c r="AB1272" s="42"/>
      <c r="AC1272" s="42"/>
      <c r="AD1272" s="110"/>
      <c r="AE1272" s="46" t="s">
        <v>6</v>
      </c>
      <c r="AF1272" s="141">
        <v>5326</v>
      </c>
      <c r="AG1272" s="142"/>
      <c r="AH1272" s="141">
        <v>16959</v>
      </c>
      <c r="AI1272" s="142"/>
      <c r="AJ1272" s="42"/>
      <c r="AK1272" s="42"/>
      <c r="AL1272" s="42"/>
      <c r="AM1272" s="42"/>
      <c r="AN1272" s="42"/>
      <c r="AO1272" s="42"/>
      <c r="AQ1272" s="110"/>
      <c r="AR1272" s="46" t="s">
        <v>6</v>
      </c>
      <c r="AS1272" s="141">
        <v>3134</v>
      </c>
      <c r="AT1272" s="142"/>
      <c r="AU1272" s="141">
        <v>13393</v>
      </c>
      <c r="AV1272" s="142"/>
      <c r="AW1272" s="42"/>
      <c r="AX1272" s="42"/>
      <c r="AY1272" s="42"/>
      <c r="AZ1272" s="42"/>
      <c r="BA1272" s="42"/>
      <c r="BB1272" s="42"/>
      <c r="BC1272" s="42"/>
      <c r="BD1272" s="110"/>
      <c r="BE1272" s="46" t="s">
        <v>6</v>
      </c>
      <c r="BF1272" s="141">
        <v>8651</v>
      </c>
      <c r="BG1272" s="142"/>
      <c r="BH1272" s="141">
        <v>18977</v>
      </c>
      <c r="BI1272" s="142"/>
      <c r="BJ1272" s="42"/>
      <c r="BK1272" s="42"/>
      <c r="BL1272" s="42"/>
      <c r="BM1272" s="42"/>
      <c r="BN1272" s="42"/>
      <c r="BO1272" s="42"/>
      <c r="BQ1272" s="110"/>
      <c r="BR1272" s="46" t="s">
        <v>6</v>
      </c>
      <c r="BS1272" s="141">
        <v>1681</v>
      </c>
      <c r="BT1272" s="142"/>
      <c r="BU1272" s="141">
        <v>7795</v>
      </c>
      <c r="BV1272" s="142"/>
      <c r="BW1272" s="42"/>
      <c r="BX1272" s="42"/>
      <c r="BY1272" s="42"/>
      <c r="BZ1272" s="42"/>
      <c r="CA1272" s="42"/>
      <c r="CB1272" s="42"/>
      <c r="CC1272" s="42"/>
      <c r="CD1272" s="110"/>
      <c r="CE1272" s="46" t="s">
        <v>6</v>
      </c>
      <c r="CF1272" s="141">
        <v>10104</v>
      </c>
      <c r="CG1272" s="142"/>
      <c r="CH1272" s="141">
        <v>24575</v>
      </c>
      <c r="CI1272" s="142"/>
      <c r="CJ1272" s="42"/>
      <c r="CK1272" s="42"/>
      <c r="CL1272" s="42"/>
      <c r="CM1272" s="42"/>
      <c r="CN1272" s="42"/>
      <c r="CO1272" s="42"/>
      <c r="CQ1272" s="110"/>
      <c r="CR1272" s="46" t="s">
        <v>6</v>
      </c>
      <c r="CS1272" s="141">
        <v>2832</v>
      </c>
      <c r="CT1272" s="142"/>
      <c r="CU1272" s="141">
        <v>4150</v>
      </c>
      <c r="CV1272" s="142"/>
      <c r="CW1272" s="42"/>
      <c r="CX1272" s="42"/>
      <c r="CY1272" s="42"/>
      <c r="CZ1272" s="42"/>
      <c r="DA1272" s="42"/>
      <c r="DB1272" s="42"/>
      <c r="DC1272" s="42"/>
      <c r="DD1272" s="110"/>
      <c r="DE1272" s="46" t="s">
        <v>6</v>
      </c>
      <c r="DF1272" s="141">
        <v>8953</v>
      </c>
      <c r="DG1272" s="142"/>
      <c r="DH1272" s="141">
        <v>28220</v>
      </c>
      <c r="DI1272" s="142"/>
      <c r="DJ1272" s="42"/>
      <c r="DK1272" s="42"/>
      <c r="DL1272" s="42"/>
      <c r="DM1272" s="42"/>
      <c r="DN1272" s="42"/>
      <c r="DO1272" s="42"/>
    </row>
    <row r="1273" spans="2:119" ht="15.4" x14ac:dyDescent="0.45">
      <c r="B1273" s="134"/>
      <c r="C1273" s="42"/>
      <c r="D1273" s="110"/>
      <c r="E1273" s="46" t="s">
        <v>7</v>
      </c>
      <c r="F1273" s="141">
        <v>37591</v>
      </c>
      <c r="G1273" s="142"/>
      <c r="H1273" s="141">
        <v>42484</v>
      </c>
      <c r="I1273" s="142"/>
      <c r="J1273" s="42"/>
      <c r="K1273" s="42"/>
      <c r="L1273" s="42"/>
      <c r="M1273" s="42"/>
      <c r="N1273" s="42"/>
      <c r="O1273" s="42"/>
      <c r="P1273" s="42"/>
      <c r="Q1273" s="110"/>
      <c r="R1273" s="46" t="s">
        <v>7</v>
      </c>
      <c r="S1273" s="141">
        <v>20613</v>
      </c>
      <c r="T1273" s="142"/>
      <c r="U1273" s="141">
        <v>19516</v>
      </c>
      <c r="V1273" s="142"/>
      <c r="W1273" s="42"/>
      <c r="X1273" s="42"/>
      <c r="Y1273" s="42"/>
      <c r="Z1273" s="42"/>
      <c r="AA1273" s="42"/>
      <c r="AB1273" s="42"/>
      <c r="AC1273" s="42"/>
      <c r="AD1273" s="110"/>
      <c r="AE1273" s="46" t="s">
        <v>7</v>
      </c>
      <c r="AF1273" s="141">
        <v>16978</v>
      </c>
      <c r="AG1273" s="142"/>
      <c r="AH1273" s="141">
        <v>22968</v>
      </c>
      <c r="AI1273" s="142"/>
      <c r="AJ1273" s="42"/>
      <c r="AK1273" s="42"/>
      <c r="AL1273" s="42"/>
      <c r="AM1273" s="42"/>
      <c r="AN1273" s="42"/>
      <c r="AO1273" s="42"/>
      <c r="AQ1273" s="110"/>
      <c r="AR1273" s="46" t="s">
        <v>7</v>
      </c>
      <c r="AS1273" s="141">
        <v>9312</v>
      </c>
      <c r="AT1273" s="142"/>
      <c r="AU1273" s="141">
        <v>17127</v>
      </c>
      <c r="AV1273" s="142"/>
      <c r="AW1273" s="42"/>
      <c r="AX1273" s="42"/>
      <c r="AY1273" s="42"/>
      <c r="AZ1273" s="42"/>
      <c r="BA1273" s="42"/>
      <c r="BB1273" s="42"/>
      <c r="BC1273" s="42"/>
      <c r="BD1273" s="110"/>
      <c r="BE1273" s="46" t="s">
        <v>7</v>
      </c>
      <c r="BF1273" s="141">
        <v>28279</v>
      </c>
      <c r="BG1273" s="142"/>
      <c r="BH1273" s="141">
        <v>25357</v>
      </c>
      <c r="BI1273" s="142"/>
      <c r="BJ1273" s="42"/>
      <c r="BK1273" s="42"/>
      <c r="BL1273" s="42"/>
      <c r="BM1273" s="42"/>
      <c r="BN1273" s="42"/>
      <c r="BO1273" s="42"/>
      <c r="BQ1273" s="110"/>
      <c r="BR1273" s="46" t="s">
        <v>7</v>
      </c>
      <c r="BS1273" s="141">
        <v>3352</v>
      </c>
      <c r="BT1273" s="142"/>
      <c r="BU1273" s="141">
        <v>7664</v>
      </c>
      <c r="BV1273" s="142"/>
      <c r="BW1273" s="42"/>
      <c r="BX1273" s="42"/>
      <c r="BY1273" s="42"/>
      <c r="BZ1273" s="42"/>
      <c r="CA1273" s="42"/>
      <c r="CB1273" s="42"/>
      <c r="CC1273" s="42"/>
      <c r="CD1273" s="110"/>
      <c r="CE1273" s="46" t="s">
        <v>7</v>
      </c>
      <c r="CF1273" s="141">
        <v>34239</v>
      </c>
      <c r="CG1273" s="142"/>
      <c r="CH1273" s="141">
        <v>34820</v>
      </c>
      <c r="CI1273" s="142"/>
      <c r="CJ1273" s="42"/>
      <c r="CK1273" s="42"/>
      <c r="CL1273" s="42"/>
      <c r="CM1273" s="42"/>
      <c r="CN1273" s="42"/>
      <c r="CO1273" s="42"/>
      <c r="CQ1273" s="110"/>
      <c r="CR1273" s="46" t="s">
        <v>7</v>
      </c>
      <c r="CS1273" s="141">
        <v>7226</v>
      </c>
      <c r="CT1273" s="142"/>
      <c r="CU1273" s="141">
        <v>4789</v>
      </c>
      <c r="CV1273" s="142"/>
      <c r="CW1273" s="42"/>
      <c r="CX1273" s="42"/>
      <c r="CY1273" s="42"/>
      <c r="CZ1273" s="42"/>
      <c r="DA1273" s="42"/>
      <c r="DB1273" s="42"/>
      <c r="DC1273" s="42"/>
      <c r="DD1273" s="110"/>
      <c r="DE1273" s="46" t="s">
        <v>7</v>
      </c>
      <c r="DF1273" s="141">
        <v>30365</v>
      </c>
      <c r="DG1273" s="142"/>
      <c r="DH1273" s="141">
        <v>37695</v>
      </c>
      <c r="DI1273" s="142"/>
      <c r="DJ1273" s="42"/>
      <c r="DK1273" s="42"/>
      <c r="DL1273" s="42"/>
      <c r="DM1273" s="42"/>
      <c r="DN1273" s="42"/>
      <c r="DO1273" s="42"/>
    </row>
    <row r="1274" spans="2:119" ht="15.4" x14ac:dyDescent="0.45">
      <c r="B1274" s="134"/>
      <c r="C1274" s="42"/>
      <c r="D1274" s="110"/>
      <c r="E1274" s="46" t="s">
        <v>8</v>
      </c>
      <c r="F1274" s="141">
        <v>72654</v>
      </c>
      <c r="G1274" s="142"/>
      <c r="H1274" s="141">
        <v>31241</v>
      </c>
      <c r="I1274" s="142"/>
      <c r="J1274" s="42"/>
      <c r="K1274" s="42"/>
      <c r="L1274" s="42"/>
      <c r="M1274" s="42"/>
      <c r="N1274" s="42"/>
      <c r="O1274" s="42"/>
      <c r="P1274" s="42"/>
      <c r="Q1274" s="110"/>
      <c r="R1274" s="46" t="s">
        <v>8</v>
      </c>
      <c r="S1274" s="141">
        <v>39610</v>
      </c>
      <c r="T1274" s="142"/>
      <c r="U1274" s="141">
        <v>13267</v>
      </c>
      <c r="V1274" s="142"/>
      <c r="W1274" s="42"/>
      <c r="X1274" s="42"/>
      <c r="Y1274" s="42"/>
      <c r="Z1274" s="42"/>
      <c r="AA1274" s="42"/>
      <c r="AB1274" s="42"/>
      <c r="AC1274" s="42"/>
      <c r="AD1274" s="110"/>
      <c r="AE1274" s="46" t="s">
        <v>8</v>
      </c>
      <c r="AF1274" s="141">
        <v>33044</v>
      </c>
      <c r="AG1274" s="142"/>
      <c r="AH1274" s="141">
        <v>17974</v>
      </c>
      <c r="AI1274" s="142"/>
      <c r="AJ1274" s="42"/>
      <c r="AK1274" s="42"/>
      <c r="AL1274" s="42"/>
      <c r="AM1274" s="42"/>
      <c r="AN1274" s="42"/>
      <c r="AO1274" s="42"/>
      <c r="AQ1274" s="110"/>
      <c r="AR1274" s="46" t="s">
        <v>8</v>
      </c>
      <c r="AS1274" s="141">
        <v>16091</v>
      </c>
      <c r="AT1274" s="142"/>
      <c r="AU1274" s="141">
        <v>12269</v>
      </c>
      <c r="AV1274" s="142"/>
      <c r="AW1274" s="42"/>
      <c r="AX1274" s="42"/>
      <c r="AY1274" s="42"/>
      <c r="AZ1274" s="42"/>
      <c r="BA1274" s="42"/>
      <c r="BB1274" s="42"/>
      <c r="BC1274" s="42"/>
      <c r="BD1274" s="110"/>
      <c r="BE1274" s="46" t="s">
        <v>8</v>
      </c>
      <c r="BF1274" s="141">
        <v>56563</v>
      </c>
      <c r="BG1274" s="142"/>
      <c r="BH1274" s="141">
        <v>18972</v>
      </c>
      <c r="BI1274" s="142"/>
      <c r="BJ1274" s="42"/>
      <c r="BK1274" s="42"/>
      <c r="BL1274" s="42"/>
      <c r="BM1274" s="42"/>
      <c r="BN1274" s="42"/>
      <c r="BO1274" s="42"/>
      <c r="BQ1274" s="110"/>
      <c r="BR1274" s="46" t="s">
        <v>8</v>
      </c>
      <c r="BS1274" s="141">
        <v>4495</v>
      </c>
      <c r="BT1274" s="142"/>
      <c r="BU1274" s="141">
        <v>4788</v>
      </c>
      <c r="BV1274" s="142"/>
      <c r="BW1274" s="42"/>
      <c r="BX1274" s="42"/>
      <c r="BY1274" s="42"/>
      <c r="BZ1274" s="42"/>
      <c r="CA1274" s="42"/>
      <c r="CB1274" s="42"/>
      <c r="CC1274" s="42"/>
      <c r="CD1274" s="110"/>
      <c r="CE1274" s="46" t="s">
        <v>8</v>
      </c>
      <c r="CF1274" s="141">
        <v>68159</v>
      </c>
      <c r="CG1274" s="142"/>
      <c r="CH1274" s="141">
        <v>26453</v>
      </c>
      <c r="CI1274" s="142"/>
      <c r="CJ1274" s="42"/>
      <c r="CK1274" s="42"/>
      <c r="CL1274" s="42"/>
      <c r="CM1274" s="42"/>
      <c r="CN1274" s="42"/>
      <c r="CO1274" s="42"/>
      <c r="CQ1274" s="110"/>
      <c r="CR1274" s="46" t="s">
        <v>8</v>
      </c>
      <c r="CS1274" s="141">
        <v>11068</v>
      </c>
      <c r="CT1274" s="142"/>
      <c r="CU1274" s="141">
        <v>3047</v>
      </c>
      <c r="CV1274" s="142"/>
      <c r="CW1274" s="42"/>
      <c r="CX1274" s="42"/>
      <c r="CY1274" s="42"/>
      <c r="CZ1274" s="42"/>
      <c r="DA1274" s="42"/>
      <c r="DB1274" s="42"/>
      <c r="DC1274" s="42"/>
      <c r="DD1274" s="110"/>
      <c r="DE1274" s="46" t="s">
        <v>8</v>
      </c>
      <c r="DF1274" s="141">
        <v>61586</v>
      </c>
      <c r="DG1274" s="142"/>
      <c r="DH1274" s="141">
        <v>28194</v>
      </c>
      <c r="DI1274" s="142"/>
      <c r="DJ1274" s="42"/>
      <c r="DK1274" s="42"/>
      <c r="DL1274" s="42"/>
      <c r="DM1274" s="42"/>
      <c r="DN1274" s="42"/>
      <c r="DO1274" s="42"/>
    </row>
    <row r="1275" spans="2:119" ht="15.4" x14ac:dyDescent="0.45">
      <c r="B1275" s="134"/>
      <c r="C1275" s="42"/>
      <c r="D1275" s="110"/>
      <c r="E1275" s="46" t="s">
        <v>9</v>
      </c>
      <c r="F1275" s="141">
        <v>94833</v>
      </c>
      <c r="G1275" s="142"/>
      <c r="H1275" s="141">
        <v>12905</v>
      </c>
      <c r="I1275" s="142"/>
      <c r="J1275" s="42"/>
      <c r="K1275" s="42"/>
      <c r="L1275" s="42"/>
      <c r="M1275" s="42"/>
      <c r="N1275" s="42"/>
      <c r="O1275" s="42"/>
      <c r="P1275" s="42"/>
      <c r="Q1275" s="110"/>
      <c r="R1275" s="46" t="s">
        <v>9</v>
      </c>
      <c r="S1275" s="141">
        <v>49270</v>
      </c>
      <c r="T1275" s="142"/>
      <c r="U1275" s="141">
        <v>4413</v>
      </c>
      <c r="V1275" s="142"/>
      <c r="W1275" s="42"/>
      <c r="X1275" s="42"/>
      <c r="Y1275" s="42"/>
      <c r="Z1275" s="42"/>
      <c r="AA1275" s="42"/>
      <c r="AB1275" s="42"/>
      <c r="AC1275" s="42"/>
      <c r="AD1275" s="110"/>
      <c r="AE1275" s="46" t="s">
        <v>9</v>
      </c>
      <c r="AF1275" s="141">
        <v>45563</v>
      </c>
      <c r="AG1275" s="142"/>
      <c r="AH1275" s="141">
        <v>8492</v>
      </c>
      <c r="AI1275" s="142"/>
      <c r="AJ1275" s="42"/>
      <c r="AK1275" s="42"/>
      <c r="AL1275" s="42"/>
      <c r="AM1275" s="42"/>
      <c r="AN1275" s="42"/>
      <c r="AO1275" s="42"/>
      <c r="AQ1275" s="110"/>
      <c r="AR1275" s="46" t="s">
        <v>9</v>
      </c>
      <c r="AS1275" s="141">
        <v>17748</v>
      </c>
      <c r="AT1275" s="142"/>
      <c r="AU1275" s="141">
        <v>4939</v>
      </c>
      <c r="AV1275" s="142"/>
      <c r="AW1275" s="42"/>
      <c r="AX1275" s="42"/>
      <c r="AY1275" s="42"/>
      <c r="AZ1275" s="42"/>
      <c r="BA1275" s="42"/>
      <c r="BB1275" s="42"/>
      <c r="BC1275" s="42"/>
      <c r="BD1275" s="110"/>
      <c r="BE1275" s="46" t="s">
        <v>9</v>
      </c>
      <c r="BF1275" s="141">
        <v>77085</v>
      </c>
      <c r="BG1275" s="142"/>
      <c r="BH1275" s="141">
        <v>7966</v>
      </c>
      <c r="BI1275" s="142"/>
      <c r="BJ1275" s="42"/>
      <c r="BK1275" s="42"/>
      <c r="BL1275" s="42"/>
      <c r="BM1275" s="42"/>
      <c r="BN1275" s="42"/>
      <c r="BO1275" s="42"/>
      <c r="BQ1275" s="110"/>
      <c r="BR1275" s="46" t="s">
        <v>9</v>
      </c>
      <c r="BS1275" s="141">
        <v>4682</v>
      </c>
      <c r="BT1275" s="142"/>
      <c r="BU1275" s="141">
        <v>1999</v>
      </c>
      <c r="BV1275" s="142"/>
      <c r="BW1275" s="42"/>
      <c r="BX1275" s="42"/>
      <c r="BY1275" s="42"/>
      <c r="BZ1275" s="42"/>
      <c r="CA1275" s="42"/>
      <c r="CB1275" s="42"/>
      <c r="CC1275" s="42"/>
      <c r="CD1275" s="110"/>
      <c r="CE1275" s="46" t="s">
        <v>9</v>
      </c>
      <c r="CF1275" s="141">
        <v>90151</v>
      </c>
      <c r="CG1275" s="142"/>
      <c r="CH1275" s="141">
        <v>10906</v>
      </c>
      <c r="CI1275" s="142"/>
      <c r="CJ1275" s="42"/>
      <c r="CK1275" s="42"/>
      <c r="CL1275" s="42"/>
      <c r="CM1275" s="42"/>
      <c r="CN1275" s="42"/>
      <c r="CO1275" s="42"/>
      <c r="CQ1275" s="110"/>
      <c r="CR1275" s="46" t="s">
        <v>9</v>
      </c>
      <c r="CS1275" s="141">
        <v>12518</v>
      </c>
      <c r="CT1275" s="142"/>
      <c r="CU1275" s="141">
        <v>1083</v>
      </c>
      <c r="CV1275" s="142"/>
      <c r="CW1275" s="42"/>
      <c r="CX1275" s="42"/>
      <c r="CY1275" s="42"/>
      <c r="CZ1275" s="42"/>
      <c r="DA1275" s="42"/>
      <c r="DB1275" s="42"/>
      <c r="DC1275" s="42"/>
      <c r="DD1275" s="110"/>
      <c r="DE1275" s="46" t="s">
        <v>9</v>
      </c>
      <c r="DF1275" s="141">
        <v>82315</v>
      </c>
      <c r="DG1275" s="142"/>
      <c r="DH1275" s="141">
        <v>11822</v>
      </c>
      <c r="DI1275" s="142"/>
      <c r="DJ1275" s="42"/>
      <c r="DK1275" s="42"/>
      <c r="DL1275" s="42"/>
      <c r="DM1275" s="42"/>
      <c r="DN1275" s="42"/>
      <c r="DO1275" s="42"/>
    </row>
    <row r="1276" spans="2:119" ht="15.4" x14ac:dyDescent="0.45">
      <c r="B1276" s="134"/>
      <c r="C1276" s="42"/>
      <c r="D1276" s="110"/>
      <c r="E1276" s="46" t="s">
        <v>10</v>
      </c>
      <c r="F1276" s="141">
        <v>90072</v>
      </c>
      <c r="G1276" s="142"/>
      <c r="H1276" s="141">
        <v>3084</v>
      </c>
      <c r="I1276" s="142"/>
      <c r="J1276" s="42"/>
      <c r="K1276" s="42"/>
      <c r="L1276" s="42"/>
      <c r="M1276" s="42"/>
      <c r="N1276" s="42"/>
      <c r="O1276" s="42"/>
      <c r="P1276" s="42"/>
      <c r="Q1276" s="110"/>
      <c r="R1276" s="46" t="s">
        <v>10</v>
      </c>
      <c r="S1276" s="141">
        <v>43943</v>
      </c>
      <c r="T1276" s="142"/>
      <c r="U1276" s="141">
        <v>781</v>
      </c>
      <c r="V1276" s="142"/>
      <c r="W1276" s="42"/>
      <c r="X1276" s="42"/>
      <c r="Y1276" s="42"/>
      <c r="Z1276" s="42"/>
      <c r="AA1276" s="42"/>
      <c r="AB1276" s="42"/>
      <c r="AC1276" s="42"/>
      <c r="AD1276" s="110"/>
      <c r="AE1276" s="46" t="s">
        <v>10</v>
      </c>
      <c r="AF1276" s="141">
        <v>46129</v>
      </c>
      <c r="AG1276" s="142"/>
      <c r="AH1276" s="141">
        <v>2303</v>
      </c>
      <c r="AI1276" s="142"/>
      <c r="AJ1276" s="42"/>
      <c r="AK1276" s="42"/>
      <c r="AL1276" s="42"/>
      <c r="AM1276" s="42"/>
      <c r="AN1276" s="42"/>
      <c r="AO1276" s="42"/>
      <c r="AQ1276" s="110"/>
      <c r="AR1276" s="46" t="s">
        <v>10</v>
      </c>
      <c r="AS1276" s="141">
        <v>12528</v>
      </c>
      <c r="AT1276" s="142"/>
      <c r="AU1276" s="141">
        <v>1149</v>
      </c>
      <c r="AV1276" s="142"/>
      <c r="AW1276" s="42"/>
      <c r="AX1276" s="42"/>
      <c r="AY1276" s="42"/>
      <c r="AZ1276" s="42"/>
      <c r="BA1276" s="42"/>
      <c r="BB1276" s="42"/>
      <c r="BC1276" s="42"/>
      <c r="BD1276" s="110"/>
      <c r="BE1276" s="46" t="s">
        <v>10</v>
      </c>
      <c r="BF1276" s="141">
        <v>77544</v>
      </c>
      <c r="BG1276" s="142"/>
      <c r="BH1276" s="141">
        <v>1935</v>
      </c>
      <c r="BI1276" s="142"/>
      <c r="BJ1276" s="42"/>
      <c r="BK1276" s="42"/>
      <c r="BL1276" s="42"/>
      <c r="BM1276" s="42"/>
      <c r="BN1276" s="42"/>
      <c r="BO1276" s="42"/>
      <c r="BQ1276" s="110"/>
      <c r="BR1276" s="46" t="s">
        <v>10</v>
      </c>
      <c r="BS1276" s="141">
        <v>3495</v>
      </c>
      <c r="BT1276" s="142"/>
      <c r="BU1276" s="141">
        <v>508</v>
      </c>
      <c r="BV1276" s="142"/>
      <c r="BW1276" s="42"/>
      <c r="BX1276" s="42"/>
      <c r="BY1276" s="42"/>
      <c r="BZ1276" s="42"/>
      <c r="CA1276" s="42"/>
      <c r="CB1276" s="42"/>
      <c r="CC1276" s="42"/>
      <c r="CD1276" s="110"/>
      <c r="CE1276" s="46" t="s">
        <v>10</v>
      </c>
      <c r="CF1276" s="141">
        <v>86577</v>
      </c>
      <c r="CG1276" s="142"/>
      <c r="CH1276" s="141">
        <v>2576</v>
      </c>
      <c r="CI1276" s="142"/>
      <c r="CJ1276" s="42"/>
      <c r="CK1276" s="42"/>
      <c r="CL1276" s="42"/>
      <c r="CM1276" s="42"/>
      <c r="CN1276" s="42"/>
      <c r="CO1276" s="42"/>
      <c r="CQ1276" s="110"/>
      <c r="CR1276" s="46" t="s">
        <v>10</v>
      </c>
      <c r="CS1276" s="141">
        <v>11337</v>
      </c>
      <c r="CT1276" s="142"/>
      <c r="CU1276" s="141">
        <v>206</v>
      </c>
      <c r="CV1276" s="142"/>
      <c r="CW1276" s="42"/>
      <c r="CX1276" s="42"/>
      <c r="CY1276" s="42"/>
      <c r="CZ1276" s="42"/>
      <c r="DA1276" s="42"/>
      <c r="DB1276" s="42"/>
      <c r="DC1276" s="42"/>
      <c r="DD1276" s="110"/>
      <c r="DE1276" s="46" t="s">
        <v>10</v>
      </c>
      <c r="DF1276" s="141">
        <v>78735</v>
      </c>
      <c r="DG1276" s="142"/>
      <c r="DH1276" s="141">
        <v>2878</v>
      </c>
      <c r="DI1276" s="142"/>
      <c r="DJ1276" s="42"/>
      <c r="DK1276" s="42"/>
      <c r="DL1276" s="42"/>
      <c r="DM1276" s="42"/>
      <c r="DN1276" s="42"/>
      <c r="DO1276" s="42"/>
    </row>
    <row r="1277" spans="2:119" ht="15.4" x14ac:dyDescent="0.45">
      <c r="B1277" s="134"/>
      <c r="C1277" s="42"/>
      <c r="D1277" s="111"/>
      <c r="E1277" s="46" t="s">
        <v>11</v>
      </c>
      <c r="F1277" s="141">
        <v>22451</v>
      </c>
      <c r="G1277" s="142"/>
      <c r="H1277" s="141">
        <v>152</v>
      </c>
      <c r="I1277" s="142"/>
      <c r="J1277" s="42"/>
      <c r="K1277" s="42"/>
      <c r="L1277" s="42"/>
      <c r="M1277" s="42"/>
      <c r="N1277" s="42"/>
      <c r="O1277" s="42"/>
      <c r="P1277" s="42"/>
      <c r="Q1277" s="111"/>
      <c r="R1277" s="46" t="s">
        <v>11</v>
      </c>
      <c r="S1277" s="141">
        <v>11124</v>
      </c>
      <c r="T1277" s="142"/>
      <c r="U1277" s="141">
        <v>31</v>
      </c>
      <c r="V1277" s="142"/>
      <c r="W1277" s="42"/>
      <c r="X1277" s="42"/>
      <c r="Y1277" s="42"/>
      <c r="Z1277" s="42"/>
      <c r="AA1277" s="42"/>
      <c r="AB1277" s="42"/>
      <c r="AC1277" s="42"/>
      <c r="AD1277" s="111"/>
      <c r="AE1277" s="46" t="s">
        <v>11</v>
      </c>
      <c r="AF1277" s="141">
        <v>11327</v>
      </c>
      <c r="AG1277" s="142"/>
      <c r="AH1277" s="141">
        <v>121</v>
      </c>
      <c r="AI1277" s="142"/>
      <c r="AJ1277" s="42"/>
      <c r="AK1277" s="42"/>
      <c r="AL1277" s="42"/>
      <c r="AM1277" s="42"/>
      <c r="AN1277" s="42"/>
      <c r="AO1277" s="42"/>
      <c r="AQ1277" s="111"/>
      <c r="AR1277" s="46" t="s">
        <v>11</v>
      </c>
      <c r="AS1277" s="141">
        <v>1895</v>
      </c>
      <c r="AT1277" s="142"/>
      <c r="AU1277" s="141">
        <v>50</v>
      </c>
      <c r="AV1277" s="142"/>
      <c r="AW1277" s="42"/>
      <c r="AX1277" s="42"/>
      <c r="AY1277" s="42"/>
      <c r="AZ1277" s="42"/>
      <c r="BA1277" s="42"/>
      <c r="BB1277" s="42"/>
      <c r="BC1277" s="42"/>
      <c r="BD1277" s="111"/>
      <c r="BE1277" s="46" t="s">
        <v>11</v>
      </c>
      <c r="BF1277" s="141">
        <v>20556</v>
      </c>
      <c r="BG1277" s="142"/>
      <c r="BH1277" s="141">
        <v>102</v>
      </c>
      <c r="BI1277" s="142"/>
      <c r="BJ1277" s="42"/>
      <c r="BK1277" s="42"/>
      <c r="BL1277" s="42"/>
      <c r="BM1277" s="42"/>
      <c r="BN1277" s="42"/>
      <c r="BO1277" s="42"/>
      <c r="BQ1277" s="111"/>
      <c r="BR1277" s="46" t="s">
        <v>11</v>
      </c>
      <c r="BS1277" s="141">
        <v>697</v>
      </c>
      <c r="BT1277" s="142"/>
      <c r="BU1277" s="141">
        <v>40</v>
      </c>
      <c r="BV1277" s="142"/>
      <c r="BW1277" s="42"/>
      <c r="BX1277" s="42"/>
      <c r="BY1277" s="42"/>
      <c r="BZ1277" s="42"/>
      <c r="CA1277" s="42"/>
      <c r="CB1277" s="42"/>
      <c r="CC1277" s="42"/>
      <c r="CD1277" s="111"/>
      <c r="CE1277" s="46" t="s">
        <v>11</v>
      </c>
      <c r="CF1277" s="141">
        <v>21754</v>
      </c>
      <c r="CG1277" s="142"/>
      <c r="CH1277" s="141">
        <v>112</v>
      </c>
      <c r="CI1277" s="142"/>
      <c r="CJ1277" s="42"/>
      <c r="CK1277" s="42"/>
      <c r="CL1277" s="42"/>
      <c r="CM1277" s="42"/>
      <c r="CN1277" s="42"/>
      <c r="CO1277" s="42"/>
      <c r="CQ1277" s="111"/>
      <c r="CR1277" s="46" t="s">
        <v>11</v>
      </c>
      <c r="CS1277" s="141">
        <v>2525</v>
      </c>
      <c r="CT1277" s="142"/>
      <c r="CU1277" s="141">
        <v>9</v>
      </c>
      <c r="CV1277" s="142"/>
      <c r="CW1277" s="42"/>
      <c r="CX1277" s="42"/>
      <c r="CY1277" s="42"/>
      <c r="CZ1277" s="42"/>
      <c r="DA1277" s="42"/>
      <c r="DB1277" s="42"/>
      <c r="DC1277" s="42"/>
      <c r="DD1277" s="111"/>
      <c r="DE1277" s="46" t="s">
        <v>11</v>
      </c>
      <c r="DF1277" s="141">
        <v>19926</v>
      </c>
      <c r="DG1277" s="142"/>
      <c r="DH1277" s="141">
        <v>143</v>
      </c>
      <c r="DI1277" s="142"/>
      <c r="DJ1277" s="42"/>
      <c r="DK1277" s="42"/>
      <c r="DL1277" s="42"/>
      <c r="DM1277" s="42"/>
      <c r="DN1277" s="42"/>
      <c r="DO1277" s="42"/>
    </row>
    <row r="1278" spans="2:119" ht="15.75" x14ac:dyDescent="0.5">
      <c r="B1278" s="99"/>
      <c r="C1278" s="42"/>
      <c r="D1278" s="42"/>
      <c r="E1278" s="50"/>
      <c r="F1278" s="42"/>
      <c r="G1278" s="42"/>
      <c r="H1278" s="42"/>
      <c r="I1278" s="42"/>
      <c r="J1278" s="42"/>
      <c r="K1278" s="42"/>
      <c r="L1278" s="42"/>
      <c r="M1278" s="42"/>
      <c r="N1278" s="42"/>
      <c r="O1278" s="42"/>
      <c r="P1278" s="42"/>
      <c r="Q1278" s="42"/>
      <c r="R1278" s="42"/>
      <c r="S1278" s="42"/>
      <c r="T1278" s="42"/>
      <c r="U1278" s="42"/>
      <c r="V1278" s="42"/>
      <c r="W1278" s="42"/>
      <c r="X1278" s="42"/>
      <c r="Y1278" s="42"/>
      <c r="Z1278" s="42"/>
      <c r="AA1278" s="42"/>
      <c r="AB1278" s="42"/>
      <c r="AC1278" s="42"/>
      <c r="AD1278" s="42"/>
      <c r="AE1278" s="42"/>
      <c r="AF1278" s="42"/>
      <c r="AG1278" s="42"/>
      <c r="AH1278" s="42"/>
      <c r="AI1278" s="42"/>
      <c r="AJ1278" s="42"/>
      <c r="AK1278" s="42"/>
      <c r="AL1278" s="42"/>
      <c r="AM1278" s="42"/>
      <c r="AN1278" s="42"/>
      <c r="AO1278" s="42"/>
      <c r="AQ1278" s="42"/>
      <c r="AR1278" s="42"/>
      <c r="AS1278" s="42"/>
      <c r="AT1278" s="42"/>
      <c r="AU1278" s="42"/>
      <c r="AV1278" s="42"/>
      <c r="AW1278" s="42"/>
      <c r="AX1278" s="42"/>
      <c r="AY1278" s="42"/>
      <c r="AZ1278" s="42"/>
      <c r="BA1278" s="42"/>
      <c r="BB1278" s="42"/>
      <c r="BC1278" s="42"/>
      <c r="BD1278" s="42"/>
      <c r="BE1278" s="42"/>
      <c r="BF1278" s="42"/>
      <c r="BG1278" s="42"/>
      <c r="BH1278" s="42"/>
      <c r="BI1278" s="42"/>
      <c r="BJ1278" s="42"/>
      <c r="BK1278" s="42"/>
      <c r="BL1278" s="42"/>
      <c r="BM1278" s="42"/>
      <c r="BN1278" s="42"/>
      <c r="BO1278" s="42"/>
      <c r="BQ1278" s="42"/>
      <c r="BR1278" s="42"/>
      <c r="BS1278" s="42"/>
      <c r="BT1278" s="42"/>
      <c r="BU1278" s="42"/>
      <c r="BV1278" s="42"/>
      <c r="BW1278" s="42"/>
      <c r="BX1278" s="42"/>
      <c r="BY1278" s="42"/>
      <c r="BZ1278" s="42"/>
      <c r="CA1278" s="42"/>
      <c r="CB1278" s="42"/>
      <c r="CC1278" s="42"/>
      <c r="CD1278" s="42"/>
      <c r="CE1278" s="42"/>
      <c r="CF1278" s="42"/>
      <c r="CG1278" s="42"/>
      <c r="CH1278" s="42"/>
      <c r="CI1278" s="42"/>
      <c r="CJ1278" s="42"/>
      <c r="CK1278" s="42"/>
      <c r="CL1278" s="42"/>
      <c r="CM1278" s="42"/>
      <c r="CN1278" s="42"/>
      <c r="CO1278" s="42"/>
      <c r="CQ1278" s="42"/>
      <c r="CR1278" s="42"/>
      <c r="CS1278" s="42"/>
      <c r="CT1278" s="42"/>
      <c r="CU1278" s="42"/>
      <c r="CV1278" s="42"/>
      <c r="CW1278" s="42"/>
      <c r="CX1278" s="42"/>
      <c r="CY1278" s="42"/>
      <c r="CZ1278" s="42"/>
      <c r="DA1278" s="42"/>
      <c r="DB1278" s="42"/>
      <c r="DC1278" s="42"/>
      <c r="DD1278" s="42"/>
      <c r="DE1278" s="42"/>
      <c r="DF1278" s="42"/>
      <c r="DG1278" s="42"/>
      <c r="DH1278" s="42"/>
      <c r="DI1278" s="42"/>
      <c r="DJ1278" s="42"/>
      <c r="DK1278" s="42"/>
      <c r="DL1278" s="42"/>
      <c r="DM1278" s="42"/>
      <c r="DN1278" s="42"/>
      <c r="DO1278" s="42"/>
    </row>
    <row r="1279" spans="2:119" ht="18.75" customHeight="1" x14ac:dyDescent="0.55000000000000004">
      <c r="B1279" s="99"/>
      <c r="C1279" s="42"/>
      <c r="D1279" s="112" t="s">
        <v>16</v>
      </c>
      <c r="E1279" s="112"/>
      <c r="F1279" s="45"/>
      <c r="G1279" s="45"/>
      <c r="H1279" s="42"/>
      <c r="I1279" s="42"/>
      <c r="J1279" s="42"/>
      <c r="K1279" s="42"/>
      <c r="L1279" s="42"/>
      <c r="M1279" s="42"/>
      <c r="N1279" s="42"/>
      <c r="O1279" s="42"/>
      <c r="P1279" s="42"/>
      <c r="Q1279" s="112" t="s">
        <v>16</v>
      </c>
      <c r="R1279" s="112"/>
      <c r="S1279" s="45"/>
      <c r="T1279" s="45"/>
      <c r="U1279" s="42"/>
      <c r="V1279" s="42"/>
      <c r="W1279" s="42"/>
      <c r="X1279" s="42"/>
      <c r="Y1279" s="42"/>
      <c r="Z1279" s="42"/>
      <c r="AA1279" s="42"/>
      <c r="AB1279" s="42"/>
      <c r="AC1279" s="42"/>
      <c r="AD1279" s="112" t="s">
        <v>16</v>
      </c>
      <c r="AE1279" s="112"/>
      <c r="AF1279" s="45"/>
      <c r="AG1279" s="45"/>
      <c r="AH1279" s="42"/>
      <c r="AI1279" s="42"/>
      <c r="AJ1279" s="42"/>
      <c r="AK1279" s="42"/>
      <c r="AL1279" s="42"/>
      <c r="AM1279" s="42"/>
      <c r="AN1279" s="42"/>
      <c r="AO1279" s="42"/>
      <c r="AQ1279" s="112" t="s">
        <v>16</v>
      </c>
      <c r="AR1279" s="112"/>
      <c r="AS1279" s="45"/>
      <c r="AT1279" s="45"/>
      <c r="AU1279" s="42"/>
      <c r="AV1279" s="42"/>
      <c r="AW1279" s="42"/>
      <c r="AX1279" s="42"/>
      <c r="AY1279" s="42"/>
      <c r="AZ1279" s="42"/>
      <c r="BA1279" s="42"/>
      <c r="BB1279" s="42"/>
      <c r="BC1279" s="42"/>
      <c r="BD1279" s="112" t="s">
        <v>16</v>
      </c>
      <c r="BE1279" s="112"/>
      <c r="BF1279" s="45"/>
      <c r="BG1279" s="45"/>
      <c r="BH1279" s="42"/>
      <c r="BI1279" s="42"/>
      <c r="BJ1279" s="42"/>
      <c r="BK1279" s="42"/>
      <c r="BL1279" s="42"/>
      <c r="BM1279" s="42"/>
      <c r="BN1279" s="42"/>
      <c r="BO1279" s="42"/>
      <c r="BQ1279" s="112" t="s">
        <v>16</v>
      </c>
      <c r="BR1279" s="112"/>
      <c r="BS1279" s="45"/>
      <c r="BT1279" s="45"/>
      <c r="BU1279" s="42"/>
      <c r="BV1279" s="42"/>
      <c r="BW1279" s="42"/>
      <c r="BX1279" s="42"/>
      <c r="BY1279" s="42"/>
      <c r="BZ1279" s="42"/>
      <c r="CA1279" s="42"/>
      <c r="CB1279" s="42"/>
      <c r="CC1279" s="42"/>
      <c r="CD1279" s="112" t="s">
        <v>16</v>
      </c>
      <c r="CE1279" s="112"/>
      <c r="CF1279" s="45"/>
      <c r="CG1279" s="45"/>
      <c r="CH1279" s="42"/>
      <c r="CI1279" s="42"/>
      <c r="CJ1279" s="42"/>
      <c r="CK1279" s="42"/>
      <c r="CL1279" s="42"/>
      <c r="CM1279" s="42"/>
      <c r="CN1279" s="42"/>
      <c r="CO1279" s="42"/>
      <c r="CQ1279" s="112" t="s">
        <v>16</v>
      </c>
      <c r="CR1279" s="112"/>
      <c r="CS1279" s="45"/>
      <c r="CT1279" s="45"/>
      <c r="CU1279" s="42"/>
      <c r="CV1279" s="42"/>
      <c r="CW1279" s="42"/>
      <c r="CX1279" s="42"/>
      <c r="CY1279" s="42"/>
      <c r="CZ1279" s="42"/>
      <c r="DA1279" s="42"/>
      <c r="DB1279" s="42"/>
      <c r="DC1279" s="42"/>
      <c r="DD1279" s="112" t="s">
        <v>16</v>
      </c>
      <c r="DE1279" s="112"/>
      <c r="DF1279" s="45"/>
      <c r="DG1279" s="45"/>
      <c r="DH1279" s="42"/>
      <c r="DI1279" s="42"/>
      <c r="DJ1279" s="42"/>
      <c r="DK1279" s="42"/>
      <c r="DL1279" s="42"/>
      <c r="DM1279" s="42"/>
      <c r="DN1279" s="42"/>
      <c r="DO1279" s="42"/>
    </row>
    <row r="1280" spans="2:119" ht="28.9" customHeight="1" x14ac:dyDescent="0.45">
      <c r="B1280" s="99"/>
      <c r="C1280" s="42"/>
      <c r="D1280" s="112"/>
      <c r="E1280" s="112"/>
      <c r="F1280" s="108" t="s">
        <v>58</v>
      </c>
      <c r="G1280" s="108"/>
      <c r="H1280" s="108"/>
      <c r="I1280" s="108"/>
      <c r="J1280" s="42"/>
      <c r="K1280" s="42"/>
      <c r="L1280" s="42"/>
      <c r="M1280" s="42"/>
      <c r="N1280" s="42"/>
      <c r="O1280" s="42"/>
      <c r="P1280" s="42"/>
      <c r="Q1280" s="112"/>
      <c r="R1280" s="112"/>
      <c r="S1280" s="108" t="s">
        <v>58</v>
      </c>
      <c r="T1280" s="108"/>
      <c r="U1280" s="108"/>
      <c r="V1280" s="108"/>
      <c r="W1280" s="42"/>
      <c r="X1280" s="42"/>
      <c r="Y1280" s="42"/>
      <c r="Z1280" s="42"/>
      <c r="AA1280" s="42"/>
      <c r="AB1280" s="42"/>
      <c r="AC1280" s="42"/>
      <c r="AD1280" s="112"/>
      <c r="AE1280" s="112"/>
      <c r="AF1280" s="108" t="s">
        <v>58</v>
      </c>
      <c r="AG1280" s="108"/>
      <c r="AH1280" s="108"/>
      <c r="AI1280" s="108"/>
      <c r="AJ1280" s="42"/>
      <c r="AK1280" s="42"/>
      <c r="AL1280" s="42"/>
      <c r="AM1280" s="42"/>
      <c r="AN1280" s="42"/>
      <c r="AO1280" s="42"/>
      <c r="AQ1280" s="112"/>
      <c r="AR1280" s="112"/>
      <c r="AS1280" s="108" t="s">
        <v>58</v>
      </c>
      <c r="AT1280" s="108"/>
      <c r="AU1280" s="108"/>
      <c r="AV1280" s="108"/>
      <c r="AW1280" s="42"/>
      <c r="AX1280" s="42"/>
      <c r="AY1280" s="42"/>
      <c r="AZ1280" s="42"/>
      <c r="BA1280" s="42"/>
      <c r="BB1280" s="42"/>
      <c r="BC1280" s="42"/>
      <c r="BD1280" s="112"/>
      <c r="BE1280" s="112"/>
      <c r="BF1280" s="108" t="s">
        <v>58</v>
      </c>
      <c r="BG1280" s="108"/>
      <c r="BH1280" s="108"/>
      <c r="BI1280" s="108"/>
      <c r="BJ1280" s="42"/>
      <c r="BK1280" s="42"/>
      <c r="BL1280" s="42"/>
      <c r="BM1280" s="42"/>
      <c r="BN1280" s="42"/>
      <c r="BO1280" s="42"/>
      <c r="BQ1280" s="112"/>
      <c r="BR1280" s="112"/>
      <c r="BS1280" s="108" t="s">
        <v>58</v>
      </c>
      <c r="BT1280" s="108"/>
      <c r="BU1280" s="108"/>
      <c r="BV1280" s="108"/>
      <c r="BW1280" s="42"/>
      <c r="BX1280" s="42"/>
      <c r="BY1280" s="42"/>
      <c r="BZ1280" s="42"/>
      <c r="CA1280" s="42"/>
      <c r="CB1280" s="42"/>
      <c r="CC1280" s="42"/>
      <c r="CD1280" s="112"/>
      <c r="CE1280" s="112"/>
      <c r="CF1280" s="108" t="s">
        <v>58</v>
      </c>
      <c r="CG1280" s="108"/>
      <c r="CH1280" s="108"/>
      <c r="CI1280" s="108"/>
      <c r="CJ1280" s="42"/>
      <c r="CK1280" s="42"/>
      <c r="CL1280" s="42"/>
      <c r="CM1280" s="42"/>
      <c r="CN1280" s="42"/>
      <c r="CO1280" s="42"/>
      <c r="CQ1280" s="112"/>
      <c r="CR1280" s="112"/>
      <c r="CS1280" s="108" t="s">
        <v>58</v>
      </c>
      <c r="CT1280" s="108"/>
      <c r="CU1280" s="108"/>
      <c r="CV1280" s="108"/>
      <c r="CW1280" s="42"/>
      <c r="CX1280" s="42"/>
      <c r="CY1280" s="42"/>
      <c r="CZ1280" s="42"/>
      <c r="DA1280" s="42"/>
      <c r="DB1280" s="42"/>
      <c r="DC1280" s="42"/>
      <c r="DD1280" s="112"/>
      <c r="DE1280" s="112"/>
      <c r="DF1280" s="108" t="s">
        <v>58</v>
      </c>
      <c r="DG1280" s="108"/>
      <c r="DH1280" s="108"/>
      <c r="DI1280" s="108"/>
      <c r="DJ1280" s="42"/>
      <c r="DK1280" s="42"/>
      <c r="DL1280" s="42"/>
      <c r="DM1280" s="42"/>
      <c r="DN1280" s="42"/>
      <c r="DO1280" s="42"/>
    </row>
    <row r="1281" spans="2:119" ht="15" customHeight="1" x14ac:dyDescent="0.45">
      <c r="B1281" s="99"/>
      <c r="C1281" s="42"/>
      <c r="D1281" s="113"/>
      <c r="E1281" s="113"/>
      <c r="F1281" s="143" t="s">
        <v>64</v>
      </c>
      <c r="G1281" s="144"/>
      <c r="H1281" s="143" t="s">
        <v>110</v>
      </c>
      <c r="I1281" s="144"/>
      <c r="J1281" s="42"/>
      <c r="K1281" s="42"/>
      <c r="L1281" s="42"/>
      <c r="M1281" s="42"/>
      <c r="N1281" s="42"/>
      <c r="O1281" s="42"/>
      <c r="P1281" s="42"/>
      <c r="Q1281" s="113"/>
      <c r="R1281" s="113"/>
      <c r="S1281" s="143" t="s">
        <v>64</v>
      </c>
      <c r="T1281" s="144"/>
      <c r="U1281" s="143" t="s">
        <v>110</v>
      </c>
      <c r="V1281" s="144"/>
      <c r="W1281" s="42"/>
      <c r="X1281" s="42"/>
      <c r="Y1281" s="42"/>
      <c r="Z1281" s="42"/>
      <c r="AA1281" s="42"/>
      <c r="AB1281" s="42"/>
      <c r="AC1281" s="42"/>
      <c r="AD1281" s="113"/>
      <c r="AE1281" s="113"/>
      <c r="AF1281" s="143" t="s">
        <v>64</v>
      </c>
      <c r="AG1281" s="144"/>
      <c r="AH1281" s="143" t="s">
        <v>110</v>
      </c>
      <c r="AI1281" s="144"/>
      <c r="AJ1281" s="42"/>
      <c r="AK1281" s="42"/>
      <c r="AL1281" s="42"/>
      <c r="AM1281" s="42"/>
      <c r="AN1281" s="42"/>
      <c r="AO1281" s="42"/>
      <c r="AQ1281" s="113"/>
      <c r="AR1281" s="113"/>
      <c r="AS1281" s="143" t="s">
        <v>64</v>
      </c>
      <c r="AT1281" s="144"/>
      <c r="AU1281" s="143" t="s">
        <v>110</v>
      </c>
      <c r="AV1281" s="144"/>
      <c r="AW1281" s="42"/>
      <c r="AX1281" s="42"/>
      <c r="AY1281" s="42"/>
      <c r="AZ1281" s="42"/>
      <c r="BA1281" s="42"/>
      <c r="BB1281" s="42"/>
      <c r="BC1281" s="42"/>
      <c r="BD1281" s="113"/>
      <c r="BE1281" s="113"/>
      <c r="BF1281" s="143" t="s">
        <v>64</v>
      </c>
      <c r="BG1281" s="144"/>
      <c r="BH1281" s="143" t="s">
        <v>110</v>
      </c>
      <c r="BI1281" s="144"/>
      <c r="BJ1281" s="42"/>
      <c r="BK1281" s="42"/>
      <c r="BL1281" s="42"/>
      <c r="BM1281" s="42"/>
      <c r="BN1281" s="42"/>
      <c r="BO1281" s="42"/>
      <c r="BQ1281" s="113"/>
      <c r="BR1281" s="113"/>
      <c r="BS1281" s="143" t="s">
        <v>64</v>
      </c>
      <c r="BT1281" s="144"/>
      <c r="BU1281" s="143" t="s">
        <v>110</v>
      </c>
      <c r="BV1281" s="144"/>
      <c r="BW1281" s="42"/>
      <c r="BX1281" s="42"/>
      <c r="BY1281" s="42"/>
      <c r="BZ1281" s="42"/>
      <c r="CA1281" s="42"/>
      <c r="CB1281" s="42"/>
      <c r="CC1281" s="42"/>
      <c r="CD1281" s="113"/>
      <c r="CE1281" s="113"/>
      <c r="CF1281" s="143" t="s">
        <v>64</v>
      </c>
      <c r="CG1281" s="144"/>
      <c r="CH1281" s="143" t="s">
        <v>110</v>
      </c>
      <c r="CI1281" s="144"/>
      <c r="CJ1281" s="42"/>
      <c r="CK1281" s="42"/>
      <c r="CL1281" s="42"/>
      <c r="CM1281" s="42"/>
      <c r="CN1281" s="42"/>
      <c r="CO1281" s="42"/>
      <c r="CQ1281" s="113"/>
      <c r="CR1281" s="113"/>
      <c r="CS1281" s="143" t="s">
        <v>64</v>
      </c>
      <c r="CT1281" s="144"/>
      <c r="CU1281" s="143" t="s">
        <v>110</v>
      </c>
      <c r="CV1281" s="144"/>
      <c r="CW1281" s="42"/>
      <c r="CX1281" s="42"/>
      <c r="CY1281" s="42"/>
      <c r="CZ1281" s="42"/>
      <c r="DA1281" s="42"/>
      <c r="DB1281" s="42"/>
      <c r="DC1281" s="42"/>
      <c r="DD1281" s="113"/>
      <c r="DE1281" s="113"/>
      <c r="DF1281" s="143" t="s">
        <v>64</v>
      </c>
      <c r="DG1281" s="144"/>
      <c r="DH1281" s="143" t="s">
        <v>110</v>
      </c>
      <c r="DI1281" s="144"/>
      <c r="DJ1281" s="42"/>
      <c r="DK1281" s="42"/>
      <c r="DL1281" s="42"/>
      <c r="DM1281" s="42"/>
      <c r="DN1281" s="42"/>
      <c r="DO1281" s="42"/>
    </row>
    <row r="1282" spans="2:119" ht="15.4" customHeight="1" x14ac:dyDescent="0.45">
      <c r="B1282" s="99"/>
      <c r="C1282" s="42"/>
      <c r="D1282" s="109" t="s">
        <v>13</v>
      </c>
      <c r="E1282" s="46" t="s">
        <v>1</v>
      </c>
      <c r="F1282" s="141">
        <v>0.55782818891781327</v>
      </c>
      <c r="G1282" s="142"/>
      <c r="H1282" s="141">
        <v>99.44217181108219</v>
      </c>
      <c r="I1282" s="142"/>
      <c r="J1282" s="42"/>
      <c r="K1282" s="42"/>
      <c r="L1282" s="42"/>
      <c r="M1282" s="42"/>
      <c r="N1282" s="42"/>
      <c r="O1282" s="42"/>
      <c r="P1282" s="42"/>
      <c r="Q1282" s="109" t="s">
        <v>13</v>
      </c>
      <c r="R1282" s="46" t="s">
        <v>1</v>
      </c>
      <c r="S1282" s="141">
        <v>0.857449088960343</v>
      </c>
      <c r="T1282" s="142"/>
      <c r="U1282" s="141">
        <v>99.142550911039663</v>
      </c>
      <c r="V1282" s="142"/>
      <c r="W1282" s="42"/>
      <c r="X1282" s="42"/>
      <c r="Y1282" s="42"/>
      <c r="Z1282" s="42"/>
      <c r="AA1282" s="42"/>
      <c r="AB1282" s="42"/>
      <c r="AC1282" s="42"/>
      <c r="AD1282" s="109" t="s">
        <v>13</v>
      </c>
      <c r="AE1282" s="46" t="s">
        <v>1</v>
      </c>
      <c r="AF1282" s="141">
        <v>0.39863325740318911</v>
      </c>
      <c r="AG1282" s="142"/>
      <c r="AH1282" s="141">
        <v>99.601366742596809</v>
      </c>
      <c r="AI1282" s="142"/>
      <c r="AJ1282" s="42"/>
      <c r="AK1282" s="42"/>
      <c r="AL1282" s="42"/>
      <c r="AM1282" s="42"/>
      <c r="AN1282" s="42"/>
      <c r="AO1282" s="42"/>
      <c r="AQ1282" s="109" t="s">
        <v>13</v>
      </c>
      <c r="AR1282" s="46" t="s">
        <v>1</v>
      </c>
      <c r="AS1282" s="141">
        <v>0.2824858757062147</v>
      </c>
      <c r="AT1282" s="142"/>
      <c r="AU1282" s="141">
        <v>99.717514124293785</v>
      </c>
      <c r="AV1282" s="142"/>
      <c r="AW1282" s="42"/>
      <c r="AX1282" s="42"/>
      <c r="AY1282" s="42"/>
      <c r="AZ1282" s="42"/>
      <c r="BA1282" s="42"/>
      <c r="BB1282" s="42"/>
      <c r="BC1282" s="42"/>
      <c r="BD1282" s="109" t="s">
        <v>13</v>
      </c>
      <c r="BE1282" s="46" t="s">
        <v>1</v>
      </c>
      <c r="BF1282" s="141">
        <v>0.864100549882168</v>
      </c>
      <c r="BG1282" s="142"/>
      <c r="BH1282" s="141">
        <v>99.135899450117833</v>
      </c>
      <c r="BI1282" s="142"/>
      <c r="BJ1282" s="42"/>
      <c r="BK1282" s="42"/>
      <c r="BL1282" s="42"/>
      <c r="BM1282" s="42"/>
      <c r="BN1282" s="42"/>
      <c r="BO1282" s="42"/>
      <c r="BQ1282" s="109" t="s">
        <v>13</v>
      </c>
      <c r="BR1282" s="46" t="s">
        <v>1</v>
      </c>
      <c r="BS1282" s="141">
        <v>0.19004180919802355</v>
      </c>
      <c r="BT1282" s="142"/>
      <c r="BU1282" s="141">
        <v>99.809958190801979</v>
      </c>
      <c r="BV1282" s="142"/>
      <c r="BW1282" s="42"/>
      <c r="BX1282" s="42"/>
      <c r="BY1282" s="42"/>
      <c r="BZ1282" s="42"/>
      <c r="CA1282" s="42"/>
      <c r="CB1282" s="42"/>
      <c r="CC1282" s="42"/>
      <c r="CD1282" s="109" t="s">
        <v>13</v>
      </c>
      <c r="CE1282" s="46" t="s">
        <v>1</v>
      </c>
      <c r="CF1282" s="141">
        <v>17.241379310344829</v>
      </c>
      <c r="CG1282" s="142"/>
      <c r="CH1282" s="141">
        <v>82.758620689655174</v>
      </c>
      <c r="CI1282" s="142"/>
      <c r="CJ1282" s="42"/>
      <c r="CK1282" s="42"/>
      <c r="CL1282" s="42"/>
      <c r="CM1282" s="42"/>
      <c r="CN1282" s="42"/>
      <c r="CO1282" s="42"/>
      <c r="CQ1282" s="109" t="s">
        <v>13</v>
      </c>
      <c r="CR1282" s="46" t="s">
        <v>1</v>
      </c>
      <c r="CS1282" s="141">
        <v>1.8633540372670807</v>
      </c>
      <c r="CT1282" s="142"/>
      <c r="CU1282" s="141">
        <v>98.136645962732914</v>
      </c>
      <c r="CV1282" s="142"/>
      <c r="CW1282" s="42"/>
      <c r="CX1282" s="42"/>
      <c r="CY1282" s="42"/>
      <c r="CZ1282" s="42"/>
      <c r="DA1282" s="42"/>
      <c r="DB1282" s="42"/>
      <c r="DC1282" s="42"/>
      <c r="DD1282" s="109" t="s">
        <v>13</v>
      </c>
      <c r="DE1282" s="46" t="s">
        <v>1</v>
      </c>
      <c r="DF1282" s="141">
        <v>0.14669926650366749</v>
      </c>
      <c r="DG1282" s="142"/>
      <c r="DH1282" s="141">
        <v>99.853300733496326</v>
      </c>
      <c r="DI1282" s="142"/>
      <c r="DJ1282" s="42"/>
      <c r="DK1282" s="42"/>
      <c r="DL1282" s="42"/>
      <c r="DM1282" s="42"/>
      <c r="DN1282" s="42"/>
      <c r="DO1282" s="42"/>
    </row>
    <row r="1283" spans="2:119" ht="15.4" x14ac:dyDescent="0.45">
      <c r="B1283" s="99"/>
      <c r="C1283" s="42"/>
      <c r="D1283" s="110"/>
      <c r="E1283" s="46" t="s">
        <v>56</v>
      </c>
      <c r="F1283" s="141">
        <v>1.3251301467108376</v>
      </c>
      <c r="G1283" s="142"/>
      <c r="H1283" s="141">
        <v>98.674869853289167</v>
      </c>
      <c r="I1283" s="142"/>
      <c r="J1283" s="42"/>
      <c r="K1283" s="42"/>
      <c r="L1283" s="42"/>
      <c r="M1283" s="42"/>
      <c r="N1283" s="42"/>
      <c r="O1283" s="42"/>
      <c r="P1283" s="42"/>
      <c r="Q1283" s="110"/>
      <c r="R1283" s="46" t="s">
        <v>56</v>
      </c>
      <c r="S1283" s="141">
        <v>2.1108179419525066</v>
      </c>
      <c r="T1283" s="142"/>
      <c r="U1283" s="141">
        <v>97.889182058047496</v>
      </c>
      <c r="V1283" s="142"/>
      <c r="W1283" s="42"/>
      <c r="X1283" s="42"/>
      <c r="Y1283" s="42"/>
      <c r="Z1283" s="42"/>
      <c r="AA1283" s="42"/>
      <c r="AB1283" s="42"/>
      <c r="AC1283" s="42"/>
      <c r="AD1283" s="110"/>
      <c r="AE1283" s="46" t="s">
        <v>56</v>
      </c>
      <c r="AF1283" s="141">
        <v>0.88560885608856088</v>
      </c>
      <c r="AG1283" s="142"/>
      <c r="AH1283" s="141">
        <v>99.114391143911433</v>
      </c>
      <c r="AI1283" s="142"/>
      <c r="AJ1283" s="42"/>
      <c r="AK1283" s="42"/>
      <c r="AL1283" s="42"/>
      <c r="AM1283" s="42"/>
      <c r="AN1283" s="42"/>
      <c r="AO1283" s="42"/>
      <c r="AQ1283" s="110"/>
      <c r="AR1283" s="46" t="s">
        <v>56</v>
      </c>
      <c r="AS1283" s="141">
        <v>0.62444246208742193</v>
      </c>
      <c r="AT1283" s="142"/>
      <c r="AU1283" s="141">
        <v>99.37555753791257</v>
      </c>
      <c r="AV1283" s="142"/>
      <c r="AW1283" s="42"/>
      <c r="AX1283" s="42"/>
      <c r="AY1283" s="42"/>
      <c r="AZ1283" s="42"/>
      <c r="BA1283" s="42"/>
      <c r="BB1283" s="42"/>
      <c r="BC1283" s="42"/>
      <c r="BD1283" s="110"/>
      <c r="BE1283" s="46" t="s">
        <v>56</v>
      </c>
      <c r="BF1283" s="141">
        <v>2.1169354838709675</v>
      </c>
      <c r="BG1283" s="142"/>
      <c r="BH1283" s="141">
        <v>97.883064516129039</v>
      </c>
      <c r="BI1283" s="142"/>
      <c r="BJ1283" s="42"/>
      <c r="BK1283" s="42"/>
      <c r="BL1283" s="42"/>
      <c r="BM1283" s="42"/>
      <c r="BN1283" s="42"/>
      <c r="BO1283" s="42"/>
      <c r="BQ1283" s="110"/>
      <c r="BR1283" s="46" t="s">
        <v>56</v>
      </c>
      <c r="BS1283" s="141">
        <v>5.0632911392405069E-2</v>
      </c>
      <c r="BT1283" s="142"/>
      <c r="BU1283" s="141">
        <v>99.949367088607602</v>
      </c>
      <c r="BV1283" s="142"/>
      <c r="BW1283" s="42"/>
      <c r="BX1283" s="42"/>
      <c r="BY1283" s="42"/>
      <c r="BZ1283" s="42"/>
      <c r="CA1283" s="42"/>
      <c r="CB1283" s="42"/>
      <c r="CC1283" s="42"/>
      <c r="CD1283" s="110"/>
      <c r="CE1283" s="46" t="s">
        <v>56</v>
      </c>
      <c r="CF1283" s="141">
        <v>19.565217391304348</v>
      </c>
      <c r="CG1283" s="142"/>
      <c r="CH1283" s="141">
        <v>80.434782608695656</v>
      </c>
      <c r="CI1283" s="142"/>
      <c r="CJ1283" s="42"/>
      <c r="CK1283" s="42"/>
      <c r="CL1283" s="42"/>
      <c r="CM1283" s="42"/>
      <c r="CN1283" s="42"/>
      <c r="CO1283" s="42"/>
      <c r="CQ1283" s="110"/>
      <c r="CR1283" s="46" t="s">
        <v>56</v>
      </c>
      <c r="CS1283" s="141">
        <v>6.4220183486238538</v>
      </c>
      <c r="CT1283" s="142"/>
      <c r="CU1283" s="141">
        <v>93.577981651376149</v>
      </c>
      <c r="CV1283" s="142"/>
      <c r="CW1283" s="42"/>
      <c r="CX1283" s="42"/>
      <c r="CY1283" s="42"/>
      <c r="CZ1283" s="42"/>
      <c r="DA1283" s="42"/>
      <c r="DB1283" s="42"/>
      <c r="DC1283" s="42"/>
      <c r="DD1283" s="110"/>
      <c r="DE1283" s="46" t="s">
        <v>56</v>
      </c>
      <c r="DF1283" s="141">
        <v>0</v>
      </c>
      <c r="DG1283" s="142"/>
      <c r="DH1283" s="141">
        <v>100</v>
      </c>
      <c r="DI1283" s="142"/>
      <c r="DJ1283" s="42"/>
      <c r="DK1283" s="42"/>
      <c r="DL1283" s="42"/>
      <c r="DM1283" s="42"/>
      <c r="DN1283" s="42"/>
      <c r="DO1283" s="42"/>
    </row>
    <row r="1284" spans="2:119" ht="15.4" x14ac:dyDescent="0.45">
      <c r="B1284" s="99"/>
      <c r="C1284" s="42"/>
      <c r="D1284" s="110"/>
      <c r="E1284" s="46" t="s">
        <v>2</v>
      </c>
      <c r="F1284" s="141">
        <v>3.2394855752519982</v>
      </c>
      <c r="G1284" s="142"/>
      <c r="H1284" s="141">
        <v>96.760514424747996</v>
      </c>
      <c r="I1284" s="142"/>
      <c r="J1284" s="42"/>
      <c r="K1284" s="42"/>
      <c r="L1284" s="42"/>
      <c r="M1284" s="42"/>
      <c r="N1284" s="42"/>
      <c r="O1284" s="42"/>
      <c r="P1284" s="42"/>
      <c r="Q1284" s="110"/>
      <c r="R1284" s="46" t="s">
        <v>2</v>
      </c>
      <c r="S1284" s="141">
        <v>3.3522434244455903</v>
      </c>
      <c r="T1284" s="142"/>
      <c r="U1284" s="141">
        <v>96.647756575554411</v>
      </c>
      <c r="V1284" s="142"/>
      <c r="W1284" s="42"/>
      <c r="X1284" s="42"/>
      <c r="Y1284" s="42"/>
      <c r="Z1284" s="42"/>
      <c r="AA1284" s="42"/>
      <c r="AB1284" s="42"/>
      <c r="AC1284" s="42"/>
      <c r="AD1284" s="110"/>
      <c r="AE1284" s="46" t="s">
        <v>2</v>
      </c>
      <c r="AF1284" s="141">
        <v>3.1629318394024275</v>
      </c>
      <c r="AG1284" s="142"/>
      <c r="AH1284" s="141">
        <v>96.837068160597568</v>
      </c>
      <c r="AI1284" s="142"/>
      <c r="AJ1284" s="42"/>
      <c r="AK1284" s="42"/>
      <c r="AL1284" s="42"/>
      <c r="AM1284" s="42"/>
      <c r="AN1284" s="42"/>
      <c r="AO1284" s="42"/>
      <c r="AQ1284" s="110"/>
      <c r="AR1284" s="46" t="s">
        <v>2</v>
      </c>
      <c r="AS1284" s="141">
        <v>2.0692347735554399</v>
      </c>
      <c r="AT1284" s="142"/>
      <c r="AU1284" s="141">
        <v>97.930765226444564</v>
      </c>
      <c r="AV1284" s="142"/>
      <c r="AW1284" s="42"/>
      <c r="AX1284" s="42"/>
      <c r="AY1284" s="42"/>
      <c r="AZ1284" s="42"/>
      <c r="BA1284" s="42"/>
      <c r="BB1284" s="42"/>
      <c r="BC1284" s="42"/>
      <c r="BD1284" s="110"/>
      <c r="BE1284" s="46" t="s">
        <v>2</v>
      </c>
      <c r="BF1284" s="141">
        <v>4.5814057603342784</v>
      </c>
      <c r="BG1284" s="142"/>
      <c r="BH1284" s="141">
        <v>95.418594239665723</v>
      </c>
      <c r="BI1284" s="142"/>
      <c r="BJ1284" s="42"/>
      <c r="BK1284" s="42"/>
      <c r="BL1284" s="42"/>
      <c r="BM1284" s="42"/>
      <c r="BN1284" s="42"/>
      <c r="BO1284" s="42"/>
      <c r="BQ1284" s="110"/>
      <c r="BR1284" s="46" t="s">
        <v>2</v>
      </c>
      <c r="BS1284" s="141">
        <v>1.2581462708182476</v>
      </c>
      <c r="BT1284" s="142"/>
      <c r="BU1284" s="141">
        <v>98.741853729181756</v>
      </c>
      <c r="BV1284" s="142"/>
      <c r="BW1284" s="42"/>
      <c r="BX1284" s="42"/>
      <c r="BY1284" s="42"/>
      <c r="BZ1284" s="42"/>
      <c r="CA1284" s="42"/>
      <c r="CB1284" s="42"/>
      <c r="CC1284" s="42"/>
      <c r="CD1284" s="110"/>
      <c r="CE1284" s="46" t="s">
        <v>2</v>
      </c>
      <c r="CF1284" s="141">
        <v>9.7992208570572359</v>
      </c>
      <c r="CG1284" s="142"/>
      <c r="CH1284" s="141">
        <v>90.200779142942764</v>
      </c>
      <c r="CI1284" s="142"/>
      <c r="CJ1284" s="42"/>
      <c r="CK1284" s="42"/>
      <c r="CL1284" s="42"/>
      <c r="CM1284" s="42"/>
      <c r="CN1284" s="42"/>
      <c r="CO1284" s="42"/>
      <c r="CQ1284" s="110"/>
      <c r="CR1284" s="46" t="s">
        <v>2</v>
      </c>
      <c r="CS1284" s="141">
        <v>10.208955223880597</v>
      </c>
      <c r="CT1284" s="142"/>
      <c r="CU1284" s="141">
        <v>89.791044776119406</v>
      </c>
      <c r="CV1284" s="142"/>
      <c r="CW1284" s="42"/>
      <c r="CX1284" s="42"/>
      <c r="CY1284" s="42"/>
      <c r="CZ1284" s="42"/>
      <c r="DA1284" s="42"/>
      <c r="DB1284" s="42"/>
      <c r="DC1284" s="42"/>
      <c r="DD1284" s="110"/>
      <c r="DE1284" s="46" t="s">
        <v>2</v>
      </c>
      <c r="DF1284" s="141">
        <v>1.1236973266878116</v>
      </c>
      <c r="DG1284" s="142"/>
      <c r="DH1284" s="141">
        <v>98.876302673312182</v>
      </c>
      <c r="DI1284" s="142"/>
      <c r="DJ1284" s="42"/>
      <c r="DK1284" s="42"/>
      <c r="DL1284" s="42"/>
      <c r="DM1284" s="42"/>
      <c r="DN1284" s="42"/>
      <c r="DO1284" s="42"/>
    </row>
    <row r="1285" spans="2:119" ht="15.4" x14ac:dyDescent="0.45">
      <c r="B1285" s="99"/>
      <c r="C1285" s="42"/>
      <c r="D1285" s="110"/>
      <c r="E1285" s="46" t="s">
        <v>3</v>
      </c>
      <c r="F1285" s="141">
        <v>5.6901478444527269</v>
      </c>
      <c r="G1285" s="142"/>
      <c r="H1285" s="141">
        <v>94.309852155547276</v>
      </c>
      <c r="I1285" s="142"/>
      <c r="J1285" s="42"/>
      <c r="K1285" s="42"/>
      <c r="L1285" s="42"/>
      <c r="M1285" s="42"/>
      <c r="N1285" s="42"/>
      <c r="O1285" s="42"/>
      <c r="P1285" s="42"/>
      <c r="Q1285" s="110"/>
      <c r="R1285" s="46" t="s">
        <v>3</v>
      </c>
      <c r="S1285" s="141">
        <v>5.131840090728665</v>
      </c>
      <c r="T1285" s="142"/>
      <c r="U1285" s="141">
        <v>94.868159909271327</v>
      </c>
      <c r="V1285" s="142"/>
      <c r="W1285" s="42"/>
      <c r="X1285" s="42"/>
      <c r="Y1285" s="42"/>
      <c r="Z1285" s="42"/>
      <c r="AA1285" s="42"/>
      <c r="AB1285" s="42"/>
      <c r="AC1285" s="42"/>
      <c r="AD1285" s="110"/>
      <c r="AE1285" s="46" t="s">
        <v>3</v>
      </c>
      <c r="AF1285" s="141">
        <v>6.1256081379920388</v>
      </c>
      <c r="AG1285" s="142"/>
      <c r="AH1285" s="141">
        <v>93.874391862007968</v>
      </c>
      <c r="AI1285" s="142"/>
      <c r="AJ1285" s="42"/>
      <c r="AK1285" s="42"/>
      <c r="AL1285" s="42"/>
      <c r="AM1285" s="42"/>
      <c r="AN1285" s="42"/>
      <c r="AO1285" s="42"/>
      <c r="AQ1285" s="110"/>
      <c r="AR1285" s="46" t="s">
        <v>3</v>
      </c>
      <c r="AS1285" s="141">
        <v>3.9537869062901154</v>
      </c>
      <c r="AT1285" s="142"/>
      <c r="AU1285" s="141">
        <v>96.046213093709881</v>
      </c>
      <c r="AV1285" s="142"/>
      <c r="AW1285" s="42"/>
      <c r="AX1285" s="42"/>
      <c r="AY1285" s="42"/>
      <c r="AZ1285" s="42"/>
      <c r="BA1285" s="42"/>
      <c r="BB1285" s="42"/>
      <c r="BC1285" s="42"/>
      <c r="BD1285" s="110"/>
      <c r="BE1285" s="46" t="s">
        <v>3</v>
      </c>
      <c r="BF1285" s="141">
        <v>7.3182474723158402</v>
      </c>
      <c r="BG1285" s="142"/>
      <c r="BH1285" s="141">
        <v>92.681752527684154</v>
      </c>
      <c r="BI1285" s="142"/>
      <c r="BJ1285" s="42"/>
      <c r="BK1285" s="42"/>
      <c r="BL1285" s="42"/>
      <c r="BM1285" s="42"/>
      <c r="BN1285" s="42"/>
      <c r="BO1285" s="42"/>
      <c r="BQ1285" s="110"/>
      <c r="BR1285" s="46" t="s">
        <v>3</v>
      </c>
      <c r="BS1285" s="141">
        <v>4.2480883602378929</v>
      </c>
      <c r="BT1285" s="142"/>
      <c r="BU1285" s="141">
        <v>95.751911639762113</v>
      </c>
      <c r="BV1285" s="142"/>
      <c r="BW1285" s="42"/>
      <c r="BX1285" s="42"/>
      <c r="BY1285" s="42"/>
      <c r="BZ1285" s="42"/>
      <c r="CA1285" s="42"/>
      <c r="CB1285" s="42"/>
      <c r="CC1285" s="42"/>
      <c r="CD1285" s="110"/>
      <c r="CE1285" s="46" t="s">
        <v>3</v>
      </c>
      <c r="CF1285" s="141">
        <v>7.72223885064352</v>
      </c>
      <c r="CG1285" s="142"/>
      <c r="CH1285" s="141">
        <v>92.277761149356479</v>
      </c>
      <c r="CI1285" s="142"/>
      <c r="CJ1285" s="42"/>
      <c r="CK1285" s="42"/>
      <c r="CL1285" s="42"/>
      <c r="CM1285" s="42"/>
      <c r="CN1285" s="42"/>
      <c r="CO1285" s="42"/>
      <c r="CQ1285" s="110"/>
      <c r="CR1285" s="46" t="s">
        <v>3</v>
      </c>
      <c r="CS1285" s="141">
        <v>14.285714285714285</v>
      </c>
      <c r="CT1285" s="142"/>
      <c r="CU1285" s="141">
        <v>85.714285714285708</v>
      </c>
      <c r="CV1285" s="142"/>
      <c r="CW1285" s="42"/>
      <c r="CX1285" s="42"/>
      <c r="CY1285" s="42"/>
      <c r="CZ1285" s="42"/>
      <c r="DA1285" s="42"/>
      <c r="DB1285" s="42"/>
      <c r="DC1285" s="42"/>
      <c r="DD1285" s="110"/>
      <c r="DE1285" s="46" t="s">
        <v>3</v>
      </c>
      <c r="DF1285" s="141">
        <v>3.5175097276264591</v>
      </c>
      <c r="DG1285" s="142"/>
      <c r="DH1285" s="141">
        <v>96.482490272373539</v>
      </c>
      <c r="DI1285" s="142"/>
      <c r="DJ1285" s="42"/>
      <c r="DK1285" s="42"/>
      <c r="DL1285" s="42"/>
      <c r="DM1285" s="42"/>
      <c r="DN1285" s="42"/>
      <c r="DO1285" s="42"/>
    </row>
    <row r="1286" spans="2:119" ht="15.4" x14ac:dyDescent="0.45">
      <c r="B1286" s="99"/>
      <c r="C1286" s="42"/>
      <c r="D1286" s="110"/>
      <c r="E1286" s="46" t="s">
        <v>4</v>
      </c>
      <c r="F1286" s="141">
        <v>8.7812884694296258</v>
      </c>
      <c r="G1286" s="142"/>
      <c r="H1286" s="141">
        <v>91.218711530570374</v>
      </c>
      <c r="I1286" s="142"/>
      <c r="J1286" s="42"/>
      <c r="K1286" s="42"/>
      <c r="L1286" s="42"/>
      <c r="M1286" s="42"/>
      <c r="N1286" s="42"/>
      <c r="O1286" s="42"/>
      <c r="P1286" s="42"/>
      <c r="Q1286" s="110"/>
      <c r="R1286" s="46" t="s">
        <v>4</v>
      </c>
      <c r="S1286" s="141">
        <v>9.347128077060292</v>
      </c>
      <c r="T1286" s="142"/>
      <c r="U1286" s="141">
        <v>90.65287192293971</v>
      </c>
      <c r="V1286" s="142"/>
      <c r="W1286" s="42"/>
      <c r="X1286" s="42"/>
      <c r="Y1286" s="42"/>
      <c r="Z1286" s="42"/>
      <c r="AA1286" s="42"/>
      <c r="AB1286" s="42"/>
      <c r="AC1286" s="42"/>
      <c r="AD1286" s="110"/>
      <c r="AE1286" s="46" t="s">
        <v>4</v>
      </c>
      <c r="AF1286" s="141">
        <v>8.2991336069311448</v>
      </c>
      <c r="AG1286" s="142"/>
      <c r="AH1286" s="141">
        <v>91.700866393068864</v>
      </c>
      <c r="AI1286" s="142"/>
      <c r="AJ1286" s="42"/>
      <c r="AK1286" s="42"/>
      <c r="AL1286" s="42"/>
      <c r="AM1286" s="42"/>
      <c r="AN1286" s="42"/>
      <c r="AO1286" s="42"/>
      <c r="AQ1286" s="110"/>
      <c r="AR1286" s="46" t="s">
        <v>4</v>
      </c>
      <c r="AS1286" s="141">
        <v>6.2955717588475899</v>
      </c>
      <c r="AT1286" s="142"/>
      <c r="AU1286" s="141">
        <v>93.704428241152399</v>
      </c>
      <c r="AV1286" s="142"/>
      <c r="AW1286" s="42"/>
      <c r="AX1286" s="42"/>
      <c r="AY1286" s="42"/>
      <c r="AZ1286" s="42"/>
      <c r="BA1286" s="42"/>
      <c r="BB1286" s="42"/>
      <c r="BC1286" s="42"/>
      <c r="BD1286" s="110"/>
      <c r="BE1286" s="46" t="s">
        <v>4</v>
      </c>
      <c r="BF1286" s="141">
        <v>10.911307528192623</v>
      </c>
      <c r="BG1286" s="142"/>
      <c r="BH1286" s="141">
        <v>89.088692471807377</v>
      </c>
      <c r="BI1286" s="142"/>
      <c r="BJ1286" s="42"/>
      <c r="BK1286" s="42"/>
      <c r="BL1286" s="42"/>
      <c r="BM1286" s="42"/>
      <c r="BN1286" s="42"/>
      <c r="BO1286" s="42"/>
      <c r="BQ1286" s="110"/>
      <c r="BR1286" s="46" t="s">
        <v>4</v>
      </c>
      <c r="BS1286" s="141">
        <v>6.3407722281261067</v>
      </c>
      <c r="BT1286" s="142"/>
      <c r="BU1286" s="141">
        <v>93.659227771873887</v>
      </c>
      <c r="BV1286" s="142"/>
      <c r="BW1286" s="42"/>
      <c r="BX1286" s="42"/>
      <c r="BY1286" s="42"/>
      <c r="BZ1286" s="42"/>
      <c r="CA1286" s="42"/>
      <c r="CB1286" s="42"/>
      <c r="CC1286" s="42"/>
      <c r="CD1286" s="110"/>
      <c r="CE1286" s="46" t="s">
        <v>4</v>
      </c>
      <c r="CF1286" s="141">
        <v>10.888515063465363</v>
      </c>
      <c r="CG1286" s="142"/>
      <c r="CH1286" s="141">
        <v>89.111484936534637</v>
      </c>
      <c r="CI1286" s="142"/>
      <c r="CJ1286" s="42"/>
      <c r="CK1286" s="42"/>
      <c r="CL1286" s="42"/>
      <c r="CM1286" s="42"/>
      <c r="CN1286" s="42"/>
      <c r="CO1286" s="42"/>
      <c r="CQ1286" s="110"/>
      <c r="CR1286" s="46" t="s">
        <v>4</v>
      </c>
      <c r="CS1286" s="141">
        <v>19.629789065863108</v>
      </c>
      <c r="CT1286" s="142"/>
      <c r="CU1286" s="141">
        <v>80.370210934136892</v>
      </c>
      <c r="CV1286" s="142"/>
      <c r="CW1286" s="42"/>
      <c r="CX1286" s="42"/>
      <c r="CY1286" s="42"/>
      <c r="CZ1286" s="42"/>
      <c r="DA1286" s="42"/>
      <c r="DB1286" s="42"/>
      <c r="DC1286" s="42"/>
      <c r="DD1286" s="110"/>
      <c r="DE1286" s="46" t="s">
        <v>4</v>
      </c>
      <c r="DF1286" s="141">
        <v>6.2259176637598861</v>
      </c>
      <c r="DG1286" s="142"/>
      <c r="DH1286" s="141">
        <v>93.774082336240113</v>
      </c>
      <c r="DI1286" s="142"/>
      <c r="DJ1286" s="42"/>
      <c r="DK1286" s="42"/>
      <c r="DL1286" s="42"/>
      <c r="DM1286" s="42"/>
      <c r="DN1286" s="42"/>
      <c r="DO1286" s="42"/>
    </row>
    <row r="1287" spans="2:119" ht="15.4" x14ac:dyDescent="0.45">
      <c r="B1287" s="99"/>
      <c r="C1287" s="42"/>
      <c r="D1287" s="110"/>
      <c r="E1287" s="46" t="s">
        <v>5</v>
      </c>
      <c r="F1287" s="141">
        <v>13.98801161374918</v>
      </c>
      <c r="G1287" s="142"/>
      <c r="H1287" s="141">
        <v>86.01198838625082</v>
      </c>
      <c r="I1287" s="142"/>
      <c r="J1287" s="42"/>
      <c r="K1287" s="42"/>
      <c r="L1287" s="42"/>
      <c r="M1287" s="42"/>
      <c r="N1287" s="42"/>
      <c r="O1287" s="42"/>
      <c r="P1287" s="42"/>
      <c r="Q1287" s="110"/>
      <c r="R1287" s="46" t="s">
        <v>5</v>
      </c>
      <c r="S1287" s="141">
        <v>15.184796103524018</v>
      </c>
      <c r="T1287" s="142"/>
      <c r="U1287" s="141">
        <v>84.815203896475978</v>
      </c>
      <c r="V1287" s="142"/>
      <c r="W1287" s="42"/>
      <c r="X1287" s="42"/>
      <c r="Y1287" s="42"/>
      <c r="Z1287" s="42"/>
      <c r="AA1287" s="42"/>
      <c r="AB1287" s="42"/>
      <c r="AC1287" s="42"/>
      <c r="AD1287" s="110"/>
      <c r="AE1287" s="46" t="s">
        <v>5</v>
      </c>
      <c r="AF1287" s="141">
        <v>12.836534043921713</v>
      </c>
      <c r="AG1287" s="142"/>
      <c r="AH1287" s="141">
        <v>87.163465956078284</v>
      </c>
      <c r="AI1287" s="142"/>
      <c r="AJ1287" s="42"/>
      <c r="AK1287" s="42"/>
      <c r="AL1287" s="42"/>
      <c r="AM1287" s="42"/>
      <c r="AN1287" s="42"/>
      <c r="AO1287" s="42"/>
      <c r="AQ1287" s="110"/>
      <c r="AR1287" s="46" t="s">
        <v>5</v>
      </c>
      <c r="AS1287" s="141">
        <v>9.4081423195347256</v>
      </c>
      <c r="AT1287" s="142"/>
      <c r="AU1287" s="141">
        <v>90.591857680465267</v>
      </c>
      <c r="AV1287" s="142"/>
      <c r="AW1287" s="42"/>
      <c r="AX1287" s="42"/>
      <c r="AY1287" s="42"/>
      <c r="AZ1287" s="42"/>
      <c r="BA1287" s="42"/>
      <c r="BB1287" s="42"/>
      <c r="BC1287" s="42"/>
      <c r="BD1287" s="110"/>
      <c r="BE1287" s="46" t="s">
        <v>5</v>
      </c>
      <c r="BF1287" s="141">
        <v>17.179181565355581</v>
      </c>
      <c r="BG1287" s="142"/>
      <c r="BH1287" s="141">
        <v>82.820818434644423</v>
      </c>
      <c r="BI1287" s="142"/>
      <c r="BJ1287" s="42"/>
      <c r="BK1287" s="42"/>
      <c r="BL1287" s="42"/>
      <c r="BM1287" s="42"/>
      <c r="BN1287" s="42"/>
      <c r="BO1287" s="42"/>
      <c r="BQ1287" s="110"/>
      <c r="BR1287" s="46" t="s">
        <v>5</v>
      </c>
      <c r="BS1287" s="141">
        <v>9.8441926345609065</v>
      </c>
      <c r="BT1287" s="142"/>
      <c r="BU1287" s="141">
        <v>90.155807365439088</v>
      </c>
      <c r="BV1287" s="142"/>
      <c r="BW1287" s="42"/>
      <c r="BX1287" s="42"/>
      <c r="BY1287" s="42"/>
      <c r="BZ1287" s="42"/>
      <c r="CA1287" s="42"/>
      <c r="CB1287" s="42"/>
      <c r="CC1287" s="42"/>
      <c r="CD1287" s="110"/>
      <c r="CE1287" s="46" t="s">
        <v>5</v>
      </c>
      <c r="CF1287" s="141">
        <v>16.034699874073038</v>
      </c>
      <c r="CG1287" s="142"/>
      <c r="CH1287" s="141">
        <v>83.965300125926973</v>
      </c>
      <c r="CI1287" s="142"/>
      <c r="CJ1287" s="42"/>
      <c r="CK1287" s="42"/>
      <c r="CL1287" s="42"/>
      <c r="CM1287" s="42"/>
      <c r="CN1287" s="42"/>
      <c r="CO1287" s="42"/>
      <c r="CQ1287" s="110"/>
      <c r="CR1287" s="46" t="s">
        <v>5</v>
      </c>
      <c r="CS1287" s="141">
        <v>26.576576576576578</v>
      </c>
      <c r="CT1287" s="142"/>
      <c r="CU1287" s="141">
        <v>73.423423423423429</v>
      </c>
      <c r="CV1287" s="142"/>
      <c r="CW1287" s="42"/>
      <c r="CX1287" s="42"/>
      <c r="CY1287" s="42"/>
      <c r="CZ1287" s="42"/>
      <c r="DA1287" s="42"/>
      <c r="DB1287" s="42"/>
      <c r="DC1287" s="42"/>
      <c r="DD1287" s="110"/>
      <c r="DE1287" s="46" t="s">
        <v>5</v>
      </c>
      <c r="DF1287" s="141">
        <v>11.476238624873609</v>
      </c>
      <c r="DG1287" s="142"/>
      <c r="DH1287" s="141">
        <v>88.523761375126384</v>
      </c>
      <c r="DI1287" s="142"/>
      <c r="DJ1287" s="42"/>
      <c r="DK1287" s="42"/>
      <c r="DL1287" s="42"/>
      <c r="DM1287" s="42"/>
      <c r="DN1287" s="42"/>
      <c r="DO1287" s="42"/>
    </row>
    <row r="1288" spans="2:119" ht="15.4" x14ac:dyDescent="0.45">
      <c r="B1288" s="99"/>
      <c r="C1288" s="42"/>
      <c r="D1288" s="110"/>
      <c r="E1288" s="46" t="s">
        <v>6</v>
      </c>
      <c r="F1288" s="141">
        <v>26.690069074849958</v>
      </c>
      <c r="G1288" s="142"/>
      <c r="H1288" s="141">
        <v>73.309930925150042</v>
      </c>
      <c r="I1288" s="142"/>
      <c r="J1288" s="42"/>
      <c r="K1288" s="42"/>
      <c r="L1288" s="42"/>
      <c r="M1288" s="42"/>
      <c r="N1288" s="42"/>
      <c r="O1288" s="42"/>
      <c r="P1288" s="42"/>
      <c r="Q1288" s="110"/>
      <c r="R1288" s="46" t="s">
        <v>6</v>
      </c>
      <c r="S1288" s="141">
        <v>29.533607681755829</v>
      </c>
      <c r="T1288" s="142"/>
      <c r="U1288" s="141">
        <v>70.466392318244175</v>
      </c>
      <c r="V1288" s="142"/>
      <c r="W1288" s="42"/>
      <c r="X1288" s="42"/>
      <c r="Y1288" s="42"/>
      <c r="Z1288" s="42"/>
      <c r="AA1288" s="42"/>
      <c r="AB1288" s="42"/>
      <c r="AC1288" s="42"/>
      <c r="AD1288" s="110"/>
      <c r="AE1288" s="46" t="s">
        <v>6</v>
      </c>
      <c r="AF1288" s="141">
        <v>23.899483957819161</v>
      </c>
      <c r="AG1288" s="142"/>
      <c r="AH1288" s="141">
        <v>76.100516042180843</v>
      </c>
      <c r="AI1288" s="142"/>
      <c r="AJ1288" s="42"/>
      <c r="AK1288" s="42"/>
      <c r="AL1288" s="42"/>
      <c r="AM1288" s="42"/>
      <c r="AN1288" s="42"/>
      <c r="AO1288" s="42"/>
      <c r="AQ1288" s="110"/>
      <c r="AR1288" s="46" t="s">
        <v>6</v>
      </c>
      <c r="AS1288" s="141">
        <v>18.962909178919343</v>
      </c>
      <c r="AT1288" s="142"/>
      <c r="AU1288" s="141">
        <v>81.037090821080653</v>
      </c>
      <c r="AV1288" s="142"/>
      <c r="AW1288" s="42"/>
      <c r="AX1288" s="42"/>
      <c r="AY1288" s="42"/>
      <c r="AZ1288" s="42"/>
      <c r="BA1288" s="42"/>
      <c r="BB1288" s="42"/>
      <c r="BC1288" s="42"/>
      <c r="BD1288" s="110"/>
      <c r="BE1288" s="46" t="s">
        <v>6</v>
      </c>
      <c r="BF1288" s="141">
        <v>31.312436658462428</v>
      </c>
      <c r="BG1288" s="142"/>
      <c r="BH1288" s="141">
        <v>68.687563341537569</v>
      </c>
      <c r="BI1288" s="142"/>
      <c r="BJ1288" s="42"/>
      <c r="BK1288" s="42"/>
      <c r="BL1288" s="42"/>
      <c r="BM1288" s="42"/>
      <c r="BN1288" s="42"/>
      <c r="BO1288" s="42"/>
      <c r="BQ1288" s="110"/>
      <c r="BR1288" s="46" t="s">
        <v>6</v>
      </c>
      <c r="BS1288" s="141">
        <v>17.739552553820175</v>
      </c>
      <c r="BT1288" s="142"/>
      <c r="BU1288" s="141">
        <v>82.260447446179825</v>
      </c>
      <c r="BV1288" s="142"/>
      <c r="BW1288" s="42"/>
      <c r="BX1288" s="42"/>
      <c r="BY1288" s="42"/>
      <c r="BZ1288" s="42"/>
      <c r="CA1288" s="42"/>
      <c r="CB1288" s="42"/>
      <c r="CC1288" s="42"/>
      <c r="CD1288" s="110"/>
      <c r="CE1288" s="46" t="s">
        <v>6</v>
      </c>
      <c r="CF1288" s="141">
        <v>29.135788229187693</v>
      </c>
      <c r="CG1288" s="142"/>
      <c r="CH1288" s="141">
        <v>70.864211770812304</v>
      </c>
      <c r="CI1288" s="142"/>
      <c r="CJ1288" s="42"/>
      <c r="CK1288" s="42"/>
      <c r="CL1288" s="42"/>
      <c r="CM1288" s="42"/>
      <c r="CN1288" s="42"/>
      <c r="CO1288" s="42"/>
      <c r="CQ1288" s="110"/>
      <c r="CR1288" s="46" t="s">
        <v>6</v>
      </c>
      <c r="CS1288" s="141">
        <v>40.561443712403324</v>
      </c>
      <c r="CT1288" s="142"/>
      <c r="CU1288" s="141">
        <v>59.438556287596676</v>
      </c>
      <c r="CV1288" s="142"/>
      <c r="CW1288" s="42"/>
      <c r="CX1288" s="42"/>
      <c r="CY1288" s="42"/>
      <c r="CZ1288" s="42"/>
      <c r="DA1288" s="42"/>
      <c r="DB1288" s="42"/>
      <c r="DC1288" s="42"/>
      <c r="DD1288" s="110"/>
      <c r="DE1288" s="46" t="s">
        <v>6</v>
      </c>
      <c r="DF1288" s="141">
        <v>24.084685120921097</v>
      </c>
      <c r="DG1288" s="142"/>
      <c r="DH1288" s="141">
        <v>75.915314879078892</v>
      </c>
      <c r="DI1288" s="142"/>
      <c r="DJ1288" s="42"/>
      <c r="DK1288" s="42"/>
      <c r="DL1288" s="42"/>
      <c r="DM1288" s="42"/>
      <c r="DN1288" s="42"/>
      <c r="DO1288" s="42"/>
    </row>
    <row r="1289" spans="2:119" ht="15.4" x14ac:dyDescent="0.45">
      <c r="B1289" s="99"/>
      <c r="C1289" s="42"/>
      <c r="D1289" s="110"/>
      <c r="E1289" s="46" t="s">
        <v>7</v>
      </c>
      <c r="F1289" s="141">
        <v>46.944739306899777</v>
      </c>
      <c r="G1289" s="142"/>
      <c r="H1289" s="141">
        <v>53.055260693100216</v>
      </c>
      <c r="I1289" s="142"/>
      <c r="J1289" s="42"/>
      <c r="K1289" s="42"/>
      <c r="L1289" s="42"/>
      <c r="M1289" s="42"/>
      <c r="N1289" s="42"/>
      <c r="O1289" s="42"/>
      <c r="P1289" s="42"/>
      <c r="Q1289" s="110"/>
      <c r="R1289" s="46" t="s">
        <v>7</v>
      </c>
      <c r="S1289" s="141">
        <v>51.366841934760402</v>
      </c>
      <c r="T1289" s="142"/>
      <c r="U1289" s="141">
        <v>48.633158065239598</v>
      </c>
      <c r="V1289" s="142"/>
      <c r="W1289" s="42"/>
      <c r="X1289" s="42"/>
      <c r="Y1289" s="42"/>
      <c r="Z1289" s="42"/>
      <c r="AA1289" s="42"/>
      <c r="AB1289" s="42"/>
      <c r="AC1289" s="42"/>
      <c r="AD1289" s="110"/>
      <c r="AE1289" s="46" t="s">
        <v>7</v>
      </c>
      <c r="AF1289" s="141">
        <v>42.50237821058429</v>
      </c>
      <c r="AG1289" s="142"/>
      <c r="AH1289" s="141">
        <v>57.49762178941571</v>
      </c>
      <c r="AI1289" s="142"/>
      <c r="AJ1289" s="42"/>
      <c r="AK1289" s="42"/>
      <c r="AL1289" s="42"/>
      <c r="AM1289" s="42"/>
      <c r="AN1289" s="42"/>
      <c r="AO1289" s="42"/>
      <c r="AQ1289" s="110"/>
      <c r="AR1289" s="46" t="s">
        <v>7</v>
      </c>
      <c r="AS1289" s="141">
        <v>35.220696698059683</v>
      </c>
      <c r="AT1289" s="142"/>
      <c r="AU1289" s="141">
        <v>64.779303301940317</v>
      </c>
      <c r="AV1289" s="142"/>
      <c r="AW1289" s="42"/>
      <c r="AX1289" s="42"/>
      <c r="AY1289" s="42"/>
      <c r="AZ1289" s="42"/>
      <c r="BA1289" s="42"/>
      <c r="BB1289" s="42"/>
      <c r="BC1289" s="42"/>
      <c r="BD1289" s="110"/>
      <c r="BE1289" s="46" t="s">
        <v>7</v>
      </c>
      <c r="BF1289" s="141">
        <v>52.723916772317104</v>
      </c>
      <c r="BG1289" s="142"/>
      <c r="BH1289" s="141">
        <v>47.276083227682896</v>
      </c>
      <c r="BI1289" s="142"/>
      <c r="BJ1289" s="42"/>
      <c r="BK1289" s="42"/>
      <c r="BL1289" s="42"/>
      <c r="BM1289" s="42"/>
      <c r="BN1289" s="42"/>
      <c r="BO1289" s="42"/>
      <c r="BQ1289" s="110"/>
      <c r="BR1289" s="46" t="s">
        <v>7</v>
      </c>
      <c r="BS1289" s="141">
        <v>30.428467683369643</v>
      </c>
      <c r="BT1289" s="142"/>
      <c r="BU1289" s="141">
        <v>69.571532316630353</v>
      </c>
      <c r="BV1289" s="142"/>
      <c r="BW1289" s="42"/>
      <c r="BX1289" s="42"/>
      <c r="BY1289" s="42"/>
      <c r="BZ1289" s="42"/>
      <c r="CA1289" s="42"/>
      <c r="CB1289" s="42"/>
      <c r="CC1289" s="42"/>
      <c r="CD1289" s="110"/>
      <c r="CE1289" s="46" t="s">
        <v>7</v>
      </c>
      <c r="CF1289" s="141">
        <v>49.579345197584672</v>
      </c>
      <c r="CG1289" s="142"/>
      <c r="CH1289" s="141">
        <v>50.420654802415321</v>
      </c>
      <c r="CI1289" s="142"/>
      <c r="CJ1289" s="42"/>
      <c r="CK1289" s="42"/>
      <c r="CL1289" s="42"/>
      <c r="CM1289" s="42"/>
      <c r="CN1289" s="42"/>
      <c r="CO1289" s="42"/>
      <c r="CQ1289" s="110"/>
      <c r="CR1289" s="46" t="s">
        <v>7</v>
      </c>
      <c r="CS1289" s="141">
        <v>60.141489804411151</v>
      </c>
      <c r="CT1289" s="142"/>
      <c r="CU1289" s="141">
        <v>39.858510195588849</v>
      </c>
      <c r="CV1289" s="142"/>
      <c r="CW1289" s="42"/>
      <c r="CX1289" s="42"/>
      <c r="CY1289" s="42"/>
      <c r="CZ1289" s="42"/>
      <c r="DA1289" s="42"/>
      <c r="DB1289" s="42"/>
      <c r="DC1289" s="42"/>
      <c r="DD1289" s="110"/>
      <c r="DE1289" s="46" t="s">
        <v>7</v>
      </c>
      <c r="DF1289" s="141">
        <v>44.615045548045842</v>
      </c>
      <c r="DG1289" s="142"/>
      <c r="DH1289" s="141">
        <v>55.384954451954158</v>
      </c>
      <c r="DI1289" s="142"/>
      <c r="DJ1289" s="42"/>
      <c r="DK1289" s="42"/>
      <c r="DL1289" s="42"/>
      <c r="DM1289" s="42"/>
      <c r="DN1289" s="42"/>
      <c r="DO1289" s="42"/>
    </row>
    <row r="1290" spans="2:119" ht="15.4" x14ac:dyDescent="0.45">
      <c r="B1290" s="99"/>
      <c r="C1290" s="42"/>
      <c r="D1290" s="110"/>
      <c r="E1290" s="46" t="s">
        <v>8</v>
      </c>
      <c r="F1290" s="141">
        <v>69.930218008566342</v>
      </c>
      <c r="G1290" s="142"/>
      <c r="H1290" s="141">
        <v>30.069781991433658</v>
      </c>
      <c r="I1290" s="142"/>
      <c r="J1290" s="42"/>
      <c r="K1290" s="42"/>
      <c r="L1290" s="42"/>
      <c r="M1290" s="42"/>
      <c r="N1290" s="42"/>
      <c r="O1290" s="42"/>
      <c r="P1290" s="42"/>
      <c r="Q1290" s="110"/>
      <c r="R1290" s="46" t="s">
        <v>8</v>
      </c>
      <c r="S1290" s="141">
        <v>74.909696087145633</v>
      </c>
      <c r="T1290" s="142"/>
      <c r="U1290" s="141">
        <v>25.09030391285436</v>
      </c>
      <c r="V1290" s="142"/>
      <c r="W1290" s="42"/>
      <c r="X1290" s="42"/>
      <c r="Y1290" s="42"/>
      <c r="Z1290" s="42"/>
      <c r="AA1290" s="42"/>
      <c r="AB1290" s="42"/>
      <c r="AC1290" s="42"/>
      <c r="AD1290" s="110"/>
      <c r="AE1290" s="46" t="s">
        <v>8</v>
      </c>
      <c r="AF1290" s="141">
        <v>64.769297110823629</v>
      </c>
      <c r="AG1290" s="142"/>
      <c r="AH1290" s="141">
        <v>35.230702889176371</v>
      </c>
      <c r="AI1290" s="142"/>
      <c r="AJ1290" s="42"/>
      <c r="AK1290" s="42"/>
      <c r="AL1290" s="42"/>
      <c r="AM1290" s="42"/>
      <c r="AN1290" s="42"/>
      <c r="AO1290" s="42"/>
      <c r="AQ1290" s="110"/>
      <c r="AR1290" s="46" t="s">
        <v>8</v>
      </c>
      <c r="AS1290" s="141">
        <v>56.738363892806767</v>
      </c>
      <c r="AT1290" s="142"/>
      <c r="AU1290" s="141">
        <v>43.261636107193233</v>
      </c>
      <c r="AV1290" s="142"/>
      <c r="AW1290" s="42"/>
      <c r="AX1290" s="42"/>
      <c r="AY1290" s="42"/>
      <c r="AZ1290" s="42"/>
      <c r="BA1290" s="42"/>
      <c r="BB1290" s="42"/>
      <c r="BC1290" s="42"/>
      <c r="BD1290" s="110"/>
      <c r="BE1290" s="46" t="s">
        <v>8</v>
      </c>
      <c r="BF1290" s="141">
        <v>74.883166743893554</v>
      </c>
      <c r="BG1290" s="142"/>
      <c r="BH1290" s="141">
        <v>25.116833256106442</v>
      </c>
      <c r="BI1290" s="142"/>
      <c r="BJ1290" s="42"/>
      <c r="BK1290" s="42"/>
      <c r="BL1290" s="42"/>
      <c r="BM1290" s="42"/>
      <c r="BN1290" s="42"/>
      <c r="BO1290" s="42"/>
      <c r="BQ1290" s="110"/>
      <c r="BR1290" s="46" t="s">
        <v>8</v>
      </c>
      <c r="BS1290" s="141">
        <v>48.421846385866644</v>
      </c>
      <c r="BT1290" s="142"/>
      <c r="BU1290" s="141">
        <v>51.578153614133356</v>
      </c>
      <c r="BV1290" s="142"/>
      <c r="BW1290" s="42"/>
      <c r="BX1290" s="42"/>
      <c r="BY1290" s="42"/>
      <c r="BZ1290" s="42"/>
      <c r="CA1290" s="42"/>
      <c r="CB1290" s="42"/>
      <c r="CC1290" s="42"/>
      <c r="CD1290" s="110"/>
      <c r="CE1290" s="46" t="s">
        <v>8</v>
      </c>
      <c r="CF1290" s="141">
        <v>72.040544539804671</v>
      </c>
      <c r="CG1290" s="142"/>
      <c r="CH1290" s="141">
        <v>27.959455460195326</v>
      </c>
      <c r="CI1290" s="142"/>
      <c r="CJ1290" s="42"/>
      <c r="CK1290" s="42"/>
      <c r="CL1290" s="42"/>
      <c r="CM1290" s="42"/>
      <c r="CN1290" s="42"/>
      <c r="CO1290" s="42"/>
      <c r="CQ1290" s="110"/>
      <c r="CR1290" s="46" t="s">
        <v>8</v>
      </c>
      <c r="CS1290" s="141">
        <v>78.413035777541623</v>
      </c>
      <c r="CT1290" s="142"/>
      <c r="CU1290" s="141">
        <v>21.586964222458377</v>
      </c>
      <c r="CV1290" s="142"/>
      <c r="CW1290" s="42"/>
      <c r="CX1290" s="42"/>
      <c r="CY1290" s="42"/>
      <c r="CZ1290" s="42"/>
      <c r="DA1290" s="42"/>
      <c r="DB1290" s="42"/>
      <c r="DC1290" s="42"/>
      <c r="DD1290" s="110"/>
      <c r="DE1290" s="46" t="s">
        <v>8</v>
      </c>
      <c r="DF1290" s="141">
        <v>68.596569391846742</v>
      </c>
      <c r="DG1290" s="142"/>
      <c r="DH1290" s="141">
        <v>31.403430608153265</v>
      </c>
      <c r="DI1290" s="142"/>
      <c r="DJ1290" s="42"/>
      <c r="DK1290" s="42"/>
      <c r="DL1290" s="42"/>
      <c r="DM1290" s="42"/>
      <c r="DN1290" s="42"/>
      <c r="DO1290" s="42"/>
    </row>
    <row r="1291" spans="2:119" ht="15.4" x14ac:dyDescent="0.45">
      <c r="B1291" s="99"/>
      <c r="C1291" s="42"/>
      <c r="D1291" s="110"/>
      <c r="E1291" s="46" t="s">
        <v>9</v>
      </c>
      <c r="F1291" s="141">
        <v>88.021867864634572</v>
      </c>
      <c r="G1291" s="142"/>
      <c r="H1291" s="141">
        <v>11.978132135365424</v>
      </c>
      <c r="I1291" s="142"/>
      <c r="J1291" s="42"/>
      <c r="K1291" s="42"/>
      <c r="L1291" s="42"/>
      <c r="M1291" s="42"/>
      <c r="N1291" s="42"/>
      <c r="O1291" s="42"/>
      <c r="P1291" s="42"/>
      <c r="Q1291" s="110"/>
      <c r="R1291" s="46" t="s">
        <v>9</v>
      </c>
      <c r="S1291" s="141">
        <v>91.779520518599938</v>
      </c>
      <c r="T1291" s="142"/>
      <c r="U1291" s="141">
        <v>8.220479481400071</v>
      </c>
      <c r="V1291" s="142"/>
      <c r="W1291" s="42"/>
      <c r="X1291" s="42"/>
      <c r="Y1291" s="42"/>
      <c r="Z1291" s="42"/>
      <c r="AA1291" s="42"/>
      <c r="AB1291" s="42"/>
      <c r="AC1291" s="42"/>
      <c r="AD1291" s="110"/>
      <c r="AE1291" s="46" t="s">
        <v>9</v>
      </c>
      <c r="AF1291" s="141">
        <v>84.290074923688834</v>
      </c>
      <c r="AG1291" s="142"/>
      <c r="AH1291" s="141">
        <v>15.709925076311166</v>
      </c>
      <c r="AI1291" s="142"/>
      <c r="AJ1291" s="42"/>
      <c r="AK1291" s="42"/>
      <c r="AL1291" s="42"/>
      <c r="AM1291" s="42"/>
      <c r="AN1291" s="42"/>
      <c r="AO1291" s="42"/>
      <c r="AQ1291" s="110"/>
      <c r="AR1291" s="46" t="s">
        <v>9</v>
      </c>
      <c r="AS1291" s="141">
        <v>78.229823246793316</v>
      </c>
      <c r="AT1291" s="142"/>
      <c r="AU1291" s="141">
        <v>21.770176753206684</v>
      </c>
      <c r="AV1291" s="142"/>
      <c r="AW1291" s="42"/>
      <c r="AX1291" s="42"/>
      <c r="AY1291" s="42"/>
      <c r="AZ1291" s="42"/>
      <c r="BA1291" s="42"/>
      <c r="BB1291" s="42"/>
      <c r="BC1291" s="42"/>
      <c r="BD1291" s="110"/>
      <c r="BE1291" s="46" t="s">
        <v>9</v>
      </c>
      <c r="BF1291" s="141">
        <v>90.633854981128962</v>
      </c>
      <c r="BG1291" s="142"/>
      <c r="BH1291" s="141">
        <v>9.3661450188710305</v>
      </c>
      <c r="BI1291" s="142"/>
      <c r="BJ1291" s="42"/>
      <c r="BK1291" s="42"/>
      <c r="BL1291" s="42"/>
      <c r="BM1291" s="42"/>
      <c r="BN1291" s="42"/>
      <c r="BO1291" s="42"/>
      <c r="BQ1291" s="110"/>
      <c r="BR1291" s="46" t="s">
        <v>9</v>
      </c>
      <c r="BS1291" s="141">
        <v>70.079329441700338</v>
      </c>
      <c r="BT1291" s="142"/>
      <c r="BU1291" s="141">
        <v>29.920670558299655</v>
      </c>
      <c r="BV1291" s="142"/>
      <c r="BW1291" s="42"/>
      <c r="BX1291" s="42"/>
      <c r="BY1291" s="42"/>
      <c r="BZ1291" s="42"/>
      <c r="CA1291" s="42"/>
      <c r="CB1291" s="42"/>
      <c r="CC1291" s="42"/>
      <c r="CD1291" s="110"/>
      <c r="CE1291" s="46" t="s">
        <v>9</v>
      </c>
      <c r="CF1291" s="141">
        <v>89.208070692777341</v>
      </c>
      <c r="CG1291" s="142"/>
      <c r="CH1291" s="141">
        <v>10.791929307222658</v>
      </c>
      <c r="CI1291" s="142"/>
      <c r="CJ1291" s="42"/>
      <c r="CK1291" s="42"/>
      <c r="CL1291" s="42"/>
      <c r="CM1291" s="42"/>
      <c r="CN1291" s="42"/>
      <c r="CO1291" s="42"/>
      <c r="CQ1291" s="110"/>
      <c r="CR1291" s="46" t="s">
        <v>9</v>
      </c>
      <c r="CS1291" s="141">
        <v>92.037350194838623</v>
      </c>
      <c r="CT1291" s="142"/>
      <c r="CU1291" s="141">
        <v>7.9626498051613854</v>
      </c>
      <c r="CV1291" s="142"/>
      <c r="CW1291" s="42"/>
      <c r="CX1291" s="42"/>
      <c r="CY1291" s="42"/>
      <c r="CZ1291" s="42"/>
      <c r="DA1291" s="42"/>
      <c r="DB1291" s="42"/>
      <c r="DC1291" s="42"/>
      <c r="DD1291" s="110"/>
      <c r="DE1291" s="46" t="s">
        <v>9</v>
      </c>
      <c r="DF1291" s="141">
        <v>87.441707298936649</v>
      </c>
      <c r="DG1291" s="142"/>
      <c r="DH1291" s="141">
        <v>12.558292701063344</v>
      </c>
      <c r="DI1291" s="142"/>
      <c r="DJ1291" s="42"/>
      <c r="DK1291" s="42"/>
      <c r="DL1291" s="42"/>
      <c r="DM1291" s="42"/>
      <c r="DN1291" s="42"/>
      <c r="DO1291" s="42"/>
    </row>
    <row r="1292" spans="2:119" ht="15.4" x14ac:dyDescent="0.45">
      <c r="B1292" s="99"/>
      <c r="C1292" s="42"/>
      <c r="D1292" s="110"/>
      <c r="E1292" s="46" t="s">
        <v>10</v>
      </c>
      <c r="F1292" s="141">
        <v>96.689424191678469</v>
      </c>
      <c r="G1292" s="142"/>
      <c r="H1292" s="141">
        <v>3.3105758083215253</v>
      </c>
      <c r="I1292" s="142"/>
      <c r="J1292" s="42"/>
      <c r="K1292" s="42"/>
      <c r="L1292" s="42"/>
      <c r="M1292" s="42"/>
      <c r="N1292" s="42"/>
      <c r="O1292" s="42"/>
      <c r="P1292" s="42"/>
      <c r="Q1292" s="110"/>
      <c r="R1292" s="46" t="s">
        <v>10</v>
      </c>
      <c r="S1292" s="141">
        <v>98.253734013057866</v>
      </c>
      <c r="T1292" s="142"/>
      <c r="U1292" s="141">
        <v>1.746265986942134</v>
      </c>
      <c r="V1292" s="142"/>
      <c r="W1292" s="42"/>
      <c r="X1292" s="42"/>
      <c r="Y1292" s="42"/>
      <c r="Z1292" s="42"/>
      <c r="AA1292" s="42"/>
      <c r="AB1292" s="42"/>
      <c r="AC1292" s="42"/>
      <c r="AD1292" s="110"/>
      <c r="AE1292" s="46" t="s">
        <v>10</v>
      </c>
      <c r="AF1292" s="141">
        <v>95.244879418566242</v>
      </c>
      <c r="AG1292" s="142"/>
      <c r="AH1292" s="141">
        <v>4.7551205814337631</v>
      </c>
      <c r="AI1292" s="142"/>
      <c r="AJ1292" s="42"/>
      <c r="AK1292" s="42"/>
      <c r="AL1292" s="42"/>
      <c r="AM1292" s="42"/>
      <c r="AN1292" s="42"/>
      <c r="AO1292" s="42"/>
      <c r="AQ1292" s="110"/>
      <c r="AR1292" s="46" t="s">
        <v>10</v>
      </c>
      <c r="AS1292" s="141">
        <v>91.599034876069325</v>
      </c>
      <c r="AT1292" s="142"/>
      <c r="AU1292" s="141">
        <v>8.4009651239306873</v>
      </c>
      <c r="AV1292" s="142"/>
      <c r="AW1292" s="42"/>
      <c r="AX1292" s="42"/>
      <c r="AY1292" s="42"/>
      <c r="AZ1292" s="42"/>
      <c r="BA1292" s="42"/>
      <c r="BB1292" s="42"/>
      <c r="BC1292" s="42"/>
      <c r="BD1292" s="110"/>
      <c r="BE1292" s="46" t="s">
        <v>10</v>
      </c>
      <c r="BF1292" s="141">
        <v>97.565394632544439</v>
      </c>
      <c r="BG1292" s="142"/>
      <c r="BH1292" s="141">
        <v>2.4346053674555543</v>
      </c>
      <c r="BI1292" s="142"/>
      <c r="BJ1292" s="42"/>
      <c r="BK1292" s="42"/>
      <c r="BL1292" s="42"/>
      <c r="BM1292" s="42"/>
      <c r="BN1292" s="42"/>
      <c r="BO1292" s="42"/>
      <c r="BQ1292" s="110"/>
      <c r="BR1292" s="46" t="s">
        <v>10</v>
      </c>
      <c r="BS1292" s="141">
        <v>87.309517861603808</v>
      </c>
      <c r="BT1292" s="142"/>
      <c r="BU1292" s="141">
        <v>12.690482138396202</v>
      </c>
      <c r="BV1292" s="142"/>
      <c r="BW1292" s="42"/>
      <c r="BX1292" s="42"/>
      <c r="BY1292" s="42"/>
      <c r="BZ1292" s="42"/>
      <c r="CA1292" s="42"/>
      <c r="CB1292" s="42"/>
      <c r="CC1292" s="42"/>
      <c r="CD1292" s="110"/>
      <c r="CE1292" s="46" t="s">
        <v>10</v>
      </c>
      <c r="CF1292" s="141">
        <v>97.110585173802349</v>
      </c>
      <c r="CG1292" s="142"/>
      <c r="CH1292" s="141">
        <v>2.88941482619766</v>
      </c>
      <c r="CI1292" s="142"/>
      <c r="CJ1292" s="42"/>
      <c r="CK1292" s="42"/>
      <c r="CL1292" s="42"/>
      <c r="CM1292" s="42"/>
      <c r="CN1292" s="42"/>
      <c r="CO1292" s="42"/>
      <c r="CQ1292" s="110"/>
      <c r="CR1292" s="46" t="s">
        <v>10</v>
      </c>
      <c r="CS1292" s="141">
        <v>98.215368621675466</v>
      </c>
      <c r="CT1292" s="142"/>
      <c r="CU1292" s="141">
        <v>1.7846313783245256</v>
      </c>
      <c r="CV1292" s="142"/>
      <c r="CW1292" s="42"/>
      <c r="CX1292" s="42"/>
      <c r="CY1292" s="42"/>
      <c r="CZ1292" s="42"/>
      <c r="DA1292" s="42"/>
      <c r="DB1292" s="42"/>
      <c r="DC1292" s="42"/>
      <c r="DD1292" s="110"/>
      <c r="DE1292" s="46" t="s">
        <v>10</v>
      </c>
      <c r="DF1292" s="141">
        <v>96.473601019445425</v>
      </c>
      <c r="DG1292" s="142"/>
      <c r="DH1292" s="141">
        <v>3.526398980554569</v>
      </c>
      <c r="DI1292" s="142"/>
      <c r="DJ1292" s="42"/>
      <c r="DK1292" s="42"/>
      <c r="DL1292" s="42"/>
      <c r="DM1292" s="42"/>
      <c r="DN1292" s="42"/>
      <c r="DO1292" s="42"/>
    </row>
    <row r="1293" spans="2:119" ht="15.4" x14ac:dyDescent="0.45">
      <c r="B1293" s="99"/>
      <c r="C1293" s="42"/>
      <c r="D1293" s="111"/>
      <c r="E1293" s="46" t="s">
        <v>11</v>
      </c>
      <c r="F1293" s="141">
        <v>99.327522895190896</v>
      </c>
      <c r="G1293" s="142"/>
      <c r="H1293" s="141">
        <v>0.67247710480909606</v>
      </c>
      <c r="I1293" s="142"/>
      <c r="J1293" s="42"/>
      <c r="K1293" s="42"/>
      <c r="L1293" s="42"/>
      <c r="M1293" s="42"/>
      <c r="N1293" s="42"/>
      <c r="O1293" s="42"/>
      <c r="P1293" s="42"/>
      <c r="Q1293" s="111"/>
      <c r="R1293" s="46" t="s">
        <v>11</v>
      </c>
      <c r="S1293" s="141">
        <v>99.722097714029573</v>
      </c>
      <c r="T1293" s="142"/>
      <c r="U1293" s="141">
        <v>0.27790228597041683</v>
      </c>
      <c r="V1293" s="142"/>
      <c r="W1293" s="42"/>
      <c r="X1293" s="42"/>
      <c r="Y1293" s="42"/>
      <c r="Z1293" s="42"/>
      <c r="AA1293" s="42"/>
      <c r="AB1293" s="42"/>
      <c r="AC1293" s="42"/>
      <c r="AD1293" s="111"/>
      <c r="AE1293" s="46" t="s">
        <v>11</v>
      </c>
      <c r="AF1293" s="141">
        <v>98.943046820405314</v>
      </c>
      <c r="AG1293" s="142"/>
      <c r="AH1293" s="141">
        <v>1.0569531795946889</v>
      </c>
      <c r="AI1293" s="142"/>
      <c r="AJ1293" s="42"/>
      <c r="AK1293" s="42"/>
      <c r="AL1293" s="42"/>
      <c r="AM1293" s="42"/>
      <c r="AN1293" s="42"/>
      <c r="AO1293" s="42"/>
      <c r="AQ1293" s="111"/>
      <c r="AR1293" s="46" t="s">
        <v>11</v>
      </c>
      <c r="AS1293" s="141">
        <v>97.429305912596391</v>
      </c>
      <c r="AT1293" s="142"/>
      <c r="AU1293" s="141">
        <v>2.5706940874035991</v>
      </c>
      <c r="AV1293" s="142"/>
      <c r="AW1293" s="42"/>
      <c r="AX1293" s="42"/>
      <c r="AY1293" s="42"/>
      <c r="AZ1293" s="42"/>
      <c r="BA1293" s="42"/>
      <c r="BB1293" s="42"/>
      <c r="BC1293" s="42"/>
      <c r="BD1293" s="111"/>
      <c r="BE1293" s="46" t="s">
        <v>11</v>
      </c>
      <c r="BF1293" s="141">
        <v>99.506244554167878</v>
      </c>
      <c r="BG1293" s="142"/>
      <c r="BH1293" s="141">
        <v>0.49375544583212316</v>
      </c>
      <c r="BI1293" s="142"/>
      <c r="BJ1293" s="42"/>
      <c r="BK1293" s="42"/>
      <c r="BL1293" s="42"/>
      <c r="BM1293" s="42"/>
      <c r="BN1293" s="42"/>
      <c r="BO1293" s="42"/>
      <c r="BQ1293" s="111"/>
      <c r="BR1293" s="46" t="s">
        <v>11</v>
      </c>
      <c r="BS1293" s="141">
        <v>94.572591587516968</v>
      </c>
      <c r="BT1293" s="142"/>
      <c r="BU1293" s="141">
        <v>5.4274084124830395</v>
      </c>
      <c r="BV1293" s="142"/>
      <c r="BW1293" s="42"/>
      <c r="BX1293" s="42"/>
      <c r="BY1293" s="42"/>
      <c r="BZ1293" s="42"/>
      <c r="CA1293" s="42"/>
      <c r="CB1293" s="42"/>
      <c r="CC1293" s="42"/>
      <c r="CD1293" s="111"/>
      <c r="CE1293" s="46" t="s">
        <v>11</v>
      </c>
      <c r="CF1293" s="141">
        <v>99.487789261867746</v>
      </c>
      <c r="CG1293" s="142"/>
      <c r="CH1293" s="141">
        <v>0.51221073813226015</v>
      </c>
      <c r="CI1293" s="142"/>
      <c r="CJ1293" s="42"/>
      <c r="CK1293" s="42"/>
      <c r="CL1293" s="42"/>
      <c r="CM1293" s="42"/>
      <c r="CN1293" s="42"/>
      <c r="CO1293" s="42"/>
      <c r="CQ1293" s="111"/>
      <c r="CR1293" s="46" t="s">
        <v>11</v>
      </c>
      <c r="CS1293" s="141">
        <v>99.644830307813734</v>
      </c>
      <c r="CT1293" s="142"/>
      <c r="CU1293" s="141">
        <v>0.35516969218626676</v>
      </c>
      <c r="CV1293" s="142"/>
      <c r="CW1293" s="42"/>
      <c r="CX1293" s="42"/>
      <c r="CY1293" s="42"/>
      <c r="CZ1293" s="42"/>
      <c r="DA1293" s="42"/>
      <c r="DB1293" s="42"/>
      <c r="DC1293" s="42"/>
      <c r="DD1293" s="111"/>
      <c r="DE1293" s="46" t="s">
        <v>11</v>
      </c>
      <c r="DF1293" s="141">
        <v>99.287458268972046</v>
      </c>
      <c r="DG1293" s="142"/>
      <c r="DH1293" s="141">
        <v>0.7125417310279536</v>
      </c>
      <c r="DI1293" s="142"/>
      <c r="DJ1293" s="42"/>
      <c r="DK1293" s="42"/>
      <c r="DL1293" s="42"/>
      <c r="DM1293" s="42"/>
      <c r="DN1293" s="42"/>
      <c r="DO1293" s="42"/>
    </row>
    <row r="1294" spans="2:119" x14ac:dyDescent="0.45">
      <c r="B1294" s="99"/>
      <c r="C1294" s="42"/>
      <c r="D1294" s="42"/>
      <c r="E1294" s="42"/>
      <c r="F1294" s="42"/>
      <c r="G1294" s="42"/>
      <c r="H1294" s="42"/>
      <c r="I1294" s="42"/>
      <c r="J1294" s="42"/>
      <c r="K1294" s="42"/>
      <c r="L1294" s="42"/>
      <c r="M1294" s="42"/>
      <c r="N1294" s="42"/>
      <c r="O1294" s="42"/>
      <c r="P1294" s="42"/>
      <c r="Q1294" s="42"/>
      <c r="R1294" s="42"/>
      <c r="S1294" s="42"/>
      <c r="T1294" s="42"/>
      <c r="U1294" s="42"/>
      <c r="V1294" s="42"/>
      <c r="W1294" s="42"/>
      <c r="X1294" s="42"/>
      <c r="Y1294" s="42"/>
      <c r="Z1294" s="42"/>
      <c r="AA1294" s="42"/>
      <c r="AB1294" s="42"/>
      <c r="AC1294" s="42"/>
      <c r="AD1294" s="42"/>
      <c r="AE1294" s="42"/>
      <c r="AF1294" s="42"/>
      <c r="AG1294" s="42"/>
      <c r="AH1294" s="42"/>
      <c r="AI1294" s="42"/>
      <c r="AJ1294" s="42"/>
      <c r="AK1294" s="42"/>
      <c r="AL1294" s="42"/>
      <c r="AM1294" s="42"/>
      <c r="AN1294" s="42"/>
      <c r="AO1294" s="42"/>
      <c r="AQ1294" s="42"/>
      <c r="AR1294" s="42"/>
      <c r="AS1294" s="42"/>
      <c r="AT1294" s="42"/>
      <c r="AU1294" s="42"/>
      <c r="AV1294" s="42"/>
      <c r="AW1294" s="42"/>
      <c r="AX1294" s="42"/>
      <c r="AY1294" s="42"/>
      <c r="AZ1294" s="42"/>
      <c r="BA1294" s="42"/>
      <c r="BB1294" s="42"/>
      <c r="BC1294" s="42"/>
      <c r="BD1294" s="42"/>
      <c r="BE1294" s="42"/>
      <c r="BF1294" s="42"/>
      <c r="BG1294" s="42"/>
      <c r="BH1294" s="42"/>
      <c r="BI1294" s="42"/>
      <c r="BJ1294" s="42"/>
      <c r="BK1294" s="42"/>
      <c r="BL1294" s="42"/>
      <c r="BM1294" s="42"/>
      <c r="BN1294" s="42"/>
      <c r="BO1294" s="42"/>
      <c r="BQ1294" s="42"/>
      <c r="BR1294" s="42"/>
      <c r="BS1294" s="42"/>
      <c r="BT1294" s="42"/>
      <c r="BU1294" s="42"/>
      <c r="BV1294" s="42"/>
      <c r="BW1294" s="42"/>
      <c r="BX1294" s="42"/>
      <c r="BY1294" s="42"/>
      <c r="BZ1294" s="42"/>
      <c r="CA1294" s="42"/>
      <c r="CB1294" s="42"/>
      <c r="CC1294" s="42"/>
      <c r="CD1294" s="42"/>
      <c r="CE1294" s="42"/>
      <c r="CF1294" s="42"/>
      <c r="CG1294" s="42"/>
      <c r="CH1294" s="42"/>
      <c r="CI1294" s="42"/>
      <c r="CJ1294" s="42"/>
      <c r="CK1294" s="42"/>
      <c r="CL1294" s="42"/>
      <c r="CM1294" s="42"/>
      <c r="CN1294" s="42"/>
      <c r="CO1294" s="42"/>
      <c r="CQ1294" s="42"/>
      <c r="CR1294" s="42"/>
      <c r="CS1294" s="42"/>
      <c r="CT1294" s="42"/>
      <c r="CU1294" s="42"/>
      <c r="CV1294" s="42"/>
      <c r="CW1294" s="42"/>
      <c r="CX1294" s="42"/>
      <c r="CY1294" s="42"/>
      <c r="CZ1294" s="42"/>
      <c r="DA1294" s="42"/>
      <c r="DB1294" s="42"/>
      <c r="DC1294" s="42"/>
      <c r="DD1294" s="42"/>
      <c r="DE1294" s="42"/>
      <c r="DF1294" s="42"/>
      <c r="DG1294" s="42"/>
      <c r="DH1294" s="42"/>
      <c r="DI1294" s="42"/>
      <c r="DJ1294" s="42"/>
      <c r="DK1294" s="42"/>
      <c r="DL1294" s="42"/>
      <c r="DM1294" s="42"/>
      <c r="DN1294" s="42"/>
      <c r="DO1294" s="42"/>
    </row>
    <row r="1295" spans="2:119" x14ac:dyDescent="0.45">
      <c r="B1295" s="99"/>
      <c r="C1295" s="42"/>
      <c r="D1295" s="42"/>
      <c r="E1295" s="42"/>
      <c r="F1295" s="42"/>
      <c r="G1295" s="42"/>
      <c r="H1295" s="42"/>
      <c r="I1295" s="42"/>
      <c r="J1295" s="42"/>
      <c r="K1295" s="42"/>
      <c r="L1295" s="42"/>
      <c r="M1295" s="42"/>
      <c r="N1295" s="42"/>
      <c r="O1295" s="42"/>
      <c r="P1295" s="42"/>
      <c r="Q1295" s="42"/>
      <c r="R1295" s="42"/>
      <c r="S1295" s="42"/>
      <c r="T1295" s="42"/>
      <c r="U1295" s="42"/>
      <c r="V1295" s="42"/>
      <c r="W1295" s="42"/>
      <c r="X1295" s="42"/>
      <c r="Y1295" s="42"/>
      <c r="Z1295" s="42"/>
      <c r="AA1295" s="42"/>
      <c r="AB1295" s="42"/>
      <c r="AC1295" s="42"/>
      <c r="AD1295" s="42"/>
      <c r="AE1295" s="42"/>
      <c r="AF1295" s="42"/>
      <c r="AG1295" s="42"/>
      <c r="AH1295" s="42"/>
      <c r="AI1295" s="42"/>
      <c r="AJ1295" s="42"/>
      <c r="AK1295" s="42"/>
      <c r="AL1295" s="42"/>
      <c r="AM1295" s="42"/>
      <c r="AN1295" s="42"/>
      <c r="AO1295" s="42"/>
      <c r="AQ1295" s="42"/>
      <c r="AR1295" s="42"/>
      <c r="AS1295" s="42"/>
      <c r="AT1295" s="42"/>
      <c r="AU1295" s="42"/>
      <c r="AV1295" s="42"/>
      <c r="AW1295" s="42"/>
      <c r="AX1295" s="42"/>
      <c r="AY1295" s="42"/>
      <c r="AZ1295" s="42"/>
      <c r="BA1295" s="42"/>
      <c r="BB1295" s="42"/>
      <c r="BC1295" s="42"/>
      <c r="BD1295" s="42"/>
      <c r="BE1295" s="42"/>
      <c r="BF1295" s="42"/>
      <c r="BG1295" s="42"/>
      <c r="BH1295" s="42"/>
      <c r="BI1295" s="42"/>
      <c r="BJ1295" s="42"/>
      <c r="BK1295" s="42"/>
      <c r="BL1295" s="42"/>
      <c r="BM1295" s="42"/>
      <c r="BN1295" s="42"/>
      <c r="BO1295" s="42"/>
      <c r="BQ1295" s="42"/>
      <c r="BR1295" s="42"/>
      <c r="BS1295" s="42"/>
      <c r="BT1295" s="42"/>
      <c r="BU1295" s="42"/>
      <c r="BV1295" s="42"/>
      <c r="BW1295" s="42"/>
      <c r="BX1295" s="42"/>
      <c r="BY1295" s="42"/>
      <c r="BZ1295" s="42"/>
      <c r="CA1295" s="42"/>
      <c r="CB1295" s="42"/>
      <c r="CC1295" s="42"/>
      <c r="CD1295" s="42"/>
      <c r="CE1295" s="42"/>
      <c r="CF1295" s="42"/>
      <c r="CG1295" s="42"/>
      <c r="CH1295" s="42"/>
      <c r="CI1295" s="42"/>
      <c r="CJ1295" s="42"/>
      <c r="CK1295" s="42"/>
      <c r="CL1295" s="42"/>
      <c r="CM1295" s="42"/>
      <c r="CN1295" s="42"/>
      <c r="CO1295" s="42"/>
      <c r="CQ1295" s="42"/>
      <c r="CR1295" s="42"/>
      <c r="CS1295" s="42"/>
      <c r="CT1295" s="42"/>
      <c r="CU1295" s="42"/>
      <c r="CV1295" s="42"/>
      <c r="CW1295" s="42"/>
      <c r="CX1295" s="42"/>
      <c r="CY1295" s="42"/>
      <c r="CZ1295" s="42"/>
      <c r="DA1295" s="42"/>
      <c r="DB1295" s="42"/>
      <c r="DC1295" s="42"/>
      <c r="DD1295" s="42"/>
      <c r="DE1295" s="42"/>
      <c r="DF1295" s="42"/>
      <c r="DG1295" s="42"/>
      <c r="DH1295" s="42"/>
      <c r="DI1295" s="42"/>
      <c r="DJ1295" s="42"/>
      <c r="DK1295" s="42"/>
      <c r="DL1295" s="42"/>
      <c r="DM1295" s="42"/>
      <c r="DN1295" s="42"/>
      <c r="DO1295" s="42"/>
    </row>
    <row r="1296" spans="2:119" ht="18.75" customHeight="1" x14ac:dyDescent="0.55000000000000004">
      <c r="B1296" s="99"/>
      <c r="C1296" s="42"/>
      <c r="D1296" s="112" t="s">
        <v>24</v>
      </c>
      <c r="E1296" s="112"/>
      <c r="F1296" s="45"/>
      <c r="G1296" s="45"/>
      <c r="H1296" s="42"/>
      <c r="I1296" s="42"/>
      <c r="J1296" s="42"/>
      <c r="K1296" s="42"/>
      <c r="L1296" s="42"/>
      <c r="M1296" s="42"/>
      <c r="N1296" s="42"/>
      <c r="O1296" s="42"/>
      <c r="P1296" s="42"/>
      <c r="Q1296" s="112" t="s">
        <v>24</v>
      </c>
      <c r="R1296" s="112"/>
      <c r="S1296" s="45"/>
      <c r="T1296" s="45"/>
      <c r="U1296" s="42"/>
      <c r="V1296" s="42"/>
      <c r="W1296" s="42"/>
      <c r="X1296" s="42"/>
      <c r="Y1296" s="42"/>
      <c r="Z1296" s="42"/>
      <c r="AA1296" s="42"/>
      <c r="AB1296" s="42"/>
      <c r="AC1296" s="42"/>
      <c r="AD1296" s="112" t="s">
        <v>24</v>
      </c>
      <c r="AE1296" s="112"/>
      <c r="AF1296" s="45"/>
      <c r="AG1296" s="45"/>
      <c r="AH1296" s="42"/>
      <c r="AI1296" s="42"/>
      <c r="AJ1296" s="42"/>
      <c r="AK1296" s="42"/>
      <c r="AL1296" s="42"/>
      <c r="AM1296" s="42"/>
      <c r="AN1296" s="42"/>
      <c r="AO1296" s="42"/>
      <c r="AQ1296" s="112" t="s">
        <v>24</v>
      </c>
      <c r="AR1296" s="112"/>
      <c r="AS1296" s="45"/>
      <c r="AT1296" s="45"/>
      <c r="AU1296" s="42"/>
      <c r="AV1296" s="42"/>
      <c r="AW1296" s="42"/>
      <c r="AX1296" s="42"/>
      <c r="AY1296" s="42"/>
      <c r="AZ1296" s="42"/>
      <c r="BA1296" s="42"/>
      <c r="BB1296" s="42"/>
      <c r="BC1296" s="42"/>
      <c r="BD1296" s="112" t="s">
        <v>24</v>
      </c>
      <c r="BE1296" s="112"/>
      <c r="BF1296" s="45"/>
      <c r="BG1296" s="45"/>
      <c r="BH1296" s="42"/>
      <c r="BI1296" s="42"/>
      <c r="BJ1296" s="42"/>
      <c r="BK1296" s="42"/>
      <c r="BL1296" s="42"/>
      <c r="BM1296" s="42"/>
      <c r="BN1296" s="42"/>
      <c r="BO1296" s="42"/>
      <c r="BQ1296" s="112" t="s">
        <v>24</v>
      </c>
      <c r="BR1296" s="112"/>
      <c r="BS1296" s="45"/>
      <c r="BT1296" s="45"/>
      <c r="BU1296" s="42"/>
      <c r="BV1296" s="42"/>
      <c r="BW1296" s="42"/>
      <c r="BX1296" s="42"/>
      <c r="BY1296" s="42"/>
      <c r="BZ1296" s="42"/>
      <c r="CA1296" s="42"/>
      <c r="CB1296" s="42"/>
      <c r="CC1296" s="42"/>
      <c r="CD1296" s="112" t="s">
        <v>24</v>
      </c>
      <c r="CE1296" s="112"/>
      <c r="CF1296" s="45"/>
      <c r="CG1296" s="45"/>
      <c r="CH1296" s="42"/>
      <c r="CI1296" s="42"/>
      <c r="CJ1296" s="42"/>
      <c r="CK1296" s="42"/>
      <c r="CL1296" s="42"/>
      <c r="CM1296" s="42"/>
      <c r="CN1296" s="42"/>
      <c r="CO1296" s="42"/>
      <c r="CQ1296" s="112" t="s">
        <v>24</v>
      </c>
      <c r="CR1296" s="112"/>
      <c r="CS1296" s="45"/>
      <c r="CT1296" s="45"/>
      <c r="CU1296" s="42"/>
      <c r="CV1296" s="42"/>
      <c r="CW1296" s="42"/>
      <c r="CX1296" s="42"/>
      <c r="CY1296" s="42"/>
      <c r="CZ1296" s="42"/>
      <c r="DA1296" s="42"/>
      <c r="DB1296" s="42"/>
      <c r="DC1296" s="42"/>
      <c r="DD1296" s="112" t="s">
        <v>24</v>
      </c>
      <c r="DE1296" s="112"/>
      <c r="DF1296" s="45"/>
      <c r="DG1296" s="45"/>
      <c r="DH1296" s="42"/>
      <c r="DI1296" s="42"/>
      <c r="DJ1296" s="42"/>
      <c r="DK1296" s="42"/>
      <c r="DL1296" s="42"/>
      <c r="DM1296" s="42"/>
      <c r="DN1296" s="42"/>
      <c r="DO1296" s="42"/>
    </row>
    <row r="1297" spans="2:119" ht="28.9" customHeight="1" x14ac:dyDescent="0.45">
      <c r="B1297" s="99"/>
      <c r="C1297" s="42"/>
      <c r="D1297" s="112"/>
      <c r="E1297" s="112"/>
      <c r="F1297" s="108" t="s">
        <v>58</v>
      </c>
      <c r="G1297" s="108"/>
      <c r="H1297" s="108"/>
      <c r="I1297" s="108"/>
      <c r="J1297" s="42"/>
      <c r="K1297" s="42"/>
      <c r="L1297" s="42"/>
      <c r="M1297" s="42"/>
      <c r="N1297" s="42"/>
      <c r="O1297" s="42"/>
      <c r="P1297" s="42"/>
      <c r="Q1297" s="112"/>
      <c r="R1297" s="112"/>
      <c r="S1297" s="108" t="s">
        <v>58</v>
      </c>
      <c r="T1297" s="108"/>
      <c r="U1297" s="108"/>
      <c r="V1297" s="108"/>
      <c r="W1297" s="42"/>
      <c r="X1297" s="42"/>
      <c r="Y1297" s="42"/>
      <c r="Z1297" s="42"/>
      <c r="AA1297" s="42"/>
      <c r="AB1297" s="42"/>
      <c r="AC1297" s="42"/>
      <c r="AD1297" s="112"/>
      <c r="AE1297" s="112"/>
      <c r="AF1297" s="108" t="s">
        <v>58</v>
      </c>
      <c r="AG1297" s="108"/>
      <c r="AH1297" s="108"/>
      <c r="AI1297" s="108"/>
      <c r="AJ1297" s="42"/>
      <c r="AK1297" s="42"/>
      <c r="AL1297" s="42"/>
      <c r="AM1297" s="42"/>
      <c r="AN1297" s="42"/>
      <c r="AO1297" s="42"/>
      <c r="AQ1297" s="112"/>
      <c r="AR1297" s="112"/>
      <c r="AS1297" s="108" t="s">
        <v>58</v>
      </c>
      <c r="AT1297" s="108"/>
      <c r="AU1297" s="108"/>
      <c r="AV1297" s="108"/>
      <c r="AW1297" s="42"/>
      <c r="AX1297" s="42"/>
      <c r="AY1297" s="42"/>
      <c r="AZ1297" s="42"/>
      <c r="BA1297" s="42"/>
      <c r="BB1297" s="42"/>
      <c r="BC1297" s="42"/>
      <c r="BD1297" s="112"/>
      <c r="BE1297" s="112"/>
      <c r="BF1297" s="108" t="s">
        <v>58</v>
      </c>
      <c r="BG1297" s="108"/>
      <c r="BH1297" s="108"/>
      <c r="BI1297" s="108"/>
      <c r="BJ1297" s="42"/>
      <c r="BK1297" s="42"/>
      <c r="BL1297" s="42"/>
      <c r="BM1297" s="42"/>
      <c r="BN1297" s="42"/>
      <c r="BO1297" s="42"/>
      <c r="BQ1297" s="112"/>
      <c r="BR1297" s="112"/>
      <c r="BS1297" s="108" t="s">
        <v>58</v>
      </c>
      <c r="BT1297" s="108"/>
      <c r="BU1297" s="108"/>
      <c r="BV1297" s="108"/>
      <c r="BW1297" s="42"/>
      <c r="BX1297" s="42"/>
      <c r="BY1297" s="42"/>
      <c r="BZ1297" s="42"/>
      <c r="CA1297" s="42"/>
      <c r="CB1297" s="42"/>
      <c r="CC1297" s="42"/>
      <c r="CD1297" s="112"/>
      <c r="CE1297" s="112"/>
      <c r="CF1297" s="108" t="s">
        <v>58</v>
      </c>
      <c r="CG1297" s="108"/>
      <c r="CH1297" s="108"/>
      <c r="CI1297" s="108"/>
      <c r="CJ1297" s="42"/>
      <c r="CK1297" s="42"/>
      <c r="CL1297" s="42"/>
      <c r="CM1297" s="42"/>
      <c r="CN1297" s="42"/>
      <c r="CO1297" s="42"/>
      <c r="CQ1297" s="112"/>
      <c r="CR1297" s="112"/>
      <c r="CS1297" s="108" t="s">
        <v>58</v>
      </c>
      <c r="CT1297" s="108"/>
      <c r="CU1297" s="108"/>
      <c r="CV1297" s="108"/>
      <c r="CW1297" s="42"/>
      <c r="CX1297" s="42"/>
      <c r="CY1297" s="42"/>
      <c r="CZ1297" s="42"/>
      <c r="DA1297" s="42"/>
      <c r="DB1297" s="42"/>
      <c r="DC1297" s="42"/>
      <c r="DD1297" s="112"/>
      <c r="DE1297" s="112"/>
      <c r="DF1297" s="108" t="s">
        <v>58</v>
      </c>
      <c r="DG1297" s="108"/>
      <c r="DH1297" s="108"/>
      <c r="DI1297" s="108"/>
      <c r="DJ1297" s="42"/>
      <c r="DK1297" s="42"/>
      <c r="DL1297" s="42"/>
      <c r="DM1297" s="42"/>
      <c r="DN1297" s="42"/>
      <c r="DO1297" s="42"/>
    </row>
    <row r="1298" spans="2:119" ht="15" customHeight="1" x14ac:dyDescent="0.45">
      <c r="B1298" s="99"/>
      <c r="C1298" s="42"/>
      <c r="D1298" s="113"/>
      <c r="E1298" s="113"/>
      <c r="F1298" s="143" t="s">
        <v>64</v>
      </c>
      <c r="G1298" s="144"/>
      <c r="H1298" s="143" t="s">
        <v>110</v>
      </c>
      <c r="I1298" s="144"/>
      <c r="J1298" s="42"/>
      <c r="K1298" s="42"/>
      <c r="L1298" s="42"/>
      <c r="M1298" s="42"/>
      <c r="N1298" s="42"/>
      <c r="O1298" s="42"/>
      <c r="P1298" s="42"/>
      <c r="Q1298" s="113"/>
      <c r="R1298" s="113"/>
      <c r="S1298" s="143" t="s">
        <v>64</v>
      </c>
      <c r="T1298" s="144"/>
      <c r="U1298" s="143" t="s">
        <v>110</v>
      </c>
      <c r="V1298" s="144"/>
      <c r="W1298" s="42"/>
      <c r="X1298" s="42"/>
      <c r="Y1298" s="42"/>
      <c r="Z1298" s="42"/>
      <c r="AA1298" s="42"/>
      <c r="AB1298" s="42"/>
      <c r="AC1298" s="42"/>
      <c r="AD1298" s="113"/>
      <c r="AE1298" s="113"/>
      <c r="AF1298" s="143" t="s">
        <v>64</v>
      </c>
      <c r="AG1298" s="144"/>
      <c r="AH1298" s="143" t="s">
        <v>110</v>
      </c>
      <c r="AI1298" s="144"/>
      <c r="AJ1298" s="42"/>
      <c r="AK1298" s="42"/>
      <c r="AL1298" s="42"/>
      <c r="AM1298" s="42"/>
      <c r="AN1298" s="42"/>
      <c r="AO1298" s="42"/>
      <c r="AQ1298" s="113"/>
      <c r="AR1298" s="113"/>
      <c r="AS1298" s="143" t="s">
        <v>64</v>
      </c>
      <c r="AT1298" s="144"/>
      <c r="AU1298" s="143" t="s">
        <v>110</v>
      </c>
      <c r="AV1298" s="144"/>
      <c r="AW1298" s="42"/>
      <c r="AX1298" s="42"/>
      <c r="AY1298" s="42"/>
      <c r="AZ1298" s="42"/>
      <c r="BA1298" s="42"/>
      <c r="BB1298" s="42"/>
      <c r="BC1298" s="42"/>
      <c r="BD1298" s="113"/>
      <c r="BE1298" s="113"/>
      <c r="BF1298" s="143" t="s">
        <v>64</v>
      </c>
      <c r="BG1298" s="144"/>
      <c r="BH1298" s="143" t="s">
        <v>110</v>
      </c>
      <c r="BI1298" s="144"/>
      <c r="BJ1298" s="42"/>
      <c r="BK1298" s="42"/>
      <c r="BL1298" s="42"/>
      <c r="BM1298" s="42"/>
      <c r="BN1298" s="42"/>
      <c r="BO1298" s="42"/>
      <c r="BQ1298" s="113"/>
      <c r="BR1298" s="113"/>
      <c r="BS1298" s="143" t="s">
        <v>64</v>
      </c>
      <c r="BT1298" s="144"/>
      <c r="BU1298" s="143" t="s">
        <v>110</v>
      </c>
      <c r="BV1298" s="144"/>
      <c r="BW1298" s="42"/>
      <c r="BX1298" s="42"/>
      <c r="BY1298" s="42"/>
      <c r="BZ1298" s="42"/>
      <c r="CA1298" s="42"/>
      <c r="CB1298" s="42"/>
      <c r="CC1298" s="42"/>
      <c r="CD1298" s="113"/>
      <c r="CE1298" s="113"/>
      <c r="CF1298" s="143" t="s">
        <v>64</v>
      </c>
      <c r="CG1298" s="144"/>
      <c r="CH1298" s="143" t="s">
        <v>110</v>
      </c>
      <c r="CI1298" s="144"/>
      <c r="CJ1298" s="42"/>
      <c r="CK1298" s="42"/>
      <c r="CL1298" s="42"/>
      <c r="CM1298" s="42"/>
      <c r="CN1298" s="42"/>
      <c r="CO1298" s="42"/>
      <c r="CQ1298" s="113"/>
      <c r="CR1298" s="113"/>
      <c r="CS1298" s="143" t="s">
        <v>64</v>
      </c>
      <c r="CT1298" s="144"/>
      <c r="CU1298" s="143" t="s">
        <v>110</v>
      </c>
      <c r="CV1298" s="144"/>
      <c r="CW1298" s="42"/>
      <c r="CX1298" s="42"/>
      <c r="CY1298" s="42"/>
      <c r="CZ1298" s="42"/>
      <c r="DA1298" s="42"/>
      <c r="DB1298" s="42"/>
      <c r="DC1298" s="42"/>
      <c r="DD1298" s="113"/>
      <c r="DE1298" s="113"/>
      <c r="DF1298" s="143" t="s">
        <v>64</v>
      </c>
      <c r="DG1298" s="144"/>
      <c r="DH1298" s="143" t="s">
        <v>110</v>
      </c>
      <c r="DI1298" s="144"/>
      <c r="DJ1298" s="42"/>
      <c r="DK1298" s="42"/>
      <c r="DL1298" s="42"/>
      <c r="DM1298" s="42"/>
      <c r="DN1298" s="42"/>
      <c r="DO1298" s="42"/>
    </row>
    <row r="1299" spans="2:119" ht="15.4" customHeight="1" x14ac:dyDescent="0.45">
      <c r="B1299" s="134" t="s">
        <v>63</v>
      </c>
      <c r="C1299" s="42"/>
      <c r="D1299" s="109" t="s">
        <v>13</v>
      </c>
      <c r="E1299" s="46" t="s">
        <v>1</v>
      </c>
      <c r="F1299" s="141">
        <v>8</v>
      </c>
      <c r="G1299" s="142"/>
      <c r="H1299" s="141">
        <v>2681</v>
      </c>
      <c r="I1299" s="142"/>
      <c r="J1299" s="42"/>
      <c r="K1299" s="42"/>
      <c r="L1299" s="42"/>
      <c r="M1299" s="42"/>
      <c r="N1299" s="42"/>
      <c r="O1299" s="42"/>
      <c r="P1299" s="42"/>
      <c r="Q1299" s="109" t="s">
        <v>13</v>
      </c>
      <c r="R1299" s="46" t="s">
        <v>1</v>
      </c>
      <c r="S1299" s="141">
        <v>5</v>
      </c>
      <c r="T1299" s="142"/>
      <c r="U1299" s="141">
        <v>928</v>
      </c>
      <c r="V1299" s="142"/>
      <c r="W1299" s="42"/>
      <c r="X1299" s="42"/>
      <c r="Y1299" s="42"/>
      <c r="Z1299" s="42"/>
      <c r="AA1299" s="42"/>
      <c r="AB1299" s="42"/>
      <c r="AC1299" s="42"/>
      <c r="AD1299" s="109" t="s">
        <v>13</v>
      </c>
      <c r="AE1299" s="46" t="s">
        <v>1</v>
      </c>
      <c r="AF1299" s="141">
        <v>3</v>
      </c>
      <c r="AG1299" s="142"/>
      <c r="AH1299" s="141">
        <v>1753</v>
      </c>
      <c r="AI1299" s="142"/>
      <c r="AJ1299" s="42"/>
      <c r="AK1299" s="42"/>
      <c r="AL1299" s="42"/>
      <c r="AM1299" s="42"/>
      <c r="AN1299" s="42"/>
      <c r="AO1299" s="42"/>
      <c r="AQ1299" s="109" t="s">
        <v>13</v>
      </c>
      <c r="AR1299" s="46" t="s">
        <v>1</v>
      </c>
      <c r="AS1299" s="141">
        <v>3</v>
      </c>
      <c r="AT1299" s="142"/>
      <c r="AU1299" s="141">
        <v>1413</v>
      </c>
      <c r="AV1299" s="142"/>
      <c r="AW1299" s="42"/>
      <c r="AX1299" s="42"/>
      <c r="AY1299" s="42"/>
      <c r="AZ1299" s="42"/>
      <c r="BA1299" s="42"/>
      <c r="BB1299" s="42"/>
      <c r="BC1299" s="42"/>
      <c r="BD1299" s="109" t="s">
        <v>13</v>
      </c>
      <c r="BE1299" s="46" t="s">
        <v>1</v>
      </c>
      <c r="BF1299" s="141">
        <v>5</v>
      </c>
      <c r="BG1299" s="142"/>
      <c r="BH1299" s="141">
        <v>1268</v>
      </c>
      <c r="BI1299" s="142"/>
      <c r="BJ1299" s="42"/>
      <c r="BK1299" s="42"/>
      <c r="BL1299" s="42"/>
      <c r="BM1299" s="42"/>
      <c r="BN1299" s="42"/>
      <c r="BO1299" s="42"/>
      <c r="BQ1299" s="109" t="s">
        <v>13</v>
      </c>
      <c r="BR1299" s="46" t="s">
        <v>1</v>
      </c>
      <c r="BS1299" s="141">
        <v>3</v>
      </c>
      <c r="BT1299" s="142"/>
      <c r="BU1299" s="141">
        <v>2628</v>
      </c>
      <c r="BV1299" s="142"/>
      <c r="BW1299" s="42"/>
      <c r="BX1299" s="42"/>
      <c r="BY1299" s="42"/>
      <c r="BZ1299" s="42"/>
      <c r="CA1299" s="42"/>
      <c r="CB1299" s="42"/>
      <c r="CC1299" s="42"/>
      <c r="CD1299" s="109" t="s">
        <v>13</v>
      </c>
      <c r="CE1299" s="46" t="s">
        <v>1</v>
      </c>
      <c r="CF1299" s="141">
        <v>5</v>
      </c>
      <c r="CG1299" s="142"/>
      <c r="CH1299" s="141">
        <v>53</v>
      </c>
      <c r="CI1299" s="142"/>
      <c r="CJ1299" s="42"/>
      <c r="CK1299" s="42"/>
      <c r="CL1299" s="42"/>
      <c r="CM1299" s="42"/>
      <c r="CN1299" s="42"/>
      <c r="CO1299" s="42"/>
      <c r="CQ1299" s="109" t="s">
        <v>13</v>
      </c>
      <c r="CR1299" s="46" t="s">
        <v>1</v>
      </c>
      <c r="CS1299" s="141">
        <v>6</v>
      </c>
      <c r="CT1299" s="142"/>
      <c r="CU1299" s="141">
        <v>638</v>
      </c>
      <c r="CV1299" s="142"/>
      <c r="CW1299" s="42"/>
      <c r="CX1299" s="42"/>
      <c r="CY1299" s="42"/>
      <c r="CZ1299" s="42"/>
      <c r="DA1299" s="42"/>
      <c r="DB1299" s="42"/>
      <c r="DC1299" s="42"/>
      <c r="DD1299" s="109" t="s">
        <v>13</v>
      </c>
      <c r="DE1299" s="46" t="s">
        <v>1</v>
      </c>
      <c r="DF1299" s="141">
        <v>2</v>
      </c>
      <c r="DG1299" s="142"/>
      <c r="DH1299" s="141">
        <v>2043</v>
      </c>
      <c r="DI1299" s="142"/>
      <c r="DJ1299" s="42"/>
      <c r="DK1299" s="42"/>
      <c r="DL1299" s="42"/>
      <c r="DM1299" s="42"/>
      <c r="DN1299" s="42"/>
      <c r="DO1299" s="42"/>
    </row>
    <row r="1300" spans="2:119" ht="15.4" x14ac:dyDescent="0.45">
      <c r="B1300" s="134"/>
      <c r="C1300" s="42"/>
      <c r="D1300" s="110"/>
      <c r="E1300" s="46" t="s">
        <v>56</v>
      </c>
      <c r="F1300" s="141">
        <v>18</v>
      </c>
      <c r="G1300" s="142"/>
      <c r="H1300" s="141">
        <v>2095</v>
      </c>
      <c r="I1300" s="142"/>
      <c r="J1300" s="42"/>
      <c r="K1300" s="42"/>
      <c r="L1300" s="42"/>
      <c r="M1300" s="42"/>
      <c r="N1300" s="42"/>
      <c r="O1300" s="42"/>
      <c r="P1300" s="42"/>
      <c r="Q1300" s="110"/>
      <c r="R1300" s="46" t="s">
        <v>56</v>
      </c>
      <c r="S1300" s="141">
        <v>9</v>
      </c>
      <c r="T1300" s="142"/>
      <c r="U1300" s="141">
        <v>749</v>
      </c>
      <c r="V1300" s="142"/>
      <c r="W1300" s="42"/>
      <c r="X1300" s="42"/>
      <c r="Y1300" s="42"/>
      <c r="Z1300" s="42"/>
      <c r="AA1300" s="42"/>
      <c r="AB1300" s="42"/>
      <c r="AC1300" s="42"/>
      <c r="AD1300" s="110"/>
      <c r="AE1300" s="46" t="s">
        <v>56</v>
      </c>
      <c r="AF1300" s="141">
        <v>9</v>
      </c>
      <c r="AG1300" s="142"/>
      <c r="AH1300" s="141">
        <v>1346</v>
      </c>
      <c r="AI1300" s="142"/>
      <c r="AJ1300" s="42"/>
      <c r="AK1300" s="42"/>
      <c r="AL1300" s="42"/>
      <c r="AM1300" s="42"/>
      <c r="AN1300" s="42"/>
      <c r="AO1300" s="42"/>
      <c r="AQ1300" s="110"/>
      <c r="AR1300" s="46" t="s">
        <v>56</v>
      </c>
      <c r="AS1300" s="141">
        <v>3</v>
      </c>
      <c r="AT1300" s="142"/>
      <c r="AU1300" s="141">
        <v>1118</v>
      </c>
      <c r="AV1300" s="142"/>
      <c r="AW1300" s="42"/>
      <c r="AX1300" s="42"/>
      <c r="AY1300" s="42"/>
      <c r="AZ1300" s="42"/>
      <c r="BA1300" s="42"/>
      <c r="BB1300" s="42"/>
      <c r="BC1300" s="42"/>
      <c r="BD1300" s="110"/>
      <c r="BE1300" s="46" t="s">
        <v>56</v>
      </c>
      <c r="BF1300" s="141">
        <v>15</v>
      </c>
      <c r="BG1300" s="142"/>
      <c r="BH1300" s="141">
        <v>977</v>
      </c>
      <c r="BI1300" s="142"/>
      <c r="BJ1300" s="42"/>
      <c r="BK1300" s="42"/>
      <c r="BL1300" s="42"/>
      <c r="BM1300" s="42"/>
      <c r="BN1300" s="42"/>
      <c r="BO1300" s="42"/>
      <c r="BQ1300" s="110"/>
      <c r="BR1300" s="46" t="s">
        <v>56</v>
      </c>
      <c r="BS1300" s="141">
        <v>0</v>
      </c>
      <c r="BT1300" s="142"/>
      <c r="BU1300" s="141">
        <v>1975</v>
      </c>
      <c r="BV1300" s="142"/>
      <c r="BW1300" s="42"/>
      <c r="BX1300" s="42"/>
      <c r="BY1300" s="42"/>
      <c r="BZ1300" s="42"/>
      <c r="CA1300" s="42"/>
      <c r="CB1300" s="42"/>
      <c r="CC1300" s="42"/>
      <c r="CD1300" s="110"/>
      <c r="CE1300" s="46" t="s">
        <v>56</v>
      </c>
      <c r="CF1300" s="141">
        <v>18</v>
      </c>
      <c r="CG1300" s="142"/>
      <c r="CH1300" s="141">
        <v>120</v>
      </c>
      <c r="CI1300" s="142"/>
      <c r="CJ1300" s="42"/>
      <c r="CK1300" s="42"/>
      <c r="CL1300" s="42"/>
      <c r="CM1300" s="42"/>
      <c r="CN1300" s="42"/>
      <c r="CO1300" s="42"/>
      <c r="CQ1300" s="110"/>
      <c r="CR1300" s="46" t="s">
        <v>56</v>
      </c>
      <c r="CS1300" s="141">
        <v>18</v>
      </c>
      <c r="CT1300" s="142"/>
      <c r="CU1300" s="141">
        <v>418</v>
      </c>
      <c r="CV1300" s="142"/>
      <c r="CW1300" s="42"/>
      <c r="CX1300" s="42"/>
      <c r="CY1300" s="42"/>
      <c r="CZ1300" s="42"/>
      <c r="DA1300" s="42"/>
      <c r="DB1300" s="42"/>
      <c r="DC1300" s="42"/>
      <c r="DD1300" s="110"/>
      <c r="DE1300" s="46" t="s">
        <v>56</v>
      </c>
      <c r="DF1300" s="141">
        <v>0</v>
      </c>
      <c r="DG1300" s="142"/>
      <c r="DH1300" s="141">
        <v>1677</v>
      </c>
      <c r="DI1300" s="142"/>
      <c r="DJ1300" s="42"/>
      <c r="DK1300" s="42"/>
      <c r="DL1300" s="42"/>
      <c r="DM1300" s="42"/>
      <c r="DN1300" s="42"/>
      <c r="DO1300" s="42"/>
    </row>
    <row r="1301" spans="2:119" ht="15.4" x14ac:dyDescent="0.45">
      <c r="B1301" s="134"/>
      <c r="C1301" s="42"/>
      <c r="D1301" s="110"/>
      <c r="E1301" s="46" t="s">
        <v>2</v>
      </c>
      <c r="F1301" s="141">
        <v>163</v>
      </c>
      <c r="G1301" s="142"/>
      <c r="H1301" s="141">
        <v>14222</v>
      </c>
      <c r="I1301" s="142"/>
      <c r="J1301" s="42"/>
      <c r="K1301" s="42"/>
      <c r="L1301" s="42"/>
      <c r="M1301" s="42"/>
      <c r="N1301" s="42"/>
      <c r="O1301" s="42"/>
      <c r="P1301" s="42"/>
      <c r="Q1301" s="110"/>
      <c r="R1301" s="46" t="s">
        <v>2</v>
      </c>
      <c r="S1301" s="141">
        <v>72</v>
      </c>
      <c r="T1301" s="142"/>
      <c r="U1301" s="141">
        <v>5745</v>
      </c>
      <c r="V1301" s="142"/>
      <c r="W1301" s="42"/>
      <c r="X1301" s="42"/>
      <c r="Y1301" s="42"/>
      <c r="Z1301" s="42"/>
      <c r="AA1301" s="42"/>
      <c r="AB1301" s="42"/>
      <c r="AC1301" s="42"/>
      <c r="AD1301" s="110"/>
      <c r="AE1301" s="46" t="s">
        <v>2</v>
      </c>
      <c r="AF1301" s="141">
        <v>91</v>
      </c>
      <c r="AG1301" s="142"/>
      <c r="AH1301" s="141">
        <v>8477</v>
      </c>
      <c r="AI1301" s="142"/>
      <c r="AJ1301" s="42"/>
      <c r="AK1301" s="42"/>
      <c r="AL1301" s="42"/>
      <c r="AM1301" s="42"/>
      <c r="AN1301" s="42"/>
      <c r="AO1301" s="42"/>
      <c r="AQ1301" s="110"/>
      <c r="AR1301" s="46" t="s">
        <v>2</v>
      </c>
      <c r="AS1301" s="141">
        <v>48</v>
      </c>
      <c r="AT1301" s="142"/>
      <c r="AU1301" s="141">
        <v>7636</v>
      </c>
      <c r="AV1301" s="142"/>
      <c r="AW1301" s="42"/>
      <c r="AX1301" s="42"/>
      <c r="AY1301" s="42"/>
      <c r="AZ1301" s="42"/>
      <c r="BA1301" s="42"/>
      <c r="BB1301" s="42"/>
      <c r="BC1301" s="42"/>
      <c r="BD1301" s="110"/>
      <c r="BE1301" s="46" t="s">
        <v>2</v>
      </c>
      <c r="BF1301" s="141">
        <v>115</v>
      </c>
      <c r="BG1301" s="142"/>
      <c r="BH1301" s="141">
        <v>6586</v>
      </c>
      <c r="BI1301" s="142"/>
      <c r="BJ1301" s="42"/>
      <c r="BK1301" s="42"/>
      <c r="BL1301" s="42"/>
      <c r="BM1301" s="42"/>
      <c r="BN1301" s="42"/>
      <c r="BO1301" s="42"/>
      <c r="BQ1301" s="110"/>
      <c r="BR1301" s="46" t="s">
        <v>2</v>
      </c>
      <c r="BS1301" s="141">
        <v>36</v>
      </c>
      <c r="BT1301" s="142"/>
      <c r="BU1301" s="141">
        <v>11012</v>
      </c>
      <c r="BV1301" s="142"/>
      <c r="BW1301" s="42"/>
      <c r="BX1301" s="42"/>
      <c r="BY1301" s="42"/>
      <c r="BZ1301" s="42"/>
      <c r="CA1301" s="42"/>
      <c r="CB1301" s="42"/>
      <c r="CC1301" s="42"/>
      <c r="CD1301" s="110"/>
      <c r="CE1301" s="46" t="s">
        <v>2</v>
      </c>
      <c r="CF1301" s="141">
        <v>127</v>
      </c>
      <c r="CG1301" s="142"/>
      <c r="CH1301" s="141">
        <v>3210</v>
      </c>
      <c r="CI1301" s="142"/>
      <c r="CJ1301" s="42"/>
      <c r="CK1301" s="42"/>
      <c r="CL1301" s="42"/>
      <c r="CM1301" s="42"/>
      <c r="CN1301" s="42"/>
      <c r="CO1301" s="42"/>
      <c r="CQ1301" s="110"/>
      <c r="CR1301" s="46" t="s">
        <v>2</v>
      </c>
      <c r="CS1301" s="141">
        <v>134</v>
      </c>
      <c r="CT1301" s="142"/>
      <c r="CU1301" s="141">
        <v>3216</v>
      </c>
      <c r="CV1301" s="142"/>
      <c r="CW1301" s="42"/>
      <c r="CX1301" s="42"/>
      <c r="CY1301" s="42"/>
      <c r="CZ1301" s="42"/>
      <c r="DA1301" s="42"/>
      <c r="DB1301" s="42"/>
      <c r="DC1301" s="42"/>
      <c r="DD1301" s="110"/>
      <c r="DE1301" s="46" t="s">
        <v>2</v>
      </c>
      <c r="DF1301" s="141">
        <v>29</v>
      </c>
      <c r="DG1301" s="142"/>
      <c r="DH1301" s="141">
        <v>11006</v>
      </c>
      <c r="DI1301" s="142"/>
      <c r="DJ1301" s="42"/>
      <c r="DK1301" s="42"/>
      <c r="DL1301" s="42"/>
      <c r="DM1301" s="42"/>
      <c r="DN1301" s="42"/>
      <c r="DO1301" s="42"/>
    </row>
    <row r="1302" spans="2:119" ht="15.4" x14ac:dyDescent="0.45">
      <c r="B1302" s="134"/>
      <c r="C1302" s="42"/>
      <c r="D1302" s="110"/>
      <c r="E1302" s="46" t="s">
        <v>3</v>
      </c>
      <c r="F1302" s="141">
        <v>104</v>
      </c>
      <c r="G1302" s="142"/>
      <c r="H1302" s="141">
        <v>7945</v>
      </c>
      <c r="I1302" s="142"/>
      <c r="J1302" s="42"/>
      <c r="K1302" s="42"/>
      <c r="L1302" s="42"/>
      <c r="M1302" s="42"/>
      <c r="N1302" s="42"/>
      <c r="O1302" s="42"/>
      <c r="P1302" s="42"/>
      <c r="Q1302" s="110"/>
      <c r="R1302" s="46" t="s">
        <v>3</v>
      </c>
      <c r="S1302" s="141">
        <v>39</v>
      </c>
      <c r="T1302" s="142"/>
      <c r="U1302" s="141">
        <v>3488</v>
      </c>
      <c r="V1302" s="142"/>
      <c r="W1302" s="42"/>
      <c r="X1302" s="42"/>
      <c r="Y1302" s="42"/>
      <c r="Z1302" s="42"/>
      <c r="AA1302" s="42"/>
      <c r="AB1302" s="42"/>
      <c r="AC1302" s="42"/>
      <c r="AD1302" s="110"/>
      <c r="AE1302" s="46" t="s">
        <v>3</v>
      </c>
      <c r="AF1302" s="141">
        <v>65</v>
      </c>
      <c r="AG1302" s="142"/>
      <c r="AH1302" s="141">
        <v>4457</v>
      </c>
      <c r="AI1302" s="142"/>
      <c r="AJ1302" s="42"/>
      <c r="AK1302" s="42"/>
      <c r="AL1302" s="42"/>
      <c r="AM1302" s="42"/>
      <c r="AN1302" s="42"/>
      <c r="AO1302" s="42"/>
      <c r="AQ1302" s="110"/>
      <c r="AR1302" s="46" t="s">
        <v>3</v>
      </c>
      <c r="AS1302" s="141">
        <v>32</v>
      </c>
      <c r="AT1302" s="142"/>
      <c r="AU1302" s="141">
        <v>3863</v>
      </c>
      <c r="AV1302" s="142"/>
      <c r="AW1302" s="42"/>
      <c r="AX1302" s="42"/>
      <c r="AY1302" s="42"/>
      <c r="AZ1302" s="42"/>
      <c r="BA1302" s="42"/>
      <c r="BB1302" s="42"/>
      <c r="BC1302" s="42"/>
      <c r="BD1302" s="110"/>
      <c r="BE1302" s="46" t="s">
        <v>3</v>
      </c>
      <c r="BF1302" s="141">
        <v>72</v>
      </c>
      <c r="BG1302" s="142"/>
      <c r="BH1302" s="141">
        <v>4082</v>
      </c>
      <c r="BI1302" s="142"/>
      <c r="BJ1302" s="42"/>
      <c r="BK1302" s="42"/>
      <c r="BL1302" s="42"/>
      <c r="BM1302" s="42"/>
      <c r="BN1302" s="42"/>
      <c r="BO1302" s="42"/>
      <c r="BQ1302" s="110"/>
      <c r="BR1302" s="46" t="s">
        <v>3</v>
      </c>
      <c r="BS1302" s="141">
        <v>32</v>
      </c>
      <c r="BT1302" s="142"/>
      <c r="BU1302" s="141">
        <v>4676</v>
      </c>
      <c r="BV1302" s="142"/>
      <c r="BW1302" s="42"/>
      <c r="BX1302" s="42"/>
      <c r="BY1302" s="42"/>
      <c r="BZ1302" s="42"/>
      <c r="CA1302" s="42"/>
      <c r="CB1302" s="42"/>
      <c r="CC1302" s="42"/>
      <c r="CD1302" s="110"/>
      <c r="CE1302" s="46" t="s">
        <v>3</v>
      </c>
      <c r="CF1302" s="141">
        <v>72</v>
      </c>
      <c r="CG1302" s="142"/>
      <c r="CH1302" s="141">
        <v>3269</v>
      </c>
      <c r="CI1302" s="142"/>
      <c r="CJ1302" s="42"/>
      <c r="CK1302" s="42"/>
      <c r="CL1302" s="42"/>
      <c r="CM1302" s="42"/>
      <c r="CN1302" s="42"/>
      <c r="CO1302" s="42"/>
      <c r="CQ1302" s="110"/>
      <c r="CR1302" s="46" t="s">
        <v>3</v>
      </c>
      <c r="CS1302" s="141">
        <v>69</v>
      </c>
      <c r="CT1302" s="142"/>
      <c r="CU1302" s="141">
        <v>1555</v>
      </c>
      <c r="CV1302" s="142"/>
      <c r="CW1302" s="42"/>
      <c r="CX1302" s="42"/>
      <c r="CY1302" s="42"/>
      <c r="CZ1302" s="42"/>
      <c r="DA1302" s="42"/>
      <c r="DB1302" s="42"/>
      <c r="DC1302" s="42"/>
      <c r="DD1302" s="110"/>
      <c r="DE1302" s="46" t="s">
        <v>3</v>
      </c>
      <c r="DF1302" s="141">
        <v>35</v>
      </c>
      <c r="DG1302" s="142"/>
      <c r="DH1302" s="141">
        <v>6390</v>
      </c>
      <c r="DI1302" s="142"/>
      <c r="DJ1302" s="42"/>
      <c r="DK1302" s="42"/>
      <c r="DL1302" s="42"/>
      <c r="DM1302" s="42"/>
      <c r="DN1302" s="42"/>
      <c r="DO1302" s="42"/>
    </row>
    <row r="1303" spans="2:119" ht="15.4" x14ac:dyDescent="0.45">
      <c r="B1303" s="134"/>
      <c r="C1303" s="42"/>
      <c r="D1303" s="110"/>
      <c r="E1303" s="46" t="s">
        <v>4</v>
      </c>
      <c r="F1303" s="141">
        <v>264</v>
      </c>
      <c r="G1303" s="142"/>
      <c r="H1303" s="141">
        <v>11921</v>
      </c>
      <c r="I1303" s="142"/>
      <c r="J1303" s="42"/>
      <c r="K1303" s="42"/>
      <c r="L1303" s="42"/>
      <c r="M1303" s="42"/>
      <c r="N1303" s="42"/>
      <c r="O1303" s="42"/>
      <c r="P1303" s="42"/>
      <c r="Q1303" s="110"/>
      <c r="R1303" s="46" t="s">
        <v>4</v>
      </c>
      <c r="S1303" s="141">
        <v>134</v>
      </c>
      <c r="T1303" s="142"/>
      <c r="U1303" s="141">
        <v>5472</v>
      </c>
      <c r="V1303" s="142"/>
      <c r="W1303" s="42"/>
      <c r="X1303" s="42"/>
      <c r="Y1303" s="42"/>
      <c r="Z1303" s="42"/>
      <c r="AA1303" s="42"/>
      <c r="AB1303" s="42"/>
      <c r="AC1303" s="42"/>
      <c r="AD1303" s="110"/>
      <c r="AE1303" s="46" t="s">
        <v>4</v>
      </c>
      <c r="AF1303" s="141">
        <v>130</v>
      </c>
      <c r="AG1303" s="142"/>
      <c r="AH1303" s="141">
        <v>6449</v>
      </c>
      <c r="AI1303" s="142"/>
      <c r="AJ1303" s="42"/>
      <c r="AK1303" s="42"/>
      <c r="AL1303" s="42"/>
      <c r="AM1303" s="42"/>
      <c r="AN1303" s="42"/>
      <c r="AO1303" s="42"/>
      <c r="AQ1303" s="110"/>
      <c r="AR1303" s="46" t="s">
        <v>4</v>
      </c>
      <c r="AS1303" s="141">
        <v>74</v>
      </c>
      <c r="AT1303" s="142"/>
      <c r="AU1303" s="141">
        <v>5549</v>
      </c>
      <c r="AV1303" s="142"/>
      <c r="AW1303" s="42"/>
      <c r="AX1303" s="42"/>
      <c r="AY1303" s="42"/>
      <c r="AZ1303" s="42"/>
      <c r="BA1303" s="42"/>
      <c r="BB1303" s="42"/>
      <c r="BC1303" s="42"/>
      <c r="BD1303" s="110"/>
      <c r="BE1303" s="46" t="s">
        <v>4</v>
      </c>
      <c r="BF1303" s="141">
        <v>190</v>
      </c>
      <c r="BG1303" s="142"/>
      <c r="BH1303" s="141">
        <v>6372</v>
      </c>
      <c r="BI1303" s="142"/>
      <c r="BJ1303" s="42"/>
      <c r="BK1303" s="42"/>
      <c r="BL1303" s="42"/>
      <c r="BM1303" s="42"/>
      <c r="BN1303" s="42"/>
      <c r="BO1303" s="42"/>
      <c r="BQ1303" s="110"/>
      <c r="BR1303" s="46" t="s">
        <v>4</v>
      </c>
      <c r="BS1303" s="141">
        <v>79</v>
      </c>
      <c r="BT1303" s="142"/>
      <c r="BU1303" s="141">
        <v>5567</v>
      </c>
      <c r="BV1303" s="142"/>
      <c r="BW1303" s="42"/>
      <c r="BX1303" s="42"/>
      <c r="BY1303" s="42"/>
      <c r="BZ1303" s="42"/>
      <c r="CA1303" s="42"/>
      <c r="CB1303" s="42"/>
      <c r="CC1303" s="42"/>
      <c r="CD1303" s="110"/>
      <c r="CE1303" s="46" t="s">
        <v>4</v>
      </c>
      <c r="CF1303" s="141">
        <v>185</v>
      </c>
      <c r="CG1303" s="142"/>
      <c r="CH1303" s="141">
        <v>6354</v>
      </c>
      <c r="CI1303" s="142"/>
      <c r="CJ1303" s="42"/>
      <c r="CK1303" s="42"/>
      <c r="CL1303" s="42"/>
      <c r="CM1303" s="42"/>
      <c r="CN1303" s="42"/>
      <c r="CO1303" s="42"/>
      <c r="CQ1303" s="110"/>
      <c r="CR1303" s="46" t="s">
        <v>4</v>
      </c>
      <c r="CS1303" s="141">
        <v>159</v>
      </c>
      <c r="CT1303" s="142"/>
      <c r="CU1303" s="141">
        <v>2164</v>
      </c>
      <c r="CV1303" s="142"/>
      <c r="CW1303" s="42"/>
      <c r="CX1303" s="42"/>
      <c r="CY1303" s="42"/>
      <c r="CZ1303" s="42"/>
      <c r="DA1303" s="42"/>
      <c r="DB1303" s="42"/>
      <c r="DC1303" s="42"/>
      <c r="DD1303" s="110"/>
      <c r="DE1303" s="46" t="s">
        <v>4</v>
      </c>
      <c r="DF1303" s="141">
        <v>105</v>
      </c>
      <c r="DG1303" s="142"/>
      <c r="DH1303" s="141">
        <v>9757</v>
      </c>
      <c r="DI1303" s="142"/>
      <c r="DJ1303" s="42"/>
      <c r="DK1303" s="42"/>
      <c r="DL1303" s="42"/>
      <c r="DM1303" s="42"/>
      <c r="DN1303" s="42"/>
      <c r="DO1303" s="42"/>
    </row>
    <row r="1304" spans="2:119" ht="15.4" x14ac:dyDescent="0.45">
      <c r="B1304" s="134"/>
      <c r="C1304" s="42"/>
      <c r="D1304" s="110"/>
      <c r="E1304" s="46" t="s">
        <v>5</v>
      </c>
      <c r="F1304" s="141">
        <v>595</v>
      </c>
      <c r="G1304" s="142"/>
      <c r="H1304" s="141">
        <v>20759</v>
      </c>
      <c r="I1304" s="142"/>
      <c r="J1304" s="42"/>
      <c r="K1304" s="42"/>
      <c r="L1304" s="42"/>
      <c r="M1304" s="42"/>
      <c r="N1304" s="42"/>
      <c r="O1304" s="42"/>
      <c r="P1304" s="42"/>
      <c r="Q1304" s="110"/>
      <c r="R1304" s="46" t="s">
        <v>5</v>
      </c>
      <c r="S1304" s="141">
        <v>299</v>
      </c>
      <c r="T1304" s="142"/>
      <c r="U1304" s="141">
        <v>10172</v>
      </c>
      <c r="V1304" s="142"/>
      <c r="W1304" s="42"/>
      <c r="X1304" s="42"/>
      <c r="Y1304" s="42"/>
      <c r="Z1304" s="42"/>
      <c r="AA1304" s="42"/>
      <c r="AB1304" s="42"/>
      <c r="AC1304" s="42"/>
      <c r="AD1304" s="110"/>
      <c r="AE1304" s="46" t="s">
        <v>5</v>
      </c>
      <c r="AF1304" s="141">
        <v>296</v>
      </c>
      <c r="AG1304" s="142"/>
      <c r="AH1304" s="141">
        <v>10587</v>
      </c>
      <c r="AI1304" s="142"/>
      <c r="AJ1304" s="42"/>
      <c r="AK1304" s="42"/>
      <c r="AL1304" s="42"/>
      <c r="AM1304" s="42"/>
      <c r="AN1304" s="42"/>
      <c r="AO1304" s="42"/>
      <c r="AQ1304" s="110"/>
      <c r="AR1304" s="46" t="s">
        <v>5</v>
      </c>
      <c r="AS1304" s="141">
        <v>171</v>
      </c>
      <c r="AT1304" s="142"/>
      <c r="AU1304" s="141">
        <v>8598</v>
      </c>
      <c r="AV1304" s="142"/>
      <c r="AW1304" s="42"/>
      <c r="AX1304" s="42"/>
      <c r="AY1304" s="42"/>
      <c r="AZ1304" s="42"/>
      <c r="BA1304" s="42"/>
      <c r="BB1304" s="42"/>
      <c r="BC1304" s="42"/>
      <c r="BD1304" s="110"/>
      <c r="BE1304" s="46" t="s">
        <v>5</v>
      </c>
      <c r="BF1304" s="141">
        <v>424</v>
      </c>
      <c r="BG1304" s="142"/>
      <c r="BH1304" s="141">
        <v>12161</v>
      </c>
      <c r="BI1304" s="142"/>
      <c r="BJ1304" s="42"/>
      <c r="BK1304" s="42"/>
      <c r="BL1304" s="42"/>
      <c r="BM1304" s="42"/>
      <c r="BN1304" s="42"/>
      <c r="BO1304" s="42"/>
      <c r="BQ1304" s="110"/>
      <c r="BR1304" s="46" t="s">
        <v>5</v>
      </c>
      <c r="BS1304" s="141">
        <v>140</v>
      </c>
      <c r="BT1304" s="142"/>
      <c r="BU1304" s="141">
        <v>6920</v>
      </c>
      <c r="BV1304" s="142"/>
      <c r="BW1304" s="42"/>
      <c r="BX1304" s="42"/>
      <c r="BY1304" s="42"/>
      <c r="BZ1304" s="42"/>
      <c r="CA1304" s="42"/>
      <c r="CB1304" s="42"/>
      <c r="CC1304" s="42"/>
      <c r="CD1304" s="110"/>
      <c r="CE1304" s="46" t="s">
        <v>5</v>
      </c>
      <c r="CF1304" s="141">
        <v>455</v>
      </c>
      <c r="CG1304" s="142"/>
      <c r="CH1304" s="141">
        <v>13839</v>
      </c>
      <c r="CI1304" s="142"/>
      <c r="CJ1304" s="42"/>
      <c r="CK1304" s="42"/>
      <c r="CL1304" s="42"/>
      <c r="CM1304" s="42"/>
      <c r="CN1304" s="42"/>
      <c r="CO1304" s="42"/>
      <c r="CQ1304" s="110"/>
      <c r="CR1304" s="46" t="s">
        <v>5</v>
      </c>
      <c r="CS1304" s="141">
        <v>279</v>
      </c>
      <c r="CT1304" s="142"/>
      <c r="CU1304" s="141">
        <v>3273</v>
      </c>
      <c r="CV1304" s="142"/>
      <c r="CW1304" s="42"/>
      <c r="CX1304" s="42"/>
      <c r="CY1304" s="42"/>
      <c r="CZ1304" s="42"/>
      <c r="DA1304" s="42"/>
      <c r="DB1304" s="42"/>
      <c r="DC1304" s="42"/>
      <c r="DD1304" s="110"/>
      <c r="DE1304" s="46" t="s">
        <v>5</v>
      </c>
      <c r="DF1304" s="141">
        <v>316</v>
      </c>
      <c r="DG1304" s="142"/>
      <c r="DH1304" s="141">
        <v>17486</v>
      </c>
      <c r="DI1304" s="142"/>
      <c r="DJ1304" s="42"/>
      <c r="DK1304" s="42"/>
      <c r="DL1304" s="42"/>
      <c r="DM1304" s="42"/>
      <c r="DN1304" s="42"/>
      <c r="DO1304" s="42"/>
    </row>
    <row r="1305" spans="2:119" ht="15.4" x14ac:dyDescent="0.45">
      <c r="B1305" s="134"/>
      <c r="C1305" s="42"/>
      <c r="D1305" s="110"/>
      <c r="E1305" s="46" t="s">
        <v>6</v>
      </c>
      <c r="F1305" s="141">
        <v>2785</v>
      </c>
      <c r="G1305" s="142"/>
      <c r="H1305" s="141">
        <v>41370</v>
      </c>
      <c r="I1305" s="142"/>
      <c r="J1305" s="42"/>
      <c r="K1305" s="42"/>
      <c r="L1305" s="42"/>
      <c r="M1305" s="42"/>
      <c r="N1305" s="42"/>
      <c r="O1305" s="42"/>
      <c r="P1305" s="42"/>
      <c r="Q1305" s="110"/>
      <c r="R1305" s="46" t="s">
        <v>6</v>
      </c>
      <c r="S1305" s="141">
        <v>1515</v>
      </c>
      <c r="T1305" s="142"/>
      <c r="U1305" s="141">
        <v>20355</v>
      </c>
      <c r="V1305" s="142"/>
      <c r="W1305" s="42"/>
      <c r="X1305" s="42"/>
      <c r="Y1305" s="42"/>
      <c r="Z1305" s="42"/>
      <c r="AA1305" s="42"/>
      <c r="AB1305" s="42"/>
      <c r="AC1305" s="42"/>
      <c r="AD1305" s="110"/>
      <c r="AE1305" s="46" t="s">
        <v>6</v>
      </c>
      <c r="AF1305" s="141">
        <v>1270</v>
      </c>
      <c r="AG1305" s="142"/>
      <c r="AH1305" s="141">
        <v>21015</v>
      </c>
      <c r="AI1305" s="142"/>
      <c r="AJ1305" s="42"/>
      <c r="AK1305" s="42"/>
      <c r="AL1305" s="42"/>
      <c r="AM1305" s="42"/>
      <c r="AN1305" s="42"/>
      <c r="AO1305" s="42"/>
      <c r="AQ1305" s="110"/>
      <c r="AR1305" s="46" t="s">
        <v>6</v>
      </c>
      <c r="AS1305" s="141">
        <v>684</v>
      </c>
      <c r="AT1305" s="142"/>
      <c r="AU1305" s="141">
        <v>15843</v>
      </c>
      <c r="AV1305" s="142"/>
      <c r="AW1305" s="42"/>
      <c r="AX1305" s="42"/>
      <c r="AY1305" s="42"/>
      <c r="AZ1305" s="42"/>
      <c r="BA1305" s="42"/>
      <c r="BB1305" s="42"/>
      <c r="BC1305" s="42"/>
      <c r="BD1305" s="110"/>
      <c r="BE1305" s="46" t="s">
        <v>6</v>
      </c>
      <c r="BF1305" s="141">
        <v>2101</v>
      </c>
      <c r="BG1305" s="142"/>
      <c r="BH1305" s="141">
        <v>25527</v>
      </c>
      <c r="BI1305" s="142"/>
      <c r="BJ1305" s="42"/>
      <c r="BK1305" s="42"/>
      <c r="BL1305" s="42"/>
      <c r="BM1305" s="42"/>
      <c r="BN1305" s="42"/>
      <c r="BO1305" s="42"/>
      <c r="BQ1305" s="110"/>
      <c r="BR1305" s="46" t="s">
        <v>6</v>
      </c>
      <c r="BS1305" s="141">
        <v>368</v>
      </c>
      <c r="BT1305" s="142"/>
      <c r="BU1305" s="141">
        <v>9108</v>
      </c>
      <c r="BV1305" s="142"/>
      <c r="BW1305" s="42"/>
      <c r="BX1305" s="42"/>
      <c r="BY1305" s="42"/>
      <c r="BZ1305" s="42"/>
      <c r="CA1305" s="42"/>
      <c r="CB1305" s="42"/>
      <c r="CC1305" s="42"/>
      <c r="CD1305" s="110"/>
      <c r="CE1305" s="46" t="s">
        <v>6</v>
      </c>
      <c r="CF1305" s="141">
        <v>2417</v>
      </c>
      <c r="CG1305" s="142"/>
      <c r="CH1305" s="141">
        <v>32262</v>
      </c>
      <c r="CI1305" s="142"/>
      <c r="CJ1305" s="42"/>
      <c r="CK1305" s="42"/>
      <c r="CL1305" s="42"/>
      <c r="CM1305" s="42"/>
      <c r="CN1305" s="42"/>
      <c r="CO1305" s="42"/>
      <c r="CQ1305" s="110"/>
      <c r="CR1305" s="46" t="s">
        <v>6</v>
      </c>
      <c r="CS1305" s="141">
        <v>938</v>
      </c>
      <c r="CT1305" s="142"/>
      <c r="CU1305" s="141">
        <v>6044</v>
      </c>
      <c r="CV1305" s="142"/>
      <c r="CW1305" s="42"/>
      <c r="CX1305" s="42"/>
      <c r="CY1305" s="42"/>
      <c r="CZ1305" s="42"/>
      <c r="DA1305" s="42"/>
      <c r="DB1305" s="42"/>
      <c r="DC1305" s="42"/>
      <c r="DD1305" s="110"/>
      <c r="DE1305" s="46" t="s">
        <v>6</v>
      </c>
      <c r="DF1305" s="141">
        <v>1847</v>
      </c>
      <c r="DG1305" s="142"/>
      <c r="DH1305" s="141">
        <v>35326</v>
      </c>
      <c r="DI1305" s="142"/>
      <c r="DJ1305" s="42"/>
      <c r="DK1305" s="42"/>
      <c r="DL1305" s="42"/>
      <c r="DM1305" s="42"/>
      <c r="DN1305" s="42"/>
      <c r="DO1305" s="42"/>
    </row>
    <row r="1306" spans="2:119" ht="15.4" x14ac:dyDescent="0.45">
      <c r="B1306" s="134"/>
      <c r="C1306" s="42"/>
      <c r="D1306" s="110"/>
      <c r="E1306" s="46" t="s">
        <v>7</v>
      </c>
      <c r="F1306" s="141">
        <v>12597</v>
      </c>
      <c r="G1306" s="142"/>
      <c r="H1306" s="141">
        <v>67478</v>
      </c>
      <c r="I1306" s="142"/>
      <c r="J1306" s="42"/>
      <c r="K1306" s="42"/>
      <c r="L1306" s="42"/>
      <c r="M1306" s="42"/>
      <c r="N1306" s="42"/>
      <c r="O1306" s="42"/>
      <c r="P1306" s="42"/>
      <c r="Q1306" s="110"/>
      <c r="R1306" s="46" t="s">
        <v>7</v>
      </c>
      <c r="S1306" s="141">
        <v>7184</v>
      </c>
      <c r="T1306" s="142"/>
      <c r="U1306" s="141">
        <v>32945</v>
      </c>
      <c r="V1306" s="142"/>
      <c r="W1306" s="42"/>
      <c r="X1306" s="42"/>
      <c r="Y1306" s="42"/>
      <c r="Z1306" s="42"/>
      <c r="AA1306" s="42"/>
      <c r="AB1306" s="42"/>
      <c r="AC1306" s="42"/>
      <c r="AD1306" s="110"/>
      <c r="AE1306" s="46" t="s">
        <v>7</v>
      </c>
      <c r="AF1306" s="141">
        <v>5413</v>
      </c>
      <c r="AG1306" s="142"/>
      <c r="AH1306" s="141">
        <v>34533</v>
      </c>
      <c r="AI1306" s="142"/>
      <c r="AJ1306" s="42"/>
      <c r="AK1306" s="42"/>
      <c r="AL1306" s="42"/>
      <c r="AM1306" s="42"/>
      <c r="AN1306" s="42"/>
      <c r="AO1306" s="42"/>
      <c r="AQ1306" s="110"/>
      <c r="AR1306" s="46" t="s">
        <v>7</v>
      </c>
      <c r="AS1306" s="141">
        <v>2797</v>
      </c>
      <c r="AT1306" s="142"/>
      <c r="AU1306" s="141">
        <v>23642</v>
      </c>
      <c r="AV1306" s="142"/>
      <c r="AW1306" s="42"/>
      <c r="AX1306" s="42"/>
      <c r="AY1306" s="42"/>
      <c r="AZ1306" s="42"/>
      <c r="BA1306" s="42"/>
      <c r="BB1306" s="42"/>
      <c r="BC1306" s="42"/>
      <c r="BD1306" s="110"/>
      <c r="BE1306" s="46" t="s">
        <v>7</v>
      </c>
      <c r="BF1306" s="141">
        <v>9800</v>
      </c>
      <c r="BG1306" s="142"/>
      <c r="BH1306" s="141">
        <v>43836</v>
      </c>
      <c r="BI1306" s="142"/>
      <c r="BJ1306" s="42"/>
      <c r="BK1306" s="42"/>
      <c r="BL1306" s="42"/>
      <c r="BM1306" s="42"/>
      <c r="BN1306" s="42"/>
      <c r="BO1306" s="42"/>
      <c r="BQ1306" s="110"/>
      <c r="BR1306" s="46" t="s">
        <v>7</v>
      </c>
      <c r="BS1306" s="141">
        <v>1046</v>
      </c>
      <c r="BT1306" s="142"/>
      <c r="BU1306" s="141">
        <v>9970</v>
      </c>
      <c r="BV1306" s="142"/>
      <c r="BW1306" s="42"/>
      <c r="BX1306" s="42"/>
      <c r="BY1306" s="42"/>
      <c r="BZ1306" s="42"/>
      <c r="CA1306" s="42"/>
      <c r="CB1306" s="42"/>
      <c r="CC1306" s="42"/>
      <c r="CD1306" s="110"/>
      <c r="CE1306" s="46" t="s">
        <v>7</v>
      </c>
      <c r="CF1306" s="141">
        <v>11551</v>
      </c>
      <c r="CG1306" s="142"/>
      <c r="CH1306" s="141">
        <v>57508</v>
      </c>
      <c r="CI1306" s="142"/>
      <c r="CJ1306" s="42"/>
      <c r="CK1306" s="42"/>
      <c r="CL1306" s="42"/>
      <c r="CM1306" s="42"/>
      <c r="CN1306" s="42"/>
      <c r="CO1306" s="42"/>
      <c r="CQ1306" s="110"/>
      <c r="CR1306" s="46" t="s">
        <v>7</v>
      </c>
      <c r="CS1306" s="141">
        <v>3232</v>
      </c>
      <c r="CT1306" s="142"/>
      <c r="CU1306" s="141">
        <v>8783</v>
      </c>
      <c r="CV1306" s="142"/>
      <c r="CW1306" s="42"/>
      <c r="CX1306" s="42"/>
      <c r="CY1306" s="42"/>
      <c r="CZ1306" s="42"/>
      <c r="DA1306" s="42"/>
      <c r="DB1306" s="42"/>
      <c r="DC1306" s="42"/>
      <c r="DD1306" s="110"/>
      <c r="DE1306" s="46" t="s">
        <v>7</v>
      </c>
      <c r="DF1306" s="141">
        <v>9365</v>
      </c>
      <c r="DG1306" s="142"/>
      <c r="DH1306" s="141">
        <v>58695</v>
      </c>
      <c r="DI1306" s="142"/>
      <c r="DJ1306" s="42"/>
      <c r="DK1306" s="42"/>
      <c r="DL1306" s="42"/>
      <c r="DM1306" s="42"/>
      <c r="DN1306" s="42"/>
      <c r="DO1306" s="42"/>
    </row>
    <row r="1307" spans="2:119" ht="15.4" x14ac:dyDescent="0.45">
      <c r="B1307" s="134"/>
      <c r="C1307" s="42"/>
      <c r="D1307" s="110"/>
      <c r="E1307" s="46" t="s">
        <v>8</v>
      </c>
      <c r="F1307" s="141">
        <v>35833</v>
      </c>
      <c r="G1307" s="142"/>
      <c r="H1307" s="141">
        <v>68062</v>
      </c>
      <c r="I1307" s="142"/>
      <c r="J1307" s="42"/>
      <c r="K1307" s="42"/>
      <c r="L1307" s="42"/>
      <c r="M1307" s="42"/>
      <c r="N1307" s="42"/>
      <c r="O1307" s="42"/>
      <c r="P1307" s="42"/>
      <c r="Q1307" s="110"/>
      <c r="R1307" s="46" t="s">
        <v>8</v>
      </c>
      <c r="S1307" s="141">
        <v>20484</v>
      </c>
      <c r="T1307" s="142"/>
      <c r="U1307" s="141">
        <v>32393</v>
      </c>
      <c r="V1307" s="142"/>
      <c r="W1307" s="42"/>
      <c r="X1307" s="42"/>
      <c r="Y1307" s="42"/>
      <c r="Z1307" s="42"/>
      <c r="AA1307" s="42"/>
      <c r="AB1307" s="42"/>
      <c r="AC1307" s="42"/>
      <c r="AD1307" s="110"/>
      <c r="AE1307" s="46" t="s">
        <v>8</v>
      </c>
      <c r="AF1307" s="141">
        <v>15349</v>
      </c>
      <c r="AG1307" s="142"/>
      <c r="AH1307" s="141">
        <v>35669</v>
      </c>
      <c r="AI1307" s="142"/>
      <c r="AJ1307" s="42"/>
      <c r="AK1307" s="42"/>
      <c r="AL1307" s="42"/>
      <c r="AM1307" s="42"/>
      <c r="AN1307" s="42"/>
      <c r="AO1307" s="42"/>
      <c r="AQ1307" s="110"/>
      <c r="AR1307" s="46" t="s">
        <v>8</v>
      </c>
      <c r="AS1307" s="141">
        <v>6979</v>
      </c>
      <c r="AT1307" s="142"/>
      <c r="AU1307" s="141">
        <v>21381</v>
      </c>
      <c r="AV1307" s="142"/>
      <c r="AW1307" s="42"/>
      <c r="AX1307" s="42"/>
      <c r="AY1307" s="42"/>
      <c r="AZ1307" s="42"/>
      <c r="BA1307" s="42"/>
      <c r="BB1307" s="42"/>
      <c r="BC1307" s="42"/>
      <c r="BD1307" s="110"/>
      <c r="BE1307" s="46" t="s">
        <v>8</v>
      </c>
      <c r="BF1307" s="141">
        <v>28854</v>
      </c>
      <c r="BG1307" s="142"/>
      <c r="BH1307" s="141">
        <v>46681</v>
      </c>
      <c r="BI1307" s="142"/>
      <c r="BJ1307" s="42"/>
      <c r="BK1307" s="42"/>
      <c r="BL1307" s="42"/>
      <c r="BM1307" s="42"/>
      <c r="BN1307" s="42"/>
      <c r="BO1307" s="42"/>
      <c r="BQ1307" s="110"/>
      <c r="BR1307" s="46" t="s">
        <v>8</v>
      </c>
      <c r="BS1307" s="141">
        <v>1929</v>
      </c>
      <c r="BT1307" s="142"/>
      <c r="BU1307" s="141">
        <v>7354</v>
      </c>
      <c r="BV1307" s="142"/>
      <c r="BW1307" s="42"/>
      <c r="BX1307" s="42"/>
      <c r="BY1307" s="42"/>
      <c r="BZ1307" s="42"/>
      <c r="CA1307" s="42"/>
      <c r="CB1307" s="42"/>
      <c r="CC1307" s="42"/>
      <c r="CD1307" s="110"/>
      <c r="CE1307" s="46" t="s">
        <v>8</v>
      </c>
      <c r="CF1307" s="141">
        <v>33904</v>
      </c>
      <c r="CG1307" s="142"/>
      <c r="CH1307" s="141">
        <v>60708</v>
      </c>
      <c r="CI1307" s="142"/>
      <c r="CJ1307" s="42"/>
      <c r="CK1307" s="42"/>
      <c r="CL1307" s="42"/>
      <c r="CM1307" s="42"/>
      <c r="CN1307" s="42"/>
      <c r="CO1307" s="42"/>
      <c r="CQ1307" s="110"/>
      <c r="CR1307" s="46" t="s">
        <v>8</v>
      </c>
      <c r="CS1307" s="141">
        <v>6710</v>
      </c>
      <c r="CT1307" s="142"/>
      <c r="CU1307" s="141">
        <v>7405</v>
      </c>
      <c r="CV1307" s="142"/>
      <c r="CW1307" s="42"/>
      <c r="CX1307" s="42"/>
      <c r="CY1307" s="42"/>
      <c r="CZ1307" s="42"/>
      <c r="DA1307" s="42"/>
      <c r="DB1307" s="42"/>
      <c r="DC1307" s="42"/>
      <c r="DD1307" s="110"/>
      <c r="DE1307" s="46" t="s">
        <v>8</v>
      </c>
      <c r="DF1307" s="141">
        <v>29123</v>
      </c>
      <c r="DG1307" s="142"/>
      <c r="DH1307" s="141">
        <v>60657</v>
      </c>
      <c r="DI1307" s="142"/>
      <c r="DJ1307" s="42"/>
      <c r="DK1307" s="42"/>
      <c r="DL1307" s="42"/>
      <c r="DM1307" s="42"/>
      <c r="DN1307" s="42"/>
      <c r="DO1307" s="42"/>
    </row>
    <row r="1308" spans="2:119" ht="15.4" x14ac:dyDescent="0.45">
      <c r="B1308" s="134"/>
      <c r="C1308" s="42"/>
      <c r="D1308" s="110"/>
      <c r="E1308" s="46" t="s">
        <v>9</v>
      </c>
      <c r="F1308" s="141">
        <v>67688</v>
      </c>
      <c r="G1308" s="142"/>
      <c r="H1308" s="141">
        <v>40050</v>
      </c>
      <c r="I1308" s="142"/>
      <c r="J1308" s="42"/>
      <c r="K1308" s="42"/>
      <c r="L1308" s="42"/>
      <c r="M1308" s="42"/>
      <c r="N1308" s="42"/>
      <c r="O1308" s="42"/>
      <c r="P1308" s="42"/>
      <c r="Q1308" s="110"/>
      <c r="R1308" s="46" t="s">
        <v>9</v>
      </c>
      <c r="S1308" s="141">
        <v>36749</v>
      </c>
      <c r="T1308" s="142"/>
      <c r="U1308" s="141">
        <v>16934</v>
      </c>
      <c r="V1308" s="142"/>
      <c r="W1308" s="42"/>
      <c r="X1308" s="42"/>
      <c r="Y1308" s="42"/>
      <c r="Z1308" s="42"/>
      <c r="AA1308" s="42"/>
      <c r="AB1308" s="42"/>
      <c r="AC1308" s="42"/>
      <c r="AD1308" s="110"/>
      <c r="AE1308" s="46" t="s">
        <v>9</v>
      </c>
      <c r="AF1308" s="141">
        <v>30939</v>
      </c>
      <c r="AG1308" s="142"/>
      <c r="AH1308" s="141">
        <v>23116</v>
      </c>
      <c r="AI1308" s="142"/>
      <c r="AJ1308" s="42"/>
      <c r="AK1308" s="42"/>
      <c r="AL1308" s="42"/>
      <c r="AM1308" s="42"/>
      <c r="AN1308" s="42"/>
      <c r="AO1308" s="42"/>
      <c r="AQ1308" s="110"/>
      <c r="AR1308" s="46" t="s">
        <v>9</v>
      </c>
      <c r="AS1308" s="141">
        <v>11314</v>
      </c>
      <c r="AT1308" s="142"/>
      <c r="AU1308" s="141">
        <v>11373</v>
      </c>
      <c r="AV1308" s="142"/>
      <c r="AW1308" s="42"/>
      <c r="AX1308" s="42"/>
      <c r="AY1308" s="42"/>
      <c r="AZ1308" s="42"/>
      <c r="BA1308" s="42"/>
      <c r="BB1308" s="42"/>
      <c r="BC1308" s="42"/>
      <c r="BD1308" s="110"/>
      <c r="BE1308" s="46" t="s">
        <v>9</v>
      </c>
      <c r="BF1308" s="141">
        <v>56374</v>
      </c>
      <c r="BG1308" s="142"/>
      <c r="BH1308" s="141">
        <v>28677</v>
      </c>
      <c r="BI1308" s="142"/>
      <c r="BJ1308" s="42"/>
      <c r="BK1308" s="42"/>
      <c r="BL1308" s="42"/>
      <c r="BM1308" s="42"/>
      <c r="BN1308" s="42"/>
      <c r="BO1308" s="42"/>
      <c r="BQ1308" s="110"/>
      <c r="BR1308" s="46" t="s">
        <v>9</v>
      </c>
      <c r="BS1308" s="141">
        <v>2957</v>
      </c>
      <c r="BT1308" s="142"/>
      <c r="BU1308" s="141">
        <v>3724</v>
      </c>
      <c r="BV1308" s="142"/>
      <c r="BW1308" s="42"/>
      <c r="BX1308" s="42"/>
      <c r="BY1308" s="42"/>
      <c r="BZ1308" s="42"/>
      <c r="CA1308" s="42"/>
      <c r="CB1308" s="42"/>
      <c r="CC1308" s="42"/>
      <c r="CD1308" s="110"/>
      <c r="CE1308" s="46" t="s">
        <v>9</v>
      </c>
      <c r="CF1308" s="141">
        <v>64731</v>
      </c>
      <c r="CG1308" s="142"/>
      <c r="CH1308" s="141">
        <v>36326</v>
      </c>
      <c r="CI1308" s="142"/>
      <c r="CJ1308" s="42"/>
      <c r="CK1308" s="42"/>
      <c r="CL1308" s="42"/>
      <c r="CM1308" s="42"/>
      <c r="CN1308" s="42"/>
      <c r="CO1308" s="42"/>
      <c r="CQ1308" s="110"/>
      <c r="CR1308" s="46" t="s">
        <v>9</v>
      </c>
      <c r="CS1308" s="141">
        <v>10006</v>
      </c>
      <c r="CT1308" s="142"/>
      <c r="CU1308" s="141">
        <v>3595</v>
      </c>
      <c r="CV1308" s="142"/>
      <c r="CW1308" s="42"/>
      <c r="CX1308" s="42"/>
      <c r="CY1308" s="42"/>
      <c r="CZ1308" s="42"/>
      <c r="DA1308" s="42"/>
      <c r="DB1308" s="42"/>
      <c r="DC1308" s="42"/>
      <c r="DD1308" s="110"/>
      <c r="DE1308" s="46" t="s">
        <v>9</v>
      </c>
      <c r="DF1308" s="141">
        <v>57682</v>
      </c>
      <c r="DG1308" s="142"/>
      <c r="DH1308" s="141">
        <v>36455</v>
      </c>
      <c r="DI1308" s="142"/>
      <c r="DJ1308" s="42"/>
      <c r="DK1308" s="42"/>
      <c r="DL1308" s="42"/>
      <c r="DM1308" s="42"/>
      <c r="DN1308" s="42"/>
      <c r="DO1308" s="42"/>
    </row>
    <row r="1309" spans="2:119" ht="15.4" x14ac:dyDescent="0.45">
      <c r="B1309" s="134"/>
      <c r="C1309" s="42"/>
      <c r="D1309" s="110"/>
      <c r="E1309" s="46" t="s">
        <v>10</v>
      </c>
      <c r="F1309" s="141">
        <v>81348</v>
      </c>
      <c r="G1309" s="142"/>
      <c r="H1309" s="141">
        <v>11808</v>
      </c>
      <c r="I1309" s="142"/>
      <c r="J1309" s="42"/>
      <c r="K1309" s="42"/>
      <c r="L1309" s="42"/>
      <c r="M1309" s="42"/>
      <c r="N1309" s="42"/>
      <c r="O1309" s="42"/>
      <c r="P1309" s="42"/>
      <c r="Q1309" s="110"/>
      <c r="R1309" s="46" t="s">
        <v>10</v>
      </c>
      <c r="S1309" s="141">
        <v>40622</v>
      </c>
      <c r="T1309" s="142"/>
      <c r="U1309" s="141">
        <v>4102</v>
      </c>
      <c r="V1309" s="142"/>
      <c r="W1309" s="42"/>
      <c r="X1309" s="42"/>
      <c r="Y1309" s="42"/>
      <c r="Z1309" s="42"/>
      <c r="AA1309" s="42"/>
      <c r="AB1309" s="42"/>
      <c r="AC1309" s="42"/>
      <c r="AD1309" s="110"/>
      <c r="AE1309" s="46" t="s">
        <v>10</v>
      </c>
      <c r="AF1309" s="141">
        <v>40726</v>
      </c>
      <c r="AG1309" s="142"/>
      <c r="AH1309" s="141">
        <v>7706</v>
      </c>
      <c r="AI1309" s="142"/>
      <c r="AJ1309" s="42"/>
      <c r="AK1309" s="42"/>
      <c r="AL1309" s="42"/>
      <c r="AM1309" s="42"/>
      <c r="AN1309" s="42"/>
      <c r="AO1309" s="42"/>
      <c r="AQ1309" s="110"/>
      <c r="AR1309" s="46" t="s">
        <v>10</v>
      </c>
      <c r="AS1309" s="141">
        <v>10422</v>
      </c>
      <c r="AT1309" s="142"/>
      <c r="AU1309" s="141">
        <v>3255</v>
      </c>
      <c r="AV1309" s="142"/>
      <c r="AW1309" s="42"/>
      <c r="AX1309" s="42"/>
      <c r="AY1309" s="42"/>
      <c r="AZ1309" s="42"/>
      <c r="BA1309" s="42"/>
      <c r="BB1309" s="42"/>
      <c r="BC1309" s="42"/>
      <c r="BD1309" s="110"/>
      <c r="BE1309" s="46" t="s">
        <v>10</v>
      </c>
      <c r="BF1309" s="141">
        <v>70926</v>
      </c>
      <c r="BG1309" s="142"/>
      <c r="BH1309" s="141">
        <v>8553</v>
      </c>
      <c r="BI1309" s="142"/>
      <c r="BJ1309" s="42"/>
      <c r="BK1309" s="42"/>
      <c r="BL1309" s="42"/>
      <c r="BM1309" s="42"/>
      <c r="BN1309" s="42"/>
      <c r="BO1309" s="42"/>
      <c r="BQ1309" s="110"/>
      <c r="BR1309" s="46" t="s">
        <v>10</v>
      </c>
      <c r="BS1309" s="141">
        <v>2928</v>
      </c>
      <c r="BT1309" s="142"/>
      <c r="BU1309" s="141">
        <v>1075</v>
      </c>
      <c r="BV1309" s="142"/>
      <c r="BW1309" s="42"/>
      <c r="BX1309" s="42"/>
      <c r="BY1309" s="42"/>
      <c r="BZ1309" s="42"/>
      <c r="CA1309" s="42"/>
      <c r="CB1309" s="42"/>
      <c r="CC1309" s="42"/>
      <c r="CD1309" s="110"/>
      <c r="CE1309" s="46" t="s">
        <v>10</v>
      </c>
      <c r="CF1309" s="141">
        <v>78420</v>
      </c>
      <c r="CG1309" s="142"/>
      <c r="CH1309" s="141">
        <v>10733</v>
      </c>
      <c r="CI1309" s="142"/>
      <c r="CJ1309" s="42"/>
      <c r="CK1309" s="42"/>
      <c r="CL1309" s="42"/>
      <c r="CM1309" s="42"/>
      <c r="CN1309" s="42"/>
      <c r="CO1309" s="42"/>
      <c r="CQ1309" s="110"/>
      <c r="CR1309" s="46" t="s">
        <v>10</v>
      </c>
      <c r="CS1309" s="141">
        <v>10628</v>
      </c>
      <c r="CT1309" s="142"/>
      <c r="CU1309" s="141">
        <v>915</v>
      </c>
      <c r="CV1309" s="142"/>
      <c r="CW1309" s="42"/>
      <c r="CX1309" s="42"/>
      <c r="CY1309" s="42"/>
      <c r="CZ1309" s="42"/>
      <c r="DA1309" s="42"/>
      <c r="DB1309" s="42"/>
      <c r="DC1309" s="42"/>
      <c r="DD1309" s="110"/>
      <c r="DE1309" s="46" t="s">
        <v>10</v>
      </c>
      <c r="DF1309" s="141">
        <v>70720</v>
      </c>
      <c r="DG1309" s="142"/>
      <c r="DH1309" s="141">
        <v>10893</v>
      </c>
      <c r="DI1309" s="142"/>
      <c r="DJ1309" s="42"/>
      <c r="DK1309" s="42"/>
      <c r="DL1309" s="42"/>
      <c r="DM1309" s="42"/>
      <c r="DN1309" s="42"/>
      <c r="DO1309" s="42"/>
    </row>
    <row r="1310" spans="2:119" ht="15.4" x14ac:dyDescent="0.45">
      <c r="B1310" s="134"/>
      <c r="C1310" s="42"/>
      <c r="D1310" s="111"/>
      <c r="E1310" s="46" t="s">
        <v>11</v>
      </c>
      <c r="F1310" s="141">
        <v>22052</v>
      </c>
      <c r="G1310" s="142"/>
      <c r="H1310" s="141">
        <v>551</v>
      </c>
      <c r="I1310" s="142"/>
      <c r="J1310" s="42"/>
      <c r="K1310" s="42"/>
      <c r="L1310" s="42"/>
      <c r="M1310" s="42"/>
      <c r="N1310" s="42"/>
      <c r="O1310" s="42"/>
      <c r="P1310" s="42"/>
      <c r="Q1310" s="111"/>
      <c r="R1310" s="46" t="s">
        <v>11</v>
      </c>
      <c r="S1310" s="141">
        <v>11011</v>
      </c>
      <c r="T1310" s="142"/>
      <c r="U1310" s="141">
        <v>144</v>
      </c>
      <c r="V1310" s="142"/>
      <c r="W1310" s="42"/>
      <c r="X1310" s="42"/>
      <c r="Y1310" s="42"/>
      <c r="Z1310" s="42"/>
      <c r="AA1310" s="42"/>
      <c r="AB1310" s="42"/>
      <c r="AC1310" s="42"/>
      <c r="AD1310" s="111"/>
      <c r="AE1310" s="46" t="s">
        <v>11</v>
      </c>
      <c r="AF1310" s="141">
        <v>11041</v>
      </c>
      <c r="AG1310" s="142"/>
      <c r="AH1310" s="141">
        <v>407</v>
      </c>
      <c r="AI1310" s="142"/>
      <c r="AJ1310" s="42"/>
      <c r="AK1310" s="42"/>
      <c r="AL1310" s="42"/>
      <c r="AM1310" s="42"/>
      <c r="AN1310" s="42"/>
      <c r="AO1310" s="42"/>
      <c r="AQ1310" s="111"/>
      <c r="AR1310" s="46" t="s">
        <v>11</v>
      </c>
      <c r="AS1310" s="141">
        <v>1799</v>
      </c>
      <c r="AT1310" s="142"/>
      <c r="AU1310" s="141">
        <v>146</v>
      </c>
      <c r="AV1310" s="142"/>
      <c r="AW1310" s="42"/>
      <c r="AX1310" s="42"/>
      <c r="AY1310" s="42"/>
      <c r="AZ1310" s="42"/>
      <c r="BA1310" s="42"/>
      <c r="BB1310" s="42"/>
      <c r="BC1310" s="42"/>
      <c r="BD1310" s="111"/>
      <c r="BE1310" s="46" t="s">
        <v>11</v>
      </c>
      <c r="BF1310" s="141">
        <v>20253</v>
      </c>
      <c r="BG1310" s="142"/>
      <c r="BH1310" s="141">
        <v>405</v>
      </c>
      <c r="BI1310" s="142"/>
      <c r="BJ1310" s="42"/>
      <c r="BK1310" s="42"/>
      <c r="BL1310" s="42"/>
      <c r="BM1310" s="42"/>
      <c r="BN1310" s="42"/>
      <c r="BO1310" s="42"/>
      <c r="BQ1310" s="111"/>
      <c r="BR1310" s="46" t="s">
        <v>11</v>
      </c>
      <c r="BS1310" s="141">
        <v>659</v>
      </c>
      <c r="BT1310" s="142"/>
      <c r="BU1310" s="141">
        <v>78</v>
      </c>
      <c r="BV1310" s="142"/>
      <c r="BW1310" s="42"/>
      <c r="BX1310" s="42"/>
      <c r="BY1310" s="42"/>
      <c r="BZ1310" s="42"/>
      <c r="CA1310" s="42"/>
      <c r="CB1310" s="42"/>
      <c r="CC1310" s="42"/>
      <c r="CD1310" s="111"/>
      <c r="CE1310" s="46" t="s">
        <v>11</v>
      </c>
      <c r="CF1310" s="141">
        <v>21393</v>
      </c>
      <c r="CG1310" s="142"/>
      <c r="CH1310" s="141">
        <v>473</v>
      </c>
      <c r="CI1310" s="142"/>
      <c r="CJ1310" s="42"/>
      <c r="CK1310" s="42"/>
      <c r="CL1310" s="42"/>
      <c r="CM1310" s="42"/>
      <c r="CN1310" s="42"/>
      <c r="CO1310" s="42"/>
      <c r="CQ1310" s="111"/>
      <c r="CR1310" s="46" t="s">
        <v>11</v>
      </c>
      <c r="CS1310" s="141">
        <v>2495</v>
      </c>
      <c r="CT1310" s="142"/>
      <c r="CU1310" s="141">
        <v>39</v>
      </c>
      <c r="CV1310" s="142"/>
      <c r="CW1310" s="42"/>
      <c r="CX1310" s="42"/>
      <c r="CY1310" s="42"/>
      <c r="CZ1310" s="42"/>
      <c r="DA1310" s="42"/>
      <c r="DB1310" s="42"/>
      <c r="DC1310" s="42"/>
      <c r="DD1310" s="111"/>
      <c r="DE1310" s="46" t="s">
        <v>11</v>
      </c>
      <c r="DF1310" s="141">
        <v>19557</v>
      </c>
      <c r="DG1310" s="142"/>
      <c r="DH1310" s="141">
        <v>512</v>
      </c>
      <c r="DI1310" s="142"/>
      <c r="DJ1310" s="42"/>
      <c r="DK1310" s="42"/>
      <c r="DL1310" s="42"/>
      <c r="DM1310" s="42"/>
      <c r="DN1310" s="42"/>
      <c r="DO1310" s="42"/>
    </row>
    <row r="1311" spans="2:119" ht="15.75" x14ac:dyDescent="0.5">
      <c r="C1311" s="42"/>
      <c r="D1311" s="42"/>
      <c r="E1311" s="50"/>
      <c r="F1311" s="42"/>
      <c r="G1311" s="42"/>
      <c r="H1311" s="42"/>
      <c r="I1311" s="42"/>
      <c r="J1311" s="42"/>
      <c r="K1311" s="42"/>
      <c r="L1311" s="42"/>
      <c r="M1311" s="42"/>
      <c r="N1311" s="42"/>
      <c r="O1311" s="42"/>
      <c r="P1311" s="42"/>
      <c r="Q1311" s="42"/>
      <c r="R1311" s="42"/>
      <c r="S1311" s="42"/>
      <c r="T1311" s="42"/>
      <c r="U1311" s="42"/>
      <c r="V1311" s="42"/>
      <c r="W1311" s="42"/>
      <c r="X1311" s="42"/>
      <c r="Y1311" s="42"/>
      <c r="Z1311" s="42"/>
      <c r="AA1311" s="42"/>
      <c r="AB1311" s="42"/>
      <c r="AC1311" s="42"/>
      <c r="AD1311" s="42"/>
      <c r="AE1311" s="42"/>
      <c r="AF1311" s="42"/>
      <c r="AG1311" s="42"/>
      <c r="AH1311" s="42"/>
      <c r="AI1311" s="42"/>
      <c r="AJ1311" s="42"/>
      <c r="AK1311" s="42"/>
      <c r="AL1311" s="42"/>
      <c r="AM1311" s="42"/>
      <c r="AN1311" s="42"/>
      <c r="AO1311" s="42"/>
      <c r="AQ1311" s="42"/>
      <c r="AR1311" s="42"/>
      <c r="AS1311" s="42"/>
      <c r="AT1311" s="42"/>
      <c r="AU1311" s="42"/>
      <c r="AV1311" s="42"/>
      <c r="AW1311" s="42"/>
      <c r="AX1311" s="42"/>
      <c r="AY1311" s="42"/>
      <c r="AZ1311" s="42"/>
      <c r="BA1311" s="42"/>
      <c r="BB1311" s="42"/>
      <c r="BC1311" s="42"/>
      <c r="BD1311" s="42"/>
      <c r="BE1311" s="42"/>
      <c r="BF1311" s="42"/>
      <c r="BG1311" s="42"/>
      <c r="BH1311" s="42"/>
      <c r="BI1311" s="42"/>
      <c r="BJ1311" s="42"/>
      <c r="BK1311" s="42"/>
      <c r="BL1311" s="42"/>
      <c r="BM1311" s="42"/>
      <c r="BN1311" s="42"/>
      <c r="BO1311" s="42"/>
      <c r="BQ1311" s="42"/>
      <c r="BR1311" s="42"/>
      <c r="BS1311" s="42"/>
      <c r="BT1311" s="42"/>
      <c r="BU1311" s="42"/>
      <c r="BV1311" s="42"/>
      <c r="BW1311" s="42"/>
      <c r="BX1311" s="42"/>
      <c r="BY1311" s="42"/>
      <c r="BZ1311" s="42"/>
      <c r="CA1311" s="42"/>
      <c r="CB1311" s="42"/>
      <c r="CC1311" s="42"/>
      <c r="CD1311" s="42"/>
      <c r="CE1311" s="42"/>
      <c r="CF1311" s="42"/>
      <c r="CG1311" s="42"/>
      <c r="CH1311" s="42"/>
      <c r="CI1311" s="42"/>
      <c r="CJ1311" s="42"/>
      <c r="CK1311" s="42"/>
      <c r="CL1311" s="42"/>
      <c r="CM1311" s="42"/>
      <c r="CN1311" s="42"/>
      <c r="CO1311" s="42"/>
      <c r="CQ1311" s="42"/>
      <c r="CR1311" s="42"/>
      <c r="CS1311" s="42"/>
      <c r="CT1311" s="42"/>
      <c r="CU1311" s="42"/>
      <c r="CV1311" s="42"/>
      <c r="CW1311" s="42"/>
      <c r="CX1311" s="42"/>
      <c r="CY1311" s="42"/>
      <c r="CZ1311" s="42"/>
      <c r="DA1311" s="42"/>
      <c r="DB1311" s="42"/>
      <c r="DC1311" s="42"/>
      <c r="DD1311" s="42"/>
      <c r="DE1311" s="42"/>
      <c r="DF1311" s="42"/>
      <c r="DG1311" s="42"/>
      <c r="DH1311" s="42"/>
      <c r="DI1311" s="42"/>
      <c r="DJ1311" s="42"/>
      <c r="DK1311" s="42"/>
      <c r="DL1311" s="42"/>
      <c r="DM1311" s="42"/>
      <c r="DN1311" s="42"/>
      <c r="DO1311" s="42"/>
    </row>
    <row r="1312" spans="2:119" ht="18.75" customHeight="1" x14ac:dyDescent="0.55000000000000004">
      <c r="C1312" s="42"/>
      <c r="D1312" s="112" t="s">
        <v>16</v>
      </c>
      <c r="E1312" s="112"/>
      <c r="F1312" s="45"/>
      <c r="G1312" s="45"/>
      <c r="H1312" s="42"/>
      <c r="I1312" s="42"/>
      <c r="J1312" s="42"/>
      <c r="K1312" s="42"/>
      <c r="L1312" s="42"/>
      <c r="M1312" s="42"/>
      <c r="N1312" s="42"/>
      <c r="O1312" s="42"/>
      <c r="P1312" s="42"/>
      <c r="Q1312" s="112" t="s">
        <v>16</v>
      </c>
      <c r="R1312" s="112"/>
      <c r="S1312" s="45"/>
      <c r="T1312" s="45"/>
      <c r="U1312" s="42"/>
      <c r="V1312" s="42"/>
      <c r="W1312" s="42"/>
      <c r="X1312" s="42"/>
      <c r="Y1312" s="42"/>
      <c r="Z1312" s="42"/>
      <c r="AA1312" s="42"/>
      <c r="AB1312" s="42"/>
      <c r="AC1312" s="42"/>
      <c r="AD1312" s="112" t="s">
        <v>16</v>
      </c>
      <c r="AE1312" s="112"/>
      <c r="AF1312" s="45"/>
      <c r="AG1312" s="45"/>
      <c r="AH1312" s="42"/>
      <c r="AI1312" s="42"/>
      <c r="AJ1312" s="42"/>
      <c r="AK1312" s="42"/>
      <c r="AL1312" s="42"/>
      <c r="AM1312" s="42"/>
      <c r="AN1312" s="42"/>
      <c r="AO1312" s="42"/>
      <c r="AQ1312" s="112" t="s">
        <v>16</v>
      </c>
      <c r="AR1312" s="112"/>
      <c r="AS1312" s="45"/>
      <c r="AT1312" s="45"/>
      <c r="AU1312" s="42"/>
      <c r="AV1312" s="42"/>
      <c r="AW1312" s="42"/>
      <c r="AX1312" s="42"/>
      <c r="AY1312" s="42"/>
      <c r="AZ1312" s="42"/>
      <c r="BA1312" s="42"/>
      <c r="BB1312" s="42"/>
      <c r="BC1312" s="42"/>
      <c r="BD1312" s="112" t="s">
        <v>16</v>
      </c>
      <c r="BE1312" s="112"/>
      <c r="BF1312" s="45"/>
      <c r="BG1312" s="45"/>
      <c r="BH1312" s="42"/>
      <c r="BI1312" s="42"/>
      <c r="BJ1312" s="42"/>
      <c r="BK1312" s="42"/>
      <c r="BL1312" s="42"/>
      <c r="BM1312" s="42"/>
      <c r="BN1312" s="42"/>
      <c r="BO1312" s="42"/>
      <c r="BQ1312" s="112" t="s">
        <v>16</v>
      </c>
      <c r="BR1312" s="112"/>
      <c r="BS1312" s="45"/>
      <c r="BT1312" s="45"/>
      <c r="BU1312" s="42"/>
      <c r="BV1312" s="42"/>
      <c r="BW1312" s="42"/>
      <c r="BX1312" s="42"/>
      <c r="BY1312" s="42"/>
      <c r="BZ1312" s="42"/>
      <c r="CA1312" s="42"/>
      <c r="CB1312" s="42"/>
      <c r="CC1312" s="42"/>
      <c r="CD1312" s="112" t="s">
        <v>16</v>
      </c>
      <c r="CE1312" s="112"/>
      <c r="CF1312" s="45"/>
      <c r="CG1312" s="45"/>
      <c r="CH1312" s="42"/>
      <c r="CI1312" s="42"/>
      <c r="CJ1312" s="42"/>
      <c r="CK1312" s="42"/>
      <c r="CL1312" s="42"/>
      <c r="CM1312" s="42"/>
      <c r="CN1312" s="42"/>
      <c r="CO1312" s="42"/>
      <c r="CQ1312" s="112" t="s">
        <v>16</v>
      </c>
      <c r="CR1312" s="112"/>
      <c r="CS1312" s="45"/>
      <c r="CT1312" s="45"/>
      <c r="CU1312" s="42"/>
      <c r="CV1312" s="42"/>
      <c r="CW1312" s="42"/>
      <c r="CX1312" s="42"/>
      <c r="CY1312" s="42"/>
      <c r="CZ1312" s="42"/>
      <c r="DA1312" s="42"/>
      <c r="DB1312" s="42"/>
      <c r="DC1312" s="42"/>
      <c r="DD1312" s="112" t="s">
        <v>16</v>
      </c>
      <c r="DE1312" s="112"/>
      <c r="DF1312" s="45"/>
      <c r="DG1312" s="45"/>
      <c r="DH1312" s="42"/>
      <c r="DI1312" s="42"/>
      <c r="DJ1312" s="42"/>
      <c r="DK1312" s="42"/>
      <c r="DL1312" s="42"/>
      <c r="DM1312" s="42"/>
      <c r="DN1312" s="42"/>
      <c r="DO1312" s="42"/>
    </row>
    <row r="1313" spans="3:119" ht="28.9" customHeight="1" x14ac:dyDescent="0.45">
      <c r="C1313" s="42"/>
      <c r="D1313" s="112"/>
      <c r="E1313" s="112"/>
      <c r="F1313" s="108" t="s">
        <v>58</v>
      </c>
      <c r="G1313" s="108"/>
      <c r="H1313" s="108"/>
      <c r="I1313" s="108"/>
      <c r="J1313" s="42"/>
      <c r="K1313" s="42"/>
      <c r="L1313" s="42"/>
      <c r="M1313" s="42"/>
      <c r="N1313" s="42"/>
      <c r="O1313" s="42"/>
      <c r="P1313" s="42"/>
      <c r="Q1313" s="112"/>
      <c r="R1313" s="112"/>
      <c r="S1313" s="108" t="s">
        <v>58</v>
      </c>
      <c r="T1313" s="108"/>
      <c r="U1313" s="108"/>
      <c r="V1313" s="108"/>
      <c r="W1313" s="42"/>
      <c r="X1313" s="42"/>
      <c r="Y1313" s="42"/>
      <c r="Z1313" s="42"/>
      <c r="AA1313" s="42"/>
      <c r="AB1313" s="42"/>
      <c r="AC1313" s="42"/>
      <c r="AD1313" s="112"/>
      <c r="AE1313" s="112"/>
      <c r="AF1313" s="108" t="s">
        <v>58</v>
      </c>
      <c r="AG1313" s="108"/>
      <c r="AH1313" s="108"/>
      <c r="AI1313" s="108"/>
      <c r="AJ1313" s="42"/>
      <c r="AK1313" s="42"/>
      <c r="AL1313" s="42"/>
      <c r="AM1313" s="42"/>
      <c r="AN1313" s="42"/>
      <c r="AO1313" s="42"/>
      <c r="AQ1313" s="112"/>
      <c r="AR1313" s="112"/>
      <c r="AS1313" s="108" t="s">
        <v>58</v>
      </c>
      <c r="AT1313" s="108"/>
      <c r="AU1313" s="108"/>
      <c r="AV1313" s="108"/>
      <c r="AW1313" s="42"/>
      <c r="AX1313" s="42"/>
      <c r="AY1313" s="42"/>
      <c r="AZ1313" s="42"/>
      <c r="BA1313" s="42"/>
      <c r="BB1313" s="42"/>
      <c r="BC1313" s="42"/>
      <c r="BD1313" s="112"/>
      <c r="BE1313" s="112"/>
      <c r="BF1313" s="108" t="s">
        <v>58</v>
      </c>
      <c r="BG1313" s="108"/>
      <c r="BH1313" s="108"/>
      <c r="BI1313" s="108"/>
      <c r="BJ1313" s="42"/>
      <c r="BK1313" s="42"/>
      <c r="BL1313" s="42"/>
      <c r="BM1313" s="42"/>
      <c r="BN1313" s="42"/>
      <c r="BO1313" s="42"/>
      <c r="BQ1313" s="112"/>
      <c r="BR1313" s="112"/>
      <c r="BS1313" s="108" t="s">
        <v>58</v>
      </c>
      <c r="BT1313" s="108"/>
      <c r="BU1313" s="108"/>
      <c r="BV1313" s="108"/>
      <c r="BW1313" s="42"/>
      <c r="BX1313" s="42"/>
      <c r="BY1313" s="42"/>
      <c r="BZ1313" s="42"/>
      <c r="CA1313" s="42"/>
      <c r="CB1313" s="42"/>
      <c r="CC1313" s="42"/>
      <c r="CD1313" s="112"/>
      <c r="CE1313" s="112"/>
      <c r="CF1313" s="108" t="s">
        <v>58</v>
      </c>
      <c r="CG1313" s="108"/>
      <c r="CH1313" s="108"/>
      <c r="CI1313" s="108"/>
      <c r="CJ1313" s="42"/>
      <c r="CK1313" s="42"/>
      <c r="CL1313" s="42"/>
      <c r="CM1313" s="42"/>
      <c r="CN1313" s="42"/>
      <c r="CO1313" s="42"/>
      <c r="CQ1313" s="112"/>
      <c r="CR1313" s="112"/>
      <c r="CS1313" s="108" t="s">
        <v>58</v>
      </c>
      <c r="CT1313" s="108"/>
      <c r="CU1313" s="108"/>
      <c r="CV1313" s="108"/>
      <c r="CW1313" s="42"/>
      <c r="CX1313" s="42"/>
      <c r="CY1313" s="42"/>
      <c r="CZ1313" s="42"/>
      <c r="DA1313" s="42"/>
      <c r="DB1313" s="42"/>
      <c r="DC1313" s="42"/>
      <c r="DD1313" s="112"/>
      <c r="DE1313" s="112"/>
      <c r="DF1313" s="108" t="s">
        <v>58</v>
      </c>
      <c r="DG1313" s="108"/>
      <c r="DH1313" s="108"/>
      <c r="DI1313" s="108"/>
      <c r="DJ1313" s="42"/>
      <c r="DK1313" s="42"/>
      <c r="DL1313" s="42"/>
      <c r="DM1313" s="42"/>
      <c r="DN1313" s="42"/>
      <c r="DO1313" s="42"/>
    </row>
    <row r="1314" spans="3:119" ht="15" customHeight="1" x14ac:dyDescent="0.45">
      <c r="C1314" s="42"/>
      <c r="D1314" s="113"/>
      <c r="E1314" s="113"/>
      <c r="F1314" s="143" t="s">
        <v>64</v>
      </c>
      <c r="G1314" s="144"/>
      <c r="H1314" s="143" t="s">
        <v>110</v>
      </c>
      <c r="I1314" s="144"/>
      <c r="J1314" s="42"/>
      <c r="K1314" s="42"/>
      <c r="L1314" s="42"/>
      <c r="M1314" s="42"/>
      <c r="N1314" s="42"/>
      <c r="O1314" s="42"/>
      <c r="P1314" s="42"/>
      <c r="Q1314" s="113"/>
      <c r="R1314" s="113"/>
      <c r="S1314" s="143" t="s">
        <v>64</v>
      </c>
      <c r="T1314" s="144"/>
      <c r="U1314" s="143" t="s">
        <v>110</v>
      </c>
      <c r="V1314" s="144"/>
      <c r="W1314" s="42"/>
      <c r="X1314" s="42"/>
      <c r="Y1314" s="42"/>
      <c r="Z1314" s="42"/>
      <c r="AA1314" s="42"/>
      <c r="AB1314" s="42"/>
      <c r="AC1314" s="42"/>
      <c r="AD1314" s="113"/>
      <c r="AE1314" s="113"/>
      <c r="AF1314" s="143" t="s">
        <v>64</v>
      </c>
      <c r="AG1314" s="144"/>
      <c r="AH1314" s="143" t="s">
        <v>110</v>
      </c>
      <c r="AI1314" s="144"/>
      <c r="AJ1314" s="42"/>
      <c r="AK1314" s="42"/>
      <c r="AL1314" s="42"/>
      <c r="AM1314" s="42"/>
      <c r="AN1314" s="42"/>
      <c r="AO1314" s="42"/>
      <c r="AQ1314" s="113"/>
      <c r="AR1314" s="113"/>
      <c r="AS1314" s="143" t="s">
        <v>64</v>
      </c>
      <c r="AT1314" s="144"/>
      <c r="AU1314" s="143" t="s">
        <v>110</v>
      </c>
      <c r="AV1314" s="144"/>
      <c r="AW1314" s="42"/>
      <c r="AX1314" s="42"/>
      <c r="AY1314" s="42"/>
      <c r="AZ1314" s="42"/>
      <c r="BA1314" s="42"/>
      <c r="BB1314" s="42"/>
      <c r="BC1314" s="42"/>
      <c r="BD1314" s="113"/>
      <c r="BE1314" s="113"/>
      <c r="BF1314" s="143" t="s">
        <v>64</v>
      </c>
      <c r="BG1314" s="144"/>
      <c r="BH1314" s="143" t="s">
        <v>110</v>
      </c>
      <c r="BI1314" s="144"/>
      <c r="BJ1314" s="42"/>
      <c r="BK1314" s="42"/>
      <c r="BL1314" s="42"/>
      <c r="BM1314" s="42"/>
      <c r="BN1314" s="42"/>
      <c r="BO1314" s="42"/>
      <c r="BQ1314" s="113"/>
      <c r="BR1314" s="113"/>
      <c r="BS1314" s="143" t="s">
        <v>64</v>
      </c>
      <c r="BT1314" s="144"/>
      <c r="BU1314" s="143" t="s">
        <v>110</v>
      </c>
      <c r="BV1314" s="144"/>
      <c r="BW1314" s="42"/>
      <c r="BX1314" s="42"/>
      <c r="BY1314" s="42"/>
      <c r="BZ1314" s="42"/>
      <c r="CA1314" s="42"/>
      <c r="CB1314" s="42"/>
      <c r="CC1314" s="42"/>
      <c r="CD1314" s="113"/>
      <c r="CE1314" s="113"/>
      <c r="CF1314" s="143" t="s">
        <v>64</v>
      </c>
      <c r="CG1314" s="144"/>
      <c r="CH1314" s="143" t="s">
        <v>110</v>
      </c>
      <c r="CI1314" s="144"/>
      <c r="CJ1314" s="42"/>
      <c r="CK1314" s="42"/>
      <c r="CL1314" s="42"/>
      <c r="CM1314" s="42"/>
      <c r="CN1314" s="42"/>
      <c r="CO1314" s="42"/>
      <c r="CQ1314" s="113"/>
      <c r="CR1314" s="113"/>
      <c r="CS1314" s="143" t="s">
        <v>64</v>
      </c>
      <c r="CT1314" s="144"/>
      <c r="CU1314" s="143" t="s">
        <v>110</v>
      </c>
      <c r="CV1314" s="144"/>
      <c r="CW1314" s="42"/>
      <c r="CX1314" s="42"/>
      <c r="CY1314" s="42"/>
      <c r="CZ1314" s="42"/>
      <c r="DA1314" s="42"/>
      <c r="DB1314" s="42"/>
      <c r="DC1314" s="42"/>
      <c r="DD1314" s="113"/>
      <c r="DE1314" s="113"/>
      <c r="DF1314" s="143" t="s">
        <v>64</v>
      </c>
      <c r="DG1314" s="144"/>
      <c r="DH1314" s="143" t="s">
        <v>110</v>
      </c>
      <c r="DI1314" s="144"/>
      <c r="DJ1314" s="42"/>
      <c r="DK1314" s="42"/>
      <c r="DL1314" s="42"/>
      <c r="DM1314" s="42"/>
      <c r="DN1314" s="42"/>
      <c r="DO1314" s="42"/>
    </row>
    <row r="1315" spans="3:119" ht="15.4" customHeight="1" x14ac:dyDescent="0.45">
      <c r="C1315" s="42"/>
      <c r="D1315" s="109" t="s">
        <v>13</v>
      </c>
      <c r="E1315" s="46" t="s">
        <v>1</v>
      </c>
      <c r="F1315" s="141">
        <v>0.29750836742283376</v>
      </c>
      <c r="G1315" s="142"/>
      <c r="H1315" s="141">
        <v>99.702491632577164</v>
      </c>
      <c r="I1315" s="142"/>
      <c r="J1315" s="42"/>
      <c r="K1315" s="42"/>
      <c r="L1315" s="42"/>
      <c r="M1315" s="42"/>
      <c r="N1315" s="42"/>
      <c r="O1315" s="42"/>
      <c r="P1315" s="42"/>
      <c r="Q1315" s="109" t="s">
        <v>13</v>
      </c>
      <c r="R1315" s="46" t="s">
        <v>1</v>
      </c>
      <c r="S1315" s="141">
        <v>0.53590568060021437</v>
      </c>
      <c r="T1315" s="142"/>
      <c r="U1315" s="141">
        <v>99.464094319399791</v>
      </c>
      <c r="V1315" s="142"/>
      <c r="W1315" s="42"/>
      <c r="X1315" s="42"/>
      <c r="Y1315" s="42"/>
      <c r="Z1315" s="42"/>
      <c r="AA1315" s="42"/>
      <c r="AB1315" s="42"/>
      <c r="AC1315" s="42"/>
      <c r="AD1315" s="109" t="s">
        <v>13</v>
      </c>
      <c r="AE1315" s="46" t="s">
        <v>1</v>
      </c>
      <c r="AF1315" s="141">
        <v>0.17084282460136674</v>
      </c>
      <c r="AG1315" s="142"/>
      <c r="AH1315" s="141">
        <v>99.829157175398635</v>
      </c>
      <c r="AI1315" s="142"/>
      <c r="AJ1315" s="42"/>
      <c r="AK1315" s="42"/>
      <c r="AL1315" s="42"/>
      <c r="AM1315" s="42"/>
      <c r="AN1315" s="42"/>
      <c r="AO1315" s="42"/>
      <c r="AQ1315" s="109" t="s">
        <v>13</v>
      </c>
      <c r="AR1315" s="46" t="s">
        <v>1</v>
      </c>
      <c r="AS1315" s="141">
        <v>0.21186440677966101</v>
      </c>
      <c r="AT1315" s="142"/>
      <c r="AU1315" s="141">
        <v>99.788135593220346</v>
      </c>
      <c r="AV1315" s="142"/>
      <c r="AW1315" s="42"/>
      <c r="AX1315" s="42"/>
      <c r="AY1315" s="42"/>
      <c r="AZ1315" s="42"/>
      <c r="BA1315" s="42"/>
      <c r="BB1315" s="42"/>
      <c r="BC1315" s="42"/>
      <c r="BD1315" s="109" t="s">
        <v>13</v>
      </c>
      <c r="BE1315" s="46" t="s">
        <v>1</v>
      </c>
      <c r="BF1315" s="141">
        <v>0.39277297721916732</v>
      </c>
      <c r="BG1315" s="142"/>
      <c r="BH1315" s="141">
        <v>99.607227022780833</v>
      </c>
      <c r="BI1315" s="142"/>
      <c r="BJ1315" s="42"/>
      <c r="BK1315" s="42"/>
      <c r="BL1315" s="42"/>
      <c r="BM1315" s="42"/>
      <c r="BN1315" s="42"/>
      <c r="BO1315" s="42"/>
      <c r="BQ1315" s="109" t="s">
        <v>13</v>
      </c>
      <c r="BR1315" s="46" t="s">
        <v>1</v>
      </c>
      <c r="BS1315" s="141">
        <v>0.11402508551881414</v>
      </c>
      <c r="BT1315" s="142"/>
      <c r="BU1315" s="141">
        <v>99.885974914481196</v>
      </c>
      <c r="BV1315" s="142"/>
      <c r="BW1315" s="42"/>
      <c r="BX1315" s="42"/>
      <c r="BY1315" s="42"/>
      <c r="BZ1315" s="42"/>
      <c r="CA1315" s="42"/>
      <c r="CB1315" s="42"/>
      <c r="CC1315" s="42"/>
      <c r="CD1315" s="109" t="s">
        <v>13</v>
      </c>
      <c r="CE1315" s="46" t="s">
        <v>1</v>
      </c>
      <c r="CF1315" s="141">
        <v>8.6206896551724146</v>
      </c>
      <c r="CG1315" s="142"/>
      <c r="CH1315" s="141">
        <v>91.379310344827587</v>
      </c>
      <c r="CI1315" s="142"/>
      <c r="CJ1315" s="42"/>
      <c r="CK1315" s="42"/>
      <c r="CL1315" s="42"/>
      <c r="CM1315" s="42"/>
      <c r="CN1315" s="42"/>
      <c r="CO1315" s="42"/>
      <c r="CQ1315" s="109" t="s">
        <v>13</v>
      </c>
      <c r="CR1315" s="46" t="s">
        <v>1</v>
      </c>
      <c r="CS1315" s="141">
        <v>0.93167701863354035</v>
      </c>
      <c r="CT1315" s="142"/>
      <c r="CU1315" s="141">
        <v>99.068322981366464</v>
      </c>
      <c r="CV1315" s="142"/>
      <c r="CW1315" s="42"/>
      <c r="CX1315" s="42"/>
      <c r="CY1315" s="42"/>
      <c r="CZ1315" s="42"/>
      <c r="DA1315" s="42"/>
      <c r="DB1315" s="42"/>
      <c r="DC1315" s="42"/>
      <c r="DD1315" s="109" t="s">
        <v>13</v>
      </c>
      <c r="DE1315" s="46" t="s">
        <v>1</v>
      </c>
      <c r="DF1315" s="141">
        <v>9.779951100244498E-2</v>
      </c>
      <c r="DG1315" s="142"/>
      <c r="DH1315" s="141">
        <v>99.902200488997551</v>
      </c>
      <c r="DI1315" s="142"/>
      <c r="DJ1315" s="42"/>
      <c r="DK1315" s="42"/>
      <c r="DL1315" s="42"/>
      <c r="DM1315" s="42"/>
      <c r="DN1315" s="42"/>
      <c r="DO1315" s="42"/>
    </row>
    <row r="1316" spans="3:119" ht="15.4" x14ac:dyDescent="0.45">
      <c r="C1316" s="42"/>
      <c r="D1316" s="110"/>
      <c r="E1316" s="46" t="s">
        <v>56</v>
      </c>
      <c r="F1316" s="141">
        <v>0.85186938002839563</v>
      </c>
      <c r="G1316" s="142"/>
      <c r="H1316" s="141">
        <v>99.14813061997161</v>
      </c>
      <c r="I1316" s="142"/>
      <c r="J1316" s="42"/>
      <c r="K1316" s="42"/>
      <c r="L1316" s="42"/>
      <c r="M1316" s="42"/>
      <c r="N1316" s="42"/>
      <c r="O1316" s="42"/>
      <c r="P1316" s="42"/>
      <c r="Q1316" s="110"/>
      <c r="R1316" s="46" t="s">
        <v>56</v>
      </c>
      <c r="S1316" s="141">
        <v>1.1873350923482848</v>
      </c>
      <c r="T1316" s="142"/>
      <c r="U1316" s="141">
        <v>98.812664907651708</v>
      </c>
      <c r="V1316" s="142"/>
      <c r="W1316" s="42"/>
      <c r="X1316" s="42"/>
      <c r="Y1316" s="42"/>
      <c r="Z1316" s="42"/>
      <c r="AA1316" s="42"/>
      <c r="AB1316" s="42"/>
      <c r="AC1316" s="42"/>
      <c r="AD1316" s="110"/>
      <c r="AE1316" s="46" t="s">
        <v>56</v>
      </c>
      <c r="AF1316" s="141">
        <v>0.66420664206642066</v>
      </c>
      <c r="AG1316" s="142"/>
      <c r="AH1316" s="141">
        <v>99.335793357933582</v>
      </c>
      <c r="AI1316" s="142"/>
      <c r="AJ1316" s="42"/>
      <c r="AK1316" s="42"/>
      <c r="AL1316" s="42"/>
      <c r="AM1316" s="42"/>
      <c r="AN1316" s="42"/>
      <c r="AO1316" s="42"/>
      <c r="AQ1316" s="110"/>
      <c r="AR1316" s="46" t="s">
        <v>56</v>
      </c>
      <c r="AS1316" s="141">
        <v>0.2676181980374665</v>
      </c>
      <c r="AT1316" s="142"/>
      <c r="AU1316" s="141">
        <v>99.732381801962532</v>
      </c>
      <c r="AV1316" s="142"/>
      <c r="AW1316" s="42"/>
      <c r="AX1316" s="42"/>
      <c r="AY1316" s="42"/>
      <c r="AZ1316" s="42"/>
      <c r="BA1316" s="42"/>
      <c r="BB1316" s="42"/>
      <c r="BC1316" s="42"/>
      <c r="BD1316" s="110"/>
      <c r="BE1316" s="46" t="s">
        <v>56</v>
      </c>
      <c r="BF1316" s="141">
        <v>1.5120967741935485</v>
      </c>
      <c r="BG1316" s="142"/>
      <c r="BH1316" s="141">
        <v>98.487903225806448</v>
      </c>
      <c r="BI1316" s="142"/>
      <c r="BJ1316" s="42"/>
      <c r="BK1316" s="42"/>
      <c r="BL1316" s="42"/>
      <c r="BM1316" s="42"/>
      <c r="BN1316" s="42"/>
      <c r="BO1316" s="42"/>
      <c r="BQ1316" s="110"/>
      <c r="BR1316" s="46" t="s">
        <v>56</v>
      </c>
      <c r="BS1316" s="141">
        <v>0</v>
      </c>
      <c r="BT1316" s="142"/>
      <c r="BU1316" s="141">
        <v>100</v>
      </c>
      <c r="BV1316" s="142"/>
      <c r="BW1316" s="42"/>
      <c r="BX1316" s="42"/>
      <c r="BY1316" s="42"/>
      <c r="BZ1316" s="42"/>
      <c r="CA1316" s="42"/>
      <c r="CB1316" s="42"/>
      <c r="CC1316" s="42"/>
      <c r="CD1316" s="110"/>
      <c r="CE1316" s="46" t="s">
        <v>56</v>
      </c>
      <c r="CF1316" s="141">
        <v>13.043478260869565</v>
      </c>
      <c r="CG1316" s="142"/>
      <c r="CH1316" s="141">
        <v>86.956521739130437</v>
      </c>
      <c r="CI1316" s="142"/>
      <c r="CJ1316" s="42"/>
      <c r="CK1316" s="42"/>
      <c r="CL1316" s="42"/>
      <c r="CM1316" s="42"/>
      <c r="CN1316" s="42"/>
      <c r="CO1316" s="42"/>
      <c r="CQ1316" s="110"/>
      <c r="CR1316" s="46" t="s">
        <v>56</v>
      </c>
      <c r="CS1316" s="141">
        <v>4.1284403669724776</v>
      </c>
      <c r="CT1316" s="142"/>
      <c r="CU1316" s="141">
        <v>95.87155963302753</v>
      </c>
      <c r="CV1316" s="142"/>
      <c r="CW1316" s="42"/>
      <c r="CX1316" s="42"/>
      <c r="CY1316" s="42"/>
      <c r="CZ1316" s="42"/>
      <c r="DA1316" s="42"/>
      <c r="DB1316" s="42"/>
      <c r="DC1316" s="42"/>
      <c r="DD1316" s="110"/>
      <c r="DE1316" s="46" t="s">
        <v>56</v>
      </c>
      <c r="DF1316" s="141">
        <v>0</v>
      </c>
      <c r="DG1316" s="142"/>
      <c r="DH1316" s="141">
        <v>100</v>
      </c>
      <c r="DI1316" s="142"/>
      <c r="DJ1316" s="42"/>
      <c r="DK1316" s="42"/>
      <c r="DL1316" s="42"/>
      <c r="DM1316" s="42"/>
      <c r="DN1316" s="42"/>
      <c r="DO1316" s="42"/>
    </row>
    <row r="1317" spans="3:119" ht="15.4" x14ac:dyDescent="0.45">
      <c r="C1317" s="42"/>
      <c r="D1317" s="110"/>
      <c r="E1317" s="46" t="s">
        <v>2</v>
      </c>
      <c r="F1317" s="141">
        <v>1.1331247827598192</v>
      </c>
      <c r="G1317" s="142"/>
      <c r="H1317" s="141">
        <v>98.866875217240178</v>
      </c>
      <c r="I1317" s="142"/>
      <c r="J1317" s="42"/>
      <c r="K1317" s="42"/>
      <c r="L1317" s="42"/>
      <c r="M1317" s="42"/>
      <c r="N1317" s="42"/>
      <c r="O1317" s="42"/>
      <c r="P1317" s="42"/>
      <c r="Q1317" s="110"/>
      <c r="R1317" s="46" t="s">
        <v>2</v>
      </c>
      <c r="S1317" s="141">
        <v>1.2377514182568334</v>
      </c>
      <c r="T1317" s="142"/>
      <c r="U1317" s="141">
        <v>98.762248581743165</v>
      </c>
      <c r="V1317" s="142"/>
      <c r="W1317" s="42"/>
      <c r="X1317" s="42"/>
      <c r="Y1317" s="42"/>
      <c r="Z1317" s="42"/>
      <c r="AA1317" s="42"/>
      <c r="AB1317" s="42"/>
      <c r="AC1317" s="42"/>
      <c r="AD1317" s="110"/>
      <c r="AE1317" s="46" t="s">
        <v>2</v>
      </c>
      <c r="AF1317" s="141">
        <v>1.0620915032679739</v>
      </c>
      <c r="AG1317" s="142"/>
      <c r="AH1317" s="141">
        <v>98.937908496732035</v>
      </c>
      <c r="AI1317" s="142"/>
      <c r="AJ1317" s="42"/>
      <c r="AK1317" s="42"/>
      <c r="AL1317" s="42"/>
      <c r="AM1317" s="42"/>
      <c r="AN1317" s="42"/>
      <c r="AO1317" s="42"/>
      <c r="AQ1317" s="110"/>
      <c r="AR1317" s="46" t="s">
        <v>2</v>
      </c>
      <c r="AS1317" s="141">
        <v>0.62467464862051014</v>
      </c>
      <c r="AT1317" s="142"/>
      <c r="AU1317" s="141">
        <v>99.375325351379487</v>
      </c>
      <c r="AV1317" s="142"/>
      <c r="AW1317" s="42"/>
      <c r="AX1317" s="42"/>
      <c r="AY1317" s="42"/>
      <c r="AZ1317" s="42"/>
      <c r="BA1317" s="42"/>
      <c r="BB1317" s="42"/>
      <c r="BC1317" s="42"/>
      <c r="BD1317" s="110"/>
      <c r="BE1317" s="46" t="s">
        <v>2</v>
      </c>
      <c r="BF1317" s="141">
        <v>1.7161617669004627</v>
      </c>
      <c r="BG1317" s="142"/>
      <c r="BH1317" s="141">
        <v>98.283838233099544</v>
      </c>
      <c r="BI1317" s="142"/>
      <c r="BJ1317" s="42"/>
      <c r="BK1317" s="42"/>
      <c r="BL1317" s="42"/>
      <c r="BM1317" s="42"/>
      <c r="BN1317" s="42"/>
      <c r="BO1317" s="42"/>
      <c r="BQ1317" s="110"/>
      <c r="BR1317" s="46" t="s">
        <v>2</v>
      </c>
      <c r="BS1317" s="141">
        <v>0.32585083272990589</v>
      </c>
      <c r="BT1317" s="142"/>
      <c r="BU1317" s="141">
        <v>99.674149167270102</v>
      </c>
      <c r="BV1317" s="142"/>
      <c r="BW1317" s="42"/>
      <c r="BX1317" s="42"/>
      <c r="BY1317" s="42"/>
      <c r="BZ1317" s="42"/>
      <c r="CA1317" s="42"/>
      <c r="CB1317" s="42"/>
      <c r="CC1317" s="42"/>
      <c r="CD1317" s="110"/>
      <c r="CE1317" s="46" t="s">
        <v>2</v>
      </c>
      <c r="CF1317" s="141">
        <v>3.8058136050344622</v>
      </c>
      <c r="CG1317" s="142"/>
      <c r="CH1317" s="141">
        <v>96.194186394965541</v>
      </c>
      <c r="CI1317" s="142"/>
      <c r="CJ1317" s="42"/>
      <c r="CK1317" s="42"/>
      <c r="CL1317" s="42"/>
      <c r="CM1317" s="42"/>
      <c r="CN1317" s="42"/>
      <c r="CO1317" s="42"/>
      <c r="CQ1317" s="110"/>
      <c r="CR1317" s="46" t="s">
        <v>2</v>
      </c>
      <c r="CS1317" s="141">
        <v>4</v>
      </c>
      <c r="CT1317" s="142"/>
      <c r="CU1317" s="141">
        <v>96</v>
      </c>
      <c r="CV1317" s="142"/>
      <c r="CW1317" s="42"/>
      <c r="CX1317" s="42"/>
      <c r="CY1317" s="42"/>
      <c r="CZ1317" s="42"/>
      <c r="DA1317" s="42"/>
      <c r="DB1317" s="42"/>
      <c r="DC1317" s="42"/>
      <c r="DD1317" s="110"/>
      <c r="DE1317" s="46" t="s">
        <v>2</v>
      </c>
      <c r="DF1317" s="141">
        <v>0.26280018124150434</v>
      </c>
      <c r="DG1317" s="142"/>
      <c r="DH1317" s="141">
        <v>99.737199818758498</v>
      </c>
      <c r="DI1317" s="142"/>
      <c r="DJ1317" s="42"/>
      <c r="DK1317" s="42"/>
      <c r="DL1317" s="42"/>
      <c r="DM1317" s="42"/>
      <c r="DN1317" s="42"/>
      <c r="DO1317" s="42"/>
    </row>
    <row r="1318" spans="3:119" ht="15.4" x14ac:dyDescent="0.45">
      <c r="C1318" s="42"/>
      <c r="D1318" s="110"/>
      <c r="E1318" s="46" t="s">
        <v>3</v>
      </c>
      <c r="F1318" s="141">
        <v>1.2920859734128463</v>
      </c>
      <c r="G1318" s="142"/>
      <c r="H1318" s="141">
        <v>98.707914026587147</v>
      </c>
      <c r="I1318" s="142"/>
      <c r="J1318" s="42"/>
      <c r="K1318" s="42"/>
      <c r="L1318" s="42"/>
      <c r="M1318" s="42"/>
      <c r="N1318" s="42"/>
      <c r="O1318" s="42"/>
      <c r="P1318" s="42"/>
      <c r="Q1318" s="110"/>
      <c r="R1318" s="46" t="s">
        <v>3</v>
      </c>
      <c r="S1318" s="141">
        <v>1.1057555996597674</v>
      </c>
      <c r="T1318" s="142"/>
      <c r="U1318" s="141">
        <v>98.894244400340241</v>
      </c>
      <c r="V1318" s="142"/>
      <c r="W1318" s="42"/>
      <c r="X1318" s="42"/>
      <c r="Y1318" s="42"/>
      <c r="Z1318" s="42"/>
      <c r="AA1318" s="42"/>
      <c r="AB1318" s="42"/>
      <c r="AC1318" s="42"/>
      <c r="AD1318" s="110"/>
      <c r="AE1318" s="46" t="s">
        <v>3</v>
      </c>
      <c r="AF1318" s="141">
        <v>1.4374170720919948</v>
      </c>
      <c r="AG1318" s="142"/>
      <c r="AH1318" s="141">
        <v>98.562582927908011</v>
      </c>
      <c r="AI1318" s="142"/>
      <c r="AJ1318" s="42"/>
      <c r="AK1318" s="42"/>
      <c r="AL1318" s="42"/>
      <c r="AM1318" s="42"/>
      <c r="AN1318" s="42"/>
      <c r="AO1318" s="42"/>
      <c r="AQ1318" s="110"/>
      <c r="AR1318" s="46" t="s">
        <v>3</v>
      </c>
      <c r="AS1318" s="141">
        <v>0.82156611039794614</v>
      </c>
      <c r="AT1318" s="142"/>
      <c r="AU1318" s="141">
        <v>99.178433889602061</v>
      </c>
      <c r="AV1318" s="142"/>
      <c r="AW1318" s="42"/>
      <c r="AX1318" s="42"/>
      <c r="AY1318" s="42"/>
      <c r="AZ1318" s="42"/>
      <c r="BA1318" s="42"/>
      <c r="BB1318" s="42"/>
      <c r="BC1318" s="42"/>
      <c r="BD1318" s="110"/>
      <c r="BE1318" s="46" t="s">
        <v>3</v>
      </c>
      <c r="BF1318" s="141">
        <v>1.7332691381800676</v>
      </c>
      <c r="BG1318" s="142"/>
      <c r="BH1318" s="141">
        <v>98.266730861819923</v>
      </c>
      <c r="BI1318" s="142"/>
      <c r="BJ1318" s="42"/>
      <c r="BK1318" s="42"/>
      <c r="BL1318" s="42"/>
      <c r="BM1318" s="42"/>
      <c r="BN1318" s="42"/>
      <c r="BO1318" s="42"/>
      <c r="BQ1318" s="110"/>
      <c r="BR1318" s="46" t="s">
        <v>3</v>
      </c>
      <c r="BS1318" s="141">
        <v>0.67969413763806286</v>
      </c>
      <c r="BT1318" s="142"/>
      <c r="BU1318" s="141">
        <v>99.320305862361934</v>
      </c>
      <c r="BV1318" s="142"/>
      <c r="BW1318" s="42"/>
      <c r="BX1318" s="42"/>
      <c r="BY1318" s="42"/>
      <c r="BZ1318" s="42"/>
      <c r="CA1318" s="42"/>
      <c r="CB1318" s="42"/>
      <c r="CC1318" s="42"/>
      <c r="CD1318" s="110"/>
      <c r="CE1318" s="46" t="s">
        <v>3</v>
      </c>
      <c r="CF1318" s="141">
        <v>2.1550434001795868</v>
      </c>
      <c r="CG1318" s="142"/>
      <c r="CH1318" s="141">
        <v>97.844956599820406</v>
      </c>
      <c r="CI1318" s="142"/>
      <c r="CJ1318" s="42"/>
      <c r="CK1318" s="42"/>
      <c r="CL1318" s="42"/>
      <c r="CM1318" s="42"/>
      <c r="CN1318" s="42"/>
      <c r="CO1318" s="42"/>
      <c r="CQ1318" s="110"/>
      <c r="CR1318" s="46" t="s">
        <v>3</v>
      </c>
      <c r="CS1318" s="141">
        <v>4.2487684729064039</v>
      </c>
      <c r="CT1318" s="142"/>
      <c r="CU1318" s="141">
        <v>95.751231527093594</v>
      </c>
      <c r="CV1318" s="142"/>
      <c r="CW1318" s="42"/>
      <c r="CX1318" s="42"/>
      <c r="CY1318" s="42"/>
      <c r="CZ1318" s="42"/>
      <c r="DA1318" s="42"/>
      <c r="DB1318" s="42"/>
      <c r="DC1318" s="42"/>
      <c r="DD1318" s="110"/>
      <c r="DE1318" s="46" t="s">
        <v>3</v>
      </c>
      <c r="DF1318" s="141">
        <v>0.54474708171206221</v>
      </c>
      <c r="DG1318" s="142"/>
      <c r="DH1318" s="141">
        <v>99.45525291828794</v>
      </c>
      <c r="DI1318" s="142"/>
      <c r="DJ1318" s="42"/>
      <c r="DK1318" s="42"/>
      <c r="DL1318" s="42"/>
      <c r="DM1318" s="42"/>
      <c r="DN1318" s="42"/>
      <c r="DO1318" s="42"/>
    </row>
    <row r="1319" spans="3:119" ht="15.4" x14ac:dyDescent="0.45">
      <c r="C1319" s="42"/>
      <c r="D1319" s="110"/>
      <c r="E1319" s="46" t="s">
        <v>4</v>
      </c>
      <c r="F1319" s="141">
        <v>2.1665982765695526</v>
      </c>
      <c r="G1319" s="142"/>
      <c r="H1319" s="141">
        <v>97.833401723430441</v>
      </c>
      <c r="I1319" s="142"/>
      <c r="J1319" s="42"/>
      <c r="K1319" s="42"/>
      <c r="L1319" s="42"/>
      <c r="M1319" s="42"/>
      <c r="N1319" s="42"/>
      <c r="O1319" s="42"/>
      <c r="P1319" s="42"/>
      <c r="Q1319" s="110"/>
      <c r="R1319" s="46" t="s">
        <v>4</v>
      </c>
      <c r="S1319" s="141">
        <v>2.3902961113093113</v>
      </c>
      <c r="T1319" s="142"/>
      <c r="U1319" s="141">
        <v>97.609703888690689</v>
      </c>
      <c r="V1319" s="142"/>
      <c r="W1319" s="42"/>
      <c r="X1319" s="42"/>
      <c r="Y1319" s="42"/>
      <c r="Z1319" s="42"/>
      <c r="AA1319" s="42"/>
      <c r="AB1319" s="42"/>
      <c r="AC1319" s="42"/>
      <c r="AD1319" s="110"/>
      <c r="AE1319" s="46" t="s">
        <v>4</v>
      </c>
      <c r="AF1319" s="141">
        <v>1.9759841921264631</v>
      </c>
      <c r="AG1319" s="142"/>
      <c r="AH1319" s="141">
        <v>98.024015807873539</v>
      </c>
      <c r="AI1319" s="142"/>
      <c r="AJ1319" s="42"/>
      <c r="AK1319" s="42"/>
      <c r="AL1319" s="42"/>
      <c r="AM1319" s="42"/>
      <c r="AN1319" s="42"/>
      <c r="AO1319" s="42"/>
      <c r="AQ1319" s="110"/>
      <c r="AR1319" s="46" t="s">
        <v>4</v>
      </c>
      <c r="AS1319" s="141">
        <v>1.3160234750133382</v>
      </c>
      <c r="AT1319" s="142"/>
      <c r="AU1319" s="141">
        <v>98.683976524986662</v>
      </c>
      <c r="AV1319" s="142"/>
      <c r="AW1319" s="42"/>
      <c r="AX1319" s="42"/>
      <c r="AY1319" s="42"/>
      <c r="AZ1319" s="42"/>
      <c r="BA1319" s="42"/>
      <c r="BB1319" s="42"/>
      <c r="BC1319" s="42"/>
      <c r="BD1319" s="110"/>
      <c r="BE1319" s="46" t="s">
        <v>4</v>
      </c>
      <c r="BF1319" s="141">
        <v>2.895458701615361</v>
      </c>
      <c r="BG1319" s="142"/>
      <c r="BH1319" s="141">
        <v>97.104541298384646</v>
      </c>
      <c r="BI1319" s="142"/>
      <c r="BJ1319" s="42"/>
      <c r="BK1319" s="42"/>
      <c r="BL1319" s="42"/>
      <c r="BM1319" s="42"/>
      <c r="BN1319" s="42"/>
      <c r="BO1319" s="42"/>
      <c r="BQ1319" s="110"/>
      <c r="BR1319" s="46" t="s">
        <v>4</v>
      </c>
      <c r="BS1319" s="141">
        <v>1.3992206872121855</v>
      </c>
      <c r="BT1319" s="142"/>
      <c r="BU1319" s="141">
        <v>98.600779312787807</v>
      </c>
      <c r="BV1319" s="142"/>
      <c r="BW1319" s="42"/>
      <c r="BX1319" s="42"/>
      <c r="BY1319" s="42"/>
      <c r="BZ1319" s="42"/>
      <c r="CA1319" s="42"/>
      <c r="CB1319" s="42"/>
      <c r="CC1319" s="42"/>
      <c r="CD1319" s="110"/>
      <c r="CE1319" s="46" t="s">
        <v>4</v>
      </c>
      <c r="CF1319" s="141">
        <v>2.8291787735127696</v>
      </c>
      <c r="CG1319" s="142"/>
      <c r="CH1319" s="141">
        <v>97.17082122648722</v>
      </c>
      <c r="CI1319" s="142"/>
      <c r="CJ1319" s="42"/>
      <c r="CK1319" s="42"/>
      <c r="CL1319" s="42"/>
      <c r="CM1319" s="42"/>
      <c r="CN1319" s="42"/>
      <c r="CO1319" s="42"/>
      <c r="CQ1319" s="110"/>
      <c r="CR1319" s="46" t="s">
        <v>4</v>
      </c>
      <c r="CS1319" s="141">
        <v>6.8445975032285835</v>
      </c>
      <c r="CT1319" s="142"/>
      <c r="CU1319" s="141">
        <v>93.155402496771416</v>
      </c>
      <c r="CV1319" s="142"/>
      <c r="CW1319" s="42"/>
      <c r="CX1319" s="42"/>
      <c r="CY1319" s="42"/>
      <c r="CZ1319" s="42"/>
      <c r="DA1319" s="42"/>
      <c r="DB1319" s="42"/>
      <c r="DC1319" s="42"/>
      <c r="DD1319" s="110"/>
      <c r="DE1319" s="46" t="s">
        <v>4</v>
      </c>
      <c r="DF1319" s="141">
        <v>1.0646927600892313</v>
      </c>
      <c r="DG1319" s="142"/>
      <c r="DH1319" s="141">
        <v>98.93530723991077</v>
      </c>
      <c r="DI1319" s="142"/>
      <c r="DJ1319" s="42"/>
      <c r="DK1319" s="42"/>
      <c r="DL1319" s="42"/>
      <c r="DM1319" s="42"/>
      <c r="DN1319" s="42"/>
      <c r="DO1319" s="42"/>
    </row>
    <row r="1320" spans="3:119" ht="15.4" x14ac:dyDescent="0.45">
      <c r="C1320" s="42"/>
      <c r="D1320" s="110"/>
      <c r="E1320" s="46" t="s">
        <v>5</v>
      </c>
      <c r="F1320" s="141">
        <v>2.7863632106396929</v>
      </c>
      <c r="G1320" s="142"/>
      <c r="H1320" s="141">
        <v>97.213636789360308</v>
      </c>
      <c r="I1320" s="142"/>
      <c r="J1320" s="42"/>
      <c r="K1320" s="42"/>
      <c r="L1320" s="42"/>
      <c r="M1320" s="42"/>
      <c r="N1320" s="42"/>
      <c r="O1320" s="42"/>
      <c r="P1320" s="42"/>
      <c r="Q1320" s="110"/>
      <c r="R1320" s="46" t="s">
        <v>5</v>
      </c>
      <c r="S1320" s="141">
        <v>2.855505682360806</v>
      </c>
      <c r="T1320" s="142"/>
      <c r="U1320" s="141">
        <v>97.1444943176392</v>
      </c>
      <c r="V1320" s="142"/>
      <c r="W1320" s="42"/>
      <c r="X1320" s="42"/>
      <c r="Y1320" s="42"/>
      <c r="Z1320" s="42"/>
      <c r="AA1320" s="42"/>
      <c r="AB1320" s="42"/>
      <c r="AC1320" s="42"/>
      <c r="AD1320" s="110"/>
      <c r="AE1320" s="46" t="s">
        <v>5</v>
      </c>
      <c r="AF1320" s="141">
        <v>2.7198382798860612</v>
      </c>
      <c r="AG1320" s="142"/>
      <c r="AH1320" s="141">
        <v>97.280161720113938</v>
      </c>
      <c r="AI1320" s="142"/>
      <c r="AJ1320" s="42"/>
      <c r="AK1320" s="42"/>
      <c r="AL1320" s="42"/>
      <c r="AM1320" s="42"/>
      <c r="AN1320" s="42"/>
      <c r="AO1320" s="42"/>
      <c r="AQ1320" s="110"/>
      <c r="AR1320" s="46" t="s">
        <v>5</v>
      </c>
      <c r="AS1320" s="141">
        <v>1.9500513171399245</v>
      </c>
      <c r="AT1320" s="142"/>
      <c r="AU1320" s="141">
        <v>98.049948682860077</v>
      </c>
      <c r="AV1320" s="142"/>
      <c r="AW1320" s="42"/>
      <c r="AX1320" s="42"/>
      <c r="AY1320" s="42"/>
      <c r="AZ1320" s="42"/>
      <c r="BA1320" s="42"/>
      <c r="BB1320" s="42"/>
      <c r="BC1320" s="42"/>
      <c r="BD1320" s="110"/>
      <c r="BE1320" s="46" t="s">
        <v>5</v>
      </c>
      <c r="BF1320" s="141">
        <v>3.3690901867302343</v>
      </c>
      <c r="BG1320" s="142"/>
      <c r="BH1320" s="141">
        <v>96.630909813269767</v>
      </c>
      <c r="BI1320" s="142"/>
      <c r="BJ1320" s="42"/>
      <c r="BK1320" s="42"/>
      <c r="BL1320" s="42"/>
      <c r="BM1320" s="42"/>
      <c r="BN1320" s="42"/>
      <c r="BO1320" s="42"/>
      <c r="BQ1320" s="110"/>
      <c r="BR1320" s="46" t="s">
        <v>5</v>
      </c>
      <c r="BS1320" s="141">
        <v>1.9830028328611897</v>
      </c>
      <c r="BT1320" s="142"/>
      <c r="BU1320" s="141">
        <v>98.016997167138811</v>
      </c>
      <c r="BV1320" s="142"/>
      <c r="BW1320" s="42"/>
      <c r="BX1320" s="42"/>
      <c r="BY1320" s="42"/>
      <c r="BZ1320" s="42"/>
      <c r="CA1320" s="42"/>
      <c r="CB1320" s="42"/>
      <c r="CC1320" s="42"/>
      <c r="CD1320" s="110"/>
      <c r="CE1320" s="46" t="s">
        <v>5</v>
      </c>
      <c r="CF1320" s="141">
        <v>3.1831537708129285</v>
      </c>
      <c r="CG1320" s="142"/>
      <c r="CH1320" s="141">
        <v>96.816846229187064</v>
      </c>
      <c r="CI1320" s="142"/>
      <c r="CJ1320" s="42"/>
      <c r="CK1320" s="42"/>
      <c r="CL1320" s="42"/>
      <c r="CM1320" s="42"/>
      <c r="CN1320" s="42"/>
      <c r="CO1320" s="42"/>
      <c r="CQ1320" s="110"/>
      <c r="CR1320" s="46" t="s">
        <v>5</v>
      </c>
      <c r="CS1320" s="141">
        <v>7.8547297297297298</v>
      </c>
      <c r="CT1320" s="142"/>
      <c r="CU1320" s="141">
        <v>92.145270270270274</v>
      </c>
      <c r="CV1320" s="142"/>
      <c r="CW1320" s="42"/>
      <c r="CX1320" s="42"/>
      <c r="CY1320" s="42"/>
      <c r="CZ1320" s="42"/>
      <c r="DA1320" s="42"/>
      <c r="DB1320" s="42"/>
      <c r="DC1320" s="42"/>
      <c r="DD1320" s="110"/>
      <c r="DE1320" s="46" t="s">
        <v>5</v>
      </c>
      <c r="DF1320" s="141">
        <v>1.775081451522301</v>
      </c>
      <c r="DG1320" s="142"/>
      <c r="DH1320" s="141">
        <v>98.224918548477703</v>
      </c>
      <c r="DI1320" s="142"/>
      <c r="DJ1320" s="42"/>
      <c r="DK1320" s="42"/>
      <c r="DL1320" s="42"/>
      <c r="DM1320" s="42"/>
      <c r="DN1320" s="42"/>
      <c r="DO1320" s="42"/>
    </row>
    <row r="1321" spans="3:119" ht="15.4" x14ac:dyDescent="0.45">
      <c r="C1321" s="42"/>
      <c r="D1321" s="110"/>
      <c r="E1321" s="46" t="s">
        <v>6</v>
      </c>
      <c r="F1321" s="141">
        <v>6.3073264635941566</v>
      </c>
      <c r="G1321" s="142"/>
      <c r="H1321" s="141">
        <v>93.692673536405849</v>
      </c>
      <c r="I1321" s="142"/>
      <c r="J1321" s="42"/>
      <c r="K1321" s="42"/>
      <c r="L1321" s="42"/>
      <c r="M1321" s="42"/>
      <c r="N1321" s="42"/>
      <c r="O1321" s="42"/>
      <c r="P1321" s="42"/>
      <c r="Q1321" s="110"/>
      <c r="R1321" s="46" t="s">
        <v>6</v>
      </c>
      <c r="S1321" s="141">
        <v>6.927297668038408</v>
      </c>
      <c r="T1321" s="142"/>
      <c r="U1321" s="141">
        <v>93.072702331961594</v>
      </c>
      <c r="V1321" s="142"/>
      <c r="W1321" s="42"/>
      <c r="X1321" s="42"/>
      <c r="Y1321" s="42"/>
      <c r="Z1321" s="42"/>
      <c r="AA1321" s="42"/>
      <c r="AB1321" s="42"/>
      <c r="AC1321" s="42"/>
      <c r="AD1321" s="110"/>
      <c r="AE1321" s="46" t="s">
        <v>6</v>
      </c>
      <c r="AF1321" s="141">
        <v>5.6989006057886469</v>
      </c>
      <c r="AG1321" s="142"/>
      <c r="AH1321" s="141">
        <v>94.301099394211349</v>
      </c>
      <c r="AI1321" s="142"/>
      <c r="AJ1321" s="42"/>
      <c r="AK1321" s="42"/>
      <c r="AL1321" s="42"/>
      <c r="AM1321" s="42"/>
      <c r="AN1321" s="42"/>
      <c r="AO1321" s="42"/>
      <c r="AQ1321" s="110"/>
      <c r="AR1321" s="46" t="s">
        <v>6</v>
      </c>
      <c r="AS1321" s="141">
        <v>4.1386821564712291</v>
      </c>
      <c r="AT1321" s="142"/>
      <c r="AU1321" s="141">
        <v>95.861317843528767</v>
      </c>
      <c r="AV1321" s="142"/>
      <c r="AW1321" s="42"/>
      <c r="AX1321" s="42"/>
      <c r="AY1321" s="42"/>
      <c r="AZ1321" s="42"/>
      <c r="BA1321" s="42"/>
      <c r="BB1321" s="42"/>
      <c r="BC1321" s="42"/>
      <c r="BD1321" s="110"/>
      <c r="BE1321" s="46" t="s">
        <v>6</v>
      </c>
      <c r="BF1321" s="141">
        <v>7.6046040249022724</v>
      </c>
      <c r="BG1321" s="142"/>
      <c r="BH1321" s="141">
        <v>92.395395975097728</v>
      </c>
      <c r="BI1321" s="142"/>
      <c r="BJ1321" s="42"/>
      <c r="BK1321" s="42"/>
      <c r="BL1321" s="42"/>
      <c r="BM1321" s="42"/>
      <c r="BN1321" s="42"/>
      <c r="BO1321" s="42"/>
      <c r="BQ1321" s="110"/>
      <c r="BR1321" s="46" t="s">
        <v>6</v>
      </c>
      <c r="BS1321" s="141">
        <v>3.8834951456310676</v>
      </c>
      <c r="BT1321" s="142"/>
      <c r="BU1321" s="141">
        <v>96.116504854368941</v>
      </c>
      <c r="BV1321" s="142"/>
      <c r="BW1321" s="42"/>
      <c r="BX1321" s="42"/>
      <c r="BY1321" s="42"/>
      <c r="BZ1321" s="42"/>
      <c r="CA1321" s="42"/>
      <c r="CB1321" s="42"/>
      <c r="CC1321" s="42"/>
      <c r="CD1321" s="110"/>
      <c r="CE1321" s="46" t="s">
        <v>6</v>
      </c>
      <c r="CF1321" s="141">
        <v>6.9696358026471357</v>
      </c>
      <c r="CG1321" s="142"/>
      <c r="CH1321" s="141">
        <v>93.030364197352867</v>
      </c>
      <c r="CI1321" s="142"/>
      <c r="CJ1321" s="42"/>
      <c r="CK1321" s="42"/>
      <c r="CL1321" s="42"/>
      <c r="CM1321" s="42"/>
      <c r="CN1321" s="42"/>
      <c r="CO1321" s="42"/>
      <c r="CQ1321" s="110"/>
      <c r="CR1321" s="46" t="s">
        <v>6</v>
      </c>
      <c r="CS1321" s="141">
        <v>13.434545975365225</v>
      </c>
      <c r="CT1321" s="142"/>
      <c r="CU1321" s="141">
        <v>86.565454024634775</v>
      </c>
      <c r="CV1321" s="142"/>
      <c r="CW1321" s="42"/>
      <c r="CX1321" s="42"/>
      <c r="CY1321" s="42"/>
      <c r="CZ1321" s="42"/>
      <c r="DA1321" s="42"/>
      <c r="DB1321" s="42"/>
      <c r="DC1321" s="42"/>
      <c r="DD1321" s="110"/>
      <c r="DE1321" s="46" t="s">
        <v>6</v>
      </c>
      <c r="DF1321" s="141">
        <v>4.9686600489602668</v>
      </c>
      <c r="DG1321" s="142"/>
      <c r="DH1321" s="141">
        <v>95.031339951039726</v>
      </c>
      <c r="DI1321" s="142"/>
      <c r="DJ1321" s="42"/>
      <c r="DK1321" s="42"/>
      <c r="DL1321" s="42"/>
      <c r="DM1321" s="42"/>
      <c r="DN1321" s="42"/>
      <c r="DO1321" s="42"/>
    </row>
    <row r="1322" spans="3:119" ht="15.4" x14ac:dyDescent="0.45">
      <c r="C1322" s="42"/>
      <c r="D1322" s="110"/>
      <c r="E1322" s="46" t="s">
        <v>7</v>
      </c>
      <c r="F1322" s="141">
        <v>15.731501717140182</v>
      </c>
      <c r="G1322" s="142"/>
      <c r="H1322" s="141">
        <v>84.268498282859809</v>
      </c>
      <c r="I1322" s="142"/>
      <c r="J1322" s="42"/>
      <c r="K1322" s="42"/>
      <c r="L1322" s="42"/>
      <c r="M1322" s="42"/>
      <c r="N1322" s="42"/>
      <c r="O1322" s="42"/>
      <c r="P1322" s="42"/>
      <c r="Q1322" s="110"/>
      <c r="R1322" s="46" t="s">
        <v>7</v>
      </c>
      <c r="S1322" s="141">
        <v>17.902265194746942</v>
      </c>
      <c r="T1322" s="142"/>
      <c r="U1322" s="141">
        <v>82.097734805253069</v>
      </c>
      <c r="V1322" s="142"/>
      <c r="W1322" s="42"/>
      <c r="X1322" s="42"/>
      <c r="Y1322" s="42"/>
      <c r="Z1322" s="42"/>
      <c r="AA1322" s="42"/>
      <c r="AB1322" s="42"/>
      <c r="AC1322" s="42"/>
      <c r="AD1322" s="110"/>
      <c r="AE1322" s="46" t="s">
        <v>7</v>
      </c>
      <c r="AF1322" s="141">
        <v>13.550793571321284</v>
      </c>
      <c r="AG1322" s="142"/>
      <c r="AH1322" s="141">
        <v>86.449206428678721</v>
      </c>
      <c r="AI1322" s="142"/>
      <c r="AJ1322" s="42"/>
      <c r="AK1322" s="42"/>
      <c r="AL1322" s="42"/>
      <c r="AM1322" s="42"/>
      <c r="AN1322" s="42"/>
      <c r="AO1322" s="42"/>
      <c r="AQ1322" s="110"/>
      <c r="AR1322" s="46" t="s">
        <v>7</v>
      </c>
      <c r="AS1322" s="141">
        <v>10.579068799878968</v>
      </c>
      <c r="AT1322" s="142"/>
      <c r="AU1322" s="141">
        <v>89.420931200121032</v>
      </c>
      <c r="AV1322" s="142"/>
      <c r="AW1322" s="42"/>
      <c r="AX1322" s="42"/>
      <c r="AY1322" s="42"/>
      <c r="AZ1322" s="42"/>
      <c r="BA1322" s="42"/>
      <c r="BB1322" s="42"/>
      <c r="BC1322" s="42"/>
      <c r="BD1322" s="110"/>
      <c r="BE1322" s="46" t="s">
        <v>7</v>
      </c>
      <c r="BF1322" s="141">
        <v>18.271310313968232</v>
      </c>
      <c r="BG1322" s="142"/>
      <c r="BH1322" s="141">
        <v>81.728689686031771</v>
      </c>
      <c r="BI1322" s="142"/>
      <c r="BJ1322" s="42"/>
      <c r="BK1322" s="42"/>
      <c r="BL1322" s="42"/>
      <c r="BM1322" s="42"/>
      <c r="BN1322" s="42"/>
      <c r="BO1322" s="42"/>
      <c r="BQ1322" s="110"/>
      <c r="BR1322" s="46" t="s">
        <v>7</v>
      </c>
      <c r="BS1322" s="141">
        <v>9.4952795933188092</v>
      </c>
      <c r="BT1322" s="142"/>
      <c r="BU1322" s="141">
        <v>90.504720406681187</v>
      </c>
      <c r="BV1322" s="142"/>
      <c r="BW1322" s="42"/>
      <c r="BX1322" s="42"/>
      <c r="BY1322" s="42"/>
      <c r="BZ1322" s="42"/>
      <c r="CA1322" s="42"/>
      <c r="CB1322" s="42"/>
      <c r="CC1322" s="42"/>
      <c r="CD1322" s="110"/>
      <c r="CE1322" s="46" t="s">
        <v>7</v>
      </c>
      <c r="CF1322" s="141">
        <v>16.726277530806989</v>
      </c>
      <c r="CG1322" s="142"/>
      <c r="CH1322" s="141">
        <v>83.273722469193018</v>
      </c>
      <c r="CI1322" s="142"/>
      <c r="CJ1322" s="42"/>
      <c r="CK1322" s="42"/>
      <c r="CL1322" s="42"/>
      <c r="CM1322" s="42"/>
      <c r="CN1322" s="42"/>
      <c r="CO1322" s="42"/>
      <c r="CQ1322" s="110"/>
      <c r="CR1322" s="46" t="s">
        <v>7</v>
      </c>
      <c r="CS1322" s="141">
        <v>26.899708697461506</v>
      </c>
      <c r="CT1322" s="142"/>
      <c r="CU1322" s="141">
        <v>73.100291302538494</v>
      </c>
      <c r="CV1322" s="142"/>
      <c r="CW1322" s="42"/>
      <c r="CX1322" s="42"/>
      <c r="CY1322" s="42"/>
      <c r="CZ1322" s="42"/>
      <c r="DA1322" s="42"/>
      <c r="DB1322" s="42"/>
      <c r="DC1322" s="42"/>
      <c r="DD1322" s="110"/>
      <c r="DE1322" s="46" t="s">
        <v>7</v>
      </c>
      <c r="DF1322" s="141">
        <v>13.759917719659123</v>
      </c>
      <c r="DG1322" s="142"/>
      <c r="DH1322" s="141">
        <v>86.240082280340886</v>
      </c>
      <c r="DI1322" s="142"/>
      <c r="DJ1322" s="42"/>
      <c r="DK1322" s="42"/>
      <c r="DL1322" s="42"/>
      <c r="DM1322" s="42"/>
      <c r="DN1322" s="42"/>
      <c r="DO1322" s="42"/>
    </row>
    <row r="1323" spans="3:119" ht="15.4" x14ac:dyDescent="0.45">
      <c r="C1323" s="42"/>
      <c r="D1323" s="110"/>
      <c r="E1323" s="46" t="s">
        <v>8</v>
      </c>
      <c r="F1323" s="141">
        <v>34.489628952307619</v>
      </c>
      <c r="G1323" s="142"/>
      <c r="H1323" s="141">
        <v>65.510371047692388</v>
      </c>
      <c r="I1323" s="142"/>
      <c r="J1323" s="42"/>
      <c r="K1323" s="42"/>
      <c r="L1323" s="42"/>
      <c r="M1323" s="42"/>
      <c r="N1323" s="42"/>
      <c r="O1323" s="42"/>
      <c r="P1323" s="42"/>
      <c r="Q1323" s="110"/>
      <c r="R1323" s="46" t="s">
        <v>8</v>
      </c>
      <c r="S1323" s="141">
        <v>38.738960228454715</v>
      </c>
      <c r="T1323" s="142"/>
      <c r="U1323" s="141">
        <v>61.261039771545292</v>
      </c>
      <c r="V1323" s="142"/>
      <c r="W1323" s="42"/>
      <c r="X1323" s="42"/>
      <c r="Y1323" s="42"/>
      <c r="Z1323" s="42"/>
      <c r="AA1323" s="42"/>
      <c r="AB1323" s="42"/>
      <c r="AC1323" s="42"/>
      <c r="AD1323" s="110"/>
      <c r="AE1323" s="46" t="s">
        <v>8</v>
      </c>
      <c r="AF1323" s="141">
        <v>30.085460033713591</v>
      </c>
      <c r="AG1323" s="142"/>
      <c r="AH1323" s="141">
        <v>69.914539966286398</v>
      </c>
      <c r="AI1323" s="142"/>
      <c r="AJ1323" s="42"/>
      <c r="AK1323" s="42"/>
      <c r="AL1323" s="42"/>
      <c r="AM1323" s="42"/>
      <c r="AN1323" s="42"/>
      <c r="AO1323" s="42"/>
      <c r="AQ1323" s="110"/>
      <c r="AR1323" s="46" t="s">
        <v>8</v>
      </c>
      <c r="AS1323" s="141">
        <v>24.608603667136812</v>
      </c>
      <c r="AT1323" s="142"/>
      <c r="AU1323" s="141">
        <v>75.391396332863195</v>
      </c>
      <c r="AV1323" s="142"/>
      <c r="AW1323" s="42"/>
      <c r="AX1323" s="42"/>
      <c r="AY1323" s="42"/>
      <c r="AZ1323" s="42"/>
      <c r="BA1323" s="42"/>
      <c r="BB1323" s="42"/>
      <c r="BC1323" s="42"/>
      <c r="BD1323" s="110"/>
      <c r="BE1323" s="46" t="s">
        <v>8</v>
      </c>
      <c r="BF1323" s="141">
        <v>38.199510160852583</v>
      </c>
      <c r="BG1323" s="142"/>
      <c r="BH1323" s="141">
        <v>61.80048983914741</v>
      </c>
      <c r="BI1323" s="142"/>
      <c r="BJ1323" s="42"/>
      <c r="BK1323" s="42"/>
      <c r="BL1323" s="42"/>
      <c r="BM1323" s="42"/>
      <c r="BN1323" s="42"/>
      <c r="BO1323" s="42"/>
      <c r="BQ1323" s="110"/>
      <c r="BR1323" s="46" t="s">
        <v>8</v>
      </c>
      <c r="BS1323" s="141">
        <v>20.779920284390823</v>
      </c>
      <c r="BT1323" s="142"/>
      <c r="BU1323" s="141">
        <v>79.220079715609188</v>
      </c>
      <c r="BV1323" s="142"/>
      <c r="BW1323" s="42"/>
      <c r="BX1323" s="42"/>
      <c r="BY1323" s="42"/>
      <c r="BZ1323" s="42"/>
      <c r="CA1323" s="42"/>
      <c r="CB1323" s="42"/>
      <c r="CC1323" s="42"/>
      <c r="CD1323" s="110"/>
      <c r="CE1323" s="46" t="s">
        <v>8</v>
      </c>
      <c r="CF1323" s="141">
        <v>35.834777829450807</v>
      </c>
      <c r="CG1323" s="142"/>
      <c r="CH1323" s="141">
        <v>64.165222170549185</v>
      </c>
      <c r="CI1323" s="142"/>
      <c r="CJ1323" s="42"/>
      <c r="CK1323" s="42"/>
      <c r="CL1323" s="42"/>
      <c r="CM1323" s="42"/>
      <c r="CN1323" s="42"/>
      <c r="CO1323" s="42"/>
      <c r="CQ1323" s="110"/>
      <c r="CR1323" s="46" t="s">
        <v>8</v>
      </c>
      <c r="CS1323" s="141">
        <v>47.538080056677295</v>
      </c>
      <c r="CT1323" s="142"/>
      <c r="CU1323" s="141">
        <v>52.461919943322712</v>
      </c>
      <c r="CV1323" s="142"/>
      <c r="CW1323" s="42"/>
      <c r="CX1323" s="42"/>
      <c r="CY1323" s="42"/>
      <c r="CZ1323" s="42"/>
      <c r="DA1323" s="42"/>
      <c r="DB1323" s="42"/>
      <c r="DC1323" s="42"/>
      <c r="DD1323" s="110"/>
      <c r="DE1323" s="46" t="s">
        <v>8</v>
      </c>
      <c r="DF1323" s="141">
        <v>32.438182223212294</v>
      </c>
      <c r="DG1323" s="142"/>
      <c r="DH1323" s="141">
        <v>67.561817776787706</v>
      </c>
      <c r="DI1323" s="142"/>
      <c r="DJ1323" s="42"/>
      <c r="DK1323" s="42"/>
      <c r="DL1323" s="42"/>
      <c r="DM1323" s="42"/>
      <c r="DN1323" s="42"/>
      <c r="DO1323" s="42"/>
    </row>
    <row r="1324" spans="3:119" ht="15.4" x14ac:dyDescent="0.45">
      <c r="C1324" s="42"/>
      <c r="D1324" s="110"/>
      <c r="E1324" s="46" t="s">
        <v>9</v>
      </c>
      <c r="F1324" s="141">
        <v>62.826486476452139</v>
      </c>
      <c r="G1324" s="142"/>
      <c r="H1324" s="141">
        <v>37.173513523547868</v>
      </c>
      <c r="I1324" s="142"/>
      <c r="J1324" s="42"/>
      <c r="K1324" s="42"/>
      <c r="L1324" s="42"/>
      <c r="M1324" s="42"/>
      <c r="N1324" s="42"/>
      <c r="O1324" s="42"/>
      <c r="P1324" s="42"/>
      <c r="Q1324" s="110"/>
      <c r="R1324" s="46" t="s">
        <v>9</v>
      </c>
      <c r="S1324" s="141">
        <v>68.455563213680307</v>
      </c>
      <c r="T1324" s="142"/>
      <c r="U1324" s="141">
        <v>31.54443678631969</v>
      </c>
      <c r="V1324" s="142"/>
      <c r="W1324" s="42"/>
      <c r="X1324" s="42"/>
      <c r="Y1324" s="42"/>
      <c r="Z1324" s="42"/>
      <c r="AA1324" s="42"/>
      <c r="AB1324" s="42"/>
      <c r="AC1324" s="42"/>
      <c r="AD1324" s="110"/>
      <c r="AE1324" s="46" t="s">
        <v>9</v>
      </c>
      <c r="AF1324" s="141">
        <v>57.236148367403572</v>
      </c>
      <c r="AG1324" s="142"/>
      <c r="AH1324" s="141">
        <v>42.763851632596428</v>
      </c>
      <c r="AI1324" s="142"/>
      <c r="AJ1324" s="42"/>
      <c r="AK1324" s="42"/>
      <c r="AL1324" s="42"/>
      <c r="AM1324" s="42"/>
      <c r="AN1324" s="42"/>
      <c r="AO1324" s="42"/>
      <c r="AQ1324" s="110"/>
      <c r="AR1324" s="46" t="s">
        <v>9</v>
      </c>
      <c r="AS1324" s="141">
        <v>49.869969586106585</v>
      </c>
      <c r="AT1324" s="142"/>
      <c r="AU1324" s="141">
        <v>50.130030413893422</v>
      </c>
      <c r="AV1324" s="142"/>
      <c r="AW1324" s="42"/>
      <c r="AX1324" s="42"/>
      <c r="AY1324" s="42"/>
      <c r="AZ1324" s="42"/>
      <c r="BA1324" s="42"/>
      <c r="BB1324" s="42"/>
      <c r="BC1324" s="42"/>
      <c r="BD1324" s="110"/>
      <c r="BE1324" s="46" t="s">
        <v>9</v>
      </c>
      <c r="BF1324" s="141">
        <v>66.282583391141785</v>
      </c>
      <c r="BG1324" s="142"/>
      <c r="BH1324" s="141">
        <v>33.717416608858215</v>
      </c>
      <c r="BI1324" s="142"/>
      <c r="BJ1324" s="42"/>
      <c r="BK1324" s="42"/>
      <c r="BL1324" s="42"/>
      <c r="BM1324" s="42"/>
      <c r="BN1324" s="42"/>
      <c r="BO1324" s="42"/>
      <c r="BQ1324" s="110"/>
      <c r="BR1324" s="46" t="s">
        <v>9</v>
      </c>
      <c r="BS1324" s="141">
        <v>44.259841341116598</v>
      </c>
      <c r="BT1324" s="142"/>
      <c r="BU1324" s="141">
        <v>55.740158658883402</v>
      </c>
      <c r="BV1324" s="142"/>
      <c r="BW1324" s="42"/>
      <c r="BX1324" s="42"/>
      <c r="BY1324" s="42"/>
      <c r="BZ1324" s="42"/>
      <c r="CA1324" s="42"/>
      <c r="CB1324" s="42"/>
      <c r="CC1324" s="42"/>
      <c r="CD1324" s="110"/>
      <c r="CE1324" s="46" t="s">
        <v>9</v>
      </c>
      <c r="CF1324" s="141">
        <v>64.053949751130546</v>
      </c>
      <c r="CG1324" s="142"/>
      <c r="CH1324" s="141">
        <v>35.946050248869447</v>
      </c>
      <c r="CI1324" s="142"/>
      <c r="CJ1324" s="42"/>
      <c r="CK1324" s="42"/>
      <c r="CL1324" s="42"/>
      <c r="CM1324" s="42"/>
      <c r="CN1324" s="42"/>
      <c r="CO1324" s="42"/>
      <c r="CQ1324" s="110"/>
      <c r="CR1324" s="46" t="s">
        <v>9</v>
      </c>
      <c r="CS1324" s="141">
        <v>73.568119991177113</v>
      </c>
      <c r="CT1324" s="142"/>
      <c r="CU1324" s="141">
        <v>26.431880008822883</v>
      </c>
      <c r="CV1324" s="142"/>
      <c r="CW1324" s="42"/>
      <c r="CX1324" s="42"/>
      <c r="CY1324" s="42"/>
      <c r="CZ1324" s="42"/>
      <c r="DA1324" s="42"/>
      <c r="DB1324" s="42"/>
      <c r="DC1324" s="42"/>
      <c r="DD1324" s="110"/>
      <c r="DE1324" s="46" t="s">
        <v>9</v>
      </c>
      <c r="DF1324" s="141">
        <v>61.274525425709335</v>
      </c>
      <c r="DG1324" s="142"/>
      <c r="DH1324" s="141">
        <v>38.725474574290665</v>
      </c>
      <c r="DI1324" s="142"/>
      <c r="DJ1324" s="42"/>
      <c r="DK1324" s="42"/>
      <c r="DL1324" s="42"/>
      <c r="DM1324" s="42"/>
      <c r="DN1324" s="42"/>
      <c r="DO1324" s="42"/>
    </row>
    <row r="1325" spans="3:119" ht="15.4" x14ac:dyDescent="0.45">
      <c r="C1325" s="42"/>
      <c r="D1325" s="110"/>
      <c r="E1325" s="46" t="s">
        <v>10</v>
      </c>
      <c r="F1325" s="141">
        <v>87.324487955687232</v>
      </c>
      <c r="G1325" s="142"/>
      <c r="H1325" s="141">
        <v>12.675512044312764</v>
      </c>
      <c r="I1325" s="142"/>
      <c r="J1325" s="42"/>
      <c r="K1325" s="42"/>
      <c r="L1325" s="42"/>
      <c r="M1325" s="42"/>
      <c r="N1325" s="42"/>
      <c r="O1325" s="42"/>
      <c r="P1325" s="42"/>
      <c r="Q1325" s="110"/>
      <c r="R1325" s="46" t="s">
        <v>10</v>
      </c>
      <c r="S1325" s="141">
        <v>90.828190680618903</v>
      </c>
      <c r="T1325" s="142"/>
      <c r="U1325" s="141">
        <v>9.1718093193810919</v>
      </c>
      <c r="V1325" s="142"/>
      <c r="W1325" s="42"/>
      <c r="X1325" s="42"/>
      <c r="Y1325" s="42"/>
      <c r="Z1325" s="42"/>
      <c r="AA1325" s="42"/>
      <c r="AB1325" s="42"/>
      <c r="AC1325" s="42"/>
      <c r="AD1325" s="110"/>
      <c r="AE1325" s="46" t="s">
        <v>10</v>
      </c>
      <c r="AF1325" s="141">
        <v>84.08903204492897</v>
      </c>
      <c r="AG1325" s="142"/>
      <c r="AH1325" s="141">
        <v>15.910967955071028</v>
      </c>
      <c r="AI1325" s="142"/>
      <c r="AJ1325" s="42"/>
      <c r="AK1325" s="42"/>
      <c r="AL1325" s="42"/>
      <c r="AM1325" s="42"/>
      <c r="AN1325" s="42"/>
      <c r="AO1325" s="42"/>
      <c r="AQ1325" s="110"/>
      <c r="AR1325" s="46" t="s">
        <v>10</v>
      </c>
      <c r="AS1325" s="141">
        <v>76.200921254661111</v>
      </c>
      <c r="AT1325" s="142"/>
      <c r="AU1325" s="141">
        <v>23.799078745338889</v>
      </c>
      <c r="AV1325" s="142"/>
      <c r="AW1325" s="42"/>
      <c r="AX1325" s="42"/>
      <c r="AY1325" s="42"/>
      <c r="AZ1325" s="42"/>
      <c r="BA1325" s="42"/>
      <c r="BB1325" s="42"/>
      <c r="BC1325" s="42"/>
      <c r="BD1325" s="110"/>
      <c r="BE1325" s="46" t="s">
        <v>10</v>
      </c>
      <c r="BF1325" s="141">
        <v>89.238666817649943</v>
      </c>
      <c r="BG1325" s="142"/>
      <c r="BH1325" s="141">
        <v>10.761333182350056</v>
      </c>
      <c r="BI1325" s="142"/>
      <c r="BJ1325" s="42"/>
      <c r="BK1325" s="42"/>
      <c r="BL1325" s="42"/>
      <c r="BM1325" s="42"/>
      <c r="BN1325" s="42"/>
      <c r="BO1325" s="42"/>
      <c r="BQ1325" s="110"/>
      <c r="BR1325" s="46" t="s">
        <v>10</v>
      </c>
      <c r="BS1325" s="141">
        <v>73.145141144141888</v>
      </c>
      <c r="BT1325" s="142"/>
      <c r="BU1325" s="141">
        <v>26.854858855858105</v>
      </c>
      <c r="BV1325" s="142"/>
      <c r="BW1325" s="42"/>
      <c r="BX1325" s="42"/>
      <c r="BY1325" s="42"/>
      <c r="BZ1325" s="42"/>
      <c r="CA1325" s="42"/>
      <c r="CB1325" s="42"/>
      <c r="CC1325" s="42"/>
      <c r="CD1325" s="110"/>
      <c r="CE1325" s="46" t="s">
        <v>10</v>
      </c>
      <c r="CF1325" s="141">
        <v>87.961145446591814</v>
      </c>
      <c r="CG1325" s="142"/>
      <c r="CH1325" s="141">
        <v>12.038854553408186</v>
      </c>
      <c r="CI1325" s="142"/>
      <c r="CJ1325" s="42"/>
      <c r="CK1325" s="42"/>
      <c r="CL1325" s="42"/>
      <c r="CM1325" s="42"/>
      <c r="CN1325" s="42"/>
      <c r="CO1325" s="42"/>
      <c r="CQ1325" s="110"/>
      <c r="CR1325" s="46" t="s">
        <v>10</v>
      </c>
      <c r="CS1325" s="141">
        <v>92.073117906956597</v>
      </c>
      <c r="CT1325" s="142"/>
      <c r="CU1325" s="141">
        <v>7.9268820930434023</v>
      </c>
      <c r="CV1325" s="142"/>
      <c r="CW1325" s="42"/>
      <c r="CX1325" s="42"/>
      <c r="CY1325" s="42"/>
      <c r="CZ1325" s="42"/>
      <c r="DA1325" s="42"/>
      <c r="DB1325" s="42"/>
      <c r="DC1325" s="42"/>
      <c r="DD1325" s="110"/>
      <c r="DE1325" s="46" t="s">
        <v>10</v>
      </c>
      <c r="DF1325" s="141">
        <v>86.652861676448595</v>
      </c>
      <c r="DG1325" s="142"/>
      <c r="DH1325" s="141">
        <v>13.347138323551395</v>
      </c>
      <c r="DI1325" s="142"/>
      <c r="DJ1325" s="42"/>
      <c r="DK1325" s="42"/>
      <c r="DL1325" s="42"/>
      <c r="DM1325" s="42"/>
      <c r="DN1325" s="42"/>
      <c r="DO1325" s="42"/>
    </row>
    <row r="1326" spans="3:119" ht="15.4" x14ac:dyDescent="0.45">
      <c r="C1326" s="42"/>
      <c r="D1326" s="111"/>
      <c r="E1326" s="46" t="s">
        <v>11</v>
      </c>
      <c r="F1326" s="141">
        <v>97.562270495067025</v>
      </c>
      <c r="G1326" s="142"/>
      <c r="H1326" s="141">
        <v>2.4377295049329737</v>
      </c>
      <c r="I1326" s="142"/>
      <c r="J1326" s="42"/>
      <c r="K1326" s="42"/>
      <c r="L1326" s="42"/>
      <c r="M1326" s="42"/>
      <c r="N1326" s="42"/>
      <c r="O1326" s="42"/>
      <c r="P1326" s="42"/>
      <c r="Q1326" s="111"/>
      <c r="R1326" s="46" t="s">
        <v>11</v>
      </c>
      <c r="S1326" s="141">
        <v>98.709099058718067</v>
      </c>
      <c r="T1326" s="142"/>
      <c r="U1326" s="141">
        <v>1.2909009412819363</v>
      </c>
      <c r="V1326" s="142"/>
      <c r="W1326" s="42"/>
      <c r="X1326" s="42"/>
      <c r="Y1326" s="42"/>
      <c r="Z1326" s="42"/>
      <c r="AA1326" s="42"/>
      <c r="AB1326" s="42"/>
      <c r="AC1326" s="42"/>
      <c r="AD1326" s="111"/>
      <c r="AE1326" s="46" t="s">
        <v>11</v>
      </c>
      <c r="AF1326" s="141">
        <v>96.444793850454218</v>
      </c>
      <c r="AG1326" s="142"/>
      <c r="AH1326" s="141">
        <v>3.5552061495457719</v>
      </c>
      <c r="AI1326" s="142"/>
      <c r="AJ1326" s="42"/>
      <c r="AK1326" s="42"/>
      <c r="AL1326" s="42"/>
      <c r="AM1326" s="42"/>
      <c r="AN1326" s="42"/>
      <c r="AO1326" s="42"/>
      <c r="AQ1326" s="111"/>
      <c r="AR1326" s="46" t="s">
        <v>11</v>
      </c>
      <c r="AS1326" s="141">
        <v>92.493573264781489</v>
      </c>
      <c r="AT1326" s="142"/>
      <c r="AU1326" s="141">
        <v>7.5064267352185094</v>
      </c>
      <c r="AV1326" s="142"/>
      <c r="AW1326" s="42"/>
      <c r="AX1326" s="42"/>
      <c r="AY1326" s="42"/>
      <c r="AZ1326" s="42"/>
      <c r="BA1326" s="42"/>
      <c r="BB1326" s="42"/>
      <c r="BC1326" s="42"/>
      <c r="BD1326" s="111"/>
      <c r="BE1326" s="46" t="s">
        <v>11</v>
      </c>
      <c r="BF1326" s="141">
        <v>98.039500435666568</v>
      </c>
      <c r="BG1326" s="142"/>
      <c r="BH1326" s="141">
        <v>1.9604995643334302</v>
      </c>
      <c r="BI1326" s="142"/>
      <c r="BJ1326" s="42"/>
      <c r="BK1326" s="42"/>
      <c r="BL1326" s="42"/>
      <c r="BM1326" s="42"/>
      <c r="BN1326" s="42"/>
      <c r="BO1326" s="42"/>
      <c r="BQ1326" s="111"/>
      <c r="BR1326" s="46" t="s">
        <v>11</v>
      </c>
      <c r="BS1326" s="141">
        <v>89.416553595658073</v>
      </c>
      <c r="BT1326" s="142"/>
      <c r="BU1326" s="141">
        <v>10.583446404341927</v>
      </c>
      <c r="BV1326" s="142"/>
      <c r="BW1326" s="42"/>
      <c r="BX1326" s="42"/>
      <c r="BY1326" s="42"/>
      <c r="BZ1326" s="42"/>
      <c r="CA1326" s="42"/>
      <c r="CB1326" s="42"/>
      <c r="CC1326" s="42"/>
      <c r="CD1326" s="111"/>
      <c r="CE1326" s="46" t="s">
        <v>11</v>
      </c>
      <c r="CF1326" s="141">
        <v>97.836824293423589</v>
      </c>
      <c r="CG1326" s="142"/>
      <c r="CH1326" s="141">
        <v>2.1631757065764203</v>
      </c>
      <c r="CI1326" s="142"/>
      <c r="CJ1326" s="42"/>
      <c r="CK1326" s="42"/>
      <c r="CL1326" s="42"/>
      <c r="CM1326" s="42"/>
      <c r="CN1326" s="42"/>
      <c r="CO1326" s="42"/>
      <c r="CQ1326" s="111"/>
      <c r="CR1326" s="46" t="s">
        <v>11</v>
      </c>
      <c r="CS1326" s="141">
        <v>98.46093133385952</v>
      </c>
      <c r="CT1326" s="142"/>
      <c r="CU1326" s="141">
        <v>1.5390686661404893</v>
      </c>
      <c r="CV1326" s="142"/>
      <c r="CW1326" s="42"/>
      <c r="CX1326" s="42"/>
      <c r="CY1326" s="42"/>
      <c r="CZ1326" s="42"/>
      <c r="DA1326" s="42"/>
      <c r="DB1326" s="42"/>
      <c r="DC1326" s="42"/>
      <c r="DD1326" s="111"/>
      <c r="DE1326" s="46" t="s">
        <v>11</v>
      </c>
      <c r="DF1326" s="141">
        <v>97.448801634361445</v>
      </c>
      <c r="DG1326" s="142"/>
      <c r="DH1326" s="141">
        <v>2.5511983656385468</v>
      </c>
      <c r="DI1326" s="142"/>
      <c r="DJ1326" s="42"/>
      <c r="DK1326" s="42"/>
      <c r="DL1326" s="42"/>
      <c r="DM1326" s="42"/>
      <c r="DN1326" s="42"/>
      <c r="DO1326" s="42"/>
    </row>
    <row r="1327" spans="3:119" x14ac:dyDescent="0.45">
      <c r="C1327" s="42"/>
      <c r="D1327" s="42"/>
      <c r="E1327" s="42"/>
      <c r="F1327" s="42"/>
      <c r="G1327" s="42"/>
      <c r="H1327" s="42"/>
      <c r="I1327" s="42"/>
      <c r="J1327" s="42"/>
      <c r="K1327" s="42"/>
      <c r="L1327" s="42"/>
      <c r="M1327" s="42"/>
      <c r="N1327" s="42"/>
      <c r="O1327" s="42"/>
      <c r="P1327" s="42"/>
      <c r="Q1327" s="42"/>
      <c r="R1327" s="42"/>
      <c r="S1327" s="42"/>
      <c r="T1327" s="42"/>
      <c r="U1327" s="42"/>
      <c r="V1327" s="42"/>
      <c r="W1327" s="42"/>
      <c r="X1327" s="42"/>
      <c r="Y1327" s="42"/>
      <c r="Z1327" s="42"/>
      <c r="AA1327" s="42"/>
      <c r="AB1327" s="42"/>
      <c r="AC1327" s="42"/>
      <c r="AD1327" s="42"/>
      <c r="AE1327" s="42"/>
      <c r="AF1327" s="42"/>
      <c r="AG1327" s="42"/>
      <c r="AH1327" s="42"/>
      <c r="AI1327" s="42"/>
      <c r="AJ1327" s="42"/>
      <c r="AK1327" s="42"/>
      <c r="AL1327" s="42"/>
      <c r="AM1327" s="42"/>
      <c r="AN1327" s="42"/>
      <c r="AO1327" s="42"/>
      <c r="AQ1327" s="42"/>
      <c r="AR1327" s="42"/>
      <c r="AS1327" s="42"/>
      <c r="AT1327" s="42"/>
      <c r="AU1327" s="42"/>
      <c r="AV1327" s="42"/>
      <c r="AW1327" s="42"/>
      <c r="AX1327" s="42"/>
      <c r="AY1327" s="42"/>
      <c r="AZ1327" s="42"/>
      <c r="BA1327" s="42"/>
      <c r="BB1327" s="42"/>
      <c r="BC1327" s="42"/>
      <c r="BD1327" s="42"/>
      <c r="BE1327" s="42"/>
      <c r="BF1327" s="42"/>
      <c r="BG1327" s="42"/>
      <c r="BH1327" s="42"/>
      <c r="BI1327" s="42"/>
      <c r="BJ1327" s="42"/>
      <c r="BK1327" s="42"/>
      <c r="BL1327" s="42"/>
      <c r="BM1327" s="42"/>
      <c r="BN1327" s="42"/>
      <c r="BO1327" s="42"/>
      <c r="BQ1327" s="42"/>
      <c r="BR1327" s="42"/>
      <c r="BS1327" s="42"/>
      <c r="BT1327" s="42"/>
      <c r="BU1327" s="42"/>
      <c r="BV1327" s="42"/>
      <c r="BW1327" s="42"/>
      <c r="BX1327" s="42"/>
      <c r="BY1327" s="42"/>
      <c r="BZ1327" s="42"/>
      <c r="CA1327" s="42"/>
      <c r="CB1327" s="42"/>
      <c r="CC1327" s="42"/>
      <c r="CD1327" s="42"/>
      <c r="CE1327" s="42"/>
      <c r="CF1327" s="42"/>
      <c r="CG1327" s="42"/>
      <c r="CH1327" s="42"/>
      <c r="CI1327" s="42"/>
      <c r="CJ1327" s="42"/>
      <c r="CK1327" s="42"/>
      <c r="CL1327" s="42"/>
      <c r="CM1327" s="42"/>
      <c r="CN1327" s="42"/>
      <c r="CO1327" s="42"/>
      <c r="CQ1327" s="42"/>
      <c r="CR1327" s="42"/>
      <c r="CS1327" s="42"/>
      <c r="CT1327" s="42"/>
      <c r="CU1327" s="42"/>
      <c r="CV1327" s="42"/>
      <c r="CW1327" s="42"/>
      <c r="CX1327" s="42"/>
      <c r="CY1327" s="42"/>
      <c r="CZ1327" s="42"/>
      <c r="DA1327" s="42"/>
      <c r="DB1327" s="42"/>
      <c r="DC1327" s="42"/>
      <c r="DD1327" s="42"/>
      <c r="DE1327" s="42"/>
      <c r="DF1327" s="42"/>
      <c r="DG1327" s="42"/>
      <c r="DH1327" s="42"/>
      <c r="DI1327" s="42"/>
      <c r="DJ1327" s="42"/>
      <c r="DK1327" s="42"/>
      <c r="DL1327" s="42"/>
      <c r="DM1327" s="42"/>
      <c r="DN1327" s="42"/>
      <c r="DO1327" s="42"/>
    </row>
    <row r="1328" spans="3:119" x14ac:dyDescent="0.45">
      <c r="C1328" s="42"/>
      <c r="D1328" s="42"/>
      <c r="E1328" s="42"/>
      <c r="F1328" s="42"/>
      <c r="G1328" s="42"/>
      <c r="H1328" s="42"/>
      <c r="I1328" s="42"/>
      <c r="J1328" s="42"/>
      <c r="K1328" s="42"/>
      <c r="L1328" s="42"/>
      <c r="M1328" s="42"/>
      <c r="N1328" s="42"/>
      <c r="O1328" s="42"/>
      <c r="P1328" s="42"/>
      <c r="Q1328" s="42"/>
      <c r="R1328" s="42"/>
      <c r="S1328" s="42"/>
      <c r="T1328" s="42"/>
      <c r="U1328" s="42"/>
      <c r="V1328" s="42"/>
      <c r="W1328" s="42"/>
      <c r="X1328" s="42"/>
      <c r="Y1328" s="42"/>
      <c r="Z1328" s="42"/>
      <c r="AA1328" s="42"/>
      <c r="AB1328" s="42"/>
      <c r="AC1328" s="42"/>
      <c r="AD1328" s="42"/>
      <c r="AE1328" s="42"/>
      <c r="AF1328" s="42"/>
      <c r="AG1328" s="42"/>
      <c r="AH1328" s="42"/>
      <c r="AI1328" s="42"/>
      <c r="AJ1328" s="42"/>
      <c r="AK1328" s="42"/>
      <c r="AL1328" s="42"/>
      <c r="AM1328" s="42"/>
      <c r="AN1328" s="42"/>
      <c r="AO1328" s="42"/>
      <c r="AQ1328" s="42"/>
      <c r="AR1328" s="42"/>
      <c r="AS1328" s="42"/>
      <c r="AT1328" s="42"/>
      <c r="AU1328" s="42"/>
      <c r="AV1328" s="42"/>
      <c r="AW1328" s="42"/>
      <c r="AX1328" s="42"/>
      <c r="AY1328" s="42"/>
      <c r="AZ1328" s="42"/>
      <c r="BA1328" s="42"/>
      <c r="BB1328" s="42"/>
      <c r="BC1328" s="42"/>
      <c r="BD1328" s="42"/>
      <c r="BE1328" s="42"/>
      <c r="BF1328" s="42"/>
      <c r="BG1328" s="42"/>
      <c r="BH1328" s="42"/>
      <c r="BI1328" s="42"/>
      <c r="BJ1328" s="42"/>
      <c r="BK1328" s="42"/>
      <c r="BL1328" s="42"/>
      <c r="BM1328" s="42"/>
      <c r="BN1328" s="42"/>
      <c r="BO1328" s="42"/>
      <c r="BQ1328" s="42"/>
      <c r="BR1328" s="42"/>
      <c r="BS1328" s="42"/>
      <c r="BT1328" s="42"/>
      <c r="BU1328" s="42"/>
      <c r="BV1328" s="42"/>
      <c r="BW1328" s="42"/>
      <c r="BX1328" s="42"/>
      <c r="BY1328" s="42"/>
      <c r="BZ1328" s="42"/>
      <c r="CA1328" s="42"/>
      <c r="CB1328" s="42"/>
      <c r="CC1328" s="42"/>
      <c r="CD1328" s="42"/>
      <c r="CE1328" s="42"/>
      <c r="CF1328" s="42"/>
      <c r="CG1328" s="42"/>
      <c r="CH1328" s="42"/>
      <c r="CI1328" s="42"/>
      <c r="CJ1328" s="42"/>
      <c r="CK1328" s="42"/>
      <c r="CL1328" s="42"/>
      <c r="CM1328" s="42"/>
      <c r="CN1328" s="42"/>
      <c r="CO1328" s="42"/>
      <c r="CQ1328" s="42"/>
      <c r="CR1328" s="42"/>
      <c r="CS1328" s="42"/>
      <c r="CT1328" s="42"/>
      <c r="CU1328" s="42"/>
      <c r="CV1328" s="42"/>
      <c r="CW1328" s="42"/>
      <c r="CX1328" s="42"/>
      <c r="CY1328" s="42"/>
      <c r="CZ1328" s="42"/>
      <c r="DA1328" s="42"/>
      <c r="DB1328" s="42"/>
      <c r="DC1328" s="42"/>
      <c r="DD1328" s="42"/>
      <c r="DE1328" s="42"/>
      <c r="DF1328" s="42"/>
      <c r="DG1328" s="42"/>
      <c r="DH1328" s="42"/>
      <c r="DI1328" s="42"/>
      <c r="DJ1328" s="42"/>
      <c r="DK1328" s="42"/>
      <c r="DL1328" s="42"/>
      <c r="DM1328" s="42"/>
      <c r="DN1328" s="42"/>
      <c r="DO1328" s="42"/>
    </row>
    <row r="1329" spans="3:119" x14ac:dyDescent="0.45">
      <c r="C1329" s="42"/>
      <c r="D1329" s="42"/>
      <c r="E1329" s="42"/>
      <c r="F1329" s="42"/>
      <c r="G1329" s="42"/>
      <c r="H1329" s="42"/>
      <c r="I1329" s="42"/>
      <c r="J1329" s="42"/>
      <c r="K1329" s="42"/>
      <c r="L1329" s="42"/>
      <c r="M1329" s="42"/>
      <c r="N1329" s="42"/>
      <c r="O1329" s="42"/>
      <c r="P1329" s="42"/>
      <c r="Q1329" s="42"/>
      <c r="R1329" s="42"/>
      <c r="S1329" s="42"/>
      <c r="T1329" s="42"/>
      <c r="U1329" s="42"/>
      <c r="V1329" s="42"/>
      <c r="W1329" s="42"/>
      <c r="X1329" s="42"/>
      <c r="Y1329" s="42"/>
      <c r="Z1329" s="42"/>
      <c r="AA1329" s="42"/>
      <c r="AB1329" s="42"/>
      <c r="AC1329" s="42"/>
      <c r="AD1329" s="42"/>
      <c r="AE1329" s="42"/>
      <c r="AF1329" s="42"/>
      <c r="AG1329" s="42"/>
      <c r="AH1329" s="42"/>
      <c r="AI1329" s="42"/>
      <c r="AJ1329" s="42"/>
      <c r="AK1329" s="42"/>
      <c r="AL1329" s="42"/>
      <c r="AM1329" s="42"/>
      <c r="AN1329" s="42"/>
      <c r="AO1329" s="42"/>
      <c r="AQ1329" s="42"/>
      <c r="AR1329" s="42"/>
      <c r="AS1329" s="42"/>
      <c r="AT1329" s="42"/>
      <c r="AU1329" s="42"/>
      <c r="AV1329" s="42"/>
      <c r="AW1329" s="42"/>
      <c r="AX1329" s="42"/>
      <c r="AY1329" s="42"/>
      <c r="AZ1329" s="42"/>
      <c r="BA1329" s="42"/>
      <c r="BB1329" s="42"/>
      <c r="BC1329" s="42"/>
      <c r="BD1329" s="42"/>
      <c r="BE1329" s="42"/>
      <c r="BF1329" s="42"/>
      <c r="BG1329" s="42"/>
      <c r="BH1329" s="42"/>
      <c r="BI1329" s="42"/>
      <c r="BJ1329" s="42"/>
      <c r="BK1329" s="42"/>
      <c r="BL1329" s="42"/>
      <c r="BM1329" s="42"/>
      <c r="BN1329" s="42"/>
      <c r="BO1329" s="42"/>
      <c r="BQ1329" s="42"/>
      <c r="BR1329" s="42"/>
      <c r="BS1329" s="42"/>
      <c r="BT1329" s="42"/>
      <c r="BU1329" s="42"/>
      <c r="BV1329" s="42"/>
      <c r="BW1329" s="42"/>
      <c r="BX1329" s="42"/>
      <c r="BY1329" s="42"/>
      <c r="BZ1329" s="42"/>
      <c r="CA1329" s="42"/>
      <c r="CB1329" s="42"/>
      <c r="CC1329" s="42"/>
      <c r="CD1329" s="42"/>
      <c r="CE1329" s="42"/>
      <c r="CF1329" s="42"/>
      <c r="CG1329" s="42"/>
      <c r="CH1329" s="42"/>
      <c r="CI1329" s="42"/>
      <c r="CJ1329" s="42"/>
      <c r="CK1329" s="42"/>
      <c r="CL1329" s="42"/>
      <c r="CM1329" s="42"/>
      <c r="CN1329" s="42"/>
      <c r="CO1329" s="42"/>
      <c r="CQ1329" s="42"/>
      <c r="CR1329" s="42"/>
      <c r="CS1329" s="42"/>
      <c r="CT1329" s="42"/>
      <c r="CU1329" s="42"/>
      <c r="CV1329" s="42"/>
      <c r="CW1329" s="42"/>
      <c r="CX1329" s="42"/>
      <c r="CY1329" s="42"/>
      <c r="CZ1329" s="42"/>
      <c r="DA1329" s="42"/>
      <c r="DB1329" s="42"/>
      <c r="DC1329" s="42"/>
      <c r="DD1329" s="42"/>
      <c r="DE1329" s="42"/>
      <c r="DF1329" s="42"/>
      <c r="DG1329" s="42"/>
      <c r="DH1329" s="42"/>
      <c r="DI1329" s="42"/>
      <c r="DJ1329" s="42"/>
      <c r="DK1329" s="42"/>
      <c r="DL1329" s="42"/>
      <c r="DM1329" s="42"/>
      <c r="DN1329" s="42"/>
      <c r="DO1329" s="42"/>
    </row>
    <row r="1330" spans="3:119" ht="28.9" customHeight="1" x14ac:dyDescent="0.45">
      <c r="C1330" s="42"/>
      <c r="D1330" s="42"/>
      <c r="E1330" s="42"/>
      <c r="F1330" s="42"/>
      <c r="G1330" s="42"/>
      <c r="H1330" s="42"/>
      <c r="I1330" s="42"/>
      <c r="J1330" s="42"/>
      <c r="K1330" s="42"/>
      <c r="L1330" s="42"/>
      <c r="M1330" s="42"/>
      <c r="N1330" s="42"/>
      <c r="O1330" s="42"/>
      <c r="P1330" s="42"/>
      <c r="Q1330" s="42"/>
      <c r="R1330" s="42"/>
      <c r="S1330" s="42"/>
      <c r="T1330" s="42"/>
      <c r="U1330" s="42"/>
      <c r="V1330" s="42"/>
      <c r="W1330" s="42"/>
      <c r="X1330" s="42"/>
      <c r="Y1330" s="42"/>
      <c r="Z1330" s="42"/>
      <c r="AA1330" s="42"/>
      <c r="AB1330" s="42"/>
      <c r="AC1330" s="42"/>
      <c r="AD1330" s="42"/>
      <c r="AE1330" s="42"/>
      <c r="AF1330" s="42"/>
      <c r="AG1330" s="42"/>
      <c r="AH1330" s="42"/>
      <c r="AI1330" s="42"/>
      <c r="AJ1330" s="42"/>
      <c r="AK1330" s="42"/>
      <c r="AL1330" s="42"/>
      <c r="AM1330" s="42"/>
      <c r="AN1330" s="42"/>
      <c r="AO1330" s="42"/>
      <c r="AQ1330" s="42"/>
      <c r="AR1330" s="42"/>
      <c r="AS1330" s="42"/>
      <c r="AT1330" s="42"/>
      <c r="AU1330" s="42"/>
      <c r="AV1330" s="42"/>
      <c r="AW1330" s="42"/>
      <c r="AX1330" s="42"/>
      <c r="AY1330" s="42"/>
      <c r="AZ1330" s="42"/>
      <c r="BA1330" s="42"/>
      <c r="BB1330" s="42"/>
      <c r="BC1330" s="42"/>
      <c r="BD1330" s="42"/>
      <c r="BE1330" s="42"/>
      <c r="BF1330" s="42"/>
      <c r="BG1330" s="42"/>
      <c r="BH1330" s="42"/>
      <c r="BI1330" s="42"/>
      <c r="BJ1330" s="42"/>
      <c r="BK1330" s="42"/>
      <c r="BL1330" s="42"/>
      <c r="BM1330" s="42"/>
      <c r="BN1330" s="42"/>
      <c r="BO1330" s="42"/>
    </row>
    <row r="1331" spans="3:119" x14ac:dyDescent="0.45">
      <c r="C1331" s="42"/>
      <c r="D1331" s="42"/>
      <c r="E1331" s="42"/>
      <c r="F1331" s="42"/>
      <c r="G1331" s="42"/>
      <c r="H1331" s="42"/>
      <c r="I1331" s="42"/>
      <c r="J1331" s="42"/>
      <c r="K1331" s="42"/>
      <c r="L1331" s="42"/>
      <c r="M1331" s="42"/>
      <c r="N1331" s="42"/>
      <c r="O1331" s="42"/>
      <c r="P1331" s="42"/>
      <c r="Q1331" s="42"/>
      <c r="R1331" s="42"/>
      <c r="S1331" s="42"/>
      <c r="T1331" s="42"/>
      <c r="U1331" s="42"/>
      <c r="V1331" s="42"/>
      <c r="W1331" s="42"/>
      <c r="X1331" s="42"/>
      <c r="Y1331" s="42"/>
      <c r="Z1331" s="42"/>
      <c r="AA1331" s="42"/>
      <c r="AB1331" s="42"/>
      <c r="AC1331" s="42"/>
      <c r="AD1331" s="42"/>
      <c r="AE1331" s="42"/>
      <c r="AF1331" s="42"/>
      <c r="AG1331" s="42"/>
      <c r="AH1331" s="42"/>
      <c r="AI1331" s="42"/>
      <c r="AJ1331" s="42"/>
      <c r="AK1331" s="42"/>
      <c r="AL1331" s="42"/>
      <c r="AM1331" s="42"/>
      <c r="AN1331" s="42"/>
      <c r="AO1331" s="42"/>
      <c r="AQ1331" s="42"/>
      <c r="AR1331" s="42"/>
      <c r="AS1331" s="42"/>
      <c r="AT1331" s="42"/>
      <c r="AU1331" s="42"/>
      <c r="AV1331" s="42"/>
      <c r="AW1331" s="42"/>
      <c r="AX1331" s="42"/>
      <c r="AY1331" s="42"/>
      <c r="AZ1331" s="42"/>
      <c r="BA1331" s="42"/>
      <c r="BB1331" s="42"/>
      <c r="BC1331" s="42"/>
      <c r="BD1331" s="42"/>
      <c r="BE1331" s="42"/>
      <c r="BF1331" s="42"/>
      <c r="BG1331" s="42"/>
      <c r="BH1331" s="42"/>
      <c r="BI1331" s="42"/>
      <c r="BJ1331" s="42"/>
      <c r="BK1331" s="42"/>
      <c r="BL1331" s="42"/>
      <c r="BM1331" s="42"/>
      <c r="BN1331" s="42"/>
      <c r="BO1331" s="42"/>
    </row>
    <row r="1346" ht="28.9" customHeight="1" x14ac:dyDescent="0.45"/>
  </sheetData>
  <sheetProtection algorithmName="SHA-512" hashValue="LCs88ga29CBZ7pM8emm4ycRXniaa7twODx0jZjORA24ALC9iOd2cW44n48nZ2ph9CxQQYA0KTDgAsr55R+rMkg==" saltValue="0ghUftpwWoVrfUYFe0V64w==" spinCount="100000" sheet="1" objects="1" scenarios="1" selectLockedCells="1" selectUnlockedCells="1"/>
  <mergeCells count="4531">
    <mergeCell ref="FB1130:FC1132"/>
    <mergeCell ref="FX1130:FY1132"/>
    <mergeCell ref="FB1133:FB1144"/>
    <mergeCell ref="FX1133:FX1144"/>
    <mergeCell ref="FB1146:FC1148"/>
    <mergeCell ref="FX1146:FY1148"/>
    <mergeCell ref="FB1149:FB1160"/>
    <mergeCell ref="FX1149:FX1160"/>
    <mergeCell ref="BR1130:BS1132"/>
    <mergeCell ref="CN1130:CO1132"/>
    <mergeCell ref="BR1133:BR1144"/>
    <mergeCell ref="CN1133:CN1144"/>
    <mergeCell ref="BR1146:BS1148"/>
    <mergeCell ref="CN1146:CO1148"/>
    <mergeCell ref="BR1149:BR1160"/>
    <mergeCell ref="CN1149:CN1160"/>
    <mergeCell ref="DJ1130:DK1132"/>
    <mergeCell ref="EF1130:EG1132"/>
    <mergeCell ref="DJ1133:DJ1144"/>
    <mergeCell ref="EF1133:EF1144"/>
    <mergeCell ref="DJ1146:DK1148"/>
    <mergeCell ref="EF1146:EG1148"/>
    <mergeCell ref="DJ1149:DJ1160"/>
    <mergeCell ref="EF1149:EF1160"/>
    <mergeCell ref="AS5:BA6"/>
    <mergeCell ref="BF5:BN6"/>
    <mergeCell ref="BS5:CA6"/>
    <mergeCell ref="CF5:CN6"/>
    <mergeCell ref="CS5:DA6"/>
    <mergeCell ref="DF5:DN6"/>
    <mergeCell ref="DF1314:DG1314"/>
    <mergeCell ref="DH1314:DI1314"/>
    <mergeCell ref="CQ1315:CQ1326"/>
    <mergeCell ref="DD1315:DD1326"/>
    <mergeCell ref="DF1265:DG1265"/>
    <mergeCell ref="DH1265:DI1265"/>
    <mergeCell ref="CQ1266:CQ1277"/>
    <mergeCell ref="DD1266:DD1277"/>
    <mergeCell ref="CQ1279:CR1281"/>
    <mergeCell ref="DD1279:DE1281"/>
    <mergeCell ref="CS1280:CV1280"/>
    <mergeCell ref="DF1280:DI1280"/>
    <mergeCell ref="CS1281:CT1281"/>
    <mergeCell ref="CU1281:CV1281"/>
    <mergeCell ref="DF1281:DG1281"/>
    <mergeCell ref="DH1281:DI1281"/>
    <mergeCell ref="CQ1282:CQ1293"/>
    <mergeCell ref="DD1282:DD1293"/>
    <mergeCell ref="CQ1296:CR1298"/>
    <mergeCell ref="DD1296:DE1298"/>
    <mergeCell ref="CS1297:CV1297"/>
    <mergeCell ref="DF1297:DI1297"/>
    <mergeCell ref="CS1298:CT1298"/>
    <mergeCell ref="CU1298:CV1298"/>
    <mergeCell ref="DF1298:DG1298"/>
    <mergeCell ref="DH1298:DI1298"/>
    <mergeCell ref="CQ1230:CR1232"/>
    <mergeCell ref="DD1230:DE1232"/>
    <mergeCell ref="CS1231:CV1231"/>
    <mergeCell ref="DF1231:DI1231"/>
    <mergeCell ref="CS1232:CT1232"/>
    <mergeCell ref="CU1232:CV1232"/>
    <mergeCell ref="DF1232:DG1232"/>
    <mergeCell ref="DH1232:DI1232"/>
    <mergeCell ref="CQ1233:CQ1244"/>
    <mergeCell ref="DD1233:DD1244"/>
    <mergeCell ref="CQ1246:CR1248"/>
    <mergeCell ref="DD1246:DE1248"/>
    <mergeCell ref="CS1247:CV1247"/>
    <mergeCell ref="DF1247:DI1247"/>
    <mergeCell ref="CS1248:CT1248"/>
    <mergeCell ref="CU1248:CV1248"/>
    <mergeCell ref="DF1248:DG1248"/>
    <mergeCell ref="DH1248:DI1248"/>
    <mergeCell ref="CS1244:CT1244"/>
    <mergeCell ref="CU1244:CV1244"/>
    <mergeCell ref="DF1244:DG1244"/>
    <mergeCell ref="DH1244:DI1244"/>
    <mergeCell ref="CS1233:CT1233"/>
    <mergeCell ref="CU1233:CV1233"/>
    <mergeCell ref="DF1233:DG1233"/>
    <mergeCell ref="DH1233:DI1233"/>
    <mergeCell ref="CS1234:CT1234"/>
    <mergeCell ref="CU1234:CV1234"/>
    <mergeCell ref="DF1234:DG1234"/>
    <mergeCell ref="DH1234:DI1234"/>
    <mergeCell ref="CS1235:CT1235"/>
    <mergeCell ref="CU1235:CV1235"/>
    <mergeCell ref="CQ1200:CQ1211"/>
    <mergeCell ref="DD1200:DD1211"/>
    <mergeCell ref="CQ1213:CR1215"/>
    <mergeCell ref="DD1213:DE1215"/>
    <mergeCell ref="CS1214:CV1214"/>
    <mergeCell ref="DF1214:DI1214"/>
    <mergeCell ref="CS1215:CT1215"/>
    <mergeCell ref="CU1215:CV1215"/>
    <mergeCell ref="DF1215:DG1215"/>
    <mergeCell ref="DH1215:DI1215"/>
    <mergeCell ref="CS1194:CT1194"/>
    <mergeCell ref="CU1194:CV1194"/>
    <mergeCell ref="DF1194:DG1194"/>
    <mergeCell ref="DH1194:DI1194"/>
    <mergeCell ref="CS1200:CT1200"/>
    <mergeCell ref="CU1200:CV1200"/>
    <mergeCell ref="DF1200:DG1200"/>
    <mergeCell ref="DH1200:DI1200"/>
    <mergeCell ref="CS1201:CT1201"/>
    <mergeCell ref="CU1201:CV1201"/>
    <mergeCell ref="DF1201:DG1201"/>
    <mergeCell ref="DH1201:DI1201"/>
    <mergeCell ref="DF1165:DI1165"/>
    <mergeCell ref="CS1166:CT1166"/>
    <mergeCell ref="CU1166:CV1166"/>
    <mergeCell ref="DF1166:DG1166"/>
    <mergeCell ref="DH1166:DI1166"/>
    <mergeCell ref="CQ1097:CR1099"/>
    <mergeCell ref="CQ1183:CQ1194"/>
    <mergeCell ref="DD1183:DD1194"/>
    <mergeCell ref="CQ1197:CR1199"/>
    <mergeCell ref="DD1197:DE1199"/>
    <mergeCell ref="CS1198:CV1198"/>
    <mergeCell ref="DF1198:DI1198"/>
    <mergeCell ref="CS1199:CT1199"/>
    <mergeCell ref="CU1199:CV1199"/>
    <mergeCell ref="DF1199:DG1199"/>
    <mergeCell ref="DH1199:DI1199"/>
    <mergeCell ref="CQ1180:CR1182"/>
    <mergeCell ref="DD1180:DE1182"/>
    <mergeCell ref="CS1181:CV1181"/>
    <mergeCell ref="DF1181:DI1181"/>
    <mergeCell ref="CS1182:CT1182"/>
    <mergeCell ref="CU1182:CV1182"/>
    <mergeCell ref="DF1182:DG1182"/>
    <mergeCell ref="DH1182:DI1182"/>
    <mergeCell ref="CS1168:CT1168"/>
    <mergeCell ref="CU1168:CV1168"/>
    <mergeCell ref="DF1168:DG1168"/>
    <mergeCell ref="DH1168:DI1168"/>
    <mergeCell ref="CS1169:CT1169"/>
    <mergeCell ref="CQ1167:CQ1178"/>
    <mergeCell ref="DD1097:DE1099"/>
    <mergeCell ref="CQ1100:CQ1111"/>
    <mergeCell ref="DF999:DO999"/>
    <mergeCell ref="CQ1031:CR1033"/>
    <mergeCell ref="DD1100:DD1111"/>
    <mergeCell ref="CQ1113:CR1115"/>
    <mergeCell ref="DD1113:DE1115"/>
    <mergeCell ref="CQ1116:CQ1127"/>
    <mergeCell ref="DD1116:DD1127"/>
    <mergeCell ref="CQ968:CQ979"/>
    <mergeCell ref="DD968:DD979"/>
    <mergeCell ref="CQ981:CR983"/>
    <mergeCell ref="DD981:DE983"/>
    <mergeCell ref="CQ1034:CQ1045"/>
    <mergeCell ref="DD1034:DD1045"/>
    <mergeCell ref="CQ1047:CR1049"/>
    <mergeCell ref="DD1047:DE1049"/>
    <mergeCell ref="CQ915:CR917"/>
    <mergeCell ref="DD915:DE917"/>
    <mergeCell ref="CQ918:CQ929"/>
    <mergeCell ref="DD918:DD929"/>
    <mergeCell ref="CQ932:CR934"/>
    <mergeCell ref="DD1031:DE1033"/>
    <mergeCell ref="CQ1067:CQ1078"/>
    <mergeCell ref="DD1067:DD1078"/>
    <mergeCell ref="CQ1080:CR1082"/>
    <mergeCell ref="DD1080:DE1082"/>
    <mergeCell ref="CS1015:DB1015"/>
    <mergeCell ref="CS1114:DB1114"/>
    <mergeCell ref="CS1098:DB1098"/>
    <mergeCell ref="CS916:DB916"/>
    <mergeCell ref="DF916:DO916"/>
    <mergeCell ref="DF1114:DO1114"/>
    <mergeCell ref="DF1098:DO1098"/>
    <mergeCell ref="DF718:DN718"/>
    <mergeCell ref="DF784:DN784"/>
    <mergeCell ref="CQ1164:CR1166"/>
    <mergeCell ref="DD1164:DE1166"/>
    <mergeCell ref="CS1165:CV1165"/>
    <mergeCell ref="CQ1083:CQ1094"/>
    <mergeCell ref="DD1083:DD1094"/>
    <mergeCell ref="CQ984:CQ995"/>
    <mergeCell ref="DD984:DD995"/>
    <mergeCell ref="CQ902:CQ913"/>
    <mergeCell ref="DD902:DD913"/>
    <mergeCell ref="CQ998:CR1000"/>
    <mergeCell ref="DD998:DE1000"/>
    <mergeCell ref="CQ1001:CQ1012"/>
    <mergeCell ref="DD1001:DD1012"/>
    <mergeCell ref="CQ1014:CR1016"/>
    <mergeCell ref="DD1014:DE1016"/>
    <mergeCell ref="CQ1017:CQ1028"/>
    <mergeCell ref="DD1017:DD1028"/>
    <mergeCell ref="DF1015:DO1015"/>
    <mergeCell ref="CS1032:DB1032"/>
    <mergeCell ref="DF1032:DO1032"/>
    <mergeCell ref="CS1048:DB1048"/>
    <mergeCell ref="DF1048:DO1048"/>
    <mergeCell ref="CS1065:DB1065"/>
    <mergeCell ref="DF1065:DO1065"/>
    <mergeCell ref="CS1081:DB1081"/>
    <mergeCell ref="DF1081:DO1081"/>
    <mergeCell ref="CQ1050:CQ1061"/>
    <mergeCell ref="DD1050:DD1061"/>
    <mergeCell ref="CQ1064:CR1066"/>
    <mergeCell ref="DD1064:DE1066"/>
    <mergeCell ref="DF504:DO504"/>
    <mergeCell ref="DF636:DO636"/>
    <mergeCell ref="CQ638:CQ649"/>
    <mergeCell ref="DD638:DD649"/>
    <mergeCell ref="DF603:DO603"/>
    <mergeCell ref="CS619:DB619"/>
    <mergeCell ref="DF619:DO619"/>
    <mergeCell ref="CQ651:CR653"/>
    <mergeCell ref="DD651:DE653"/>
    <mergeCell ref="CQ737:CQ748"/>
    <mergeCell ref="DD737:DD748"/>
    <mergeCell ref="CQ750:CR752"/>
    <mergeCell ref="DD750:DE752"/>
    <mergeCell ref="CQ753:CQ764"/>
    <mergeCell ref="DD753:DD764"/>
    <mergeCell ref="CQ800:CR802"/>
    <mergeCell ref="DD800:DE802"/>
    <mergeCell ref="CQ654:CQ665"/>
    <mergeCell ref="DD654:DD665"/>
    <mergeCell ref="CS652:DB652"/>
    <mergeCell ref="DF652:DO652"/>
    <mergeCell ref="CS735:DB735"/>
    <mergeCell ref="DF735:DO735"/>
    <mergeCell ref="CS751:DB751"/>
    <mergeCell ref="DF751:DO751"/>
    <mergeCell ref="CS801:DB801"/>
    <mergeCell ref="DF801:DO801"/>
    <mergeCell ref="CQ704:CQ715"/>
    <mergeCell ref="DD704:DD715"/>
    <mergeCell ref="CQ717:CR719"/>
    <mergeCell ref="DD717:DE719"/>
    <mergeCell ref="CS718:DA718"/>
    <mergeCell ref="CQ338:CR340"/>
    <mergeCell ref="DD338:DE340"/>
    <mergeCell ref="CQ341:CQ352"/>
    <mergeCell ref="DD341:DD352"/>
    <mergeCell ref="CQ354:CR356"/>
    <mergeCell ref="DD354:DE356"/>
    <mergeCell ref="DF570:DO570"/>
    <mergeCell ref="CS586:DB586"/>
    <mergeCell ref="DF586:DO586"/>
    <mergeCell ref="CQ555:CQ566"/>
    <mergeCell ref="DD555:DD566"/>
    <mergeCell ref="CQ470:CR472"/>
    <mergeCell ref="DD470:DE472"/>
    <mergeCell ref="CQ473:CQ484"/>
    <mergeCell ref="DD473:DD484"/>
    <mergeCell ref="CQ486:CR488"/>
    <mergeCell ref="DD486:DE488"/>
    <mergeCell ref="CQ489:CQ500"/>
    <mergeCell ref="DD489:DD500"/>
    <mergeCell ref="CQ503:CR505"/>
    <mergeCell ref="DD503:DE505"/>
    <mergeCell ref="CQ539:CQ550"/>
    <mergeCell ref="DD539:DD550"/>
    <mergeCell ref="DF537:DO537"/>
    <mergeCell ref="DF487:DO487"/>
    <mergeCell ref="DF553:DO553"/>
    <mergeCell ref="CQ569:CR571"/>
    <mergeCell ref="DD569:DE571"/>
    <mergeCell ref="CQ572:CQ583"/>
    <mergeCell ref="DD572:DD583"/>
    <mergeCell ref="CQ585:CR587"/>
    <mergeCell ref="DD585:DE587"/>
    <mergeCell ref="DD404:DE406"/>
    <mergeCell ref="CQ407:CQ418"/>
    <mergeCell ref="DD407:DD418"/>
    <mergeCell ref="CQ420:CR422"/>
    <mergeCell ref="DD420:DE422"/>
    <mergeCell ref="CQ423:CQ434"/>
    <mergeCell ref="DD423:DD434"/>
    <mergeCell ref="CQ437:CR439"/>
    <mergeCell ref="DD437:DE439"/>
    <mergeCell ref="CQ552:CR554"/>
    <mergeCell ref="DD552:DE554"/>
    <mergeCell ref="CQ522:CQ533"/>
    <mergeCell ref="DD522:DD533"/>
    <mergeCell ref="CQ440:CQ451"/>
    <mergeCell ref="DD440:DD451"/>
    <mergeCell ref="CQ456:CQ467"/>
    <mergeCell ref="DD456:DD467"/>
    <mergeCell ref="CQ536:CR538"/>
    <mergeCell ref="DD536:DE538"/>
    <mergeCell ref="CS487:DB487"/>
    <mergeCell ref="CS454:DB454"/>
    <mergeCell ref="CS421:DB421"/>
    <mergeCell ref="CS91:DB91"/>
    <mergeCell ref="DF91:DO91"/>
    <mergeCell ref="CQ176:CQ187"/>
    <mergeCell ref="DD176:DD187"/>
    <mergeCell ref="CQ189:CR191"/>
    <mergeCell ref="DD189:DE191"/>
    <mergeCell ref="CQ143:CQ154"/>
    <mergeCell ref="DD143:DD154"/>
    <mergeCell ref="CQ156:CR158"/>
    <mergeCell ref="DD156:DE158"/>
    <mergeCell ref="CQ222:CR224"/>
    <mergeCell ref="DD222:DE224"/>
    <mergeCell ref="CQ107:CR109"/>
    <mergeCell ref="DD107:DE109"/>
    <mergeCell ref="CQ192:CQ203"/>
    <mergeCell ref="DD192:DD203"/>
    <mergeCell ref="CQ239:CR241"/>
    <mergeCell ref="DD239:DE241"/>
    <mergeCell ref="CQ159:CQ170"/>
    <mergeCell ref="CS240:DB240"/>
    <mergeCell ref="DD159:DD170"/>
    <mergeCell ref="CQ93:CQ104"/>
    <mergeCell ref="DD93:DD104"/>
    <mergeCell ref="CS108:DB108"/>
    <mergeCell ref="DF108:DO108"/>
    <mergeCell ref="CQ225:CQ236"/>
    <mergeCell ref="DD225:DD236"/>
    <mergeCell ref="CQ110:CQ121"/>
    <mergeCell ref="DD110:DD121"/>
    <mergeCell ref="CQ123:CR125"/>
    <mergeCell ref="DD123:DE125"/>
    <mergeCell ref="CQ126:CQ137"/>
    <mergeCell ref="DH1322:DI1322"/>
    <mergeCell ref="CS1323:CT1323"/>
    <mergeCell ref="CU1323:CV1323"/>
    <mergeCell ref="CS1308:CT1308"/>
    <mergeCell ref="CU1308:CV1308"/>
    <mergeCell ref="DF1308:DG1308"/>
    <mergeCell ref="DH1308:DI1308"/>
    <mergeCell ref="CS1309:CT1309"/>
    <mergeCell ref="CU1309:CV1309"/>
    <mergeCell ref="DF1309:DG1309"/>
    <mergeCell ref="DH1309:DI1309"/>
    <mergeCell ref="CS1310:CT1310"/>
    <mergeCell ref="CU1320:CV1320"/>
    <mergeCell ref="DF1320:DG1320"/>
    <mergeCell ref="DH1320:DI1320"/>
    <mergeCell ref="CS1321:CT1321"/>
    <mergeCell ref="CU1321:CV1321"/>
    <mergeCell ref="DF1321:DG1321"/>
    <mergeCell ref="DH1321:DI1321"/>
    <mergeCell ref="CU1315:CV1315"/>
    <mergeCell ref="DF1315:DG1315"/>
    <mergeCell ref="DH1315:DI1315"/>
    <mergeCell ref="DF1323:DG1323"/>
    <mergeCell ref="DH1323:DI1323"/>
    <mergeCell ref="CS1315:CT1315"/>
    <mergeCell ref="DD126:DD137"/>
    <mergeCell ref="CQ272:CR274"/>
    <mergeCell ref="DD272:DE274"/>
    <mergeCell ref="CS289:DB289"/>
    <mergeCell ref="CS1306:CT1306"/>
    <mergeCell ref="CU1306:CV1306"/>
    <mergeCell ref="DF1306:DG1306"/>
    <mergeCell ref="CU1301:CV1301"/>
    <mergeCell ref="DF1301:DG1301"/>
    <mergeCell ref="CS1302:CT1302"/>
    <mergeCell ref="CU1302:CV1302"/>
    <mergeCell ref="DF1302:DG1302"/>
    <mergeCell ref="CS1290:CT1290"/>
    <mergeCell ref="CU1290:CV1290"/>
    <mergeCell ref="DF1290:DG1290"/>
    <mergeCell ref="CS1291:CT1291"/>
    <mergeCell ref="CU1291:CV1291"/>
    <mergeCell ref="DF1291:DG1291"/>
    <mergeCell ref="DF289:DO289"/>
    <mergeCell ref="CS1292:CT1292"/>
    <mergeCell ref="CU1292:CV1292"/>
    <mergeCell ref="DF1292:DG1292"/>
    <mergeCell ref="DH1292:DI1292"/>
    <mergeCell ref="CS1288:CT1288"/>
    <mergeCell ref="CU1288:CV1288"/>
    <mergeCell ref="CS1293:CT1293"/>
    <mergeCell ref="CU1293:CV1293"/>
    <mergeCell ref="DF1293:DG1293"/>
    <mergeCell ref="DH1293:DI1293"/>
    <mergeCell ref="DF1299:DG1299"/>
    <mergeCell ref="DH1299:DI1299"/>
    <mergeCell ref="CS1300:CT1300"/>
    <mergeCell ref="CU1300:CV1300"/>
    <mergeCell ref="DF1300:DG1300"/>
    <mergeCell ref="DH1300:DI1300"/>
    <mergeCell ref="DF454:DO454"/>
    <mergeCell ref="CS1325:CT1325"/>
    <mergeCell ref="CU1325:CV1325"/>
    <mergeCell ref="DF1325:DG1325"/>
    <mergeCell ref="DH1325:DI1325"/>
    <mergeCell ref="CS1326:CT1326"/>
    <mergeCell ref="CU1326:CV1326"/>
    <mergeCell ref="DF1326:DG1326"/>
    <mergeCell ref="DH1326:DI1326"/>
    <mergeCell ref="CS1316:CT1316"/>
    <mergeCell ref="CU1316:CV1316"/>
    <mergeCell ref="DF1316:DG1316"/>
    <mergeCell ref="DH1316:DI1316"/>
    <mergeCell ref="CS1317:CT1317"/>
    <mergeCell ref="CU1317:CV1317"/>
    <mergeCell ref="DF1317:DG1317"/>
    <mergeCell ref="DH1317:DI1317"/>
    <mergeCell ref="CS1318:CT1318"/>
    <mergeCell ref="CU1318:CV1318"/>
    <mergeCell ref="DF1318:DG1318"/>
    <mergeCell ref="DH1318:DI1318"/>
    <mergeCell ref="CS1319:CT1319"/>
    <mergeCell ref="CU1319:CV1319"/>
    <mergeCell ref="DF1319:DG1319"/>
    <mergeCell ref="DH1319:DI1319"/>
    <mergeCell ref="CS1320:CT1320"/>
    <mergeCell ref="CS1324:CT1324"/>
    <mergeCell ref="CU1324:CV1324"/>
    <mergeCell ref="DF1324:DG1324"/>
    <mergeCell ref="DH1324:DI1324"/>
    <mergeCell ref="CS1322:CT1322"/>
    <mergeCell ref="CU1322:CV1322"/>
    <mergeCell ref="DF1322:DG1322"/>
    <mergeCell ref="CQ1312:CR1314"/>
    <mergeCell ref="DD1312:DE1314"/>
    <mergeCell ref="CS1313:CV1313"/>
    <mergeCell ref="DF1313:DI1313"/>
    <mergeCell ref="CS1314:CT1314"/>
    <mergeCell ref="CU1314:CV1314"/>
    <mergeCell ref="DF1303:DG1303"/>
    <mergeCell ref="DH1303:DI1303"/>
    <mergeCell ref="CS1304:CT1304"/>
    <mergeCell ref="CU1304:CV1304"/>
    <mergeCell ref="DF1304:DG1304"/>
    <mergeCell ref="DH1304:DI1304"/>
    <mergeCell ref="CS1305:CT1305"/>
    <mergeCell ref="CU1305:CV1305"/>
    <mergeCell ref="DF1305:DG1305"/>
    <mergeCell ref="DH1305:DI1305"/>
    <mergeCell ref="CQ1299:CQ1310"/>
    <mergeCell ref="DD1299:DD1310"/>
    <mergeCell ref="CS1307:CT1307"/>
    <mergeCell ref="CU1307:CV1307"/>
    <mergeCell ref="DF1307:DG1307"/>
    <mergeCell ref="CU1310:CV1310"/>
    <mergeCell ref="DF1310:DG1310"/>
    <mergeCell ref="DH1310:DI1310"/>
    <mergeCell ref="DH1306:DI1306"/>
    <mergeCell ref="DH1301:DI1301"/>
    <mergeCell ref="DH1302:DI1302"/>
    <mergeCell ref="DH1307:DI1307"/>
    <mergeCell ref="CS1303:CT1303"/>
    <mergeCell ref="CU1303:CV1303"/>
    <mergeCell ref="CS1299:CT1299"/>
    <mergeCell ref="CU1299:CV1299"/>
    <mergeCell ref="CS1301:CT1301"/>
    <mergeCell ref="DH1290:DI1290"/>
    <mergeCell ref="DH1291:DI1291"/>
    <mergeCell ref="DF1275:DG1275"/>
    <mergeCell ref="DH1275:DI1275"/>
    <mergeCell ref="CS1276:CT1276"/>
    <mergeCell ref="CU1276:CV1276"/>
    <mergeCell ref="DF1276:DG1276"/>
    <mergeCell ref="DH1276:DI1276"/>
    <mergeCell ref="CS1277:CT1277"/>
    <mergeCell ref="CU1277:CV1277"/>
    <mergeCell ref="DF1277:DG1277"/>
    <mergeCell ref="DH1277:DI1277"/>
    <mergeCell ref="CS1282:CT1282"/>
    <mergeCell ref="CU1282:CV1282"/>
    <mergeCell ref="DF1282:DG1282"/>
    <mergeCell ref="DH1282:DI1282"/>
    <mergeCell ref="DF1288:DG1288"/>
    <mergeCell ref="DH1288:DI1288"/>
    <mergeCell ref="CS1289:CT1289"/>
    <mergeCell ref="CU1289:CV1289"/>
    <mergeCell ref="DF1289:DG1289"/>
    <mergeCell ref="DH1289:DI1289"/>
    <mergeCell ref="CS1287:CT1287"/>
    <mergeCell ref="CU1287:CV1287"/>
    <mergeCell ref="DF1287:DG1287"/>
    <mergeCell ref="DH1287:DI1287"/>
    <mergeCell ref="CS1286:CT1286"/>
    <mergeCell ref="CU1286:CV1286"/>
    <mergeCell ref="DF1286:DG1286"/>
    <mergeCell ref="DH1286:DI1286"/>
    <mergeCell ref="CS1283:CT1283"/>
    <mergeCell ref="CU1283:CV1283"/>
    <mergeCell ref="DF1283:DG1283"/>
    <mergeCell ref="DH1283:DI1283"/>
    <mergeCell ref="CS1269:CT1269"/>
    <mergeCell ref="CU1269:CV1269"/>
    <mergeCell ref="DF1269:DG1269"/>
    <mergeCell ref="DH1269:DI1269"/>
    <mergeCell ref="CS1270:CT1270"/>
    <mergeCell ref="CU1270:CV1270"/>
    <mergeCell ref="DF1270:DG1270"/>
    <mergeCell ref="DH1270:DI1270"/>
    <mergeCell ref="CS1271:CT1271"/>
    <mergeCell ref="CU1271:CV1271"/>
    <mergeCell ref="DF1271:DG1271"/>
    <mergeCell ref="DH1271:DI1271"/>
    <mergeCell ref="CS1285:CT1285"/>
    <mergeCell ref="CU1285:CV1285"/>
    <mergeCell ref="DF1285:DG1285"/>
    <mergeCell ref="DH1285:DI1285"/>
    <mergeCell ref="CS1268:CT1268"/>
    <mergeCell ref="CU1268:CV1268"/>
    <mergeCell ref="DF1274:DG1274"/>
    <mergeCell ref="DH1274:DI1274"/>
    <mergeCell ref="CS1272:CT1272"/>
    <mergeCell ref="CU1272:CV1272"/>
    <mergeCell ref="DF1272:DG1272"/>
    <mergeCell ref="DH1272:DI1272"/>
    <mergeCell ref="CS1273:CT1273"/>
    <mergeCell ref="CU1273:CV1273"/>
    <mergeCell ref="DF1273:DG1273"/>
    <mergeCell ref="DH1273:DI1273"/>
    <mergeCell ref="CS1274:CT1274"/>
    <mergeCell ref="CU1274:CV1274"/>
    <mergeCell ref="CS1284:CT1284"/>
    <mergeCell ref="CU1284:CV1284"/>
    <mergeCell ref="DF1284:DG1284"/>
    <mergeCell ref="DH1284:DI1284"/>
    <mergeCell ref="CS1275:CT1275"/>
    <mergeCell ref="CU1275:CV1275"/>
    <mergeCell ref="DF1268:DG1268"/>
    <mergeCell ref="DH1268:DI1268"/>
    <mergeCell ref="CS1258:CT1258"/>
    <mergeCell ref="CU1258:CV1258"/>
    <mergeCell ref="DF1258:DG1258"/>
    <mergeCell ref="DH1258:DI1258"/>
    <mergeCell ref="CS1259:CT1259"/>
    <mergeCell ref="CU1259:CV1259"/>
    <mergeCell ref="DF1259:DG1259"/>
    <mergeCell ref="DH1259:DI1259"/>
    <mergeCell ref="CS1260:CT1260"/>
    <mergeCell ref="CU1260:CV1260"/>
    <mergeCell ref="DF1260:DG1260"/>
    <mergeCell ref="DH1260:DI1260"/>
    <mergeCell ref="CS1266:CT1266"/>
    <mergeCell ref="CU1266:CV1266"/>
    <mergeCell ref="DF1266:DG1266"/>
    <mergeCell ref="DH1266:DI1266"/>
    <mergeCell ref="CS1267:CT1267"/>
    <mergeCell ref="CU1267:CV1267"/>
    <mergeCell ref="DF1267:DG1267"/>
    <mergeCell ref="DH1267:DI1267"/>
    <mergeCell ref="CQ1249:CQ1260"/>
    <mergeCell ref="DD1249:DD1260"/>
    <mergeCell ref="CQ1263:CR1265"/>
    <mergeCell ref="DD1263:DE1265"/>
    <mergeCell ref="CS1264:CV1264"/>
    <mergeCell ref="DF1264:DI1264"/>
    <mergeCell ref="CS1265:CT1265"/>
    <mergeCell ref="CU1265:CV1265"/>
    <mergeCell ref="DF1253:DG1253"/>
    <mergeCell ref="DH1253:DI1253"/>
    <mergeCell ref="CS1254:CT1254"/>
    <mergeCell ref="CU1254:CV1254"/>
    <mergeCell ref="DF1254:DG1254"/>
    <mergeCell ref="DH1254:DI1254"/>
    <mergeCell ref="CS1255:CT1255"/>
    <mergeCell ref="CU1255:CV1255"/>
    <mergeCell ref="DF1255:DG1255"/>
    <mergeCell ref="DH1255:DI1255"/>
    <mergeCell ref="CS1256:CT1256"/>
    <mergeCell ref="CU1256:CV1256"/>
    <mergeCell ref="DF1256:DG1256"/>
    <mergeCell ref="DH1256:DI1256"/>
    <mergeCell ref="CS1257:CT1257"/>
    <mergeCell ref="CU1257:CV1257"/>
    <mergeCell ref="DF1257:DG1257"/>
    <mergeCell ref="DH1257:DI1257"/>
    <mergeCell ref="CS1249:CT1249"/>
    <mergeCell ref="CU1249:CV1249"/>
    <mergeCell ref="DF1249:DG1249"/>
    <mergeCell ref="DH1249:DI1249"/>
    <mergeCell ref="CS1250:CT1250"/>
    <mergeCell ref="CU1250:CV1250"/>
    <mergeCell ref="DF1250:DG1250"/>
    <mergeCell ref="DH1250:DI1250"/>
    <mergeCell ref="CS1251:CT1251"/>
    <mergeCell ref="CU1251:CV1251"/>
    <mergeCell ref="DF1251:DG1251"/>
    <mergeCell ref="DH1251:DI1251"/>
    <mergeCell ref="CS1252:CT1252"/>
    <mergeCell ref="CU1252:CV1252"/>
    <mergeCell ref="DF1252:DG1252"/>
    <mergeCell ref="DH1252:DI1252"/>
    <mergeCell ref="CS1253:CT1253"/>
    <mergeCell ref="CU1253:CV1253"/>
    <mergeCell ref="DF1239:DG1239"/>
    <mergeCell ref="DH1239:DI1239"/>
    <mergeCell ref="CS1240:CT1240"/>
    <mergeCell ref="CU1240:CV1240"/>
    <mergeCell ref="DF1240:DG1240"/>
    <mergeCell ref="DH1240:DI1240"/>
    <mergeCell ref="CS1241:CT1241"/>
    <mergeCell ref="CU1241:CV1241"/>
    <mergeCell ref="DF1241:DG1241"/>
    <mergeCell ref="DH1241:DI1241"/>
    <mergeCell ref="CS1242:CT1242"/>
    <mergeCell ref="CU1242:CV1242"/>
    <mergeCell ref="DF1242:DG1242"/>
    <mergeCell ref="DH1242:DI1242"/>
    <mergeCell ref="CS1243:CT1243"/>
    <mergeCell ref="CU1243:CV1243"/>
    <mergeCell ref="DF1243:DG1243"/>
    <mergeCell ref="DH1243:DI1243"/>
    <mergeCell ref="CS1239:CT1239"/>
    <mergeCell ref="CU1239:CV1239"/>
    <mergeCell ref="DF1224:DG1224"/>
    <mergeCell ref="DH1224:DI1224"/>
    <mergeCell ref="CS1225:CT1225"/>
    <mergeCell ref="CU1225:CV1225"/>
    <mergeCell ref="DF1225:DG1225"/>
    <mergeCell ref="DH1225:DI1225"/>
    <mergeCell ref="CS1226:CT1226"/>
    <mergeCell ref="CU1226:CV1226"/>
    <mergeCell ref="DF1226:DG1226"/>
    <mergeCell ref="DH1226:DI1226"/>
    <mergeCell ref="CS1227:CT1227"/>
    <mergeCell ref="CU1227:CV1227"/>
    <mergeCell ref="DF1227:DG1227"/>
    <mergeCell ref="DH1227:DI1227"/>
    <mergeCell ref="DD1216:DD1227"/>
    <mergeCell ref="CS1217:CT1217"/>
    <mergeCell ref="CS1221:CT1221"/>
    <mergeCell ref="CU1221:CV1221"/>
    <mergeCell ref="DF1221:DG1221"/>
    <mergeCell ref="DH1221:DI1221"/>
    <mergeCell ref="DF1217:DG1217"/>
    <mergeCell ref="DH1217:DI1217"/>
    <mergeCell ref="CS1218:CT1218"/>
    <mergeCell ref="CU1218:CV1218"/>
    <mergeCell ref="DF1218:DG1218"/>
    <mergeCell ref="DH1218:DI1218"/>
    <mergeCell ref="CS1219:CT1219"/>
    <mergeCell ref="CU1219:CV1219"/>
    <mergeCell ref="DF1219:DG1219"/>
    <mergeCell ref="DH1219:DI1219"/>
    <mergeCell ref="CS1220:CT1220"/>
    <mergeCell ref="CU1220:CV1220"/>
    <mergeCell ref="DF1235:DG1235"/>
    <mergeCell ref="DH1235:DI1235"/>
    <mergeCell ref="CS1236:CT1236"/>
    <mergeCell ref="CU1236:CV1236"/>
    <mergeCell ref="DF1236:DG1236"/>
    <mergeCell ref="DH1236:DI1236"/>
    <mergeCell ref="CS1237:CT1237"/>
    <mergeCell ref="CU1237:CV1237"/>
    <mergeCell ref="DF1237:DG1237"/>
    <mergeCell ref="DH1237:DI1237"/>
    <mergeCell ref="CS1238:CT1238"/>
    <mergeCell ref="CU1238:CV1238"/>
    <mergeCell ref="DF1238:DG1238"/>
    <mergeCell ref="DH1238:DI1238"/>
    <mergeCell ref="CU1224:CV1224"/>
    <mergeCell ref="CS1209:CT1209"/>
    <mergeCell ref="CU1209:CV1209"/>
    <mergeCell ref="DF1209:DG1209"/>
    <mergeCell ref="DH1209:DI1209"/>
    <mergeCell ref="CS1210:CT1210"/>
    <mergeCell ref="CU1210:CV1210"/>
    <mergeCell ref="DF1210:DG1210"/>
    <mergeCell ref="DH1210:DI1210"/>
    <mergeCell ref="CS1211:CT1211"/>
    <mergeCell ref="CU1211:CV1211"/>
    <mergeCell ref="DF1211:DG1211"/>
    <mergeCell ref="DH1211:DI1211"/>
    <mergeCell ref="CS1216:CT1216"/>
    <mergeCell ref="CU1216:CV1216"/>
    <mergeCell ref="DF1216:DG1216"/>
    <mergeCell ref="DH1216:DI1216"/>
    <mergeCell ref="CU1217:CV1217"/>
    <mergeCell ref="DF1220:DG1220"/>
    <mergeCell ref="DH1220:DI1220"/>
    <mergeCell ref="CS1193:CT1193"/>
    <mergeCell ref="CU1193:CV1193"/>
    <mergeCell ref="DF1193:DG1193"/>
    <mergeCell ref="DH1193:DI1193"/>
    <mergeCell ref="CQ1216:CQ1227"/>
    <mergeCell ref="DF1204:DG1204"/>
    <mergeCell ref="DH1204:DI1204"/>
    <mergeCell ref="CS1205:CT1205"/>
    <mergeCell ref="CU1205:CV1205"/>
    <mergeCell ref="DF1205:DG1205"/>
    <mergeCell ref="DH1205:DI1205"/>
    <mergeCell ref="CS1206:CT1206"/>
    <mergeCell ref="CU1206:CV1206"/>
    <mergeCell ref="DF1206:DG1206"/>
    <mergeCell ref="DH1206:DI1206"/>
    <mergeCell ref="CS1207:CT1207"/>
    <mergeCell ref="CU1207:CV1207"/>
    <mergeCell ref="DF1207:DG1207"/>
    <mergeCell ref="DH1207:DI1207"/>
    <mergeCell ref="CS1208:CT1208"/>
    <mergeCell ref="CU1208:CV1208"/>
    <mergeCell ref="DF1208:DG1208"/>
    <mergeCell ref="DH1208:DI1208"/>
    <mergeCell ref="CS1222:CT1222"/>
    <mergeCell ref="CU1222:CV1222"/>
    <mergeCell ref="DF1222:DG1222"/>
    <mergeCell ref="DH1222:DI1222"/>
    <mergeCell ref="CS1223:CT1223"/>
    <mergeCell ref="CU1223:CV1223"/>
    <mergeCell ref="DF1223:DG1223"/>
    <mergeCell ref="DH1223:DI1223"/>
    <mergeCell ref="CS1224:CT1224"/>
    <mergeCell ref="CS1186:CT1186"/>
    <mergeCell ref="CU1186:CV1186"/>
    <mergeCell ref="DF1186:DG1186"/>
    <mergeCell ref="DH1186:DI1186"/>
    <mergeCell ref="CS1187:CT1187"/>
    <mergeCell ref="CU1187:CV1187"/>
    <mergeCell ref="DF1187:DG1187"/>
    <mergeCell ref="DH1187:DI1187"/>
    <mergeCell ref="CS1202:CT1202"/>
    <mergeCell ref="CU1202:CV1202"/>
    <mergeCell ref="DF1202:DG1202"/>
    <mergeCell ref="DH1202:DI1202"/>
    <mergeCell ref="CS1203:CT1203"/>
    <mergeCell ref="CU1203:CV1203"/>
    <mergeCell ref="DF1203:DG1203"/>
    <mergeCell ref="DH1203:DI1203"/>
    <mergeCell ref="CS1204:CT1204"/>
    <mergeCell ref="CU1204:CV1204"/>
    <mergeCell ref="DF1189:DG1189"/>
    <mergeCell ref="DH1189:DI1189"/>
    <mergeCell ref="CS1190:CT1190"/>
    <mergeCell ref="CU1190:CV1190"/>
    <mergeCell ref="DF1190:DG1190"/>
    <mergeCell ref="DH1190:DI1190"/>
    <mergeCell ref="CS1191:CT1191"/>
    <mergeCell ref="CU1191:CV1191"/>
    <mergeCell ref="DF1191:DG1191"/>
    <mergeCell ref="DH1191:DI1191"/>
    <mergeCell ref="CS1192:CT1192"/>
    <mergeCell ref="CU1192:CV1192"/>
    <mergeCell ref="DF1192:DG1192"/>
    <mergeCell ref="DH1192:DI1192"/>
    <mergeCell ref="CS1188:CT1188"/>
    <mergeCell ref="CU1188:CV1188"/>
    <mergeCell ref="DF1188:DG1188"/>
    <mergeCell ref="DH1188:DI1188"/>
    <mergeCell ref="CS1189:CT1189"/>
    <mergeCell ref="CU1189:CV1189"/>
    <mergeCell ref="DF1175:DG1175"/>
    <mergeCell ref="DH1175:DI1175"/>
    <mergeCell ref="CS1176:CT1176"/>
    <mergeCell ref="CU1176:CV1176"/>
    <mergeCell ref="DF1176:DG1176"/>
    <mergeCell ref="DH1176:DI1176"/>
    <mergeCell ref="CS1177:CT1177"/>
    <mergeCell ref="CU1177:CV1177"/>
    <mergeCell ref="DF1177:DG1177"/>
    <mergeCell ref="DH1177:DI1177"/>
    <mergeCell ref="CS1178:CT1178"/>
    <mergeCell ref="CU1178:CV1178"/>
    <mergeCell ref="DF1178:DG1178"/>
    <mergeCell ref="DH1178:DI1178"/>
    <mergeCell ref="CS1183:CT1183"/>
    <mergeCell ref="CU1183:CV1183"/>
    <mergeCell ref="DF1183:DG1183"/>
    <mergeCell ref="DH1183:DI1183"/>
    <mergeCell ref="CS1184:CT1184"/>
    <mergeCell ref="CU1184:CV1184"/>
    <mergeCell ref="DF1184:DG1184"/>
    <mergeCell ref="DH1184:DI1184"/>
    <mergeCell ref="CS1185:CT1185"/>
    <mergeCell ref="CU1185:CV1185"/>
    <mergeCell ref="DF1185:DG1185"/>
    <mergeCell ref="DH1185:DI1185"/>
    <mergeCell ref="DF1171:DG1171"/>
    <mergeCell ref="DH1171:DI1171"/>
    <mergeCell ref="CS1172:CT1172"/>
    <mergeCell ref="CU1172:CV1172"/>
    <mergeCell ref="DF1172:DG1172"/>
    <mergeCell ref="DH1172:DI1172"/>
    <mergeCell ref="CS1173:CT1173"/>
    <mergeCell ref="CU1173:CV1173"/>
    <mergeCell ref="DF1173:DG1173"/>
    <mergeCell ref="DH1173:DI1173"/>
    <mergeCell ref="CS1174:CT1174"/>
    <mergeCell ref="CU1174:CV1174"/>
    <mergeCell ref="DF1174:DG1174"/>
    <mergeCell ref="DH1174:DI1174"/>
    <mergeCell ref="CS1175:CT1175"/>
    <mergeCell ref="CU1175:CV1175"/>
    <mergeCell ref="DD1167:DD1178"/>
    <mergeCell ref="CS1167:CT1167"/>
    <mergeCell ref="CU1167:CV1167"/>
    <mergeCell ref="DF1167:DG1167"/>
    <mergeCell ref="DH1167:DI1167"/>
    <mergeCell ref="CS1171:CT1171"/>
    <mergeCell ref="CU1171:CV1171"/>
    <mergeCell ref="CU1169:CV1169"/>
    <mergeCell ref="DF1169:DG1169"/>
    <mergeCell ref="DH1169:DI1169"/>
    <mergeCell ref="CS1170:CT1170"/>
    <mergeCell ref="CU1170:CV1170"/>
    <mergeCell ref="DF1170:DG1170"/>
    <mergeCell ref="DH1170:DI1170"/>
    <mergeCell ref="DF867:DO867"/>
    <mergeCell ref="CQ935:CQ946"/>
    <mergeCell ref="DD935:DD946"/>
    <mergeCell ref="CQ948:CR950"/>
    <mergeCell ref="DD948:DE950"/>
    <mergeCell ref="CQ951:CQ962"/>
    <mergeCell ref="DD951:DD962"/>
    <mergeCell ref="CQ965:CR967"/>
    <mergeCell ref="DD965:DE967"/>
    <mergeCell ref="CQ899:CR901"/>
    <mergeCell ref="DD899:DE901"/>
    <mergeCell ref="DD932:DE934"/>
    <mergeCell ref="CQ882:CR884"/>
    <mergeCell ref="DD882:DE884"/>
    <mergeCell ref="CQ885:CQ896"/>
    <mergeCell ref="DD885:DD896"/>
    <mergeCell ref="DD357:DD368"/>
    <mergeCell ref="CQ819:CQ830"/>
    <mergeCell ref="DD819:DD830"/>
    <mergeCell ref="CQ668:CR670"/>
    <mergeCell ref="DD668:DE670"/>
    <mergeCell ref="CQ671:CQ682"/>
    <mergeCell ref="DD671:DD682"/>
    <mergeCell ref="CQ684:CR686"/>
    <mergeCell ref="DD684:DE686"/>
    <mergeCell ref="CQ687:CQ698"/>
    <mergeCell ref="DD687:DD698"/>
    <mergeCell ref="CQ734:CR736"/>
    <mergeCell ref="DD734:DE736"/>
    <mergeCell ref="CQ803:CQ814"/>
    <mergeCell ref="DD803:DD814"/>
    <mergeCell ref="CQ816:CR818"/>
    <mergeCell ref="CQ866:CR868"/>
    <mergeCell ref="DD866:DE868"/>
    <mergeCell ref="CQ869:CQ880"/>
    <mergeCell ref="DD869:DD880"/>
    <mergeCell ref="CS867:DB867"/>
    <mergeCell ref="CS817:DB817"/>
    <mergeCell ref="CS850:DB850"/>
    <mergeCell ref="CQ720:CQ731"/>
    <mergeCell ref="DD720:DD731"/>
    <mergeCell ref="CS306:DB306"/>
    <mergeCell ref="CQ506:CQ517"/>
    <mergeCell ref="DD506:DD517"/>
    <mergeCell ref="CQ519:CR521"/>
    <mergeCell ref="DD519:DE521"/>
    <mergeCell ref="CS537:DB537"/>
    <mergeCell ref="CS405:DB405"/>
    <mergeCell ref="CS553:DB553"/>
    <mergeCell ref="CQ371:CR373"/>
    <mergeCell ref="DD371:DE373"/>
    <mergeCell ref="CQ374:CQ385"/>
    <mergeCell ref="DD374:DD385"/>
    <mergeCell ref="CQ387:CR389"/>
    <mergeCell ref="CQ605:CQ616"/>
    <mergeCell ref="DD605:DD616"/>
    <mergeCell ref="CQ618:CR620"/>
    <mergeCell ref="CQ305:CR307"/>
    <mergeCell ref="DD305:DE307"/>
    <mergeCell ref="CQ308:CQ319"/>
    <mergeCell ref="DD308:DD319"/>
    <mergeCell ref="CQ321:CR323"/>
    <mergeCell ref="DD321:DE323"/>
    <mergeCell ref="CQ324:CQ335"/>
    <mergeCell ref="CQ357:CQ368"/>
    <mergeCell ref="DD816:DE818"/>
    <mergeCell ref="CQ852:CQ863"/>
    <mergeCell ref="DD852:DD863"/>
    <mergeCell ref="DD618:DE620"/>
    <mergeCell ref="CS603:DB603"/>
    <mergeCell ref="CS570:DB570"/>
    <mergeCell ref="CQ621:CQ632"/>
    <mergeCell ref="DD621:DD632"/>
    <mergeCell ref="CQ635:CR637"/>
    <mergeCell ref="DD635:DE637"/>
    <mergeCell ref="CQ588:CQ599"/>
    <mergeCell ref="DD588:DD599"/>
    <mergeCell ref="CQ602:CR604"/>
    <mergeCell ref="DD602:DE604"/>
    <mergeCell ref="CS636:DB636"/>
    <mergeCell ref="CQ767:CR769"/>
    <mergeCell ref="DD767:DE769"/>
    <mergeCell ref="CQ390:CQ401"/>
    <mergeCell ref="DD390:DD401"/>
    <mergeCell ref="CS504:DB504"/>
    <mergeCell ref="CQ701:CR703"/>
    <mergeCell ref="CQ783:CR785"/>
    <mergeCell ref="DD783:DE785"/>
    <mergeCell ref="CQ453:CR455"/>
    <mergeCell ref="DD453:DE455"/>
    <mergeCell ref="CS834:DB834"/>
    <mergeCell ref="CS372:DB372"/>
    <mergeCell ref="CS685:DB685"/>
    <mergeCell ref="DD701:DE703"/>
    <mergeCell ref="CS702:DA702"/>
    <mergeCell ref="CS784:DA784"/>
    <mergeCell ref="CQ140:CR142"/>
    <mergeCell ref="DD140:DE142"/>
    <mergeCell ref="CS157:DB157"/>
    <mergeCell ref="DF157:DO157"/>
    <mergeCell ref="CS174:DB174"/>
    <mergeCell ref="DF174:DO174"/>
    <mergeCell ref="CS190:DB190"/>
    <mergeCell ref="DF190:DO190"/>
    <mergeCell ref="CS207:DB207"/>
    <mergeCell ref="DF207:DO207"/>
    <mergeCell ref="CQ206:CR208"/>
    <mergeCell ref="DD206:DE208"/>
    <mergeCell ref="CQ209:CQ220"/>
    <mergeCell ref="DD209:DD220"/>
    <mergeCell ref="DF256:DO256"/>
    <mergeCell ref="CQ255:CR257"/>
    <mergeCell ref="DD255:DE257"/>
    <mergeCell ref="DD242:DD253"/>
    <mergeCell ref="CS256:DB256"/>
    <mergeCell ref="CQ242:CQ253"/>
    <mergeCell ref="CQ275:CQ286"/>
    <mergeCell ref="DD275:DD286"/>
    <mergeCell ref="CQ288:CR290"/>
    <mergeCell ref="DD288:DE290"/>
    <mergeCell ref="CQ258:CQ269"/>
    <mergeCell ref="DD258:DD269"/>
    <mergeCell ref="CQ173:CR175"/>
    <mergeCell ref="DD173:DE175"/>
    <mergeCell ref="CS124:DB124"/>
    <mergeCell ref="DF124:DO124"/>
    <mergeCell ref="CS141:DB141"/>
    <mergeCell ref="DF141:DO141"/>
    <mergeCell ref="DF240:DO240"/>
    <mergeCell ref="CQ8:CR10"/>
    <mergeCell ref="DD8:DE10"/>
    <mergeCell ref="CS9:DB9"/>
    <mergeCell ref="DF9:DO9"/>
    <mergeCell ref="CQ11:CQ22"/>
    <mergeCell ref="DD11:DD22"/>
    <mergeCell ref="CQ24:CR26"/>
    <mergeCell ref="DD24:DE26"/>
    <mergeCell ref="CS25:DB25"/>
    <mergeCell ref="DF25:DO25"/>
    <mergeCell ref="CQ27:CQ38"/>
    <mergeCell ref="DD27:DD38"/>
    <mergeCell ref="CQ41:CR43"/>
    <mergeCell ref="DD41:DE43"/>
    <mergeCell ref="CS42:DB42"/>
    <mergeCell ref="DF42:DO42"/>
    <mergeCell ref="CQ44:CQ55"/>
    <mergeCell ref="DD44:DD55"/>
    <mergeCell ref="CQ57:CR59"/>
    <mergeCell ref="DD57:DE59"/>
    <mergeCell ref="CS58:DB58"/>
    <mergeCell ref="DF58:DO58"/>
    <mergeCell ref="CQ60:CQ71"/>
    <mergeCell ref="DD60:DD71"/>
    <mergeCell ref="CQ90:CR92"/>
    <mergeCell ref="DD90:DE92"/>
    <mergeCell ref="CQ74:CR76"/>
    <mergeCell ref="DD74:DE76"/>
    <mergeCell ref="CS75:DB75"/>
    <mergeCell ref="DF75:DO75"/>
    <mergeCell ref="CQ77:CQ88"/>
    <mergeCell ref="DD77:DD88"/>
    <mergeCell ref="CF1322:CG1322"/>
    <mergeCell ref="CH1322:CI1322"/>
    <mergeCell ref="BS1323:BT1323"/>
    <mergeCell ref="BU1323:BV1323"/>
    <mergeCell ref="CF1323:CG1323"/>
    <mergeCell ref="CH1323:CI1323"/>
    <mergeCell ref="BS1292:BT1292"/>
    <mergeCell ref="BU1292:BV1292"/>
    <mergeCell ref="CF1292:CG1292"/>
    <mergeCell ref="CH1292:CI1292"/>
    <mergeCell ref="BS1293:BT1293"/>
    <mergeCell ref="BU1293:BV1293"/>
    <mergeCell ref="CF1293:CG1293"/>
    <mergeCell ref="CH1293:CI1293"/>
    <mergeCell ref="CF1287:CG1287"/>
    <mergeCell ref="CH1287:CI1287"/>
    <mergeCell ref="BS1288:BT1288"/>
    <mergeCell ref="BU1288:BV1288"/>
    <mergeCell ref="CF1288:CG1288"/>
    <mergeCell ref="CH1288:CI1288"/>
    <mergeCell ref="BS1289:BT1289"/>
    <mergeCell ref="BU1289:BV1289"/>
    <mergeCell ref="CF1289:CG1289"/>
    <mergeCell ref="CH1289:CI1289"/>
    <mergeCell ref="BS1290:BT1290"/>
    <mergeCell ref="BU1290:BV1290"/>
    <mergeCell ref="CF1290:CG1290"/>
    <mergeCell ref="BS1324:BT1324"/>
    <mergeCell ref="BU1324:BV1324"/>
    <mergeCell ref="CF1324:CG1324"/>
    <mergeCell ref="CH1324:CI1324"/>
    <mergeCell ref="BS1325:BT1325"/>
    <mergeCell ref="BU1325:BV1325"/>
    <mergeCell ref="CF1325:CG1325"/>
    <mergeCell ref="CH1325:CI1325"/>
    <mergeCell ref="CF1321:CG1321"/>
    <mergeCell ref="CH1321:CI1321"/>
    <mergeCell ref="BS1322:BT1322"/>
    <mergeCell ref="BU1322:BV1322"/>
    <mergeCell ref="BS1307:BT1307"/>
    <mergeCell ref="BU1307:BV1307"/>
    <mergeCell ref="CF1307:CG1307"/>
    <mergeCell ref="CH1307:CI1307"/>
    <mergeCell ref="BS1308:BT1308"/>
    <mergeCell ref="BU1308:BV1308"/>
    <mergeCell ref="CF1308:CG1308"/>
    <mergeCell ref="CH1308:CI1308"/>
    <mergeCell ref="BS1309:BT1309"/>
    <mergeCell ref="BU1309:BV1309"/>
    <mergeCell ref="CF1309:CG1309"/>
    <mergeCell ref="CH1309:CI1309"/>
    <mergeCell ref="CF1291:CG1291"/>
    <mergeCell ref="CF1310:CG1310"/>
    <mergeCell ref="CH1291:CI1291"/>
    <mergeCell ref="BS1326:BT1326"/>
    <mergeCell ref="BU1326:BV1326"/>
    <mergeCell ref="CF1326:CG1326"/>
    <mergeCell ref="CH1326:CI1326"/>
    <mergeCell ref="BQ1315:BQ1326"/>
    <mergeCell ref="BS1315:BT1315"/>
    <mergeCell ref="BU1315:BV1315"/>
    <mergeCell ref="CD1315:CD1326"/>
    <mergeCell ref="CF1315:CG1315"/>
    <mergeCell ref="CH1315:CI1315"/>
    <mergeCell ref="BS1316:BT1316"/>
    <mergeCell ref="BU1316:BV1316"/>
    <mergeCell ref="CF1316:CG1316"/>
    <mergeCell ref="CH1316:CI1316"/>
    <mergeCell ref="BS1317:BT1317"/>
    <mergeCell ref="BU1317:BV1317"/>
    <mergeCell ref="CF1317:CG1317"/>
    <mergeCell ref="CH1317:CI1317"/>
    <mergeCell ref="BS1318:BT1318"/>
    <mergeCell ref="BU1318:BV1318"/>
    <mergeCell ref="CF1318:CG1318"/>
    <mergeCell ref="CH1318:CI1318"/>
    <mergeCell ref="BS1319:BT1319"/>
    <mergeCell ref="BU1319:BV1319"/>
    <mergeCell ref="CF1319:CG1319"/>
    <mergeCell ref="CH1319:CI1319"/>
    <mergeCell ref="BS1320:BT1320"/>
    <mergeCell ref="BU1320:BV1320"/>
    <mergeCell ref="CF1320:CG1320"/>
    <mergeCell ref="CH1320:CI1320"/>
    <mergeCell ref="BS1321:BT1321"/>
    <mergeCell ref="BU1321:BV1321"/>
    <mergeCell ref="BQ1312:BR1314"/>
    <mergeCell ref="CD1312:CE1314"/>
    <mergeCell ref="BS1313:BV1313"/>
    <mergeCell ref="CF1313:CI1313"/>
    <mergeCell ref="BS1314:BT1314"/>
    <mergeCell ref="BU1314:BV1314"/>
    <mergeCell ref="CF1314:CG1314"/>
    <mergeCell ref="CH1314:CI1314"/>
    <mergeCell ref="CF1302:CG1302"/>
    <mergeCell ref="CH1302:CI1302"/>
    <mergeCell ref="BS1303:BT1303"/>
    <mergeCell ref="BU1303:BV1303"/>
    <mergeCell ref="CF1303:CG1303"/>
    <mergeCell ref="CH1303:CI1303"/>
    <mergeCell ref="BS1304:BT1304"/>
    <mergeCell ref="BU1304:BV1304"/>
    <mergeCell ref="CF1304:CG1304"/>
    <mergeCell ref="CH1304:CI1304"/>
    <mergeCell ref="BS1305:BT1305"/>
    <mergeCell ref="BU1305:BV1305"/>
    <mergeCell ref="CF1305:CG1305"/>
    <mergeCell ref="CH1305:CI1305"/>
    <mergeCell ref="BS1306:BT1306"/>
    <mergeCell ref="BU1306:BV1306"/>
    <mergeCell ref="CF1306:CG1306"/>
    <mergeCell ref="CH1306:CI1306"/>
    <mergeCell ref="BS1310:BT1310"/>
    <mergeCell ref="BU1310:BV1310"/>
    <mergeCell ref="CH1310:CI1310"/>
    <mergeCell ref="BQ1296:BR1298"/>
    <mergeCell ref="CD1296:CE1298"/>
    <mergeCell ref="BS1297:BV1297"/>
    <mergeCell ref="CF1297:CI1297"/>
    <mergeCell ref="BS1298:BT1298"/>
    <mergeCell ref="BU1298:BV1298"/>
    <mergeCell ref="CF1298:CG1298"/>
    <mergeCell ref="CH1298:CI1298"/>
    <mergeCell ref="BQ1299:BQ1310"/>
    <mergeCell ref="BS1299:BT1299"/>
    <mergeCell ref="BU1299:BV1299"/>
    <mergeCell ref="CD1299:CD1310"/>
    <mergeCell ref="CF1299:CG1299"/>
    <mergeCell ref="CH1299:CI1299"/>
    <mergeCell ref="BS1300:BT1300"/>
    <mergeCell ref="BU1300:BV1300"/>
    <mergeCell ref="CF1300:CG1300"/>
    <mergeCell ref="CH1300:CI1300"/>
    <mergeCell ref="BS1301:BT1301"/>
    <mergeCell ref="BU1301:BV1301"/>
    <mergeCell ref="CF1301:CG1301"/>
    <mergeCell ref="CH1301:CI1301"/>
    <mergeCell ref="BS1302:BT1302"/>
    <mergeCell ref="BU1302:BV1302"/>
    <mergeCell ref="BQ1279:BR1281"/>
    <mergeCell ref="CD1279:CE1281"/>
    <mergeCell ref="BS1280:BV1280"/>
    <mergeCell ref="CF1280:CI1280"/>
    <mergeCell ref="BS1281:BT1281"/>
    <mergeCell ref="BU1281:BV1281"/>
    <mergeCell ref="CF1281:CG1281"/>
    <mergeCell ref="CH1281:CI1281"/>
    <mergeCell ref="BQ1282:BQ1293"/>
    <mergeCell ref="BS1282:BT1282"/>
    <mergeCell ref="BU1282:BV1282"/>
    <mergeCell ref="CD1282:CD1293"/>
    <mergeCell ref="CF1282:CG1282"/>
    <mergeCell ref="CH1282:CI1282"/>
    <mergeCell ref="BS1283:BT1283"/>
    <mergeCell ref="BU1283:BV1283"/>
    <mergeCell ref="CF1283:CG1283"/>
    <mergeCell ref="CH1283:CI1283"/>
    <mergeCell ref="BS1285:BT1285"/>
    <mergeCell ref="BU1285:BV1285"/>
    <mergeCell ref="CF1285:CG1285"/>
    <mergeCell ref="CH1285:CI1285"/>
    <mergeCell ref="BS1286:BT1286"/>
    <mergeCell ref="BU1286:BV1286"/>
    <mergeCell ref="CF1286:CG1286"/>
    <mergeCell ref="CH1286:CI1286"/>
    <mergeCell ref="BS1287:BT1287"/>
    <mergeCell ref="BU1287:BV1287"/>
    <mergeCell ref="CH1290:CI1290"/>
    <mergeCell ref="BS1291:BT1291"/>
    <mergeCell ref="BU1291:BV1291"/>
    <mergeCell ref="BS1284:BT1284"/>
    <mergeCell ref="BU1284:BV1284"/>
    <mergeCell ref="CF1284:CG1284"/>
    <mergeCell ref="CH1284:CI1284"/>
    <mergeCell ref="CF1273:CG1273"/>
    <mergeCell ref="CH1273:CI1273"/>
    <mergeCell ref="BS1274:BT1274"/>
    <mergeCell ref="BU1274:BV1274"/>
    <mergeCell ref="CF1274:CG1274"/>
    <mergeCell ref="CH1274:CI1274"/>
    <mergeCell ref="BS1275:BT1275"/>
    <mergeCell ref="BU1275:BV1275"/>
    <mergeCell ref="CF1275:CG1275"/>
    <mergeCell ref="CH1275:CI1275"/>
    <mergeCell ref="BS1276:BT1276"/>
    <mergeCell ref="BU1276:BV1276"/>
    <mergeCell ref="CF1276:CG1276"/>
    <mergeCell ref="CH1276:CI1276"/>
    <mergeCell ref="BS1277:BT1277"/>
    <mergeCell ref="BU1277:BV1277"/>
    <mergeCell ref="CF1277:CG1277"/>
    <mergeCell ref="CH1277:CI1277"/>
    <mergeCell ref="BQ1266:BQ1277"/>
    <mergeCell ref="BS1266:BT1266"/>
    <mergeCell ref="BU1266:BV1266"/>
    <mergeCell ref="CD1266:CD1277"/>
    <mergeCell ref="CF1266:CG1266"/>
    <mergeCell ref="CH1266:CI1266"/>
    <mergeCell ref="BS1267:BT1267"/>
    <mergeCell ref="BU1267:BV1267"/>
    <mergeCell ref="CF1267:CG1267"/>
    <mergeCell ref="CH1267:CI1267"/>
    <mergeCell ref="BS1268:BT1268"/>
    <mergeCell ref="BU1268:BV1268"/>
    <mergeCell ref="CF1268:CG1268"/>
    <mergeCell ref="CH1268:CI1268"/>
    <mergeCell ref="BS1269:BT1269"/>
    <mergeCell ref="BU1269:BV1269"/>
    <mergeCell ref="CF1269:CG1269"/>
    <mergeCell ref="CH1269:CI1269"/>
    <mergeCell ref="BS1270:BT1270"/>
    <mergeCell ref="BU1270:BV1270"/>
    <mergeCell ref="CF1270:CG1270"/>
    <mergeCell ref="CH1270:CI1270"/>
    <mergeCell ref="BS1271:BT1271"/>
    <mergeCell ref="BU1271:BV1271"/>
    <mergeCell ref="CF1271:CG1271"/>
    <mergeCell ref="CH1271:CI1271"/>
    <mergeCell ref="BS1272:BT1272"/>
    <mergeCell ref="BU1272:BV1272"/>
    <mergeCell ref="CF1272:CG1272"/>
    <mergeCell ref="CH1272:CI1272"/>
    <mergeCell ref="BS1273:BT1273"/>
    <mergeCell ref="BU1273:BV1273"/>
    <mergeCell ref="BS1257:BT1257"/>
    <mergeCell ref="BU1257:BV1257"/>
    <mergeCell ref="CF1257:CG1257"/>
    <mergeCell ref="CH1257:CI1257"/>
    <mergeCell ref="BS1258:BT1258"/>
    <mergeCell ref="BU1258:BV1258"/>
    <mergeCell ref="CF1258:CG1258"/>
    <mergeCell ref="CH1258:CI1258"/>
    <mergeCell ref="BS1259:BT1259"/>
    <mergeCell ref="BU1259:BV1259"/>
    <mergeCell ref="CF1259:CG1259"/>
    <mergeCell ref="CH1259:CI1259"/>
    <mergeCell ref="BS1260:BT1260"/>
    <mergeCell ref="BU1260:BV1260"/>
    <mergeCell ref="CF1260:CG1260"/>
    <mergeCell ref="CH1260:CI1260"/>
    <mergeCell ref="BQ1263:BR1265"/>
    <mergeCell ref="CD1263:CE1265"/>
    <mergeCell ref="BS1264:BV1264"/>
    <mergeCell ref="CF1264:CI1264"/>
    <mergeCell ref="BS1265:BT1265"/>
    <mergeCell ref="BU1265:BV1265"/>
    <mergeCell ref="CF1265:CG1265"/>
    <mergeCell ref="CH1265:CI1265"/>
    <mergeCell ref="CF1252:CG1252"/>
    <mergeCell ref="CH1252:CI1252"/>
    <mergeCell ref="BS1253:BT1253"/>
    <mergeCell ref="BU1253:BV1253"/>
    <mergeCell ref="CF1253:CG1253"/>
    <mergeCell ref="CH1253:CI1253"/>
    <mergeCell ref="BS1254:BT1254"/>
    <mergeCell ref="BU1254:BV1254"/>
    <mergeCell ref="CF1254:CG1254"/>
    <mergeCell ref="CH1254:CI1254"/>
    <mergeCell ref="BS1255:BT1255"/>
    <mergeCell ref="BU1255:BV1255"/>
    <mergeCell ref="CF1255:CG1255"/>
    <mergeCell ref="CH1255:CI1255"/>
    <mergeCell ref="BS1256:BT1256"/>
    <mergeCell ref="BU1256:BV1256"/>
    <mergeCell ref="CF1256:CG1256"/>
    <mergeCell ref="CH1256:CI1256"/>
    <mergeCell ref="BS1243:BT1243"/>
    <mergeCell ref="BU1243:BV1243"/>
    <mergeCell ref="CF1243:CG1243"/>
    <mergeCell ref="CH1243:CI1243"/>
    <mergeCell ref="BS1244:BT1244"/>
    <mergeCell ref="BU1244:BV1244"/>
    <mergeCell ref="CF1244:CG1244"/>
    <mergeCell ref="CH1244:CI1244"/>
    <mergeCell ref="BQ1246:BR1248"/>
    <mergeCell ref="CD1246:CE1248"/>
    <mergeCell ref="BS1247:BV1247"/>
    <mergeCell ref="CF1247:CI1247"/>
    <mergeCell ref="BS1248:BT1248"/>
    <mergeCell ref="BU1248:BV1248"/>
    <mergeCell ref="CF1248:CG1248"/>
    <mergeCell ref="CH1248:CI1248"/>
    <mergeCell ref="BQ1249:BQ1260"/>
    <mergeCell ref="BS1249:BT1249"/>
    <mergeCell ref="BU1249:BV1249"/>
    <mergeCell ref="CD1249:CD1260"/>
    <mergeCell ref="CF1249:CG1249"/>
    <mergeCell ref="CH1249:CI1249"/>
    <mergeCell ref="BS1250:BT1250"/>
    <mergeCell ref="BU1250:BV1250"/>
    <mergeCell ref="CF1250:CG1250"/>
    <mergeCell ref="CH1250:CI1250"/>
    <mergeCell ref="BS1251:BT1251"/>
    <mergeCell ref="BU1251:BV1251"/>
    <mergeCell ref="CF1251:CG1251"/>
    <mergeCell ref="CH1251:CI1251"/>
    <mergeCell ref="BS1252:BT1252"/>
    <mergeCell ref="BU1252:BV1252"/>
    <mergeCell ref="CF1238:CG1238"/>
    <mergeCell ref="CH1238:CI1238"/>
    <mergeCell ref="BS1239:BT1239"/>
    <mergeCell ref="BU1239:BV1239"/>
    <mergeCell ref="CF1239:CG1239"/>
    <mergeCell ref="CH1239:CI1239"/>
    <mergeCell ref="BS1240:BT1240"/>
    <mergeCell ref="BU1240:BV1240"/>
    <mergeCell ref="CF1240:CG1240"/>
    <mergeCell ref="CH1240:CI1240"/>
    <mergeCell ref="BS1241:BT1241"/>
    <mergeCell ref="BU1241:BV1241"/>
    <mergeCell ref="CF1241:CG1241"/>
    <mergeCell ref="CH1241:CI1241"/>
    <mergeCell ref="BS1242:BT1242"/>
    <mergeCell ref="BU1242:BV1242"/>
    <mergeCell ref="CF1242:CG1242"/>
    <mergeCell ref="CH1242:CI1242"/>
    <mergeCell ref="BQ1230:BR1232"/>
    <mergeCell ref="CD1230:CE1232"/>
    <mergeCell ref="BS1231:BV1231"/>
    <mergeCell ref="CF1231:CI1231"/>
    <mergeCell ref="BS1232:BT1232"/>
    <mergeCell ref="BU1232:BV1232"/>
    <mergeCell ref="CF1232:CG1232"/>
    <mergeCell ref="CH1232:CI1232"/>
    <mergeCell ref="BQ1233:BQ1244"/>
    <mergeCell ref="BS1233:BT1233"/>
    <mergeCell ref="BU1233:BV1233"/>
    <mergeCell ref="CD1233:CD1244"/>
    <mergeCell ref="CF1233:CG1233"/>
    <mergeCell ref="CH1233:CI1233"/>
    <mergeCell ref="BS1234:BT1234"/>
    <mergeCell ref="BU1234:BV1234"/>
    <mergeCell ref="CF1234:CG1234"/>
    <mergeCell ref="CH1234:CI1234"/>
    <mergeCell ref="BS1235:BT1235"/>
    <mergeCell ref="BU1235:BV1235"/>
    <mergeCell ref="CF1235:CG1235"/>
    <mergeCell ref="CH1235:CI1235"/>
    <mergeCell ref="BS1236:BT1236"/>
    <mergeCell ref="BU1236:BV1236"/>
    <mergeCell ref="CF1236:CG1236"/>
    <mergeCell ref="CH1236:CI1236"/>
    <mergeCell ref="BS1237:BT1237"/>
    <mergeCell ref="BU1237:BV1237"/>
    <mergeCell ref="CF1237:CG1237"/>
    <mergeCell ref="CH1237:CI1237"/>
    <mergeCell ref="BS1238:BT1238"/>
    <mergeCell ref="BU1238:BV1238"/>
    <mergeCell ref="CF1223:CG1223"/>
    <mergeCell ref="CH1223:CI1223"/>
    <mergeCell ref="BS1224:BT1224"/>
    <mergeCell ref="BU1224:BV1224"/>
    <mergeCell ref="CF1224:CG1224"/>
    <mergeCell ref="CH1224:CI1224"/>
    <mergeCell ref="BS1225:BT1225"/>
    <mergeCell ref="BU1225:BV1225"/>
    <mergeCell ref="CF1225:CG1225"/>
    <mergeCell ref="CH1225:CI1225"/>
    <mergeCell ref="BS1226:BT1226"/>
    <mergeCell ref="BU1226:BV1226"/>
    <mergeCell ref="CF1226:CG1226"/>
    <mergeCell ref="CH1226:CI1226"/>
    <mergeCell ref="BS1227:BT1227"/>
    <mergeCell ref="BU1227:BV1227"/>
    <mergeCell ref="CF1227:CG1227"/>
    <mergeCell ref="CH1227:CI1227"/>
    <mergeCell ref="BQ1216:BQ1227"/>
    <mergeCell ref="BS1216:BT1216"/>
    <mergeCell ref="BU1216:BV1216"/>
    <mergeCell ref="CD1216:CD1227"/>
    <mergeCell ref="CF1216:CG1216"/>
    <mergeCell ref="CH1216:CI1216"/>
    <mergeCell ref="BS1217:BT1217"/>
    <mergeCell ref="BU1217:BV1217"/>
    <mergeCell ref="CF1217:CG1217"/>
    <mergeCell ref="CH1217:CI1217"/>
    <mergeCell ref="BS1218:BT1218"/>
    <mergeCell ref="BU1218:BV1218"/>
    <mergeCell ref="CF1218:CG1218"/>
    <mergeCell ref="CH1218:CI1218"/>
    <mergeCell ref="BS1219:BT1219"/>
    <mergeCell ref="BU1219:BV1219"/>
    <mergeCell ref="CF1219:CG1219"/>
    <mergeCell ref="CH1219:CI1219"/>
    <mergeCell ref="BS1220:BT1220"/>
    <mergeCell ref="BU1220:BV1220"/>
    <mergeCell ref="CF1220:CG1220"/>
    <mergeCell ref="CH1220:CI1220"/>
    <mergeCell ref="BS1221:BT1221"/>
    <mergeCell ref="BU1221:BV1221"/>
    <mergeCell ref="CF1221:CG1221"/>
    <mergeCell ref="CH1221:CI1221"/>
    <mergeCell ref="BS1222:BT1222"/>
    <mergeCell ref="BU1222:BV1222"/>
    <mergeCell ref="CF1222:CG1222"/>
    <mergeCell ref="CH1222:CI1222"/>
    <mergeCell ref="BS1223:BT1223"/>
    <mergeCell ref="BU1223:BV1223"/>
    <mergeCell ref="BS1208:BT1208"/>
    <mergeCell ref="BU1208:BV1208"/>
    <mergeCell ref="CF1208:CG1208"/>
    <mergeCell ref="CH1208:CI1208"/>
    <mergeCell ref="BS1209:BT1209"/>
    <mergeCell ref="BU1209:BV1209"/>
    <mergeCell ref="CF1209:CG1209"/>
    <mergeCell ref="CH1209:CI1209"/>
    <mergeCell ref="BS1210:BT1210"/>
    <mergeCell ref="BU1210:BV1210"/>
    <mergeCell ref="CF1210:CG1210"/>
    <mergeCell ref="CH1210:CI1210"/>
    <mergeCell ref="BS1211:BT1211"/>
    <mergeCell ref="BU1211:BV1211"/>
    <mergeCell ref="CF1211:CG1211"/>
    <mergeCell ref="CH1211:CI1211"/>
    <mergeCell ref="BQ1213:BR1215"/>
    <mergeCell ref="CD1213:CE1215"/>
    <mergeCell ref="BS1214:BV1214"/>
    <mergeCell ref="CF1214:CI1214"/>
    <mergeCell ref="BS1215:BT1215"/>
    <mergeCell ref="BU1215:BV1215"/>
    <mergeCell ref="CF1215:CG1215"/>
    <mergeCell ref="CH1215:CI1215"/>
    <mergeCell ref="CF1203:CG1203"/>
    <mergeCell ref="CH1203:CI1203"/>
    <mergeCell ref="BS1204:BT1204"/>
    <mergeCell ref="BU1204:BV1204"/>
    <mergeCell ref="CF1204:CG1204"/>
    <mergeCell ref="CH1204:CI1204"/>
    <mergeCell ref="BS1205:BT1205"/>
    <mergeCell ref="BU1205:BV1205"/>
    <mergeCell ref="CF1205:CG1205"/>
    <mergeCell ref="CH1205:CI1205"/>
    <mergeCell ref="BS1206:BT1206"/>
    <mergeCell ref="BU1206:BV1206"/>
    <mergeCell ref="CF1206:CG1206"/>
    <mergeCell ref="CH1206:CI1206"/>
    <mergeCell ref="BS1207:BT1207"/>
    <mergeCell ref="BU1207:BV1207"/>
    <mergeCell ref="CF1207:CG1207"/>
    <mergeCell ref="CH1207:CI1207"/>
    <mergeCell ref="BS1193:BT1193"/>
    <mergeCell ref="BU1193:BV1193"/>
    <mergeCell ref="CF1193:CG1193"/>
    <mergeCell ref="CH1193:CI1193"/>
    <mergeCell ref="BS1194:BT1194"/>
    <mergeCell ref="BU1194:BV1194"/>
    <mergeCell ref="CF1194:CG1194"/>
    <mergeCell ref="CH1194:CI1194"/>
    <mergeCell ref="BQ1197:BR1199"/>
    <mergeCell ref="CD1197:CE1199"/>
    <mergeCell ref="BS1198:BV1198"/>
    <mergeCell ref="CF1198:CI1198"/>
    <mergeCell ref="BS1199:BT1199"/>
    <mergeCell ref="BU1199:BV1199"/>
    <mergeCell ref="CF1199:CG1199"/>
    <mergeCell ref="CH1199:CI1199"/>
    <mergeCell ref="BQ1200:BQ1211"/>
    <mergeCell ref="BS1200:BT1200"/>
    <mergeCell ref="BU1200:BV1200"/>
    <mergeCell ref="CD1200:CD1211"/>
    <mergeCell ref="CF1200:CG1200"/>
    <mergeCell ref="CH1200:CI1200"/>
    <mergeCell ref="BS1201:BT1201"/>
    <mergeCell ref="BU1201:BV1201"/>
    <mergeCell ref="CF1201:CG1201"/>
    <mergeCell ref="CH1201:CI1201"/>
    <mergeCell ref="BS1202:BT1202"/>
    <mergeCell ref="BU1202:BV1202"/>
    <mergeCell ref="CF1202:CG1202"/>
    <mergeCell ref="CH1202:CI1202"/>
    <mergeCell ref="BS1203:BT1203"/>
    <mergeCell ref="BU1203:BV1203"/>
    <mergeCell ref="CF1188:CG1188"/>
    <mergeCell ref="CH1188:CI1188"/>
    <mergeCell ref="BS1189:BT1189"/>
    <mergeCell ref="BU1189:BV1189"/>
    <mergeCell ref="CF1189:CG1189"/>
    <mergeCell ref="CH1189:CI1189"/>
    <mergeCell ref="BS1190:BT1190"/>
    <mergeCell ref="BU1190:BV1190"/>
    <mergeCell ref="CF1190:CG1190"/>
    <mergeCell ref="CH1190:CI1190"/>
    <mergeCell ref="BS1191:BT1191"/>
    <mergeCell ref="BU1191:BV1191"/>
    <mergeCell ref="CF1191:CG1191"/>
    <mergeCell ref="CH1191:CI1191"/>
    <mergeCell ref="BS1192:BT1192"/>
    <mergeCell ref="BU1192:BV1192"/>
    <mergeCell ref="CF1192:CG1192"/>
    <mergeCell ref="CH1192:CI1192"/>
    <mergeCell ref="BQ1180:BR1182"/>
    <mergeCell ref="CD1180:CE1182"/>
    <mergeCell ref="BS1181:BV1181"/>
    <mergeCell ref="CF1181:CI1181"/>
    <mergeCell ref="BS1182:BT1182"/>
    <mergeCell ref="BU1182:BV1182"/>
    <mergeCell ref="CF1182:CG1182"/>
    <mergeCell ref="CH1182:CI1182"/>
    <mergeCell ref="BQ1183:BQ1194"/>
    <mergeCell ref="BS1183:BT1183"/>
    <mergeCell ref="BU1183:BV1183"/>
    <mergeCell ref="CD1183:CD1194"/>
    <mergeCell ref="CF1183:CG1183"/>
    <mergeCell ref="CH1183:CI1183"/>
    <mergeCell ref="BS1184:BT1184"/>
    <mergeCell ref="BU1184:BV1184"/>
    <mergeCell ref="CF1184:CG1184"/>
    <mergeCell ref="CH1184:CI1184"/>
    <mergeCell ref="BS1185:BT1185"/>
    <mergeCell ref="BU1185:BV1185"/>
    <mergeCell ref="CF1185:CG1185"/>
    <mergeCell ref="CH1185:CI1185"/>
    <mergeCell ref="BS1186:BT1186"/>
    <mergeCell ref="BU1186:BV1186"/>
    <mergeCell ref="CF1186:CG1186"/>
    <mergeCell ref="CH1186:CI1186"/>
    <mergeCell ref="BS1187:BT1187"/>
    <mergeCell ref="BU1187:BV1187"/>
    <mergeCell ref="CF1187:CG1187"/>
    <mergeCell ref="CH1187:CI1187"/>
    <mergeCell ref="BS1188:BT1188"/>
    <mergeCell ref="BU1188:BV1188"/>
    <mergeCell ref="CH1174:CI1174"/>
    <mergeCell ref="BS1175:BT1175"/>
    <mergeCell ref="BU1175:BV1175"/>
    <mergeCell ref="CF1175:CG1175"/>
    <mergeCell ref="CH1175:CI1175"/>
    <mergeCell ref="BS1176:BT1176"/>
    <mergeCell ref="BU1176:BV1176"/>
    <mergeCell ref="CF1176:CG1176"/>
    <mergeCell ref="CH1176:CI1176"/>
    <mergeCell ref="BS1177:BT1177"/>
    <mergeCell ref="BU1177:BV1177"/>
    <mergeCell ref="CF1177:CG1177"/>
    <mergeCell ref="CH1177:CI1177"/>
    <mergeCell ref="BS1178:BT1178"/>
    <mergeCell ref="BU1178:BV1178"/>
    <mergeCell ref="CF1178:CG1178"/>
    <mergeCell ref="CH1178:CI1178"/>
    <mergeCell ref="BS1167:BT1167"/>
    <mergeCell ref="BU1167:BV1167"/>
    <mergeCell ref="CD1167:CD1178"/>
    <mergeCell ref="CF1167:CG1167"/>
    <mergeCell ref="CH1167:CI1167"/>
    <mergeCell ref="BS1168:BT1168"/>
    <mergeCell ref="BU1168:BV1168"/>
    <mergeCell ref="CF1168:CG1168"/>
    <mergeCell ref="CH1168:CI1168"/>
    <mergeCell ref="BS1169:BT1169"/>
    <mergeCell ref="BU1169:BV1169"/>
    <mergeCell ref="CF1169:CG1169"/>
    <mergeCell ref="CH1169:CI1169"/>
    <mergeCell ref="BS1170:BT1170"/>
    <mergeCell ref="BU1170:BV1170"/>
    <mergeCell ref="CF1170:CG1170"/>
    <mergeCell ref="CH1170:CI1170"/>
    <mergeCell ref="BS1171:BT1171"/>
    <mergeCell ref="BU1171:BV1171"/>
    <mergeCell ref="CF1171:CG1171"/>
    <mergeCell ref="CH1171:CI1171"/>
    <mergeCell ref="BS1172:BT1172"/>
    <mergeCell ref="BU1172:BV1172"/>
    <mergeCell ref="CF1172:CG1172"/>
    <mergeCell ref="CH1172:CI1172"/>
    <mergeCell ref="BS1173:BT1173"/>
    <mergeCell ref="BU1173:BV1173"/>
    <mergeCell ref="CF1173:CG1173"/>
    <mergeCell ref="CH1173:CI1173"/>
    <mergeCell ref="BS1174:BT1174"/>
    <mergeCell ref="BU1174:BV1174"/>
    <mergeCell ref="CF1174:CG1174"/>
    <mergeCell ref="CD1083:CD1094"/>
    <mergeCell ref="BS1048:CB1048"/>
    <mergeCell ref="CF1048:CO1048"/>
    <mergeCell ref="BS1065:CB1065"/>
    <mergeCell ref="CF1065:CO1065"/>
    <mergeCell ref="BS1081:CB1081"/>
    <mergeCell ref="CF1081:CO1081"/>
    <mergeCell ref="BQ1097:BR1099"/>
    <mergeCell ref="CD1097:CE1099"/>
    <mergeCell ref="BQ1100:BQ1111"/>
    <mergeCell ref="CD1100:CD1111"/>
    <mergeCell ref="BQ1113:BR1115"/>
    <mergeCell ref="CD1113:CE1115"/>
    <mergeCell ref="BQ1116:BQ1127"/>
    <mergeCell ref="CD1116:CD1127"/>
    <mergeCell ref="BQ1164:BR1166"/>
    <mergeCell ref="CD1164:CE1166"/>
    <mergeCell ref="BS1165:BV1165"/>
    <mergeCell ref="CF1165:CI1165"/>
    <mergeCell ref="BS1166:BT1166"/>
    <mergeCell ref="BU1166:BV1166"/>
    <mergeCell ref="CF1166:CG1166"/>
    <mergeCell ref="CH1166:CI1166"/>
    <mergeCell ref="BS1114:CB1114"/>
    <mergeCell ref="CF1114:CO1114"/>
    <mergeCell ref="BS1098:CB1098"/>
    <mergeCell ref="CF1098:CO1098"/>
    <mergeCell ref="CD1031:CE1033"/>
    <mergeCell ref="BQ1034:BQ1045"/>
    <mergeCell ref="CD1034:CD1045"/>
    <mergeCell ref="BS1015:CB1015"/>
    <mergeCell ref="CF1015:CO1015"/>
    <mergeCell ref="BS1032:CB1032"/>
    <mergeCell ref="CF1032:CO1032"/>
    <mergeCell ref="BQ1047:BR1049"/>
    <mergeCell ref="CD1047:CE1049"/>
    <mergeCell ref="BQ1050:BQ1061"/>
    <mergeCell ref="CD1050:CD1061"/>
    <mergeCell ref="BQ1064:BR1066"/>
    <mergeCell ref="CD1064:CE1066"/>
    <mergeCell ref="BQ1067:BQ1078"/>
    <mergeCell ref="CD1067:CD1078"/>
    <mergeCell ref="BQ1080:BR1082"/>
    <mergeCell ref="CD1080:CE1082"/>
    <mergeCell ref="CD965:CE967"/>
    <mergeCell ref="BQ968:BQ979"/>
    <mergeCell ref="CD968:CD979"/>
    <mergeCell ref="BQ981:BR983"/>
    <mergeCell ref="CD981:CE983"/>
    <mergeCell ref="BQ984:BQ995"/>
    <mergeCell ref="CD984:CD995"/>
    <mergeCell ref="BS966:CB966"/>
    <mergeCell ref="CF966:CO966"/>
    <mergeCell ref="BQ998:BR1000"/>
    <mergeCell ref="CD998:CE1000"/>
    <mergeCell ref="BQ1001:BQ1012"/>
    <mergeCell ref="CD1001:CD1012"/>
    <mergeCell ref="BQ1014:BR1016"/>
    <mergeCell ref="CD1014:CE1016"/>
    <mergeCell ref="BQ1017:BQ1028"/>
    <mergeCell ref="CD1017:CD1028"/>
    <mergeCell ref="CD899:CE901"/>
    <mergeCell ref="BQ902:BQ913"/>
    <mergeCell ref="CD902:CD913"/>
    <mergeCell ref="BQ915:BR917"/>
    <mergeCell ref="CD915:CE917"/>
    <mergeCell ref="BQ918:BQ929"/>
    <mergeCell ref="CD918:CD929"/>
    <mergeCell ref="BQ932:BR934"/>
    <mergeCell ref="CD932:CE934"/>
    <mergeCell ref="BQ935:BQ946"/>
    <mergeCell ref="CD935:CD946"/>
    <mergeCell ref="BQ948:BR950"/>
    <mergeCell ref="CD948:CE950"/>
    <mergeCell ref="BQ951:BQ962"/>
    <mergeCell ref="CD951:CD962"/>
    <mergeCell ref="BS883:CB883"/>
    <mergeCell ref="BS916:CB916"/>
    <mergeCell ref="BS933:CB933"/>
    <mergeCell ref="CF883:CO883"/>
    <mergeCell ref="BQ852:BQ863"/>
    <mergeCell ref="CD852:CD863"/>
    <mergeCell ref="BS850:CB850"/>
    <mergeCell ref="CF850:CO850"/>
    <mergeCell ref="BQ767:BR769"/>
    <mergeCell ref="CD767:CE769"/>
    <mergeCell ref="BQ866:BR868"/>
    <mergeCell ref="CD866:CE868"/>
    <mergeCell ref="BQ869:BQ880"/>
    <mergeCell ref="CD869:CD880"/>
    <mergeCell ref="BS867:CB867"/>
    <mergeCell ref="CF867:CO867"/>
    <mergeCell ref="BQ882:BR884"/>
    <mergeCell ref="CD882:CE884"/>
    <mergeCell ref="BQ885:BQ896"/>
    <mergeCell ref="CD885:CD896"/>
    <mergeCell ref="BS834:CB834"/>
    <mergeCell ref="CF834:CO834"/>
    <mergeCell ref="CD750:CE752"/>
    <mergeCell ref="BQ720:BQ731"/>
    <mergeCell ref="CD720:CD731"/>
    <mergeCell ref="BQ753:BQ764"/>
    <mergeCell ref="CD753:CD764"/>
    <mergeCell ref="BQ800:BR802"/>
    <mergeCell ref="CD800:CE802"/>
    <mergeCell ref="BQ803:BQ814"/>
    <mergeCell ref="CD803:CD814"/>
    <mergeCell ref="BQ816:BR818"/>
    <mergeCell ref="CD816:CE818"/>
    <mergeCell ref="BQ819:BQ830"/>
    <mergeCell ref="CD819:CD830"/>
    <mergeCell ref="BS751:CB751"/>
    <mergeCell ref="CF751:CO751"/>
    <mergeCell ref="BS801:CB801"/>
    <mergeCell ref="CF801:CO801"/>
    <mergeCell ref="BS817:CB817"/>
    <mergeCell ref="CF817:CO817"/>
    <mergeCell ref="CD783:CE785"/>
    <mergeCell ref="BS784:CA784"/>
    <mergeCell ref="CF784:CN784"/>
    <mergeCell ref="CD654:CD665"/>
    <mergeCell ref="BS619:CB619"/>
    <mergeCell ref="CF619:CO619"/>
    <mergeCell ref="BS636:CB636"/>
    <mergeCell ref="CF636:CO636"/>
    <mergeCell ref="BS652:CB652"/>
    <mergeCell ref="CF652:CO652"/>
    <mergeCell ref="BQ734:BR736"/>
    <mergeCell ref="CD734:CE736"/>
    <mergeCell ref="BQ737:BQ748"/>
    <mergeCell ref="CD737:CD748"/>
    <mergeCell ref="BS735:CB735"/>
    <mergeCell ref="CF735:CO735"/>
    <mergeCell ref="BQ704:BQ715"/>
    <mergeCell ref="CD704:CD715"/>
    <mergeCell ref="BQ717:BR719"/>
    <mergeCell ref="CD717:CE719"/>
    <mergeCell ref="BS718:CA718"/>
    <mergeCell ref="CF718:CN718"/>
    <mergeCell ref="CD671:CD682"/>
    <mergeCell ref="CD684:CE686"/>
    <mergeCell ref="CD687:CD698"/>
    <mergeCell ref="CD701:CE703"/>
    <mergeCell ref="BQ668:BR670"/>
    <mergeCell ref="CD668:CE670"/>
    <mergeCell ref="BS702:CA702"/>
    <mergeCell ref="CF702:CN702"/>
    <mergeCell ref="CD605:CD616"/>
    <mergeCell ref="BS603:CB603"/>
    <mergeCell ref="CF603:CO603"/>
    <mergeCell ref="BS570:CB570"/>
    <mergeCell ref="CF570:CO570"/>
    <mergeCell ref="BS586:CB586"/>
    <mergeCell ref="CF586:CO586"/>
    <mergeCell ref="BQ618:BR620"/>
    <mergeCell ref="CD618:CE620"/>
    <mergeCell ref="BQ621:BQ632"/>
    <mergeCell ref="CD621:CD632"/>
    <mergeCell ref="BQ635:BR637"/>
    <mergeCell ref="CD635:CE637"/>
    <mergeCell ref="BQ638:BQ649"/>
    <mergeCell ref="CD638:CD649"/>
    <mergeCell ref="BQ651:BR653"/>
    <mergeCell ref="CD651:CE653"/>
    <mergeCell ref="CD552:CE554"/>
    <mergeCell ref="BS553:CB553"/>
    <mergeCell ref="CF553:CO553"/>
    <mergeCell ref="CD506:CD517"/>
    <mergeCell ref="CD519:CE521"/>
    <mergeCell ref="BQ555:BQ566"/>
    <mergeCell ref="CD555:CD566"/>
    <mergeCell ref="BQ569:BR571"/>
    <mergeCell ref="CD569:CE571"/>
    <mergeCell ref="BQ572:BQ583"/>
    <mergeCell ref="CD572:CD583"/>
    <mergeCell ref="BQ585:BR587"/>
    <mergeCell ref="CD585:CE587"/>
    <mergeCell ref="BQ588:BQ599"/>
    <mergeCell ref="CD588:CD599"/>
    <mergeCell ref="BQ602:BR604"/>
    <mergeCell ref="CD602:CE604"/>
    <mergeCell ref="CD486:CE488"/>
    <mergeCell ref="BQ489:BQ500"/>
    <mergeCell ref="CD489:CD500"/>
    <mergeCell ref="BQ503:BR505"/>
    <mergeCell ref="CD503:CE505"/>
    <mergeCell ref="CF487:CO487"/>
    <mergeCell ref="BQ522:BQ533"/>
    <mergeCell ref="CD522:CD533"/>
    <mergeCell ref="BQ536:BR538"/>
    <mergeCell ref="CD536:CE538"/>
    <mergeCell ref="BQ539:BQ550"/>
    <mergeCell ref="CD539:CD550"/>
    <mergeCell ref="BS537:CB537"/>
    <mergeCell ref="BS487:CB487"/>
    <mergeCell ref="CF537:CO537"/>
    <mergeCell ref="BQ473:BQ484"/>
    <mergeCell ref="CD473:CD484"/>
    <mergeCell ref="BQ486:BR488"/>
    <mergeCell ref="BQ506:BQ517"/>
    <mergeCell ref="BQ519:BR521"/>
    <mergeCell ref="BQ341:BQ352"/>
    <mergeCell ref="CD341:CD352"/>
    <mergeCell ref="BS322:CB322"/>
    <mergeCell ref="CF322:CO322"/>
    <mergeCell ref="BQ354:BR356"/>
    <mergeCell ref="CD354:CE356"/>
    <mergeCell ref="BQ357:BQ368"/>
    <mergeCell ref="CD357:CD368"/>
    <mergeCell ref="BQ374:BQ385"/>
    <mergeCell ref="CD374:CD385"/>
    <mergeCell ref="CD440:CD451"/>
    <mergeCell ref="BS405:CB405"/>
    <mergeCell ref="BQ305:BR307"/>
    <mergeCell ref="CD305:CE307"/>
    <mergeCell ref="BS306:CB306"/>
    <mergeCell ref="CF306:CO306"/>
    <mergeCell ref="BQ308:BQ319"/>
    <mergeCell ref="BQ371:BR373"/>
    <mergeCell ref="BQ321:BR323"/>
    <mergeCell ref="BQ324:BQ335"/>
    <mergeCell ref="BQ338:BR340"/>
    <mergeCell ref="CD390:CD401"/>
    <mergeCell ref="BQ390:BQ401"/>
    <mergeCell ref="CF372:CO372"/>
    <mergeCell ref="BQ440:BQ451"/>
    <mergeCell ref="CF339:CO339"/>
    <mergeCell ref="CD371:CE373"/>
    <mergeCell ref="CF388:CO388"/>
    <mergeCell ref="CD272:CE274"/>
    <mergeCell ref="BQ275:BQ286"/>
    <mergeCell ref="CD275:CD286"/>
    <mergeCell ref="BQ288:BR290"/>
    <mergeCell ref="CD288:CE290"/>
    <mergeCell ref="BQ291:BQ302"/>
    <mergeCell ref="CD291:CD302"/>
    <mergeCell ref="BS289:CB289"/>
    <mergeCell ref="CD206:CE208"/>
    <mergeCell ref="CD209:CD220"/>
    <mergeCell ref="BQ222:BR224"/>
    <mergeCell ref="CD222:CE224"/>
    <mergeCell ref="BQ225:BQ236"/>
    <mergeCell ref="CD225:CD236"/>
    <mergeCell ref="BS207:CB207"/>
    <mergeCell ref="CF207:CO207"/>
    <mergeCell ref="BQ239:BR241"/>
    <mergeCell ref="CD239:CE241"/>
    <mergeCell ref="BQ242:BQ253"/>
    <mergeCell ref="CD242:CD253"/>
    <mergeCell ref="BQ255:BR257"/>
    <mergeCell ref="CD255:CE257"/>
    <mergeCell ref="BS240:CB240"/>
    <mergeCell ref="CF240:CO240"/>
    <mergeCell ref="BS256:CB256"/>
    <mergeCell ref="CF256:CO256"/>
    <mergeCell ref="CD258:CD269"/>
    <mergeCell ref="BQ258:BQ269"/>
    <mergeCell ref="CD156:CE158"/>
    <mergeCell ref="BQ159:BQ170"/>
    <mergeCell ref="CD159:CD170"/>
    <mergeCell ref="CD173:CE175"/>
    <mergeCell ref="BQ176:BQ187"/>
    <mergeCell ref="CD176:CD187"/>
    <mergeCell ref="BQ189:BR191"/>
    <mergeCell ref="CD189:CE191"/>
    <mergeCell ref="BQ192:BQ203"/>
    <mergeCell ref="CD192:CD203"/>
    <mergeCell ref="BS157:CB157"/>
    <mergeCell ref="CF157:CO157"/>
    <mergeCell ref="BS174:CB174"/>
    <mergeCell ref="CF174:CO174"/>
    <mergeCell ref="BS190:CB190"/>
    <mergeCell ref="CF190:CO190"/>
    <mergeCell ref="BS141:CB141"/>
    <mergeCell ref="CF141:CO141"/>
    <mergeCell ref="BQ123:BR125"/>
    <mergeCell ref="CD123:CE125"/>
    <mergeCell ref="BS124:CB124"/>
    <mergeCell ref="CF124:CO124"/>
    <mergeCell ref="BQ140:BR142"/>
    <mergeCell ref="CD140:CE142"/>
    <mergeCell ref="BQ143:BQ154"/>
    <mergeCell ref="CD143:CD154"/>
    <mergeCell ref="BS108:CB108"/>
    <mergeCell ref="CF108:CO108"/>
    <mergeCell ref="CD57:CE59"/>
    <mergeCell ref="BS58:CB58"/>
    <mergeCell ref="CF58:CO58"/>
    <mergeCell ref="BQ60:BQ71"/>
    <mergeCell ref="CD60:CD71"/>
    <mergeCell ref="BQ74:BR76"/>
    <mergeCell ref="CD74:CE76"/>
    <mergeCell ref="BS75:CB75"/>
    <mergeCell ref="CF75:CO75"/>
    <mergeCell ref="BQ77:BQ88"/>
    <mergeCell ref="CD77:CD88"/>
    <mergeCell ref="BQ90:BR92"/>
    <mergeCell ref="BQ8:BR10"/>
    <mergeCell ref="BQ57:BR59"/>
    <mergeCell ref="BQ107:BR109"/>
    <mergeCell ref="BQ173:BR175"/>
    <mergeCell ref="BQ209:BQ220"/>
    <mergeCell ref="CD8:CE10"/>
    <mergeCell ref="BS9:CB9"/>
    <mergeCell ref="CF9:CO9"/>
    <mergeCell ref="BQ11:BQ22"/>
    <mergeCell ref="CD11:CD22"/>
    <mergeCell ref="BQ24:BR26"/>
    <mergeCell ref="CD24:CE26"/>
    <mergeCell ref="BS25:CB25"/>
    <mergeCell ref="CF25:CO25"/>
    <mergeCell ref="BQ27:BQ38"/>
    <mergeCell ref="CD27:CD38"/>
    <mergeCell ref="BQ41:BR43"/>
    <mergeCell ref="CD41:CE43"/>
    <mergeCell ref="BS42:CB42"/>
    <mergeCell ref="CF42:CO42"/>
    <mergeCell ref="BQ156:BR158"/>
    <mergeCell ref="BQ206:BR208"/>
    <mergeCell ref="BQ44:BQ55"/>
    <mergeCell ref="CD44:CD55"/>
    <mergeCell ref="CD90:CE92"/>
    <mergeCell ref="BS91:CB91"/>
    <mergeCell ref="CF91:CO91"/>
    <mergeCell ref="BQ93:BQ104"/>
    <mergeCell ref="CD93:CD104"/>
    <mergeCell ref="CD107:CE109"/>
    <mergeCell ref="BQ110:BQ121"/>
    <mergeCell ref="CD110:CD121"/>
    <mergeCell ref="BF1318:BG1318"/>
    <mergeCell ref="BH1318:BI1318"/>
    <mergeCell ref="BF1287:BG1287"/>
    <mergeCell ref="BH1287:BI1287"/>
    <mergeCell ref="BF1283:BG1283"/>
    <mergeCell ref="BH1283:BI1283"/>
    <mergeCell ref="BF1252:BG1252"/>
    <mergeCell ref="BH1252:BI1252"/>
    <mergeCell ref="BF1238:BG1238"/>
    <mergeCell ref="BH1238:BI1238"/>
    <mergeCell ref="BF1234:BG1234"/>
    <mergeCell ref="BH1234:BI1234"/>
    <mergeCell ref="BF1203:BG1203"/>
    <mergeCell ref="BH1203:BI1203"/>
    <mergeCell ref="BQ552:BR554"/>
    <mergeCell ref="BQ605:BQ616"/>
    <mergeCell ref="BQ654:BQ665"/>
    <mergeCell ref="BQ750:BR752"/>
    <mergeCell ref="BF1188:BG1188"/>
    <mergeCell ref="BH1188:BI1188"/>
    <mergeCell ref="BF1184:BG1184"/>
    <mergeCell ref="BH1184:BI1184"/>
    <mergeCell ref="BQ671:BQ682"/>
    <mergeCell ref="BQ684:BR686"/>
    <mergeCell ref="BQ687:BQ698"/>
    <mergeCell ref="BQ701:BR703"/>
    <mergeCell ref="BF933:BO933"/>
    <mergeCell ref="BQ899:BR901"/>
    <mergeCell ref="BQ965:BR967"/>
    <mergeCell ref="BQ1031:BR1033"/>
    <mergeCell ref="BQ1083:BQ1094"/>
    <mergeCell ref="BQ1167:BQ1178"/>
    <mergeCell ref="AS1323:AT1323"/>
    <mergeCell ref="AU1323:AV1323"/>
    <mergeCell ref="BF1323:BG1323"/>
    <mergeCell ref="BH1323:BI1323"/>
    <mergeCell ref="AS1324:AT1324"/>
    <mergeCell ref="AU1324:AV1324"/>
    <mergeCell ref="BF1324:BG1324"/>
    <mergeCell ref="BH1324:BI1324"/>
    <mergeCell ref="AS1325:AT1325"/>
    <mergeCell ref="AU1325:AV1325"/>
    <mergeCell ref="BF1325:BG1325"/>
    <mergeCell ref="BH1325:BI1325"/>
    <mergeCell ref="AS1326:AT1326"/>
    <mergeCell ref="AU1326:AV1326"/>
    <mergeCell ref="BF1326:BG1326"/>
    <mergeCell ref="BH1326:BI1326"/>
    <mergeCell ref="AQ1315:AQ1326"/>
    <mergeCell ref="AS1315:AT1315"/>
    <mergeCell ref="AU1315:AV1315"/>
    <mergeCell ref="BD1315:BD1326"/>
    <mergeCell ref="BF1315:BG1315"/>
    <mergeCell ref="BH1315:BI1315"/>
    <mergeCell ref="AS1316:AT1316"/>
    <mergeCell ref="AU1316:AV1316"/>
    <mergeCell ref="BF1316:BG1316"/>
    <mergeCell ref="BH1316:BI1316"/>
    <mergeCell ref="AS1317:AT1317"/>
    <mergeCell ref="AU1317:AV1317"/>
    <mergeCell ref="BF1317:BG1317"/>
    <mergeCell ref="BH1317:BI1317"/>
    <mergeCell ref="AS1318:AT1318"/>
    <mergeCell ref="AU1318:AV1318"/>
    <mergeCell ref="AS1319:AT1319"/>
    <mergeCell ref="AU1319:AV1319"/>
    <mergeCell ref="BF1319:BG1319"/>
    <mergeCell ref="BH1319:BI1319"/>
    <mergeCell ref="AS1320:AT1320"/>
    <mergeCell ref="AU1320:AV1320"/>
    <mergeCell ref="BF1320:BG1320"/>
    <mergeCell ref="BH1320:BI1320"/>
    <mergeCell ref="AS1321:AT1321"/>
    <mergeCell ref="AU1321:AV1321"/>
    <mergeCell ref="BF1321:BG1321"/>
    <mergeCell ref="BH1321:BI1321"/>
    <mergeCell ref="AS1322:AT1322"/>
    <mergeCell ref="AU1322:AV1322"/>
    <mergeCell ref="AS1307:AT1307"/>
    <mergeCell ref="AU1307:AV1307"/>
    <mergeCell ref="BF1307:BG1307"/>
    <mergeCell ref="BH1307:BI1307"/>
    <mergeCell ref="AS1308:AT1308"/>
    <mergeCell ref="AU1308:AV1308"/>
    <mergeCell ref="BF1308:BG1308"/>
    <mergeCell ref="BH1308:BI1308"/>
    <mergeCell ref="AS1309:AT1309"/>
    <mergeCell ref="AU1309:AV1309"/>
    <mergeCell ref="BF1309:BG1309"/>
    <mergeCell ref="BH1309:BI1309"/>
    <mergeCell ref="AS1310:AT1310"/>
    <mergeCell ref="AU1310:AV1310"/>
    <mergeCell ref="BF1310:BG1310"/>
    <mergeCell ref="BH1310:BI1310"/>
    <mergeCell ref="BF1322:BG1322"/>
    <mergeCell ref="BH1322:BI1322"/>
    <mergeCell ref="AQ1312:AR1314"/>
    <mergeCell ref="BD1312:BE1314"/>
    <mergeCell ref="AS1313:AV1313"/>
    <mergeCell ref="BF1313:BI1313"/>
    <mergeCell ref="AS1314:AT1314"/>
    <mergeCell ref="AU1314:AV1314"/>
    <mergeCell ref="BF1314:BG1314"/>
    <mergeCell ref="BH1314:BI1314"/>
    <mergeCell ref="BF1302:BG1302"/>
    <mergeCell ref="BH1302:BI1302"/>
    <mergeCell ref="AS1303:AT1303"/>
    <mergeCell ref="AU1303:AV1303"/>
    <mergeCell ref="BF1303:BG1303"/>
    <mergeCell ref="BH1303:BI1303"/>
    <mergeCell ref="AS1304:AT1304"/>
    <mergeCell ref="AU1304:AV1304"/>
    <mergeCell ref="BF1304:BG1304"/>
    <mergeCell ref="BH1304:BI1304"/>
    <mergeCell ref="AS1305:AT1305"/>
    <mergeCell ref="AU1305:AV1305"/>
    <mergeCell ref="BF1305:BG1305"/>
    <mergeCell ref="BH1305:BI1305"/>
    <mergeCell ref="AS1306:AT1306"/>
    <mergeCell ref="AU1306:AV1306"/>
    <mergeCell ref="BF1306:BG1306"/>
    <mergeCell ref="BH1306:BI1306"/>
    <mergeCell ref="AS1292:AT1292"/>
    <mergeCell ref="AU1292:AV1292"/>
    <mergeCell ref="BF1292:BG1292"/>
    <mergeCell ref="BH1292:BI1292"/>
    <mergeCell ref="AS1293:AT1293"/>
    <mergeCell ref="AU1293:AV1293"/>
    <mergeCell ref="BF1293:BG1293"/>
    <mergeCell ref="BH1293:BI1293"/>
    <mergeCell ref="AQ1296:AR1298"/>
    <mergeCell ref="BD1296:BE1298"/>
    <mergeCell ref="AS1297:AV1297"/>
    <mergeCell ref="BF1297:BI1297"/>
    <mergeCell ref="AS1298:AT1298"/>
    <mergeCell ref="AU1298:AV1298"/>
    <mergeCell ref="BF1298:BG1298"/>
    <mergeCell ref="BH1298:BI1298"/>
    <mergeCell ref="AQ1299:AQ1310"/>
    <mergeCell ref="AS1299:AT1299"/>
    <mergeCell ref="AU1299:AV1299"/>
    <mergeCell ref="BD1299:BD1310"/>
    <mergeCell ref="BF1299:BG1299"/>
    <mergeCell ref="BH1299:BI1299"/>
    <mergeCell ref="AS1300:AT1300"/>
    <mergeCell ref="AU1300:AV1300"/>
    <mergeCell ref="BF1300:BG1300"/>
    <mergeCell ref="BH1300:BI1300"/>
    <mergeCell ref="AS1301:AT1301"/>
    <mergeCell ref="AU1301:AV1301"/>
    <mergeCell ref="BF1301:BG1301"/>
    <mergeCell ref="BH1301:BI1301"/>
    <mergeCell ref="AS1302:AT1302"/>
    <mergeCell ref="AU1302:AV1302"/>
    <mergeCell ref="AS1288:AT1288"/>
    <mergeCell ref="AU1288:AV1288"/>
    <mergeCell ref="BF1288:BG1288"/>
    <mergeCell ref="BH1288:BI1288"/>
    <mergeCell ref="AS1289:AT1289"/>
    <mergeCell ref="AU1289:AV1289"/>
    <mergeCell ref="BF1289:BG1289"/>
    <mergeCell ref="BH1289:BI1289"/>
    <mergeCell ref="AS1290:AT1290"/>
    <mergeCell ref="AU1290:AV1290"/>
    <mergeCell ref="BF1290:BG1290"/>
    <mergeCell ref="BH1290:BI1290"/>
    <mergeCell ref="AS1291:AT1291"/>
    <mergeCell ref="AU1291:AV1291"/>
    <mergeCell ref="BF1291:BG1291"/>
    <mergeCell ref="BH1291:BI1291"/>
    <mergeCell ref="AQ1279:AR1281"/>
    <mergeCell ref="BD1279:BE1281"/>
    <mergeCell ref="AS1280:AV1280"/>
    <mergeCell ref="BF1280:BI1280"/>
    <mergeCell ref="AS1281:AT1281"/>
    <mergeCell ref="AU1281:AV1281"/>
    <mergeCell ref="BF1281:BG1281"/>
    <mergeCell ref="BH1281:BI1281"/>
    <mergeCell ref="AQ1282:AQ1293"/>
    <mergeCell ref="AS1282:AT1282"/>
    <mergeCell ref="AU1282:AV1282"/>
    <mergeCell ref="BD1282:BD1293"/>
    <mergeCell ref="BF1282:BG1282"/>
    <mergeCell ref="BH1282:BI1282"/>
    <mergeCell ref="AS1283:AT1283"/>
    <mergeCell ref="AU1283:AV1283"/>
    <mergeCell ref="AS1284:AT1284"/>
    <mergeCell ref="AU1284:AV1284"/>
    <mergeCell ref="BF1284:BG1284"/>
    <mergeCell ref="BH1284:BI1284"/>
    <mergeCell ref="AS1285:AT1285"/>
    <mergeCell ref="AU1285:AV1285"/>
    <mergeCell ref="BF1285:BG1285"/>
    <mergeCell ref="BH1285:BI1285"/>
    <mergeCell ref="AS1286:AT1286"/>
    <mergeCell ref="AU1286:AV1286"/>
    <mergeCell ref="BF1286:BG1286"/>
    <mergeCell ref="BH1286:BI1286"/>
    <mergeCell ref="AS1287:AT1287"/>
    <mergeCell ref="AU1287:AV1287"/>
    <mergeCell ref="BF1273:BG1273"/>
    <mergeCell ref="BH1273:BI1273"/>
    <mergeCell ref="AS1274:AT1274"/>
    <mergeCell ref="AU1274:AV1274"/>
    <mergeCell ref="BF1274:BG1274"/>
    <mergeCell ref="BH1274:BI1274"/>
    <mergeCell ref="AS1275:AT1275"/>
    <mergeCell ref="AU1275:AV1275"/>
    <mergeCell ref="BF1275:BG1275"/>
    <mergeCell ref="BH1275:BI1275"/>
    <mergeCell ref="AS1276:AT1276"/>
    <mergeCell ref="AU1276:AV1276"/>
    <mergeCell ref="BF1276:BG1276"/>
    <mergeCell ref="BH1276:BI1276"/>
    <mergeCell ref="AS1277:AT1277"/>
    <mergeCell ref="AU1277:AV1277"/>
    <mergeCell ref="BF1277:BG1277"/>
    <mergeCell ref="BH1277:BI1277"/>
    <mergeCell ref="AQ1266:AQ1277"/>
    <mergeCell ref="AS1266:AT1266"/>
    <mergeCell ref="AU1266:AV1266"/>
    <mergeCell ref="BD1266:BD1277"/>
    <mergeCell ref="BF1266:BG1266"/>
    <mergeCell ref="BH1266:BI1266"/>
    <mergeCell ref="AS1267:AT1267"/>
    <mergeCell ref="AU1267:AV1267"/>
    <mergeCell ref="BF1267:BG1267"/>
    <mergeCell ref="BH1267:BI1267"/>
    <mergeCell ref="AS1268:AT1268"/>
    <mergeCell ref="AU1268:AV1268"/>
    <mergeCell ref="BF1268:BG1268"/>
    <mergeCell ref="BH1268:BI1268"/>
    <mergeCell ref="AS1269:AT1269"/>
    <mergeCell ref="AU1269:AV1269"/>
    <mergeCell ref="BF1269:BG1269"/>
    <mergeCell ref="BH1269:BI1269"/>
    <mergeCell ref="AS1270:AT1270"/>
    <mergeCell ref="AU1270:AV1270"/>
    <mergeCell ref="BF1270:BG1270"/>
    <mergeCell ref="BH1270:BI1270"/>
    <mergeCell ref="AS1271:AT1271"/>
    <mergeCell ref="AU1271:AV1271"/>
    <mergeCell ref="BF1271:BG1271"/>
    <mergeCell ref="BH1271:BI1271"/>
    <mergeCell ref="AS1272:AT1272"/>
    <mergeCell ref="AU1272:AV1272"/>
    <mergeCell ref="BF1272:BG1272"/>
    <mergeCell ref="BH1272:BI1272"/>
    <mergeCell ref="AS1273:AT1273"/>
    <mergeCell ref="AU1273:AV1273"/>
    <mergeCell ref="AS1258:AT1258"/>
    <mergeCell ref="AU1258:AV1258"/>
    <mergeCell ref="BF1258:BG1258"/>
    <mergeCell ref="BH1258:BI1258"/>
    <mergeCell ref="AS1259:AT1259"/>
    <mergeCell ref="AU1259:AV1259"/>
    <mergeCell ref="BF1259:BG1259"/>
    <mergeCell ref="BH1259:BI1259"/>
    <mergeCell ref="AS1260:AT1260"/>
    <mergeCell ref="AU1260:AV1260"/>
    <mergeCell ref="BF1260:BG1260"/>
    <mergeCell ref="BH1260:BI1260"/>
    <mergeCell ref="AQ1263:AR1265"/>
    <mergeCell ref="BD1263:BE1265"/>
    <mergeCell ref="AS1264:AV1264"/>
    <mergeCell ref="BF1264:BI1264"/>
    <mergeCell ref="AS1265:AT1265"/>
    <mergeCell ref="AU1265:AV1265"/>
    <mergeCell ref="BF1265:BG1265"/>
    <mergeCell ref="BH1265:BI1265"/>
    <mergeCell ref="AS1255:AT1255"/>
    <mergeCell ref="AU1255:AV1255"/>
    <mergeCell ref="BF1255:BG1255"/>
    <mergeCell ref="BH1255:BI1255"/>
    <mergeCell ref="AS1256:AT1256"/>
    <mergeCell ref="AU1256:AV1256"/>
    <mergeCell ref="BF1256:BG1256"/>
    <mergeCell ref="BH1256:BI1256"/>
    <mergeCell ref="AS1243:AT1243"/>
    <mergeCell ref="AU1243:AV1243"/>
    <mergeCell ref="BF1243:BG1243"/>
    <mergeCell ref="BH1243:BI1243"/>
    <mergeCell ref="AS1244:AT1244"/>
    <mergeCell ref="AU1244:AV1244"/>
    <mergeCell ref="BF1244:BG1244"/>
    <mergeCell ref="BH1244:BI1244"/>
    <mergeCell ref="AS1257:AT1257"/>
    <mergeCell ref="AU1257:AV1257"/>
    <mergeCell ref="BF1257:BG1257"/>
    <mergeCell ref="BH1257:BI1257"/>
    <mergeCell ref="AQ1246:AR1248"/>
    <mergeCell ref="BD1246:BE1248"/>
    <mergeCell ref="AS1247:AV1247"/>
    <mergeCell ref="BF1247:BI1247"/>
    <mergeCell ref="AS1248:AT1248"/>
    <mergeCell ref="AU1248:AV1248"/>
    <mergeCell ref="BF1248:BG1248"/>
    <mergeCell ref="BH1248:BI1248"/>
    <mergeCell ref="AQ1249:AQ1260"/>
    <mergeCell ref="AS1249:AT1249"/>
    <mergeCell ref="AU1249:AV1249"/>
    <mergeCell ref="BD1249:BD1260"/>
    <mergeCell ref="BF1249:BG1249"/>
    <mergeCell ref="BH1249:BI1249"/>
    <mergeCell ref="AS1250:AT1250"/>
    <mergeCell ref="AU1250:AV1250"/>
    <mergeCell ref="BF1250:BG1250"/>
    <mergeCell ref="BH1250:BI1250"/>
    <mergeCell ref="AS1251:AT1251"/>
    <mergeCell ref="AU1251:AV1251"/>
    <mergeCell ref="BF1251:BG1251"/>
    <mergeCell ref="BH1251:BI1251"/>
    <mergeCell ref="AS1252:AT1252"/>
    <mergeCell ref="AU1252:AV1252"/>
    <mergeCell ref="AS1253:AT1253"/>
    <mergeCell ref="AU1253:AV1253"/>
    <mergeCell ref="BF1253:BG1253"/>
    <mergeCell ref="BH1253:BI1253"/>
    <mergeCell ref="AS1254:AT1254"/>
    <mergeCell ref="AU1254:AV1254"/>
    <mergeCell ref="BF1254:BG1254"/>
    <mergeCell ref="BH1254:BI1254"/>
    <mergeCell ref="AS1239:AT1239"/>
    <mergeCell ref="AU1239:AV1239"/>
    <mergeCell ref="BF1239:BG1239"/>
    <mergeCell ref="BH1239:BI1239"/>
    <mergeCell ref="AS1240:AT1240"/>
    <mergeCell ref="AU1240:AV1240"/>
    <mergeCell ref="BF1240:BG1240"/>
    <mergeCell ref="BH1240:BI1240"/>
    <mergeCell ref="AS1241:AT1241"/>
    <mergeCell ref="AU1241:AV1241"/>
    <mergeCell ref="BF1241:BG1241"/>
    <mergeCell ref="BH1241:BI1241"/>
    <mergeCell ref="AS1242:AT1242"/>
    <mergeCell ref="AU1242:AV1242"/>
    <mergeCell ref="BF1242:BG1242"/>
    <mergeCell ref="BH1242:BI1242"/>
    <mergeCell ref="AQ1230:AR1232"/>
    <mergeCell ref="BD1230:BE1232"/>
    <mergeCell ref="AS1231:AV1231"/>
    <mergeCell ref="BF1231:BI1231"/>
    <mergeCell ref="AS1232:AT1232"/>
    <mergeCell ref="AU1232:AV1232"/>
    <mergeCell ref="BF1232:BG1232"/>
    <mergeCell ref="BH1232:BI1232"/>
    <mergeCell ref="AQ1233:AQ1244"/>
    <mergeCell ref="AS1233:AT1233"/>
    <mergeCell ref="AU1233:AV1233"/>
    <mergeCell ref="BD1233:BD1244"/>
    <mergeCell ref="BF1233:BG1233"/>
    <mergeCell ref="BH1233:BI1233"/>
    <mergeCell ref="AS1234:AT1234"/>
    <mergeCell ref="AU1234:AV1234"/>
    <mergeCell ref="AS1235:AT1235"/>
    <mergeCell ref="AU1235:AV1235"/>
    <mergeCell ref="BF1235:BG1235"/>
    <mergeCell ref="BH1235:BI1235"/>
    <mergeCell ref="AS1236:AT1236"/>
    <mergeCell ref="AU1236:AV1236"/>
    <mergeCell ref="BF1236:BG1236"/>
    <mergeCell ref="BH1236:BI1236"/>
    <mergeCell ref="AS1237:AT1237"/>
    <mergeCell ref="AU1237:AV1237"/>
    <mergeCell ref="BF1237:BG1237"/>
    <mergeCell ref="BH1237:BI1237"/>
    <mergeCell ref="AS1238:AT1238"/>
    <mergeCell ref="AU1238:AV1238"/>
    <mergeCell ref="BF1223:BG1223"/>
    <mergeCell ref="BH1223:BI1223"/>
    <mergeCell ref="AS1224:AT1224"/>
    <mergeCell ref="AU1224:AV1224"/>
    <mergeCell ref="BF1224:BG1224"/>
    <mergeCell ref="BH1224:BI1224"/>
    <mergeCell ref="AS1225:AT1225"/>
    <mergeCell ref="AU1225:AV1225"/>
    <mergeCell ref="BF1225:BG1225"/>
    <mergeCell ref="BH1225:BI1225"/>
    <mergeCell ref="AS1226:AT1226"/>
    <mergeCell ref="AU1226:AV1226"/>
    <mergeCell ref="BF1226:BG1226"/>
    <mergeCell ref="BH1226:BI1226"/>
    <mergeCell ref="AS1227:AT1227"/>
    <mergeCell ref="AU1227:AV1227"/>
    <mergeCell ref="BF1227:BG1227"/>
    <mergeCell ref="BH1227:BI1227"/>
    <mergeCell ref="AQ1216:AQ1227"/>
    <mergeCell ref="AS1216:AT1216"/>
    <mergeCell ref="AU1216:AV1216"/>
    <mergeCell ref="BD1216:BD1227"/>
    <mergeCell ref="BF1216:BG1216"/>
    <mergeCell ref="BH1216:BI1216"/>
    <mergeCell ref="AS1217:AT1217"/>
    <mergeCell ref="AU1217:AV1217"/>
    <mergeCell ref="BF1217:BG1217"/>
    <mergeCell ref="BH1217:BI1217"/>
    <mergeCell ref="AS1218:AT1218"/>
    <mergeCell ref="AU1218:AV1218"/>
    <mergeCell ref="BF1218:BG1218"/>
    <mergeCell ref="BH1218:BI1218"/>
    <mergeCell ref="AS1219:AT1219"/>
    <mergeCell ref="AU1219:AV1219"/>
    <mergeCell ref="BF1219:BG1219"/>
    <mergeCell ref="BH1219:BI1219"/>
    <mergeCell ref="AS1220:AT1220"/>
    <mergeCell ref="AU1220:AV1220"/>
    <mergeCell ref="BF1220:BG1220"/>
    <mergeCell ref="BH1220:BI1220"/>
    <mergeCell ref="AS1221:AT1221"/>
    <mergeCell ref="AU1221:AV1221"/>
    <mergeCell ref="BF1221:BG1221"/>
    <mergeCell ref="BH1221:BI1221"/>
    <mergeCell ref="AS1222:AT1222"/>
    <mergeCell ref="AU1222:AV1222"/>
    <mergeCell ref="BF1222:BG1222"/>
    <mergeCell ref="BH1222:BI1222"/>
    <mergeCell ref="AS1223:AT1223"/>
    <mergeCell ref="AU1223:AV1223"/>
    <mergeCell ref="AS1209:AT1209"/>
    <mergeCell ref="AU1209:AV1209"/>
    <mergeCell ref="BF1209:BG1209"/>
    <mergeCell ref="BH1209:BI1209"/>
    <mergeCell ref="AS1210:AT1210"/>
    <mergeCell ref="AU1210:AV1210"/>
    <mergeCell ref="BF1210:BG1210"/>
    <mergeCell ref="BH1210:BI1210"/>
    <mergeCell ref="AS1211:AT1211"/>
    <mergeCell ref="AU1211:AV1211"/>
    <mergeCell ref="BF1211:BG1211"/>
    <mergeCell ref="BH1211:BI1211"/>
    <mergeCell ref="AQ1213:AR1215"/>
    <mergeCell ref="BD1213:BE1215"/>
    <mergeCell ref="AS1214:AV1214"/>
    <mergeCell ref="BF1214:BI1214"/>
    <mergeCell ref="AS1215:AT1215"/>
    <mergeCell ref="AU1215:AV1215"/>
    <mergeCell ref="BF1215:BG1215"/>
    <mergeCell ref="BH1215:BI1215"/>
    <mergeCell ref="AS1206:AT1206"/>
    <mergeCell ref="AU1206:AV1206"/>
    <mergeCell ref="BF1206:BG1206"/>
    <mergeCell ref="BH1206:BI1206"/>
    <mergeCell ref="AS1207:AT1207"/>
    <mergeCell ref="AU1207:AV1207"/>
    <mergeCell ref="BF1207:BG1207"/>
    <mergeCell ref="BH1207:BI1207"/>
    <mergeCell ref="AS1193:AT1193"/>
    <mergeCell ref="AU1193:AV1193"/>
    <mergeCell ref="BF1193:BG1193"/>
    <mergeCell ref="BH1193:BI1193"/>
    <mergeCell ref="AS1194:AT1194"/>
    <mergeCell ref="AU1194:AV1194"/>
    <mergeCell ref="BF1194:BG1194"/>
    <mergeCell ref="BH1194:BI1194"/>
    <mergeCell ref="AS1208:AT1208"/>
    <mergeCell ref="AU1208:AV1208"/>
    <mergeCell ref="BF1208:BG1208"/>
    <mergeCell ref="BH1208:BI1208"/>
    <mergeCell ref="AQ1197:AR1199"/>
    <mergeCell ref="BD1197:BE1199"/>
    <mergeCell ref="AS1198:AV1198"/>
    <mergeCell ref="BF1198:BI1198"/>
    <mergeCell ref="AS1199:AT1199"/>
    <mergeCell ref="AU1199:AV1199"/>
    <mergeCell ref="BF1199:BG1199"/>
    <mergeCell ref="BH1199:BI1199"/>
    <mergeCell ref="AQ1200:AQ1211"/>
    <mergeCell ref="AS1200:AT1200"/>
    <mergeCell ref="AU1200:AV1200"/>
    <mergeCell ref="BD1200:BD1211"/>
    <mergeCell ref="BF1200:BG1200"/>
    <mergeCell ref="BH1200:BI1200"/>
    <mergeCell ref="AS1201:AT1201"/>
    <mergeCell ref="AU1201:AV1201"/>
    <mergeCell ref="BF1201:BG1201"/>
    <mergeCell ref="BH1201:BI1201"/>
    <mergeCell ref="AS1202:AT1202"/>
    <mergeCell ref="AU1202:AV1202"/>
    <mergeCell ref="BF1202:BG1202"/>
    <mergeCell ref="BH1202:BI1202"/>
    <mergeCell ref="AS1203:AT1203"/>
    <mergeCell ref="AU1203:AV1203"/>
    <mergeCell ref="AS1204:AT1204"/>
    <mergeCell ref="AU1204:AV1204"/>
    <mergeCell ref="BF1204:BG1204"/>
    <mergeCell ref="BH1204:BI1204"/>
    <mergeCell ref="AS1205:AT1205"/>
    <mergeCell ref="AU1205:AV1205"/>
    <mergeCell ref="BF1205:BG1205"/>
    <mergeCell ref="BH1205:BI1205"/>
    <mergeCell ref="AS1189:AT1189"/>
    <mergeCell ref="AU1189:AV1189"/>
    <mergeCell ref="BF1189:BG1189"/>
    <mergeCell ref="BH1189:BI1189"/>
    <mergeCell ref="AS1190:AT1190"/>
    <mergeCell ref="AU1190:AV1190"/>
    <mergeCell ref="BF1190:BG1190"/>
    <mergeCell ref="BH1190:BI1190"/>
    <mergeCell ref="AS1191:AT1191"/>
    <mergeCell ref="AU1191:AV1191"/>
    <mergeCell ref="BF1191:BG1191"/>
    <mergeCell ref="BH1191:BI1191"/>
    <mergeCell ref="AS1192:AT1192"/>
    <mergeCell ref="AU1192:AV1192"/>
    <mergeCell ref="BF1192:BG1192"/>
    <mergeCell ref="BH1192:BI1192"/>
    <mergeCell ref="AQ1180:AR1182"/>
    <mergeCell ref="BD1180:BE1182"/>
    <mergeCell ref="AS1181:AV1181"/>
    <mergeCell ref="BF1181:BI1181"/>
    <mergeCell ref="AS1182:AT1182"/>
    <mergeCell ref="AU1182:AV1182"/>
    <mergeCell ref="BF1182:BG1182"/>
    <mergeCell ref="BH1182:BI1182"/>
    <mergeCell ref="AQ1183:AQ1194"/>
    <mergeCell ref="AS1183:AT1183"/>
    <mergeCell ref="AU1183:AV1183"/>
    <mergeCell ref="BD1183:BD1194"/>
    <mergeCell ref="BF1183:BG1183"/>
    <mergeCell ref="BH1183:BI1183"/>
    <mergeCell ref="AS1184:AT1184"/>
    <mergeCell ref="AU1184:AV1184"/>
    <mergeCell ref="AS1186:AT1186"/>
    <mergeCell ref="AU1186:AV1186"/>
    <mergeCell ref="BF1186:BG1186"/>
    <mergeCell ref="BH1186:BI1186"/>
    <mergeCell ref="AS1187:AT1187"/>
    <mergeCell ref="AU1187:AV1187"/>
    <mergeCell ref="BF1187:BG1187"/>
    <mergeCell ref="BH1187:BI1187"/>
    <mergeCell ref="AS1188:AT1188"/>
    <mergeCell ref="AU1188:AV1188"/>
    <mergeCell ref="BF1174:BG1174"/>
    <mergeCell ref="BH1174:BI1174"/>
    <mergeCell ref="AS1175:AT1175"/>
    <mergeCell ref="AU1175:AV1175"/>
    <mergeCell ref="BF1175:BG1175"/>
    <mergeCell ref="BH1175:BI1175"/>
    <mergeCell ref="AS1176:AT1176"/>
    <mergeCell ref="AU1176:AV1176"/>
    <mergeCell ref="BF1176:BG1176"/>
    <mergeCell ref="BH1176:BI1176"/>
    <mergeCell ref="AS1177:AT1177"/>
    <mergeCell ref="AU1177:AV1177"/>
    <mergeCell ref="BF1177:BG1177"/>
    <mergeCell ref="BH1177:BI1177"/>
    <mergeCell ref="AS1178:AT1178"/>
    <mergeCell ref="AU1178:AV1178"/>
    <mergeCell ref="BF1178:BG1178"/>
    <mergeCell ref="BH1178:BI1178"/>
    <mergeCell ref="AS1171:AT1171"/>
    <mergeCell ref="AU1171:AV1171"/>
    <mergeCell ref="BF1171:BG1171"/>
    <mergeCell ref="BH1171:BI1171"/>
    <mergeCell ref="AS1172:AT1172"/>
    <mergeCell ref="AU1172:AV1172"/>
    <mergeCell ref="BF1172:BG1172"/>
    <mergeCell ref="BH1172:BI1172"/>
    <mergeCell ref="AS1173:AT1173"/>
    <mergeCell ref="AU1173:AV1173"/>
    <mergeCell ref="BF1173:BG1173"/>
    <mergeCell ref="BH1173:BI1173"/>
    <mergeCell ref="AS1174:AT1174"/>
    <mergeCell ref="AU1174:AV1174"/>
    <mergeCell ref="AS1185:AT1185"/>
    <mergeCell ref="AU1185:AV1185"/>
    <mergeCell ref="BF1185:BG1185"/>
    <mergeCell ref="BH1185:BI1185"/>
    <mergeCell ref="AQ1116:AQ1127"/>
    <mergeCell ref="BD1116:BD1127"/>
    <mergeCell ref="AS1114:BB1114"/>
    <mergeCell ref="BF1114:BO1114"/>
    <mergeCell ref="AS1098:BB1098"/>
    <mergeCell ref="BF1098:BO1098"/>
    <mergeCell ref="AQ1164:AR1166"/>
    <mergeCell ref="BD1164:BE1166"/>
    <mergeCell ref="AS1165:AV1165"/>
    <mergeCell ref="BF1165:BI1165"/>
    <mergeCell ref="AS1166:AT1166"/>
    <mergeCell ref="AU1166:AV1166"/>
    <mergeCell ref="BF1166:BG1166"/>
    <mergeCell ref="BH1166:BI1166"/>
    <mergeCell ref="AQ1167:AQ1178"/>
    <mergeCell ref="AS1167:AT1167"/>
    <mergeCell ref="AU1167:AV1167"/>
    <mergeCell ref="BD1167:BD1178"/>
    <mergeCell ref="BF1167:BG1167"/>
    <mergeCell ref="BH1167:BI1167"/>
    <mergeCell ref="AS1168:AT1168"/>
    <mergeCell ref="AU1168:AV1168"/>
    <mergeCell ref="BF1168:BG1168"/>
    <mergeCell ref="BH1168:BI1168"/>
    <mergeCell ref="AS1169:AT1169"/>
    <mergeCell ref="AU1169:AV1169"/>
    <mergeCell ref="BF1169:BG1169"/>
    <mergeCell ref="BH1169:BI1169"/>
    <mergeCell ref="AS1170:AT1170"/>
    <mergeCell ref="AU1170:AV1170"/>
    <mergeCell ref="BF1170:BG1170"/>
    <mergeCell ref="BH1170:BI1170"/>
    <mergeCell ref="AQ1067:AQ1078"/>
    <mergeCell ref="BD1067:BD1078"/>
    <mergeCell ref="AQ1080:AR1082"/>
    <mergeCell ref="BD1080:BE1082"/>
    <mergeCell ref="AQ1083:AQ1094"/>
    <mergeCell ref="BD1083:BD1094"/>
    <mergeCell ref="AS1048:BB1048"/>
    <mergeCell ref="BF1048:BO1048"/>
    <mergeCell ref="AS1065:BB1065"/>
    <mergeCell ref="BF1065:BO1065"/>
    <mergeCell ref="AS1081:BB1081"/>
    <mergeCell ref="BF1081:BO1081"/>
    <mergeCell ref="AQ1097:AR1099"/>
    <mergeCell ref="BD1097:BE1099"/>
    <mergeCell ref="AQ1100:AQ1111"/>
    <mergeCell ref="BD1100:BD1111"/>
    <mergeCell ref="AQ1113:AR1115"/>
    <mergeCell ref="BD1113:BE1115"/>
    <mergeCell ref="AQ932:AR934"/>
    <mergeCell ref="BD932:BE934"/>
    <mergeCell ref="AQ935:AQ946"/>
    <mergeCell ref="BD935:BD946"/>
    <mergeCell ref="AQ948:AR950"/>
    <mergeCell ref="BD948:BE950"/>
    <mergeCell ref="AQ951:AQ962"/>
    <mergeCell ref="BD951:BD962"/>
    <mergeCell ref="AS916:BB916"/>
    <mergeCell ref="AQ984:AQ995"/>
    <mergeCell ref="BD984:BD995"/>
    <mergeCell ref="AS966:BB966"/>
    <mergeCell ref="AQ902:AQ913"/>
    <mergeCell ref="AS933:BB933"/>
    <mergeCell ref="AQ1050:AQ1061"/>
    <mergeCell ref="BD1050:BD1061"/>
    <mergeCell ref="AQ1064:AR1066"/>
    <mergeCell ref="BD1064:BE1066"/>
    <mergeCell ref="BD1031:BE1033"/>
    <mergeCell ref="AQ1034:AQ1045"/>
    <mergeCell ref="BD1034:BD1045"/>
    <mergeCell ref="AS1015:BB1015"/>
    <mergeCell ref="BF867:BO867"/>
    <mergeCell ref="AQ882:AR884"/>
    <mergeCell ref="BD882:BE884"/>
    <mergeCell ref="AQ885:AQ896"/>
    <mergeCell ref="BD885:BD896"/>
    <mergeCell ref="AS883:BB883"/>
    <mergeCell ref="BF883:BO883"/>
    <mergeCell ref="AQ803:AQ814"/>
    <mergeCell ref="BD803:BD814"/>
    <mergeCell ref="AQ816:AR818"/>
    <mergeCell ref="BD816:BE818"/>
    <mergeCell ref="AQ819:AQ830"/>
    <mergeCell ref="BD819:BD830"/>
    <mergeCell ref="AS817:BB817"/>
    <mergeCell ref="BF817:BO817"/>
    <mergeCell ref="AQ833:AR835"/>
    <mergeCell ref="BD833:BE835"/>
    <mergeCell ref="AQ836:AQ847"/>
    <mergeCell ref="BD836:BD847"/>
    <mergeCell ref="AQ849:AR851"/>
    <mergeCell ref="BD849:BE851"/>
    <mergeCell ref="AS850:BB850"/>
    <mergeCell ref="BF850:BO850"/>
    <mergeCell ref="AS834:BB834"/>
    <mergeCell ref="BF834:BO834"/>
    <mergeCell ref="BF751:BO751"/>
    <mergeCell ref="AQ737:AQ748"/>
    <mergeCell ref="BD737:BD748"/>
    <mergeCell ref="AS735:BB735"/>
    <mergeCell ref="BF735:BO735"/>
    <mergeCell ref="AQ750:AR752"/>
    <mergeCell ref="BD750:BE752"/>
    <mergeCell ref="AQ753:AQ764"/>
    <mergeCell ref="BD753:BD764"/>
    <mergeCell ref="AQ800:AR802"/>
    <mergeCell ref="BD800:BE802"/>
    <mergeCell ref="AQ720:AQ731"/>
    <mergeCell ref="BD720:BD731"/>
    <mergeCell ref="AQ767:AR769"/>
    <mergeCell ref="BD767:BE769"/>
    <mergeCell ref="AQ651:AR653"/>
    <mergeCell ref="BD651:BE653"/>
    <mergeCell ref="AQ654:AQ665"/>
    <mergeCell ref="BD654:BD665"/>
    <mergeCell ref="BF718:BN718"/>
    <mergeCell ref="AQ687:AQ698"/>
    <mergeCell ref="BD687:BD698"/>
    <mergeCell ref="AQ704:AQ715"/>
    <mergeCell ref="BD704:BD715"/>
    <mergeCell ref="BF702:BN702"/>
    <mergeCell ref="BF784:BN784"/>
    <mergeCell ref="AS801:BB801"/>
    <mergeCell ref="BF801:BO801"/>
    <mergeCell ref="BF619:BO619"/>
    <mergeCell ref="AS636:BB636"/>
    <mergeCell ref="BF636:BO636"/>
    <mergeCell ref="AS652:BB652"/>
    <mergeCell ref="BF652:BO652"/>
    <mergeCell ref="AQ668:AR670"/>
    <mergeCell ref="BD668:BE670"/>
    <mergeCell ref="AQ671:AQ682"/>
    <mergeCell ref="BD671:BD682"/>
    <mergeCell ref="AQ684:AR686"/>
    <mergeCell ref="BD684:BE686"/>
    <mergeCell ref="AQ734:AR736"/>
    <mergeCell ref="BD734:BE736"/>
    <mergeCell ref="AQ701:AR703"/>
    <mergeCell ref="BD701:BE703"/>
    <mergeCell ref="AQ423:AQ434"/>
    <mergeCell ref="BD423:BD434"/>
    <mergeCell ref="AQ437:AR439"/>
    <mergeCell ref="BD605:BD616"/>
    <mergeCell ref="AS603:BB603"/>
    <mergeCell ref="BF603:BO603"/>
    <mergeCell ref="AQ618:AR620"/>
    <mergeCell ref="BD618:BE620"/>
    <mergeCell ref="AQ621:AQ632"/>
    <mergeCell ref="BD621:BD632"/>
    <mergeCell ref="AQ635:AR637"/>
    <mergeCell ref="BD635:BE637"/>
    <mergeCell ref="AS586:BB586"/>
    <mergeCell ref="BF586:BO586"/>
    <mergeCell ref="AQ638:AQ649"/>
    <mergeCell ref="BD638:BD649"/>
    <mergeCell ref="BF570:BO570"/>
    <mergeCell ref="AS537:BB537"/>
    <mergeCell ref="BF537:BO537"/>
    <mergeCell ref="BF487:BO487"/>
    <mergeCell ref="AS553:BB553"/>
    <mergeCell ref="BF553:BO553"/>
    <mergeCell ref="AQ489:AQ500"/>
    <mergeCell ref="BD489:BD500"/>
    <mergeCell ref="AQ503:AR505"/>
    <mergeCell ref="BD503:BE505"/>
    <mergeCell ref="AQ506:AQ517"/>
    <mergeCell ref="BD506:BD517"/>
    <mergeCell ref="AQ519:AR521"/>
    <mergeCell ref="BD519:BE521"/>
    <mergeCell ref="AQ522:AQ533"/>
    <mergeCell ref="BD522:BD533"/>
    <mergeCell ref="AQ536:AR538"/>
    <mergeCell ref="BD555:BD566"/>
    <mergeCell ref="AQ569:AR571"/>
    <mergeCell ref="BD569:BE571"/>
    <mergeCell ref="AS570:BB570"/>
    <mergeCell ref="AQ206:AR208"/>
    <mergeCell ref="BD206:BE208"/>
    <mergeCell ref="AQ209:AQ220"/>
    <mergeCell ref="BD209:BD220"/>
    <mergeCell ref="AQ222:AR224"/>
    <mergeCell ref="BD222:BE224"/>
    <mergeCell ref="AQ225:AQ236"/>
    <mergeCell ref="BD225:BD236"/>
    <mergeCell ref="AS207:BB207"/>
    <mergeCell ref="BF207:BO207"/>
    <mergeCell ref="AQ239:AR241"/>
    <mergeCell ref="BD239:BE241"/>
    <mergeCell ref="AQ242:AQ253"/>
    <mergeCell ref="BD242:BD253"/>
    <mergeCell ref="AQ255:AR257"/>
    <mergeCell ref="BD255:BE257"/>
    <mergeCell ref="AS240:BB240"/>
    <mergeCell ref="BF240:BO240"/>
    <mergeCell ref="AS256:BB256"/>
    <mergeCell ref="BF256:BO256"/>
    <mergeCell ref="BD486:BE488"/>
    <mergeCell ref="BD536:BE538"/>
    <mergeCell ref="AQ539:AQ550"/>
    <mergeCell ref="BD539:BD550"/>
    <mergeCell ref="AQ552:AR554"/>
    <mergeCell ref="BD552:BE554"/>
    <mergeCell ref="AQ555:AQ566"/>
    <mergeCell ref="AQ258:AQ269"/>
    <mergeCell ref="BD258:BD269"/>
    <mergeCell ref="AS108:BB108"/>
    <mergeCell ref="BF108:BO108"/>
    <mergeCell ref="AQ156:AR158"/>
    <mergeCell ref="BD156:BE158"/>
    <mergeCell ref="AQ159:AQ170"/>
    <mergeCell ref="BD159:BD170"/>
    <mergeCell ref="AQ173:AR175"/>
    <mergeCell ref="BD173:BE175"/>
    <mergeCell ref="AQ176:AQ187"/>
    <mergeCell ref="BD176:BD187"/>
    <mergeCell ref="AQ189:AR191"/>
    <mergeCell ref="BD189:BE191"/>
    <mergeCell ref="AQ192:AQ203"/>
    <mergeCell ref="BD192:BD203"/>
    <mergeCell ref="AS157:BB157"/>
    <mergeCell ref="BF157:BO157"/>
    <mergeCell ref="AS174:BB174"/>
    <mergeCell ref="BF174:BO174"/>
    <mergeCell ref="AS190:BB190"/>
    <mergeCell ref="BF190:BO190"/>
    <mergeCell ref="AS124:BB124"/>
    <mergeCell ref="BF124:BO124"/>
    <mergeCell ref="AS141:BB141"/>
    <mergeCell ref="BF141:BO141"/>
    <mergeCell ref="AQ107:AR109"/>
    <mergeCell ref="BD107:BE109"/>
    <mergeCell ref="AQ110:AQ121"/>
    <mergeCell ref="BD110:BD121"/>
    <mergeCell ref="AQ123:AR125"/>
    <mergeCell ref="BD123:BE125"/>
    <mergeCell ref="AQ126:AQ137"/>
    <mergeCell ref="BD126:BD137"/>
    <mergeCell ref="AQ57:AR59"/>
    <mergeCell ref="BD57:BE59"/>
    <mergeCell ref="AS58:BB58"/>
    <mergeCell ref="BF58:BO58"/>
    <mergeCell ref="AQ60:AQ71"/>
    <mergeCell ref="BD60:BD71"/>
    <mergeCell ref="AQ74:AR76"/>
    <mergeCell ref="BD74:BE76"/>
    <mergeCell ref="AS75:BB75"/>
    <mergeCell ref="BF75:BO75"/>
    <mergeCell ref="AQ77:AQ88"/>
    <mergeCell ref="BD77:BD88"/>
    <mergeCell ref="AQ90:AR92"/>
    <mergeCell ref="BD90:BE92"/>
    <mergeCell ref="AS91:BB91"/>
    <mergeCell ref="BF91:BO91"/>
    <mergeCell ref="AQ93:AQ104"/>
    <mergeCell ref="BD93:BD104"/>
    <mergeCell ref="AQ8:AR10"/>
    <mergeCell ref="BD8:BE10"/>
    <mergeCell ref="AS9:BB9"/>
    <mergeCell ref="BF9:BO9"/>
    <mergeCell ref="AQ11:AQ22"/>
    <mergeCell ref="BD11:BD22"/>
    <mergeCell ref="AQ24:AR26"/>
    <mergeCell ref="BD24:BE26"/>
    <mergeCell ref="AS25:BB25"/>
    <mergeCell ref="BF25:BO25"/>
    <mergeCell ref="AQ27:AQ38"/>
    <mergeCell ref="BD27:BD38"/>
    <mergeCell ref="AQ41:AR43"/>
    <mergeCell ref="BD41:BE43"/>
    <mergeCell ref="AS42:BB42"/>
    <mergeCell ref="BF42:BO42"/>
    <mergeCell ref="AQ44:AQ55"/>
    <mergeCell ref="BD44:BD55"/>
    <mergeCell ref="F1324:G1324"/>
    <mergeCell ref="H1324:I1324"/>
    <mergeCell ref="S1324:T1324"/>
    <mergeCell ref="U1324:V1324"/>
    <mergeCell ref="AF1324:AG1324"/>
    <mergeCell ref="AH1324:AI1324"/>
    <mergeCell ref="F1325:G1325"/>
    <mergeCell ref="H1325:I1325"/>
    <mergeCell ref="S1325:T1325"/>
    <mergeCell ref="U1325:V1325"/>
    <mergeCell ref="AF1325:AG1325"/>
    <mergeCell ref="AH1325:AI1325"/>
    <mergeCell ref="F1320:G1320"/>
    <mergeCell ref="H1320:I1320"/>
    <mergeCell ref="S1320:T1320"/>
    <mergeCell ref="U1320:V1320"/>
    <mergeCell ref="AF1320:AG1320"/>
    <mergeCell ref="AH1320:AI1320"/>
    <mergeCell ref="F1321:G1321"/>
    <mergeCell ref="H1321:I1321"/>
    <mergeCell ref="S1321:T1321"/>
    <mergeCell ref="U1321:V1321"/>
    <mergeCell ref="AF1321:AG1321"/>
    <mergeCell ref="AH1321:AI1321"/>
    <mergeCell ref="AD1315:AD1326"/>
    <mergeCell ref="AF1315:AG1315"/>
    <mergeCell ref="AH1315:AI1315"/>
    <mergeCell ref="F1316:G1316"/>
    <mergeCell ref="H1316:I1316"/>
    <mergeCell ref="S1316:T1316"/>
    <mergeCell ref="U1316:V1316"/>
    <mergeCell ref="AF1316:AG1316"/>
    <mergeCell ref="B1299:B1310"/>
    <mergeCell ref="F1326:G1326"/>
    <mergeCell ref="H1326:I1326"/>
    <mergeCell ref="S1326:T1326"/>
    <mergeCell ref="U1326:V1326"/>
    <mergeCell ref="AF1326:AG1326"/>
    <mergeCell ref="AH1326:AI1326"/>
    <mergeCell ref="D1315:D1326"/>
    <mergeCell ref="F1315:G1315"/>
    <mergeCell ref="H1315:I1315"/>
    <mergeCell ref="AH1316:AI1316"/>
    <mergeCell ref="F1317:G1317"/>
    <mergeCell ref="H1317:I1317"/>
    <mergeCell ref="S1317:T1317"/>
    <mergeCell ref="U1317:V1317"/>
    <mergeCell ref="AF1317:AG1317"/>
    <mergeCell ref="AH1317:AI1317"/>
    <mergeCell ref="F1318:G1318"/>
    <mergeCell ref="H1318:I1318"/>
    <mergeCell ref="S1318:T1318"/>
    <mergeCell ref="U1318:V1318"/>
    <mergeCell ref="AF1318:AG1318"/>
    <mergeCell ref="AH1318:AI1318"/>
    <mergeCell ref="F1319:G1319"/>
    <mergeCell ref="H1319:I1319"/>
    <mergeCell ref="S1319:T1319"/>
    <mergeCell ref="U1319:V1319"/>
    <mergeCell ref="AF1319:AG1319"/>
    <mergeCell ref="AH1319:AI1319"/>
    <mergeCell ref="Q1315:Q1326"/>
    <mergeCell ref="S1315:T1315"/>
    <mergeCell ref="U1315:V1315"/>
    <mergeCell ref="F1322:G1322"/>
    <mergeCell ref="H1322:I1322"/>
    <mergeCell ref="S1322:T1322"/>
    <mergeCell ref="U1322:V1322"/>
    <mergeCell ref="AF1322:AG1322"/>
    <mergeCell ref="AH1322:AI1322"/>
    <mergeCell ref="F1323:G1323"/>
    <mergeCell ref="H1323:I1323"/>
    <mergeCell ref="S1323:T1323"/>
    <mergeCell ref="U1323:V1323"/>
    <mergeCell ref="AF1323:AG1323"/>
    <mergeCell ref="AH1323:AI1323"/>
    <mergeCell ref="F1310:G1310"/>
    <mergeCell ref="H1310:I1310"/>
    <mergeCell ref="S1310:T1310"/>
    <mergeCell ref="U1310:V1310"/>
    <mergeCell ref="AF1310:AG1310"/>
    <mergeCell ref="AH1310:AI1310"/>
    <mergeCell ref="D1312:E1314"/>
    <mergeCell ref="Q1312:R1314"/>
    <mergeCell ref="AD1312:AE1314"/>
    <mergeCell ref="F1313:I1313"/>
    <mergeCell ref="S1313:V1313"/>
    <mergeCell ref="AF1313:AI1313"/>
    <mergeCell ref="F1314:G1314"/>
    <mergeCell ref="H1314:I1314"/>
    <mergeCell ref="S1314:T1314"/>
    <mergeCell ref="U1314:V1314"/>
    <mergeCell ref="AF1314:AG1314"/>
    <mergeCell ref="AH1314:AI1314"/>
    <mergeCell ref="D1299:D1310"/>
    <mergeCell ref="F1299:G1299"/>
    <mergeCell ref="H1299:I1299"/>
    <mergeCell ref="AH1300:AI1300"/>
    <mergeCell ref="F1301:G1301"/>
    <mergeCell ref="H1301:I1301"/>
    <mergeCell ref="S1301:T1301"/>
    <mergeCell ref="U1301:V1301"/>
    <mergeCell ref="AF1301:AG1301"/>
    <mergeCell ref="AH1301:AI1301"/>
    <mergeCell ref="F1302:G1302"/>
    <mergeCell ref="H1302:I1302"/>
    <mergeCell ref="S1302:T1302"/>
    <mergeCell ref="F1308:G1308"/>
    <mergeCell ref="H1308:I1308"/>
    <mergeCell ref="S1308:T1308"/>
    <mergeCell ref="U1308:V1308"/>
    <mergeCell ref="AF1308:AG1308"/>
    <mergeCell ref="AH1308:AI1308"/>
    <mergeCell ref="F1309:G1309"/>
    <mergeCell ref="H1309:I1309"/>
    <mergeCell ref="S1309:T1309"/>
    <mergeCell ref="U1309:V1309"/>
    <mergeCell ref="AF1309:AG1309"/>
    <mergeCell ref="AH1309:AI1309"/>
    <mergeCell ref="F1306:G1306"/>
    <mergeCell ref="H1306:I1306"/>
    <mergeCell ref="S1306:T1306"/>
    <mergeCell ref="U1306:V1306"/>
    <mergeCell ref="AF1306:AG1306"/>
    <mergeCell ref="AH1306:AI1306"/>
    <mergeCell ref="F1307:G1307"/>
    <mergeCell ref="H1307:I1307"/>
    <mergeCell ref="S1307:T1307"/>
    <mergeCell ref="U1307:V1307"/>
    <mergeCell ref="AF1307:AG1307"/>
    <mergeCell ref="AH1307:AI1307"/>
    <mergeCell ref="F1304:G1304"/>
    <mergeCell ref="H1304:I1304"/>
    <mergeCell ref="S1304:T1304"/>
    <mergeCell ref="U1304:V1304"/>
    <mergeCell ref="AF1304:AG1304"/>
    <mergeCell ref="AH1304:AI1304"/>
    <mergeCell ref="F1305:G1305"/>
    <mergeCell ref="H1305:I1305"/>
    <mergeCell ref="S1305:T1305"/>
    <mergeCell ref="U1305:V1305"/>
    <mergeCell ref="AF1305:AG1305"/>
    <mergeCell ref="AH1305:AI1305"/>
    <mergeCell ref="U1302:V1302"/>
    <mergeCell ref="AF1302:AG1302"/>
    <mergeCell ref="AH1302:AI1302"/>
    <mergeCell ref="F1303:G1303"/>
    <mergeCell ref="H1303:I1303"/>
    <mergeCell ref="S1303:T1303"/>
    <mergeCell ref="U1303:V1303"/>
    <mergeCell ref="AF1303:AG1303"/>
    <mergeCell ref="AH1303:AI1303"/>
    <mergeCell ref="Q1299:Q1310"/>
    <mergeCell ref="S1299:T1299"/>
    <mergeCell ref="U1299:V1299"/>
    <mergeCell ref="AD1299:AD1310"/>
    <mergeCell ref="AF1299:AG1299"/>
    <mergeCell ref="AH1299:AI1299"/>
    <mergeCell ref="F1300:G1300"/>
    <mergeCell ref="H1300:I1300"/>
    <mergeCell ref="S1300:T1300"/>
    <mergeCell ref="U1300:V1300"/>
    <mergeCell ref="AF1300:AG1300"/>
    <mergeCell ref="D1296:E1298"/>
    <mergeCell ref="Q1296:R1298"/>
    <mergeCell ref="AD1296:AE1298"/>
    <mergeCell ref="F1297:I1297"/>
    <mergeCell ref="S1297:V1297"/>
    <mergeCell ref="AF1297:AI1297"/>
    <mergeCell ref="F1298:G1298"/>
    <mergeCell ref="H1298:I1298"/>
    <mergeCell ref="S1298:T1298"/>
    <mergeCell ref="U1298:V1298"/>
    <mergeCell ref="AF1298:AG1298"/>
    <mergeCell ref="AH1298:AI1298"/>
    <mergeCell ref="F1293:G1293"/>
    <mergeCell ref="H1293:I1293"/>
    <mergeCell ref="S1293:T1293"/>
    <mergeCell ref="U1293:V1293"/>
    <mergeCell ref="AF1293:AG1293"/>
    <mergeCell ref="AH1293:AI1293"/>
    <mergeCell ref="D1282:D1293"/>
    <mergeCell ref="F1282:G1282"/>
    <mergeCell ref="H1282:I1282"/>
    <mergeCell ref="U1284:V1284"/>
    <mergeCell ref="AF1284:AG1284"/>
    <mergeCell ref="AH1284:AI1284"/>
    <mergeCell ref="F1285:G1285"/>
    <mergeCell ref="H1285:I1285"/>
    <mergeCell ref="S1285:T1285"/>
    <mergeCell ref="AF1287:AG1287"/>
    <mergeCell ref="AH1287:AI1287"/>
    <mergeCell ref="F1288:G1288"/>
    <mergeCell ref="H1288:I1288"/>
    <mergeCell ref="S1288:T1288"/>
    <mergeCell ref="B1167:B1178"/>
    <mergeCell ref="B1200:B1211"/>
    <mergeCell ref="B1233:B1244"/>
    <mergeCell ref="B1266:B1277"/>
    <mergeCell ref="F1291:G1291"/>
    <mergeCell ref="H1291:I1291"/>
    <mergeCell ref="S1291:T1291"/>
    <mergeCell ref="U1291:V1291"/>
    <mergeCell ref="AF1291:AG1291"/>
    <mergeCell ref="AH1291:AI1291"/>
    <mergeCell ref="F1292:G1292"/>
    <mergeCell ref="H1292:I1292"/>
    <mergeCell ref="S1292:T1292"/>
    <mergeCell ref="U1292:V1292"/>
    <mergeCell ref="AF1292:AG1292"/>
    <mergeCell ref="AH1292:AI1292"/>
    <mergeCell ref="F1289:G1289"/>
    <mergeCell ref="H1289:I1289"/>
    <mergeCell ref="S1289:T1289"/>
    <mergeCell ref="U1289:V1289"/>
    <mergeCell ref="AF1289:AG1289"/>
    <mergeCell ref="AH1289:AI1289"/>
    <mergeCell ref="F1290:G1290"/>
    <mergeCell ref="H1290:I1290"/>
    <mergeCell ref="S1290:T1290"/>
    <mergeCell ref="U1290:V1290"/>
    <mergeCell ref="AF1290:AG1290"/>
    <mergeCell ref="AH1290:AI1290"/>
    <mergeCell ref="F1287:G1287"/>
    <mergeCell ref="H1287:I1287"/>
    <mergeCell ref="S1287:T1287"/>
    <mergeCell ref="U1287:V1287"/>
    <mergeCell ref="U1288:V1288"/>
    <mergeCell ref="AF1288:AG1288"/>
    <mergeCell ref="AH1288:AI1288"/>
    <mergeCell ref="U1285:V1285"/>
    <mergeCell ref="AF1285:AG1285"/>
    <mergeCell ref="AH1285:AI1285"/>
    <mergeCell ref="F1286:G1286"/>
    <mergeCell ref="H1286:I1286"/>
    <mergeCell ref="S1286:T1286"/>
    <mergeCell ref="U1286:V1286"/>
    <mergeCell ref="AF1286:AG1286"/>
    <mergeCell ref="AH1286:AI1286"/>
    <mergeCell ref="Q1282:Q1293"/>
    <mergeCell ref="S1282:T1282"/>
    <mergeCell ref="U1282:V1282"/>
    <mergeCell ref="AD1282:AD1293"/>
    <mergeCell ref="AF1282:AG1282"/>
    <mergeCell ref="AH1282:AI1282"/>
    <mergeCell ref="F1283:G1283"/>
    <mergeCell ref="H1283:I1283"/>
    <mergeCell ref="S1283:T1283"/>
    <mergeCell ref="U1283:V1283"/>
    <mergeCell ref="AF1283:AG1283"/>
    <mergeCell ref="AH1283:AI1283"/>
    <mergeCell ref="F1284:G1284"/>
    <mergeCell ref="H1284:I1284"/>
    <mergeCell ref="S1284:T1284"/>
    <mergeCell ref="F1277:G1277"/>
    <mergeCell ref="H1277:I1277"/>
    <mergeCell ref="S1277:T1277"/>
    <mergeCell ref="U1277:V1277"/>
    <mergeCell ref="AF1277:AG1277"/>
    <mergeCell ref="AH1277:AI1277"/>
    <mergeCell ref="D1279:E1281"/>
    <mergeCell ref="Q1279:R1281"/>
    <mergeCell ref="AD1279:AE1281"/>
    <mergeCell ref="F1280:I1280"/>
    <mergeCell ref="S1280:V1280"/>
    <mergeCell ref="AF1280:AI1280"/>
    <mergeCell ref="F1281:G1281"/>
    <mergeCell ref="H1281:I1281"/>
    <mergeCell ref="S1281:T1281"/>
    <mergeCell ref="U1281:V1281"/>
    <mergeCell ref="AF1281:AG1281"/>
    <mergeCell ref="AH1281:AI1281"/>
    <mergeCell ref="D1266:D1277"/>
    <mergeCell ref="F1266:G1266"/>
    <mergeCell ref="H1266:I1266"/>
    <mergeCell ref="AH1267:AI1267"/>
    <mergeCell ref="F1268:G1268"/>
    <mergeCell ref="H1268:I1268"/>
    <mergeCell ref="S1268:T1268"/>
    <mergeCell ref="U1268:V1268"/>
    <mergeCell ref="AF1268:AG1268"/>
    <mergeCell ref="AH1268:AI1268"/>
    <mergeCell ref="F1269:G1269"/>
    <mergeCell ref="H1269:I1269"/>
    <mergeCell ref="S1269:T1269"/>
    <mergeCell ref="F1275:G1275"/>
    <mergeCell ref="H1275:I1275"/>
    <mergeCell ref="S1275:T1275"/>
    <mergeCell ref="U1275:V1275"/>
    <mergeCell ref="AF1275:AG1275"/>
    <mergeCell ref="AH1275:AI1275"/>
    <mergeCell ref="F1276:G1276"/>
    <mergeCell ref="H1276:I1276"/>
    <mergeCell ref="S1276:T1276"/>
    <mergeCell ref="U1276:V1276"/>
    <mergeCell ref="AF1276:AG1276"/>
    <mergeCell ref="AH1276:AI1276"/>
    <mergeCell ref="F1273:G1273"/>
    <mergeCell ref="H1273:I1273"/>
    <mergeCell ref="S1273:T1273"/>
    <mergeCell ref="U1273:V1273"/>
    <mergeCell ref="AF1273:AG1273"/>
    <mergeCell ref="AH1273:AI1273"/>
    <mergeCell ref="F1274:G1274"/>
    <mergeCell ref="H1274:I1274"/>
    <mergeCell ref="S1274:T1274"/>
    <mergeCell ref="U1274:V1274"/>
    <mergeCell ref="AF1274:AG1274"/>
    <mergeCell ref="AH1274:AI1274"/>
    <mergeCell ref="F1271:G1271"/>
    <mergeCell ref="H1271:I1271"/>
    <mergeCell ref="S1271:T1271"/>
    <mergeCell ref="U1271:V1271"/>
    <mergeCell ref="AF1271:AG1271"/>
    <mergeCell ref="AH1271:AI1271"/>
    <mergeCell ref="F1272:G1272"/>
    <mergeCell ref="H1272:I1272"/>
    <mergeCell ref="S1272:T1272"/>
    <mergeCell ref="U1272:V1272"/>
    <mergeCell ref="AF1272:AG1272"/>
    <mergeCell ref="AH1272:AI1272"/>
    <mergeCell ref="U1269:V1269"/>
    <mergeCell ref="AF1269:AG1269"/>
    <mergeCell ref="AH1269:AI1269"/>
    <mergeCell ref="F1270:G1270"/>
    <mergeCell ref="H1270:I1270"/>
    <mergeCell ref="S1270:T1270"/>
    <mergeCell ref="U1270:V1270"/>
    <mergeCell ref="AF1270:AG1270"/>
    <mergeCell ref="AH1270:AI1270"/>
    <mergeCell ref="Q1266:Q1277"/>
    <mergeCell ref="S1266:T1266"/>
    <mergeCell ref="U1266:V1266"/>
    <mergeCell ref="AD1266:AD1277"/>
    <mergeCell ref="AF1266:AG1266"/>
    <mergeCell ref="AH1266:AI1266"/>
    <mergeCell ref="F1267:G1267"/>
    <mergeCell ref="H1267:I1267"/>
    <mergeCell ref="S1267:T1267"/>
    <mergeCell ref="U1267:V1267"/>
    <mergeCell ref="AF1267:AG1267"/>
    <mergeCell ref="F1260:G1260"/>
    <mergeCell ref="H1260:I1260"/>
    <mergeCell ref="S1260:T1260"/>
    <mergeCell ref="U1260:V1260"/>
    <mergeCell ref="AF1260:AG1260"/>
    <mergeCell ref="AH1260:AI1260"/>
    <mergeCell ref="D1263:E1265"/>
    <mergeCell ref="Q1263:R1265"/>
    <mergeCell ref="AD1263:AE1265"/>
    <mergeCell ref="F1264:I1264"/>
    <mergeCell ref="S1264:V1264"/>
    <mergeCell ref="AF1264:AI1264"/>
    <mergeCell ref="F1265:G1265"/>
    <mergeCell ref="H1265:I1265"/>
    <mergeCell ref="S1265:T1265"/>
    <mergeCell ref="U1265:V1265"/>
    <mergeCell ref="AF1265:AG1265"/>
    <mergeCell ref="AH1265:AI1265"/>
    <mergeCell ref="D1249:D1260"/>
    <mergeCell ref="F1249:G1249"/>
    <mergeCell ref="H1249:I1249"/>
    <mergeCell ref="AH1250:AI1250"/>
    <mergeCell ref="F1251:G1251"/>
    <mergeCell ref="H1251:I1251"/>
    <mergeCell ref="S1251:T1251"/>
    <mergeCell ref="U1251:V1251"/>
    <mergeCell ref="AF1251:AG1251"/>
    <mergeCell ref="AH1251:AI1251"/>
    <mergeCell ref="F1252:G1252"/>
    <mergeCell ref="H1252:I1252"/>
    <mergeCell ref="S1252:T1252"/>
    <mergeCell ref="F1258:G1258"/>
    <mergeCell ref="H1258:I1258"/>
    <mergeCell ref="S1258:T1258"/>
    <mergeCell ref="U1258:V1258"/>
    <mergeCell ref="AF1258:AG1258"/>
    <mergeCell ref="AH1258:AI1258"/>
    <mergeCell ref="F1259:G1259"/>
    <mergeCell ref="H1259:I1259"/>
    <mergeCell ref="S1259:T1259"/>
    <mergeCell ref="U1259:V1259"/>
    <mergeCell ref="AF1259:AG1259"/>
    <mergeCell ref="AH1259:AI1259"/>
    <mergeCell ref="F1256:G1256"/>
    <mergeCell ref="H1256:I1256"/>
    <mergeCell ref="S1256:T1256"/>
    <mergeCell ref="U1256:V1256"/>
    <mergeCell ref="AF1256:AG1256"/>
    <mergeCell ref="AH1256:AI1256"/>
    <mergeCell ref="F1257:G1257"/>
    <mergeCell ref="H1257:I1257"/>
    <mergeCell ref="S1257:T1257"/>
    <mergeCell ref="U1257:V1257"/>
    <mergeCell ref="AF1257:AG1257"/>
    <mergeCell ref="AH1257:AI1257"/>
    <mergeCell ref="F1254:G1254"/>
    <mergeCell ref="H1254:I1254"/>
    <mergeCell ref="S1254:T1254"/>
    <mergeCell ref="U1254:V1254"/>
    <mergeCell ref="AF1254:AG1254"/>
    <mergeCell ref="AH1254:AI1254"/>
    <mergeCell ref="F1255:G1255"/>
    <mergeCell ref="H1255:I1255"/>
    <mergeCell ref="S1255:T1255"/>
    <mergeCell ref="U1255:V1255"/>
    <mergeCell ref="AF1255:AG1255"/>
    <mergeCell ref="AH1255:AI1255"/>
    <mergeCell ref="U1252:V1252"/>
    <mergeCell ref="AF1252:AG1252"/>
    <mergeCell ref="AH1252:AI1252"/>
    <mergeCell ref="F1253:G1253"/>
    <mergeCell ref="H1253:I1253"/>
    <mergeCell ref="S1253:T1253"/>
    <mergeCell ref="U1253:V1253"/>
    <mergeCell ref="AF1253:AG1253"/>
    <mergeCell ref="AH1253:AI1253"/>
    <mergeCell ref="Q1249:Q1260"/>
    <mergeCell ref="S1249:T1249"/>
    <mergeCell ref="U1249:V1249"/>
    <mergeCell ref="AD1249:AD1260"/>
    <mergeCell ref="AF1249:AG1249"/>
    <mergeCell ref="AH1249:AI1249"/>
    <mergeCell ref="F1250:G1250"/>
    <mergeCell ref="H1250:I1250"/>
    <mergeCell ref="S1250:T1250"/>
    <mergeCell ref="U1250:V1250"/>
    <mergeCell ref="AF1250:AG1250"/>
    <mergeCell ref="F1244:G1244"/>
    <mergeCell ref="H1244:I1244"/>
    <mergeCell ref="S1244:T1244"/>
    <mergeCell ref="U1244:V1244"/>
    <mergeCell ref="AF1244:AG1244"/>
    <mergeCell ref="AH1244:AI1244"/>
    <mergeCell ref="D1246:E1248"/>
    <mergeCell ref="Q1246:R1248"/>
    <mergeCell ref="AD1246:AE1248"/>
    <mergeCell ref="F1247:I1247"/>
    <mergeCell ref="S1247:V1247"/>
    <mergeCell ref="AF1247:AI1247"/>
    <mergeCell ref="F1248:G1248"/>
    <mergeCell ref="H1248:I1248"/>
    <mergeCell ref="S1248:T1248"/>
    <mergeCell ref="U1248:V1248"/>
    <mergeCell ref="AF1248:AG1248"/>
    <mergeCell ref="AH1248:AI1248"/>
    <mergeCell ref="D1233:D1244"/>
    <mergeCell ref="F1233:G1233"/>
    <mergeCell ref="H1233:I1233"/>
    <mergeCell ref="AH1234:AI1234"/>
    <mergeCell ref="F1235:G1235"/>
    <mergeCell ref="H1235:I1235"/>
    <mergeCell ref="S1235:T1235"/>
    <mergeCell ref="U1235:V1235"/>
    <mergeCell ref="AF1235:AG1235"/>
    <mergeCell ref="AH1235:AI1235"/>
    <mergeCell ref="F1236:G1236"/>
    <mergeCell ref="H1236:I1236"/>
    <mergeCell ref="S1236:T1236"/>
    <mergeCell ref="F1242:G1242"/>
    <mergeCell ref="H1242:I1242"/>
    <mergeCell ref="S1242:T1242"/>
    <mergeCell ref="U1242:V1242"/>
    <mergeCell ref="AF1242:AG1242"/>
    <mergeCell ref="AH1242:AI1242"/>
    <mergeCell ref="F1243:G1243"/>
    <mergeCell ref="H1243:I1243"/>
    <mergeCell ref="S1243:T1243"/>
    <mergeCell ref="U1243:V1243"/>
    <mergeCell ref="AF1243:AG1243"/>
    <mergeCell ref="AH1243:AI1243"/>
    <mergeCell ref="F1240:G1240"/>
    <mergeCell ref="H1240:I1240"/>
    <mergeCell ref="S1240:T1240"/>
    <mergeCell ref="U1240:V1240"/>
    <mergeCell ref="AF1240:AG1240"/>
    <mergeCell ref="AH1240:AI1240"/>
    <mergeCell ref="F1241:G1241"/>
    <mergeCell ref="H1241:I1241"/>
    <mergeCell ref="S1241:T1241"/>
    <mergeCell ref="U1241:V1241"/>
    <mergeCell ref="AF1241:AG1241"/>
    <mergeCell ref="AH1241:AI1241"/>
    <mergeCell ref="F1238:G1238"/>
    <mergeCell ref="H1238:I1238"/>
    <mergeCell ref="S1238:T1238"/>
    <mergeCell ref="U1238:V1238"/>
    <mergeCell ref="AF1238:AG1238"/>
    <mergeCell ref="AH1238:AI1238"/>
    <mergeCell ref="F1239:G1239"/>
    <mergeCell ref="H1239:I1239"/>
    <mergeCell ref="S1239:T1239"/>
    <mergeCell ref="U1239:V1239"/>
    <mergeCell ref="AF1239:AG1239"/>
    <mergeCell ref="AH1239:AI1239"/>
    <mergeCell ref="U1236:V1236"/>
    <mergeCell ref="AF1236:AG1236"/>
    <mergeCell ref="AH1236:AI1236"/>
    <mergeCell ref="F1237:G1237"/>
    <mergeCell ref="H1237:I1237"/>
    <mergeCell ref="S1237:T1237"/>
    <mergeCell ref="U1237:V1237"/>
    <mergeCell ref="AF1237:AG1237"/>
    <mergeCell ref="AH1237:AI1237"/>
    <mergeCell ref="Q1233:Q1244"/>
    <mergeCell ref="S1233:T1233"/>
    <mergeCell ref="U1233:V1233"/>
    <mergeCell ref="AD1233:AD1244"/>
    <mergeCell ref="AF1233:AG1233"/>
    <mergeCell ref="AH1233:AI1233"/>
    <mergeCell ref="F1234:G1234"/>
    <mergeCell ref="H1234:I1234"/>
    <mergeCell ref="S1234:T1234"/>
    <mergeCell ref="U1234:V1234"/>
    <mergeCell ref="AF1234:AG1234"/>
    <mergeCell ref="F1227:G1227"/>
    <mergeCell ref="H1227:I1227"/>
    <mergeCell ref="S1227:T1227"/>
    <mergeCell ref="U1227:V1227"/>
    <mergeCell ref="AF1227:AG1227"/>
    <mergeCell ref="AH1227:AI1227"/>
    <mergeCell ref="D1230:E1232"/>
    <mergeCell ref="Q1230:R1232"/>
    <mergeCell ref="AD1230:AE1232"/>
    <mergeCell ref="F1231:I1231"/>
    <mergeCell ref="S1231:V1231"/>
    <mergeCell ref="AF1231:AI1231"/>
    <mergeCell ref="F1232:G1232"/>
    <mergeCell ref="H1232:I1232"/>
    <mergeCell ref="S1232:T1232"/>
    <mergeCell ref="U1232:V1232"/>
    <mergeCell ref="AF1232:AG1232"/>
    <mergeCell ref="AH1232:AI1232"/>
    <mergeCell ref="D1216:D1227"/>
    <mergeCell ref="F1216:G1216"/>
    <mergeCell ref="H1216:I1216"/>
    <mergeCell ref="AH1217:AI1217"/>
    <mergeCell ref="F1218:G1218"/>
    <mergeCell ref="H1218:I1218"/>
    <mergeCell ref="S1218:T1218"/>
    <mergeCell ref="U1218:V1218"/>
    <mergeCell ref="AF1218:AG1218"/>
    <mergeCell ref="AH1218:AI1218"/>
    <mergeCell ref="F1219:G1219"/>
    <mergeCell ref="H1219:I1219"/>
    <mergeCell ref="S1219:T1219"/>
    <mergeCell ref="F1225:G1225"/>
    <mergeCell ref="H1225:I1225"/>
    <mergeCell ref="S1225:T1225"/>
    <mergeCell ref="U1225:V1225"/>
    <mergeCell ref="AF1225:AG1225"/>
    <mergeCell ref="AH1225:AI1225"/>
    <mergeCell ref="F1226:G1226"/>
    <mergeCell ref="H1226:I1226"/>
    <mergeCell ref="S1226:T1226"/>
    <mergeCell ref="U1226:V1226"/>
    <mergeCell ref="AF1226:AG1226"/>
    <mergeCell ref="AH1226:AI1226"/>
    <mergeCell ref="F1223:G1223"/>
    <mergeCell ref="H1223:I1223"/>
    <mergeCell ref="S1223:T1223"/>
    <mergeCell ref="U1223:V1223"/>
    <mergeCell ref="AF1223:AG1223"/>
    <mergeCell ref="AH1223:AI1223"/>
    <mergeCell ref="F1224:G1224"/>
    <mergeCell ref="H1224:I1224"/>
    <mergeCell ref="S1224:T1224"/>
    <mergeCell ref="U1224:V1224"/>
    <mergeCell ref="AF1224:AG1224"/>
    <mergeCell ref="AH1224:AI1224"/>
    <mergeCell ref="F1221:G1221"/>
    <mergeCell ref="H1221:I1221"/>
    <mergeCell ref="S1221:T1221"/>
    <mergeCell ref="U1221:V1221"/>
    <mergeCell ref="AF1221:AG1221"/>
    <mergeCell ref="AH1221:AI1221"/>
    <mergeCell ref="F1222:G1222"/>
    <mergeCell ref="H1222:I1222"/>
    <mergeCell ref="S1222:T1222"/>
    <mergeCell ref="U1222:V1222"/>
    <mergeCell ref="AF1222:AG1222"/>
    <mergeCell ref="AH1222:AI1222"/>
    <mergeCell ref="U1219:V1219"/>
    <mergeCell ref="AF1219:AG1219"/>
    <mergeCell ref="AH1219:AI1219"/>
    <mergeCell ref="F1220:G1220"/>
    <mergeCell ref="H1220:I1220"/>
    <mergeCell ref="S1220:T1220"/>
    <mergeCell ref="U1220:V1220"/>
    <mergeCell ref="AF1220:AG1220"/>
    <mergeCell ref="AH1220:AI1220"/>
    <mergeCell ref="Q1216:Q1227"/>
    <mergeCell ref="S1216:T1216"/>
    <mergeCell ref="U1216:V1216"/>
    <mergeCell ref="AD1216:AD1227"/>
    <mergeCell ref="AF1216:AG1216"/>
    <mergeCell ref="AH1216:AI1216"/>
    <mergeCell ref="F1217:G1217"/>
    <mergeCell ref="H1217:I1217"/>
    <mergeCell ref="S1217:T1217"/>
    <mergeCell ref="U1217:V1217"/>
    <mergeCell ref="AF1217:AG1217"/>
    <mergeCell ref="H1211:I1211"/>
    <mergeCell ref="S1211:T1211"/>
    <mergeCell ref="U1211:V1211"/>
    <mergeCell ref="AF1211:AG1211"/>
    <mergeCell ref="AH1211:AI1211"/>
    <mergeCell ref="D1213:E1215"/>
    <mergeCell ref="Q1213:R1215"/>
    <mergeCell ref="AD1213:AE1215"/>
    <mergeCell ref="F1214:I1214"/>
    <mergeCell ref="S1214:V1214"/>
    <mergeCell ref="AF1214:AI1214"/>
    <mergeCell ref="F1215:G1215"/>
    <mergeCell ref="H1215:I1215"/>
    <mergeCell ref="S1215:T1215"/>
    <mergeCell ref="U1215:V1215"/>
    <mergeCell ref="AF1215:AG1215"/>
    <mergeCell ref="AH1215:AI1215"/>
    <mergeCell ref="D1200:D1211"/>
    <mergeCell ref="F1200:G1200"/>
    <mergeCell ref="H1200:I1200"/>
    <mergeCell ref="AH1201:AI1201"/>
    <mergeCell ref="F1202:G1202"/>
    <mergeCell ref="H1202:I1202"/>
    <mergeCell ref="S1202:T1202"/>
    <mergeCell ref="U1202:V1202"/>
    <mergeCell ref="AF1202:AG1202"/>
    <mergeCell ref="AH1202:AI1202"/>
    <mergeCell ref="F1203:G1203"/>
    <mergeCell ref="H1203:I1203"/>
    <mergeCell ref="S1203:T1203"/>
    <mergeCell ref="F1209:G1209"/>
    <mergeCell ref="AD1200:AD1211"/>
    <mergeCell ref="AF1200:AG1200"/>
    <mergeCell ref="AH1200:AI1200"/>
    <mergeCell ref="F1201:G1201"/>
    <mergeCell ref="H1201:I1201"/>
    <mergeCell ref="S1201:T1201"/>
    <mergeCell ref="U1201:V1201"/>
    <mergeCell ref="AF1201:AG1201"/>
    <mergeCell ref="H1209:I1209"/>
    <mergeCell ref="S1209:T1209"/>
    <mergeCell ref="U1209:V1209"/>
    <mergeCell ref="AF1209:AG1209"/>
    <mergeCell ref="AH1209:AI1209"/>
    <mergeCell ref="F1210:G1210"/>
    <mergeCell ref="H1210:I1210"/>
    <mergeCell ref="S1210:T1210"/>
    <mergeCell ref="U1210:V1210"/>
    <mergeCell ref="AF1210:AG1210"/>
    <mergeCell ref="AH1210:AI1210"/>
    <mergeCell ref="F1207:G1207"/>
    <mergeCell ref="H1207:I1207"/>
    <mergeCell ref="S1207:T1207"/>
    <mergeCell ref="U1207:V1207"/>
    <mergeCell ref="AF1207:AG1207"/>
    <mergeCell ref="AH1207:AI1207"/>
    <mergeCell ref="F1208:G1208"/>
    <mergeCell ref="H1208:I1208"/>
    <mergeCell ref="S1208:T1208"/>
    <mergeCell ref="U1208:V1208"/>
    <mergeCell ref="AF1208:AG1208"/>
    <mergeCell ref="AH1208:AI1208"/>
    <mergeCell ref="U1200:V1200"/>
    <mergeCell ref="F1211:G1211"/>
    <mergeCell ref="S1193:T1193"/>
    <mergeCell ref="U1193:V1193"/>
    <mergeCell ref="S1194:T1194"/>
    <mergeCell ref="U1194:V1194"/>
    <mergeCell ref="F1193:G1193"/>
    <mergeCell ref="H1193:I1193"/>
    <mergeCell ref="F1194:G1194"/>
    <mergeCell ref="H1194:I1194"/>
    <mergeCell ref="F1205:G1205"/>
    <mergeCell ref="H1205:I1205"/>
    <mergeCell ref="S1205:T1205"/>
    <mergeCell ref="U1205:V1205"/>
    <mergeCell ref="AF1205:AG1205"/>
    <mergeCell ref="AH1205:AI1205"/>
    <mergeCell ref="F1206:G1206"/>
    <mergeCell ref="H1206:I1206"/>
    <mergeCell ref="S1206:T1206"/>
    <mergeCell ref="U1206:V1206"/>
    <mergeCell ref="AF1206:AG1206"/>
    <mergeCell ref="AH1206:AI1206"/>
    <mergeCell ref="U1203:V1203"/>
    <mergeCell ref="AF1203:AG1203"/>
    <mergeCell ref="AH1203:AI1203"/>
    <mergeCell ref="F1204:G1204"/>
    <mergeCell ref="H1204:I1204"/>
    <mergeCell ref="S1204:T1204"/>
    <mergeCell ref="U1204:V1204"/>
    <mergeCell ref="AF1204:AG1204"/>
    <mergeCell ref="AH1204:AI1204"/>
    <mergeCell ref="Q1200:Q1211"/>
    <mergeCell ref="S1200:T1200"/>
    <mergeCell ref="AH1194:AI1194"/>
    <mergeCell ref="S1187:T1187"/>
    <mergeCell ref="U1187:V1187"/>
    <mergeCell ref="AF1181:AI1181"/>
    <mergeCell ref="AF1182:AG1182"/>
    <mergeCell ref="AH1182:AI1182"/>
    <mergeCell ref="AD1183:AD1194"/>
    <mergeCell ref="AF1183:AG1183"/>
    <mergeCell ref="AH1183:AI1183"/>
    <mergeCell ref="D1197:E1199"/>
    <mergeCell ref="Q1197:R1199"/>
    <mergeCell ref="AD1197:AE1199"/>
    <mergeCell ref="F1198:I1198"/>
    <mergeCell ref="S1198:V1198"/>
    <mergeCell ref="AF1198:AI1198"/>
    <mergeCell ref="F1199:G1199"/>
    <mergeCell ref="H1199:I1199"/>
    <mergeCell ref="S1199:T1199"/>
    <mergeCell ref="U1199:V1199"/>
    <mergeCell ref="AF1199:AG1199"/>
    <mergeCell ref="AH1199:AI1199"/>
    <mergeCell ref="AH1189:AI1189"/>
    <mergeCell ref="AF1190:AG1190"/>
    <mergeCell ref="AH1190:AI1190"/>
    <mergeCell ref="AF1191:AG1191"/>
    <mergeCell ref="AH1191:AI1191"/>
    <mergeCell ref="AF1192:AG1192"/>
    <mergeCell ref="AH1192:AI1192"/>
    <mergeCell ref="AF1193:AG1193"/>
    <mergeCell ref="AH1193:AI1193"/>
    <mergeCell ref="S1192:T1192"/>
    <mergeCell ref="U1192:V1192"/>
    <mergeCell ref="S1188:T1188"/>
    <mergeCell ref="U1188:V1188"/>
    <mergeCell ref="S1189:T1189"/>
    <mergeCell ref="U1189:V1189"/>
    <mergeCell ref="S1190:T1190"/>
    <mergeCell ref="U1190:V1190"/>
    <mergeCell ref="S1191:T1191"/>
    <mergeCell ref="U1191:V1191"/>
    <mergeCell ref="H1192:I1192"/>
    <mergeCell ref="AD1164:AE1166"/>
    <mergeCell ref="AF1165:AI1165"/>
    <mergeCell ref="AF1166:AG1166"/>
    <mergeCell ref="AH1166:AI1166"/>
    <mergeCell ref="AD1167:AD1178"/>
    <mergeCell ref="Q1180:R1182"/>
    <mergeCell ref="S1181:V1181"/>
    <mergeCell ref="S1182:T1182"/>
    <mergeCell ref="U1182:V1182"/>
    <mergeCell ref="Q1183:Q1194"/>
    <mergeCell ref="S1183:T1183"/>
    <mergeCell ref="U1183:V1183"/>
    <mergeCell ref="S1184:T1184"/>
    <mergeCell ref="U1184:V1184"/>
    <mergeCell ref="S1185:T1185"/>
    <mergeCell ref="U1185:V1185"/>
    <mergeCell ref="S1186:T1186"/>
    <mergeCell ref="U1186:V1186"/>
    <mergeCell ref="AD1180:AE1182"/>
    <mergeCell ref="AF1188:AG1188"/>
    <mergeCell ref="AH1188:AI1188"/>
    <mergeCell ref="AF1189:AG1189"/>
    <mergeCell ref="AF1194:AG1194"/>
    <mergeCell ref="AF1184:AG1184"/>
    <mergeCell ref="AH1184:AI1184"/>
    <mergeCell ref="AF1185:AG1185"/>
    <mergeCell ref="AH1185:AI1185"/>
    <mergeCell ref="AF1186:AG1186"/>
    <mergeCell ref="AH1186:AI1186"/>
    <mergeCell ref="AF1187:AG1187"/>
    <mergeCell ref="AH1187:AI1187"/>
    <mergeCell ref="D1180:E1182"/>
    <mergeCell ref="F1181:I1181"/>
    <mergeCell ref="F1182:G1182"/>
    <mergeCell ref="H1182:I1182"/>
    <mergeCell ref="D1183:D1194"/>
    <mergeCell ref="F1183:G1183"/>
    <mergeCell ref="H1183:I1183"/>
    <mergeCell ref="F1184:G1184"/>
    <mergeCell ref="H1184:I1184"/>
    <mergeCell ref="F1185:G1185"/>
    <mergeCell ref="H1185:I1185"/>
    <mergeCell ref="F1186:G1186"/>
    <mergeCell ref="H1186:I1186"/>
    <mergeCell ref="F1187:G1187"/>
    <mergeCell ref="H1187:I1187"/>
    <mergeCell ref="F1188:G1188"/>
    <mergeCell ref="H1188:I1188"/>
    <mergeCell ref="F1189:G1189"/>
    <mergeCell ref="H1189:I1189"/>
    <mergeCell ref="F1190:G1190"/>
    <mergeCell ref="H1190:I1190"/>
    <mergeCell ref="F1191:G1191"/>
    <mergeCell ref="H1191:I1191"/>
    <mergeCell ref="F1192:G1192"/>
    <mergeCell ref="AF1175:AG1175"/>
    <mergeCell ref="AH1175:AI1175"/>
    <mergeCell ref="AF1176:AG1176"/>
    <mergeCell ref="AH1176:AI1176"/>
    <mergeCell ref="AF1177:AG1177"/>
    <mergeCell ref="AH1177:AI1177"/>
    <mergeCell ref="AF1178:AG1178"/>
    <mergeCell ref="AH1178:AI1178"/>
    <mergeCell ref="U1176:V1176"/>
    <mergeCell ref="S1177:T1177"/>
    <mergeCell ref="U1177:V1177"/>
    <mergeCell ref="S1178:T1178"/>
    <mergeCell ref="U1178:V1178"/>
    <mergeCell ref="AF1167:AG1167"/>
    <mergeCell ref="AH1167:AI1167"/>
    <mergeCell ref="AF1168:AG1168"/>
    <mergeCell ref="AH1168:AI1168"/>
    <mergeCell ref="AF1169:AG1169"/>
    <mergeCell ref="AH1169:AI1169"/>
    <mergeCell ref="AF1170:AG1170"/>
    <mergeCell ref="AH1170:AI1170"/>
    <mergeCell ref="AF1171:AG1171"/>
    <mergeCell ref="AH1171:AI1171"/>
    <mergeCell ref="AF1172:AG1172"/>
    <mergeCell ref="AH1172:AI1172"/>
    <mergeCell ref="AF1173:AG1173"/>
    <mergeCell ref="AH1173:AI1173"/>
    <mergeCell ref="AF1174:AG1174"/>
    <mergeCell ref="AH1174:AI1174"/>
    <mergeCell ref="U1168:V1168"/>
    <mergeCell ref="S1169:T1169"/>
    <mergeCell ref="U1169:V1169"/>
    <mergeCell ref="F1176:G1176"/>
    <mergeCell ref="F1177:G1177"/>
    <mergeCell ref="F1178:G1178"/>
    <mergeCell ref="S1172:T1172"/>
    <mergeCell ref="S1173:T1173"/>
    <mergeCell ref="S1174:T1174"/>
    <mergeCell ref="S1175:T1175"/>
    <mergeCell ref="S1176:T1176"/>
    <mergeCell ref="H1166:I1166"/>
    <mergeCell ref="H1167:I1167"/>
    <mergeCell ref="H1168:I1168"/>
    <mergeCell ref="Q1164:R1166"/>
    <mergeCell ref="S1165:V1165"/>
    <mergeCell ref="S1166:T1166"/>
    <mergeCell ref="U1166:V1166"/>
    <mergeCell ref="Q1167:Q1178"/>
    <mergeCell ref="S1167:T1167"/>
    <mergeCell ref="U1167:V1167"/>
    <mergeCell ref="S1168:T1168"/>
    <mergeCell ref="D176:D187"/>
    <mergeCell ref="S1170:T1170"/>
    <mergeCell ref="U1170:V1170"/>
    <mergeCell ref="S1171:T1171"/>
    <mergeCell ref="U1171:V1171"/>
    <mergeCell ref="H1169:I1169"/>
    <mergeCell ref="H1170:I1170"/>
    <mergeCell ref="H1171:I1171"/>
    <mergeCell ref="H1172:I1172"/>
    <mergeCell ref="H1173:I1173"/>
    <mergeCell ref="H1174:I1174"/>
    <mergeCell ref="H1175:I1175"/>
    <mergeCell ref="H1176:I1176"/>
    <mergeCell ref="H1177:I1177"/>
    <mergeCell ref="H1178:I1178"/>
    <mergeCell ref="U1172:V1172"/>
    <mergeCell ref="U1173:V1173"/>
    <mergeCell ref="U1174:V1174"/>
    <mergeCell ref="U1175:V1175"/>
    <mergeCell ref="D1164:E1166"/>
    <mergeCell ref="D1167:D1178"/>
    <mergeCell ref="F1165:I1165"/>
    <mergeCell ref="F1166:G1166"/>
    <mergeCell ref="F1167:G1167"/>
    <mergeCell ref="F1168:G1168"/>
    <mergeCell ref="F1169:G1169"/>
    <mergeCell ref="F1170:G1170"/>
    <mergeCell ref="F1171:G1171"/>
    <mergeCell ref="F1172:G1172"/>
    <mergeCell ref="F1173:G1173"/>
    <mergeCell ref="F1174:G1174"/>
    <mergeCell ref="F1175:G1175"/>
    <mergeCell ref="AF5:AN6"/>
    <mergeCell ref="F5:N6"/>
    <mergeCell ref="S5:AA6"/>
    <mergeCell ref="Q8:R10"/>
    <mergeCell ref="AD8:AE10"/>
    <mergeCell ref="S9:AB9"/>
    <mergeCell ref="AF9:AO9"/>
    <mergeCell ref="Q11:Q22"/>
    <mergeCell ref="AD11:AD22"/>
    <mergeCell ref="D8:E10"/>
    <mergeCell ref="F9:O9"/>
    <mergeCell ref="D11:D22"/>
    <mergeCell ref="AD123:AE125"/>
    <mergeCell ref="D159:D170"/>
    <mergeCell ref="Q159:Q170"/>
    <mergeCell ref="AD159:AD170"/>
    <mergeCell ref="AF124:AO124"/>
    <mergeCell ref="AF141:AO141"/>
    <mergeCell ref="D107:E109"/>
    <mergeCell ref="Q107:R109"/>
    <mergeCell ref="AD107:AE109"/>
    <mergeCell ref="F108:O108"/>
    <mergeCell ref="S108:AB108"/>
    <mergeCell ref="AF108:AO108"/>
    <mergeCell ref="F157:O157"/>
    <mergeCell ref="D123:E125"/>
    <mergeCell ref="Q123:R125"/>
    <mergeCell ref="B11:B22"/>
    <mergeCell ref="D41:E43"/>
    <mergeCell ref="Q41:R43"/>
    <mergeCell ref="AD41:AE43"/>
    <mergeCell ref="F42:O42"/>
    <mergeCell ref="S42:AB42"/>
    <mergeCell ref="D24:E26"/>
    <mergeCell ref="Q24:R26"/>
    <mergeCell ref="AD24:AE26"/>
    <mergeCell ref="F25:O25"/>
    <mergeCell ref="S25:AB25"/>
    <mergeCell ref="AF58:AO58"/>
    <mergeCell ref="D60:D71"/>
    <mergeCell ref="Q60:Q71"/>
    <mergeCell ref="AD60:AD71"/>
    <mergeCell ref="B44:B55"/>
    <mergeCell ref="D44:D55"/>
    <mergeCell ref="Q44:Q55"/>
    <mergeCell ref="AD44:AD55"/>
    <mergeCell ref="D57:E59"/>
    <mergeCell ref="Q57:R59"/>
    <mergeCell ref="AD57:AE59"/>
    <mergeCell ref="F58:O58"/>
    <mergeCell ref="S58:AB58"/>
    <mergeCell ref="AF25:AO25"/>
    <mergeCell ref="AF42:AO42"/>
    <mergeCell ref="D27:D38"/>
    <mergeCell ref="Q27:Q38"/>
    <mergeCell ref="AD27:AD38"/>
    <mergeCell ref="B77:B88"/>
    <mergeCell ref="AF75:AO75"/>
    <mergeCell ref="D77:D88"/>
    <mergeCell ref="Q77:Q88"/>
    <mergeCell ref="AD77:AD88"/>
    <mergeCell ref="D90:E92"/>
    <mergeCell ref="Q90:R92"/>
    <mergeCell ref="AD90:AE92"/>
    <mergeCell ref="F91:O91"/>
    <mergeCell ref="S91:AB91"/>
    <mergeCell ref="AF91:AO91"/>
    <mergeCell ref="D74:E76"/>
    <mergeCell ref="Q74:R76"/>
    <mergeCell ref="AD74:AE76"/>
    <mergeCell ref="F75:O75"/>
    <mergeCell ref="S75:AB75"/>
    <mergeCell ref="D93:D104"/>
    <mergeCell ref="Q93:Q104"/>
    <mergeCell ref="AD93:AD104"/>
    <mergeCell ref="D192:D203"/>
    <mergeCell ref="D225:D236"/>
    <mergeCell ref="B110:B121"/>
    <mergeCell ref="B143:B154"/>
    <mergeCell ref="D143:D154"/>
    <mergeCell ref="Q143:Q154"/>
    <mergeCell ref="AD143:AD154"/>
    <mergeCell ref="D156:E158"/>
    <mergeCell ref="Q156:R158"/>
    <mergeCell ref="AD156:AE158"/>
    <mergeCell ref="D126:D137"/>
    <mergeCell ref="Q126:Q137"/>
    <mergeCell ref="AD126:AD137"/>
    <mergeCell ref="D140:E142"/>
    <mergeCell ref="Q140:R142"/>
    <mergeCell ref="AD140:AE142"/>
    <mergeCell ref="D206:E208"/>
    <mergeCell ref="Q206:R208"/>
    <mergeCell ref="AD206:AE208"/>
    <mergeCell ref="F124:O124"/>
    <mergeCell ref="S124:AB124"/>
    <mergeCell ref="F141:O141"/>
    <mergeCell ref="S141:AB141"/>
    <mergeCell ref="S190:AB190"/>
    <mergeCell ref="F207:O207"/>
    <mergeCell ref="S207:AB207"/>
    <mergeCell ref="D173:E175"/>
    <mergeCell ref="Q173:R175"/>
    <mergeCell ref="AD173:AE175"/>
    <mergeCell ref="D110:D121"/>
    <mergeCell ref="Q110:Q121"/>
    <mergeCell ref="AD110:AD121"/>
    <mergeCell ref="B176:B187"/>
    <mergeCell ref="B209:B220"/>
    <mergeCell ref="B242:B253"/>
    <mergeCell ref="B275:B286"/>
    <mergeCell ref="D291:D302"/>
    <mergeCell ref="Q291:Q302"/>
    <mergeCell ref="AD291:AD302"/>
    <mergeCell ref="AD192:AD203"/>
    <mergeCell ref="D288:E290"/>
    <mergeCell ref="Q288:R290"/>
    <mergeCell ref="AD288:AE290"/>
    <mergeCell ref="D222:E224"/>
    <mergeCell ref="Q222:R224"/>
    <mergeCell ref="AD222:AE224"/>
    <mergeCell ref="D209:D220"/>
    <mergeCell ref="Q176:Q187"/>
    <mergeCell ref="AD176:AD187"/>
    <mergeCell ref="D189:E191"/>
    <mergeCell ref="Q189:R191"/>
    <mergeCell ref="AD189:AE191"/>
    <mergeCell ref="Q225:Q236"/>
    <mergeCell ref="AD225:AD236"/>
    <mergeCell ref="D239:E241"/>
    <mergeCell ref="D255:E257"/>
    <mergeCell ref="Q192:Q203"/>
    <mergeCell ref="Q239:R241"/>
    <mergeCell ref="AD239:AE241"/>
    <mergeCell ref="F240:O240"/>
    <mergeCell ref="S240:AB240"/>
    <mergeCell ref="F256:O256"/>
    <mergeCell ref="S256:AB256"/>
    <mergeCell ref="Q209:Q220"/>
    <mergeCell ref="D305:E307"/>
    <mergeCell ref="Q305:R307"/>
    <mergeCell ref="AD305:AE307"/>
    <mergeCell ref="S306:AB306"/>
    <mergeCell ref="AF306:AO306"/>
    <mergeCell ref="D275:D286"/>
    <mergeCell ref="Q275:Q286"/>
    <mergeCell ref="AD275:AD286"/>
    <mergeCell ref="D272:E274"/>
    <mergeCell ref="F289:O289"/>
    <mergeCell ref="S289:AB289"/>
    <mergeCell ref="D258:D269"/>
    <mergeCell ref="Q258:Q269"/>
    <mergeCell ref="AD258:AD269"/>
    <mergeCell ref="D242:D253"/>
    <mergeCell ref="Q242:Q253"/>
    <mergeCell ref="AD242:AD253"/>
    <mergeCell ref="AF256:AO256"/>
    <mergeCell ref="Q255:R257"/>
    <mergeCell ref="AD255:AE257"/>
    <mergeCell ref="F306:O306"/>
    <mergeCell ref="Q272:R274"/>
    <mergeCell ref="AD272:AE274"/>
    <mergeCell ref="D371:E373"/>
    <mergeCell ref="Q371:R373"/>
    <mergeCell ref="AD371:AE373"/>
    <mergeCell ref="F388:O388"/>
    <mergeCell ref="D341:D352"/>
    <mergeCell ref="Q341:Q352"/>
    <mergeCell ref="AD341:AD352"/>
    <mergeCell ref="D354:E356"/>
    <mergeCell ref="Q354:R356"/>
    <mergeCell ref="AD354:AE356"/>
    <mergeCell ref="D357:D368"/>
    <mergeCell ref="Q357:Q368"/>
    <mergeCell ref="AD357:AD368"/>
    <mergeCell ref="S388:AB388"/>
    <mergeCell ref="B308:B319"/>
    <mergeCell ref="B341:B352"/>
    <mergeCell ref="B374:B385"/>
    <mergeCell ref="D324:D335"/>
    <mergeCell ref="Q324:Q335"/>
    <mergeCell ref="AD324:AD335"/>
    <mergeCell ref="D338:E340"/>
    <mergeCell ref="Q338:R340"/>
    <mergeCell ref="AD338:AE340"/>
    <mergeCell ref="D308:D319"/>
    <mergeCell ref="Q308:Q319"/>
    <mergeCell ref="AD308:AD319"/>
    <mergeCell ref="D321:E323"/>
    <mergeCell ref="Q321:R323"/>
    <mergeCell ref="AD321:AE323"/>
    <mergeCell ref="F322:O322"/>
    <mergeCell ref="S322:AB322"/>
    <mergeCell ref="F339:O339"/>
    <mergeCell ref="D390:D401"/>
    <mergeCell ref="Q390:Q401"/>
    <mergeCell ref="AD390:AD401"/>
    <mergeCell ref="D374:D385"/>
    <mergeCell ref="Q374:Q385"/>
    <mergeCell ref="AD374:AD385"/>
    <mergeCell ref="D387:E389"/>
    <mergeCell ref="Q387:R389"/>
    <mergeCell ref="D423:D434"/>
    <mergeCell ref="Q423:Q434"/>
    <mergeCell ref="AD423:AD434"/>
    <mergeCell ref="D437:E439"/>
    <mergeCell ref="Q437:R439"/>
    <mergeCell ref="AD437:AE439"/>
    <mergeCell ref="F454:O454"/>
    <mergeCell ref="S454:AB454"/>
    <mergeCell ref="F438:O438"/>
    <mergeCell ref="S438:AB438"/>
    <mergeCell ref="D407:D418"/>
    <mergeCell ref="Q407:Q418"/>
    <mergeCell ref="AD407:AD418"/>
    <mergeCell ref="D420:E422"/>
    <mergeCell ref="Q420:R422"/>
    <mergeCell ref="AD420:AE422"/>
    <mergeCell ref="D404:E406"/>
    <mergeCell ref="Q404:R406"/>
    <mergeCell ref="AD404:AE406"/>
    <mergeCell ref="F405:O405"/>
    <mergeCell ref="S405:AB405"/>
    <mergeCell ref="F421:O421"/>
    <mergeCell ref="D473:D484"/>
    <mergeCell ref="Q473:Q484"/>
    <mergeCell ref="AD473:AD484"/>
    <mergeCell ref="D486:E488"/>
    <mergeCell ref="Q486:R488"/>
    <mergeCell ref="AD486:AE488"/>
    <mergeCell ref="D470:E472"/>
    <mergeCell ref="Q470:R472"/>
    <mergeCell ref="AD470:AE472"/>
    <mergeCell ref="F487:O487"/>
    <mergeCell ref="S487:AB487"/>
    <mergeCell ref="AF487:AO487"/>
    <mergeCell ref="D456:D467"/>
    <mergeCell ref="Q456:Q467"/>
    <mergeCell ref="AD456:AD467"/>
    <mergeCell ref="D440:D451"/>
    <mergeCell ref="Q440:Q451"/>
    <mergeCell ref="AD440:AD451"/>
    <mergeCell ref="D453:E455"/>
    <mergeCell ref="Q453:R455"/>
    <mergeCell ref="AD453:AE455"/>
    <mergeCell ref="F471:O471"/>
    <mergeCell ref="S471:AB471"/>
    <mergeCell ref="AF471:AO471"/>
    <mergeCell ref="D522:D533"/>
    <mergeCell ref="Q522:Q533"/>
    <mergeCell ref="AD522:AD533"/>
    <mergeCell ref="D536:E538"/>
    <mergeCell ref="Q536:R538"/>
    <mergeCell ref="AD536:AE538"/>
    <mergeCell ref="D506:D517"/>
    <mergeCell ref="Q506:Q517"/>
    <mergeCell ref="AD506:AD517"/>
    <mergeCell ref="D519:E521"/>
    <mergeCell ref="Q519:R521"/>
    <mergeCell ref="AD519:AE521"/>
    <mergeCell ref="D489:D500"/>
    <mergeCell ref="Q489:Q500"/>
    <mergeCell ref="AD489:AD500"/>
    <mergeCell ref="D503:E505"/>
    <mergeCell ref="Q503:R505"/>
    <mergeCell ref="AD503:AE505"/>
    <mergeCell ref="F504:O504"/>
    <mergeCell ref="S504:AB504"/>
    <mergeCell ref="F537:O537"/>
    <mergeCell ref="S537:AB537"/>
    <mergeCell ref="F520:O520"/>
    <mergeCell ref="S520:AB520"/>
    <mergeCell ref="AD539:AD550"/>
    <mergeCell ref="D552:E554"/>
    <mergeCell ref="Q552:R554"/>
    <mergeCell ref="AD552:AE554"/>
    <mergeCell ref="F570:O570"/>
    <mergeCell ref="S570:AB570"/>
    <mergeCell ref="AF570:AO570"/>
    <mergeCell ref="F586:O586"/>
    <mergeCell ref="S586:AB586"/>
    <mergeCell ref="AF586:AO586"/>
    <mergeCell ref="F553:O553"/>
    <mergeCell ref="S553:AB553"/>
    <mergeCell ref="AF553:AO553"/>
    <mergeCell ref="AF603:AO603"/>
    <mergeCell ref="F619:O619"/>
    <mergeCell ref="S619:AB619"/>
    <mergeCell ref="AF619:AO619"/>
    <mergeCell ref="D572:D583"/>
    <mergeCell ref="Q572:Q583"/>
    <mergeCell ref="AD572:AD583"/>
    <mergeCell ref="D585:E587"/>
    <mergeCell ref="Q585:R587"/>
    <mergeCell ref="AD585:AE587"/>
    <mergeCell ref="D555:D566"/>
    <mergeCell ref="Q555:Q566"/>
    <mergeCell ref="AD555:AD566"/>
    <mergeCell ref="D569:E571"/>
    <mergeCell ref="Q569:R571"/>
    <mergeCell ref="AD753:AD764"/>
    <mergeCell ref="D800:E802"/>
    <mergeCell ref="Q800:R802"/>
    <mergeCell ref="AD800:AE802"/>
    <mergeCell ref="F801:O801"/>
    <mergeCell ref="S801:AB801"/>
    <mergeCell ref="S784:AA784"/>
    <mergeCell ref="AD569:AE571"/>
    <mergeCell ref="D605:D616"/>
    <mergeCell ref="Q605:Q616"/>
    <mergeCell ref="AD605:AD616"/>
    <mergeCell ref="D618:E620"/>
    <mergeCell ref="Q618:R620"/>
    <mergeCell ref="AD618:AE620"/>
    <mergeCell ref="D588:D599"/>
    <mergeCell ref="Q588:Q599"/>
    <mergeCell ref="AD588:AD599"/>
    <mergeCell ref="D602:E604"/>
    <mergeCell ref="Q602:R604"/>
    <mergeCell ref="AD602:AE604"/>
    <mergeCell ref="AD621:AD632"/>
    <mergeCell ref="F751:O751"/>
    <mergeCell ref="S751:AB751"/>
    <mergeCell ref="D704:D715"/>
    <mergeCell ref="Q704:Q715"/>
    <mergeCell ref="AD704:AD715"/>
    <mergeCell ref="D621:D632"/>
    <mergeCell ref="Q621:Q632"/>
    <mergeCell ref="D767:E769"/>
    <mergeCell ref="Q767:R769"/>
    <mergeCell ref="AD638:AD649"/>
    <mergeCell ref="D651:E653"/>
    <mergeCell ref="Q651:R653"/>
    <mergeCell ref="AD651:AE653"/>
    <mergeCell ref="D671:D682"/>
    <mergeCell ref="D684:E686"/>
    <mergeCell ref="D654:D665"/>
    <mergeCell ref="D668:E670"/>
    <mergeCell ref="F652:O652"/>
    <mergeCell ref="D717:E719"/>
    <mergeCell ref="Q717:R719"/>
    <mergeCell ref="AD717:AE719"/>
    <mergeCell ref="F718:N718"/>
    <mergeCell ref="S718:AA718"/>
    <mergeCell ref="D720:D731"/>
    <mergeCell ref="Q720:Q731"/>
    <mergeCell ref="AD720:AD731"/>
    <mergeCell ref="D638:D649"/>
    <mergeCell ref="Q638:Q649"/>
    <mergeCell ref="D750:E752"/>
    <mergeCell ref="Q750:R752"/>
    <mergeCell ref="AD750:AE752"/>
    <mergeCell ref="D687:D698"/>
    <mergeCell ref="Q687:Q698"/>
    <mergeCell ref="AD687:AD698"/>
    <mergeCell ref="D734:E736"/>
    <mergeCell ref="Q734:R736"/>
    <mergeCell ref="AD734:AE736"/>
    <mergeCell ref="F735:O735"/>
    <mergeCell ref="S735:AB735"/>
    <mergeCell ref="D701:E703"/>
    <mergeCell ref="Q701:R703"/>
    <mergeCell ref="AD701:AE703"/>
    <mergeCell ref="D836:D847"/>
    <mergeCell ref="Q836:Q847"/>
    <mergeCell ref="AD836:AD847"/>
    <mergeCell ref="AD767:AE769"/>
    <mergeCell ref="F768:N768"/>
    <mergeCell ref="S768:AA768"/>
    <mergeCell ref="AD770:AD781"/>
    <mergeCell ref="D786:D797"/>
    <mergeCell ref="Q786:Q797"/>
    <mergeCell ref="AD786:AD797"/>
    <mergeCell ref="D783:E785"/>
    <mergeCell ref="Q783:R785"/>
    <mergeCell ref="AD783:AE785"/>
    <mergeCell ref="F784:N784"/>
    <mergeCell ref="D737:D748"/>
    <mergeCell ref="Q737:Q748"/>
    <mergeCell ref="D753:D764"/>
    <mergeCell ref="Q753:Q764"/>
    <mergeCell ref="D819:D830"/>
    <mergeCell ref="Q819:Q830"/>
    <mergeCell ref="AD819:AD830"/>
    <mergeCell ref="D833:E835"/>
    <mergeCell ref="Q833:R835"/>
    <mergeCell ref="AD833:AE835"/>
    <mergeCell ref="D803:D814"/>
    <mergeCell ref="Q803:Q814"/>
    <mergeCell ref="AD803:AD814"/>
    <mergeCell ref="D816:E818"/>
    <mergeCell ref="Q816:R818"/>
    <mergeCell ref="AD816:AE818"/>
    <mergeCell ref="F850:O850"/>
    <mergeCell ref="S850:AB850"/>
    <mergeCell ref="F817:O817"/>
    <mergeCell ref="S817:AB817"/>
    <mergeCell ref="F834:O834"/>
    <mergeCell ref="S834:AB834"/>
    <mergeCell ref="Q869:Q880"/>
    <mergeCell ref="AD869:AD880"/>
    <mergeCell ref="D882:E884"/>
    <mergeCell ref="Q882:R884"/>
    <mergeCell ref="AD882:AE884"/>
    <mergeCell ref="D852:D863"/>
    <mergeCell ref="Q852:Q863"/>
    <mergeCell ref="AD852:AD863"/>
    <mergeCell ref="D866:E868"/>
    <mergeCell ref="Q866:R868"/>
    <mergeCell ref="AD866:AE868"/>
    <mergeCell ref="F867:O867"/>
    <mergeCell ref="S867:AB867"/>
    <mergeCell ref="D849:E851"/>
    <mergeCell ref="Q849:R851"/>
    <mergeCell ref="AD849:AE851"/>
    <mergeCell ref="AF850:AO850"/>
    <mergeCell ref="D915:E917"/>
    <mergeCell ref="Q915:R917"/>
    <mergeCell ref="AD915:AE917"/>
    <mergeCell ref="B671:B682"/>
    <mergeCell ref="B737:B748"/>
    <mergeCell ref="B803:B814"/>
    <mergeCell ref="B836:B847"/>
    <mergeCell ref="D935:D946"/>
    <mergeCell ref="Q935:Q946"/>
    <mergeCell ref="AD935:AD946"/>
    <mergeCell ref="D948:E950"/>
    <mergeCell ref="Q948:R950"/>
    <mergeCell ref="AD948:AE950"/>
    <mergeCell ref="D918:D929"/>
    <mergeCell ref="Q918:Q929"/>
    <mergeCell ref="AD918:AD929"/>
    <mergeCell ref="D932:E934"/>
    <mergeCell ref="Q932:R934"/>
    <mergeCell ref="AD932:AE934"/>
    <mergeCell ref="D902:D913"/>
    <mergeCell ref="D899:E901"/>
    <mergeCell ref="Q899:R901"/>
    <mergeCell ref="AD899:AE901"/>
    <mergeCell ref="F702:N702"/>
    <mergeCell ref="S702:AA702"/>
    <mergeCell ref="B770:B781"/>
    <mergeCell ref="D770:D781"/>
    <mergeCell ref="Q770:Q781"/>
    <mergeCell ref="D885:D896"/>
    <mergeCell ref="Q885:Q896"/>
    <mergeCell ref="AD885:AD896"/>
    <mergeCell ref="D869:D880"/>
    <mergeCell ref="Q981:R983"/>
    <mergeCell ref="AD981:AE983"/>
    <mergeCell ref="F966:O966"/>
    <mergeCell ref="S966:AB966"/>
    <mergeCell ref="AF966:AO966"/>
    <mergeCell ref="B407:B418"/>
    <mergeCell ref="B440:B451"/>
    <mergeCell ref="B473:B484"/>
    <mergeCell ref="B506:B517"/>
    <mergeCell ref="B539:B550"/>
    <mergeCell ref="B572:B583"/>
    <mergeCell ref="B605:B616"/>
    <mergeCell ref="B638:B649"/>
    <mergeCell ref="B902:B913"/>
    <mergeCell ref="B935:B946"/>
    <mergeCell ref="D965:E967"/>
    <mergeCell ref="Q965:R967"/>
    <mergeCell ref="AD965:AE967"/>
    <mergeCell ref="B869:B880"/>
    <mergeCell ref="D951:D962"/>
    <mergeCell ref="Q951:Q962"/>
    <mergeCell ref="AD951:AD962"/>
    <mergeCell ref="Q902:Q913"/>
    <mergeCell ref="AD902:AD913"/>
    <mergeCell ref="B968:B979"/>
    <mergeCell ref="AD654:AD665"/>
    <mergeCell ref="Q668:R670"/>
    <mergeCell ref="AD668:AE670"/>
    <mergeCell ref="AF867:AO867"/>
    <mergeCell ref="F883:O883"/>
    <mergeCell ref="S883:AB883"/>
    <mergeCell ref="AF883:AO883"/>
    <mergeCell ref="AD1031:AE1033"/>
    <mergeCell ref="D1001:D1012"/>
    <mergeCell ref="D1097:E1099"/>
    <mergeCell ref="D1014:E1016"/>
    <mergeCell ref="AF718:AN718"/>
    <mergeCell ref="AD1014:AE1016"/>
    <mergeCell ref="F1015:O1015"/>
    <mergeCell ref="S1015:AB1015"/>
    <mergeCell ref="AF1015:AO1015"/>
    <mergeCell ref="F1032:O1032"/>
    <mergeCell ref="S1032:AB1032"/>
    <mergeCell ref="AF1032:AO1032"/>
    <mergeCell ref="F1048:O1048"/>
    <mergeCell ref="S1048:AB1048"/>
    <mergeCell ref="AF1048:AO1048"/>
    <mergeCell ref="D984:D995"/>
    <mergeCell ref="Q984:Q995"/>
    <mergeCell ref="AD984:AD995"/>
    <mergeCell ref="D998:E1000"/>
    <mergeCell ref="Q998:R1000"/>
    <mergeCell ref="AD998:AE1000"/>
    <mergeCell ref="Q1001:Q1012"/>
    <mergeCell ref="AD1001:AD1012"/>
    <mergeCell ref="D1017:D1028"/>
    <mergeCell ref="Q1017:Q1028"/>
    <mergeCell ref="AD1017:AD1028"/>
    <mergeCell ref="D1031:E1033"/>
    <mergeCell ref="Q1031:R1033"/>
    <mergeCell ref="D968:D979"/>
    <mergeCell ref="Q968:Q979"/>
    <mergeCell ref="AD968:AD979"/>
    <mergeCell ref="D981:E983"/>
    <mergeCell ref="B1100:B1111"/>
    <mergeCell ref="D1100:D1111"/>
    <mergeCell ref="Q1100:Q1111"/>
    <mergeCell ref="AD1100:AD1111"/>
    <mergeCell ref="D1113:E1115"/>
    <mergeCell ref="Q1113:R1115"/>
    <mergeCell ref="AD1113:AE1115"/>
    <mergeCell ref="D1083:D1094"/>
    <mergeCell ref="Q1083:Q1094"/>
    <mergeCell ref="D1050:D1061"/>
    <mergeCell ref="Q1050:Q1061"/>
    <mergeCell ref="AD1050:AD1061"/>
    <mergeCell ref="D1064:E1066"/>
    <mergeCell ref="Q1064:R1066"/>
    <mergeCell ref="AD1064:AE1066"/>
    <mergeCell ref="D1034:D1045"/>
    <mergeCell ref="Q1034:Q1045"/>
    <mergeCell ref="AD1034:AD1045"/>
    <mergeCell ref="D1047:E1049"/>
    <mergeCell ref="Q1047:R1049"/>
    <mergeCell ref="AD1047:AE1049"/>
    <mergeCell ref="AF207:AO207"/>
    <mergeCell ref="AF240:AO240"/>
    <mergeCell ref="AD209:AD220"/>
    <mergeCell ref="D1080:E1082"/>
    <mergeCell ref="Q1080:R1082"/>
    <mergeCell ref="AD1080:AE1082"/>
    <mergeCell ref="D1116:D1127"/>
    <mergeCell ref="Q1116:Q1127"/>
    <mergeCell ref="AD1116:AD1127"/>
    <mergeCell ref="F1065:O1065"/>
    <mergeCell ref="S1065:AB1065"/>
    <mergeCell ref="F1098:O1098"/>
    <mergeCell ref="S1098:AB1098"/>
    <mergeCell ref="AF1065:AO1065"/>
    <mergeCell ref="F1081:O1081"/>
    <mergeCell ref="S1081:AB1081"/>
    <mergeCell ref="AF1081:AO1081"/>
    <mergeCell ref="F1114:O1114"/>
    <mergeCell ref="S1114:AB1114"/>
    <mergeCell ref="AF1114:AO1114"/>
    <mergeCell ref="AD1083:AD1094"/>
    <mergeCell ref="AF1098:AO1098"/>
    <mergeCell ref="AF801:AO801"/>
    <mergeCell ref="AF817:AO817"/>
    <mergeCell ref="Q671:Q682"/>
    <mergeCell ref="AD671:AD682"/>
    <mergeCell ref="Q684:R686"/>
    <mergeCell ref="AD684:AE686"/>
    <mergeCell ref="Q654:Q665"/>
    <mergeCell ref="AF735:AO735"/>
    <mergeCell ref="AF751:AO751"/>
    <mergeCell ref="AF702:AN702"/>
    <mergeCell ref="AQ140:AR142"/>
    <mergeCell ref="BD140:BE142"/>
    <mergeCell ref="BQ126:BQ137"/>
    <mergeCell ref="CD126:CD137"/>
    <mergeCell ref="F223:O223"/>
    <mergeCell ref="S223:AB223"/>
    <mergeCell ref="AF223:AO223"/>
    <mergeCell ref="AS223:BB223"/>
    <mergeCell ref="BF223:BO223"/>
    <mergeCell ref="BS223:CB223"/>
    <mergeCell ref="CF223:CO223"/>
    <mergeCell ref="CS223:DB223"/>
    <mergeCell ref="DF223:DO223"/>
    <mergeCell ref="F273:O273"/>
    <mergeCell ref="S273:AB273"/>
    <mergeCell ref="AF273:AO273"/>
    <mergeCell ref="AS273:BB273"/>
    <mergeCell ref="BF273:BO273"/>
    <mergeCell ref="BS273:CB273"/>
    <mergeCell ref="CF273:CO273"/>
    <mergeCell ref="CS273:DB273"/>
    <mergeCell ref="DF273:DO273"/>
    <mergeCell ref="S157:AB157"/>
    <mergeCell ref="AF157:AO157"/>
    <mergeCell ref="F174:O174"/>
    <mergeCell ref="S174:AB174"/>
    <mergeCell ref="AF174:AO174"/>
    <mergeCell ref="F190:O190"/>
    <mergeCell ref="AQ143:AQ154"/>
    <mergeCell ref="BD143:BD154"/>
    <mergeCell ref="BQ272:BR274"/>
    <mergeCell ref="AF190:AO190"/>
    <mergeCell ref="AQ588:AQ599"/>
    <mergeCell ref="BD588:BD599"/>
    <mergeCell ref="AQ602:AR604"/>
    <mergeCell ref="BD602:BE604"/>
    <mergeCell ref="AQ605:AQ616"/>
    <mergeCell ref="AQ717:AR719"/>
    <mergeCell ref="BD717:BE719"/>
    <mergeCell ref="AS718:BA718"/>
    <mergeCell ref="AS751:BB751"/>
    <mergeCell ref="AF784:AN784"/>
    <mergeCell ref="AS784:BA784"/>
    <mergeCell ref="Q635:R637"/>
    <mergeCell ref="AD635:AE637"/>
    <mergeCell ref="AS619:BB619"/>
    <mergeCell ref="AQ272:AR274"/>
    <mergeCell ref="BD272:BE274"/>
    <mergeCell ref="AQ275:AQ286"/>
    <mergeCell ref="BD275:BD286"/>
    <mergeCell ref="AF405:AO405"/>
    <mergeCell ref="AQ390:AQ401"/>
    <mergeCell ref="BD390:BD401"/>
    <mergeCell ref="AF388:AO388"/>
    <mergeCell ref="AS388:BB388"/>
    <mergeCell ref="BD341:BD352"/>
    <mergeCell ref="AQ354:AR356"/>
    <mergeCell ref="BD354:BE356"/>
    <mergeCell ref="S339:AB339"/>
    <mergeCell ref="AF339:AO339"/>
    <mergeCell ref="AS339:BB339"/>
    <mergeCell ref="S421:AB421"/>
    <mergeCell ref="AS702:BA702"/>
    <mergeCell ref="AD737:AD748"/>
    <mergeCell ref="DF306:DO306"/>
    <mergeCell ref="AF289:AO289"/>
    <mergeCell ref="AF322:AO322"/>
    <mergeCell ref="AQ305:AR307"/>
    <mergeCell ref="BD305:BE307"/>
    <mergeCell ref="AQ308:AQ319"/>
    <mergeCell ref="BD308:BD319"/>
    <mergeCell ref="AQ321:AR323"/>
    <mergeCell ref="BD321:BE323"/>
    <mergeCell ref="AS322:BB322"/>
    <mergeCell ref="BF322:BO322"/>
    <mergeCell ref="CS322:DB322"/>
    <mergeCell ref="DF322:DO322"/>
    <mergeCell ref="AQ324:AQ335"/>
    <mergeCell ref="BD324:BD335"/>
    <mergeCell ref="AS306:BB306"/>
    <mergeCell ref="BF306:BO306"/>
    <mergeCell ref="AQ291:AQ302"/>
    <mergeCell ref="BD291:BD302"/>
    <mergeCell ref="AS289:BB289"/>
    <mergeCell ref="BF289:BO289"/>
    <mergeCell ref="AQ288:AR290"/>
    <mergeCell ref="BD288:BE290"/>
    <mergeCell ref="CF289:CO289"/>
    <mergeCell ref="CD308:CD319"/>
    <mergeCell ref="CD321:CE323"/>
    <mergeCell ref="CD324:CD335"/>
    <mergeCell ref="CQ291:CQ302"/>
    <mergeCell ref="DD291:DD302"/>
    <mergeCell ref="DD324:DD335"/>
    <mergeCell ref="B1132:B1143"/>
    <mergeCell ref="D1133:D1144"/>
    <mergeCell ref="Z1133:Z1144"/>
    <mergeCell ref="AV1133:AV1144"/>
    <mergeCell ref="D1146:E1148"/>
    <mergeCell ref="Z1146:AA1148"/>
    <mergeCell ref="AV1146:AW1148"/>
    <mergeCell ref="D1149:D1160"/>
    <mergeCell ref="Z1149:Z1160"/>
    <mergeCell ref="AV1149:AV1160"/>
    <mergeCell ref="CS966:DB966"/>
    <mergeCell ref="DF966:DO966"/>
    <mergeCell ref="F982:O982"/>
    <mergeCell ref="S982:AB982"/>
    <mergeCell ref="AF982:AO982"/>
    <mergeCell ref="AS982:BB982"/>
    <mergeCell ref="BF982:BO982"/>
    <mergeCell ref="BS982:CB982"/>
    <mergeCell ref="CF982:CO982"/>
    <mergeCell ref="CS982:DB982"/>
    <mergeCell ref="DF982:DO982"/>
    <mergeCell ref="F999:O999"/>
    <mergeCell ref="S999:AB999"/>
    <mergeCell ref="AF999:AO999"/>
    <mergeCell ref="Q1097:R1099"/>
    <mergeCell ref="AD1097:AE1099"/>
    <mergeCell ref="D1067:D1078"/>
    <mergeCell ref="Q1067:Q1078"/>
    <mergeCell ref="AD1067:AD1078"/>
    <mergeCell ref="B1001:B1012"/>
    <mergeCell ref="B1034:B1045"/>
    <mergeCell ref="B1067:B1078"/>
    <mergeCell ref="CS339:DB339"/>
    <mergeCell ref="DF339:DO339"/>
    <mergeCell ref="F355:O355"/>
    <mergeCell ref="S355:AB355"/>
    <mergeCell ref="AF355:AO355"/>
    <mergeCell ref="AS355:BB355"/>
    <mergeCell ref="BF355:BO355"/>
    <mergeCell ref="BS355:CB355"/>
    <mergeCell ref="CF355:CO355"/>
    <mergeCell ref="CS355:DB355"/>
    <mergeCell ref="DF355:DO355"/>
    <mergeCell ref="AQ338:AR340"/>
    <mergeCell ref="BD338:BE340"/>
    <mergeCell ref="AQ341:AQ352"/>
    <mergeCell ref="D1130:E1132"/>
    <mergeCell ref="Z1130:AA1132"/>
    <mergeCell ref="AV1130:AW1132"/>
    <mergeCell ref="DF669:DO669"/>
    <mergeCell ref="DF685:DO685"/>
    <mergeCell ref="AF504:AO504"/>
    <mergeCell ref="AS504:BB504"/>
    <mergeCell ref="BF504:BO504"/>
    <mergeCell ref="BS504:CB504"/>
    <mergeCell ref="CF504:CO504"/>
    <mergeCell ref="DF421:DO421"/>
    <mergeCell ref="DF834:DO834"/>
    <mergeCell ref="AF636:AO636"/>
    <mergeCell ref="AF652:AO652"/>
    <mergeCell ref="AQ473:AQ484"/>
    <mergeCell ref="BD473:BD484"/>
    <mergeCell ref="AQ486:AR488"/>
    <mergeCell ref="DF372:DO372"/>
    <mergeCell ref="CS388:DB388"/>
    <mergeCell ref="DF388:DO388"/>
    <mergeCell ref="CD387:CE389"/>
    <mergeCell ref="DD387:DE389"/>
    <mergeCell ref="BQ387:BR389"/>
    <mergeCell ref="AD387:AE389"/>
    <mergeCell ref="AS999:BB999"/>
    <mergeCell ref="BF999:BO999"/>
    <mergeCell ref="BS999:CB999"/>
    <mergeCell ref="CF999:CO999"/>
    <mergeCell ref="CS999:DB999"/>
    <mergeCell ref="CS883:DB883"/>
    <mergeCell ref="DF883:DO883"/>
    <mergeCell ref="AQ852:AQ863"/>
    <mergeCell ref="BD852:BD863"/>
    <mergeCell ref="AQ866:AR868"/>
    <mergeCell ref="AF537:AO537"/>
    <mergeCell ref="AQ572:AQ583"/>
    <mergeCell ref="BD572:BD583"/>
    <mergeCell ref="AS487:BB487"/>
    <mergeCell ref="DF850:DO850"/>
    <mergeCell ref="BQ833:BR835"/>
    <mergeCell ref="CD833:CE835"/>
    <mergeCell ref="AQ420:AR422"/>
    <mergeCell ref="BD420:BE422"/>
    <mergeCell ref="DF471:DO471"/>
    <mergeCell ref="AF454:AO454"/>
    <mergeCell ref="AQ470:AR472"/>
    <mergeCell ref="BD470:BE472"/>
    <mergeCell ref="AQ585:AR587"/>
    <mergeCell ref="BD585:BE587"/>
    <mergeCell ref="BS454:CB454"/>
    <mergeCell ref="F372:O372"/>
    <mergeCell ref="S372:AB372"/>
    <mergeCell ref="AF372:AO372"/>
    <mergeCell ref="AS372:BB372"/>
    <mergeCell ref="BF372:BO372"/>
    <mergeCell ref="BS372:CB372"/>
    <mergeCell ref="AQ404:AR406"/>
    <mergeCell ref="BD404:BE406"/>
    <mergeCell ref="AQ407:AQ418"/>
    <mergeCell ref="BD407:BD418"/>
    <mergeCell ref="AS405:BB405"/>
    <mergeCell ref="BF405:BO405"/>
    <mergeCell ref="AQ357:AQ368"/>
    <mergeCell ref="BD357:BD368"/>
    <mergeCell ref="AQ371:AR373"/>
    <mergeCell ref="BD371:BE373"/>
    <mergeCell ref="AQ374:AQ385"/>
    <mergeCell ref="BD374:BD385"/>
    <mergeCell ref="AQ387:AR389"/>
    <mergeCell ref="BD387:BE389"/>
    <mergeCell ref="BF388:BO388"/>
    <mergeCell ref="BS388:CB388"/>
    <mergeCell ref="BF339:BO339"/>
    <mergeCell ref="BS339:CB339"/>
    <mergeCell ref="CD338:CE340"/>
    <mergeCell ref="AF438:AO438"/>
    <mergeCell ref="AS438:BB438"/>
    <mergeCell ref="BF438:BO438"/>
    <mergeCell ref="BS438:CB438"/>
    <mergeCell ref="CF438:CO438"/>
    <mergeCell ref="CS438:DB438"/>
    <mergeCell ref="DF438:DO438"/>
    <mergeCell ref="AQ440:AQ451"/>
    <mergeCell ref="BD440:BD451"/>
    <mergeCell ref="AQ453:AR455"/>
    <mergeCell ref="BD453:BE455"/>
    <mergeCell ref="AQ456:AQ467"/>
    <mergeCell ref="BD456:BD467"/>
    <mergeCell ref="AS454:BB454"/>
    <mergeCell ref="BF454:BO454"/>
    <mergeCell ref="BD437:BE439"/>
    <mergeCell ref="BQ437:BR439"/>
    <mergeCell ref="CD437:CE439"/>
    <mergeCell ref="DF405:DO405"/>
    <mergeCell ref="AF421:AO421"/>
    <mergeCell ref="AS421:BB421"/>
    <mergeCell ref="BF421:BO421"/>
    <mergeCell ref="BS421:CB421"/>
    <mergeCell ref="CF421:CO421"/>
    <mergeCell ref="CF405:CO405"/>
    <mergeCell ref="BQ453:BR455"/>
    <mergeCell ref="CD453:CE455"/>
    <mergeCell ref="BQ456:BQ467"/>
    <mergeCell ref="CD456:CD467"/>
    <mergeCell ref="CF454:CO454"/>
    <mergeCell ref="BQ470:BR472"/>
    <mergeCell ref="CD470:CE472"/>
    <mergeCell ref="BQ404:BR406"/>
    <mergeCell ref="CD404:CE406"/>
    <mergeCell ref="BQ407:BQ418"/>
    <mergeCell ref="CD407:CD418"/>
    <mergeCell ref="BQ420:BR422"/>
    <mergeCell ref="CD420:CE422"/>
    <mergeCell ref="BQ423:BQ434"/>
    <mergeCell ref="CD423:CD434"/>
    <mergeCell ref="AS471:BB471"/>
    <mergeCell ref="BF471:BO471"/>
    <mergeCell ref="BS471:CB471"/>
    <mergeCell ref="CF471:CO471"/>
    <mergeCell ref="CS471:DB471"/>
    <mergeCell ref="CQ404:CR406"/>
    <mergeCell ref="AF520:AO520"/>
    <mergeCell ref="AS520:BB520"/>
    <mergeCell ref="BF520:BO520"/>
    <mergeCell ref="BS520:CB520"/>
    <mergeCell ref="CF520:CO520"/>
    <mergeCell ref="CS520:DB520"/>
    <mergeCell ref="DF520:DO520"/>
    <mergeCell ref="S636:AB636"/>
    <mergeCell ref="S652:AB652"/>
    <mergeCell ref="F603:O603"/>
    <mergeCell ref="S603:AB603"/>
    <mergeCell ref="B704:B715"/>
    <mergeCell ref="F669:O669"/>
    <mergeCell ref="S669:AB669"/>
    <mergeCell ref="AF669:AO669"/>
    <mergeCell ref="AS669:BB669"/>
    <mergeCell ref="BF669:BO669"/>
    <mergeCell ref="BS669:CB669"/>
    <mergeCell ref="CF669:CO669"/>
    <mergeCell ref="CS669:DB669"/>
    <mergeCell ref="F685:O685"/>
    <mergeCell ref="S685:AB685"/>
    <mergeCell ref="AF685:AO685"/>
    <mergeCell ref="AS685:BB685"/>
    <mergeCell ref="BF685:BO685"/>
    <mergeCell ref="BS685:CB685"/>
    <mergeCell ref="CF685:CO685"/>
    <mergeCell ref="DF702:DN702"/>
    <mergeCell ref="D635:E637"/>
    <mergeCell ref="F636:O636"/>
    <mergeCell ref="D539:D550"/>
    <mergeCell ref="Q539:Q550"/>
    <mergeCell ref="F900:O900"/>
    <mergeCell ref="S900:AB900"/>
    <mergeCell ref="AF900:AO900"/>
    <mergeCell ref="AS900:BB900"/>
    <mergeCell ref="BF900:BO900"/>
    <mergeCell ref="BS900:CB900"/>
    <mergeCell ref="CF900:CO900"/>
    <mergeCell ref="CS900:DB900"/>
    <mergeCell ref="DF900:DO900"/>
    <mergeCell ref="F949:O949"/>
    <mergeCell ref="S949:AB949"/>
    <mergeCell ref="AF949:AO949"/>
    <mergeCell ref="AS949:BB949"/>
    <mergeCell ref="BF949:BO949"/>
    <mergeCell ref="BS949:CB949"/>
    <mergeCell ref="CF949:CO949"/>
    <mergeCell ref="CS949:DB949"/>
    <mergeCell ref="DF949:DO949"/>
    <mergeCell ref="F933:O933"/>
    <mergeCell ref="S933:AB933"/>
    <mergeCell ref="AF933:AO933"/>
    <mergeCell ref="F916:O916"/>
    <mergeCell ref="S916:AB916"/>
    <mergeCell ref="AF916:AO916"/>
    <mergeCell ref="BF916:BO916"/>
    <mergeCell ref="AQ899:AR901"/>
    <mergeCell ref="BD899:BE901"/>
    <mergeCell ref="BD902:BD913"/>
    <mergeCell ref="AQ915:AR917"/>
    <mergeCell ref="BD915:BE917"/>
    <mergeCell ref="AQ918:AQ929"/>
    <mergeCell ref="BD918:BD929"/>
    <mergeCell ref="Q1014:R1016"/>
    <mergeCell ref="AQ1031:AR1033"/>
    <mergeCell ref="DF768:DN768"/>
    <mergeCell ref="AQ770:AQ781"/>
    <mergeCell ref="BD770:BD781"/>
    <mergeCell ref="BQ770:BQ781"/>
    <mergeCell ref="CD770:CD781"/>
    <mergeCell ref="CQ770:CQ781"/>
    <mergeCell ref="DD770:DD781"/>
    <mergeCell ref="AQ786:AQ797"/>
    <mergeCell ref="BD786:BD797"/>
    <mergeCell ref="BQ786:BQ797"/>
    <mergeCell ref="CD786:CD797"/>
    <mergeCell ref="CQ786:CQ797"/>
    <mergeCell ref="DD786:DD797"/>
    <mergeCell ref="AQ783:AR785"/>
    <mergeCell ref="BD783:BE785"/>
    <mergeCell ref="BQ783:BR785"/>
    <mergeCell ref="CF933:CO933"/>
    <mergeCell ref="CS933:DB933"/>
    <mergeCell ref="DF933:DO933"/>
    <mergeCell ref="BQ836:BQ847"/>
    <mergeCell ref="CD836:CD847"/>
    <mergeCell ref="BQ849:BR851"/>
    <mergeCell ref="CD849:CE851"/>
    <mergeCell ref="CQ836:CQ847"/>
    <mergeCell ref="DD836:DD847"/>
    <mergeCell ref="CQ849:CR851"/>
    <mergeCell ref="DD849:DE851"/>
    <mergeCell ref="CQ833:CR835"/>
    <mergeCell ref="DD833:DE835"/>
    <mergeCell ref="DF817:DO817"/>
    <mergeCell ref="BF1015:BO1015"/>
    <mergeCell ref="AS1032:BB1032"/>
    <mergeCell ref="BF1032:BO1032"/>
    <mergeCell ref="AQ1047:AR1049"/>
    <mergeCell ref="BD1047:BE1049"/>
    <mergeCell ref="AF768:AN768"/>
    <mergeCell ref="AS768:BA768"/>
    <mergeCell ref="BF768:BN768"/>
    <mergeCell ref="BS768:CA768"/>
    <mergeCell ref="CF768:CN768"/>
    <mergeCell ref="CS768:DA768"/>
    <mergeCell ref="AQ965:AR967"/>
    <mergeCell ref="BD965:BE967"/>
    <mergeCell ref="AQ968:AQ979"/>
    <mergeCell ref="BD968:BD979"/>
    <mergeCell ref="AQ981:AR983"/>
    <mergeCell ref="BD981:BE983"/>
    <mergeCell ref="BF966:BO966"/>
    <mergeCell ref="AQ998:AR1000"/>
    <mergeCell ref="BD998:BE1000"/>
    <mergeCell ref="AQ1001:AQ1012"/>
    <mergeCell ref="BD1001:BD1012"/>
    <mergeCell ref="AQ1014:AR1016"/>
    <mergeCell ref="BD1014:BE1016"/>
    <mergeCell ref="AQ1017:AQ1028"/>
    <mergeCell ref="BD1017:BD1028"/>
    <mergeCell ref="CF916:CO916"/>
    <mergeCell ref="AF834:AO834"/>
    <mergeCell ref="BD866:BE868"/>
    <mergeCell ref="AQ869:AQ880"/>
    <mergeCell ref="BD869:BD880"/>
    <mergeCell ref="AS867:BB867"/>
  </mergeCells>
  <pageMargins left="0.7" right="0.7" top="0.75" bottom="0.75" header="0.3" footer="0.3"/>
  <pageSetup paperSize="9"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2:D101"/>
  <sheetViews>
    <sheetView showGridLines="0" showRowColHeaders="0" zoomScale="80" zoomScaleNormal="80" workbookViewId="0">
      <selection activeCell="E17" sqref="E17"/>
    </sheetView>
  </sheetViews>
  <sheetFormatPr defaultRowHeight="14.25" x14ac:dyDescent="0.45"/>
  <sheetData>
    <row r="2" spans="2:4" ht="18" x14ac:dyDescent="0.55000000000000004">
      <c r="B2" s="72" t="s">
        <v>68</v>
      </c>
      <c r="C2" s="73"/>
      <c r="D2" s="74"/>
    </row>
    <row r="3" spans="2:4" ht="17.25" x14ac:dyDescent="0.45">
      <c r="B3" s="75"/>
      <c r="C3" s="75"/>
      <c r="D3" s="75"/>
    </row>
    <row r="4" spans="2:4" ht="18" x14ac:dyDescent="0.55000000000000004">
      <c r="B4" s="73"/>
      <c r="C4" s="73"/>
      <c r="D4" s="74"/>
    </row>
    <row r="5" spans="2:4" ht="18" x14ac:dyDescent="0.55000000000000004">
      <c r="B5" s="76" t="s">
        <v>67</v>
      </c>
      <c r="C5" s="73"/>
      <c r="D5" s="74"/>
    </row>
    <row r="6" spans="2:4" ht="18" x14ac:dyDescent="0.55000000000000004">
      <c r="B6" s="76"/>
      <c r="C6" s="73"/>
      <c r="D6" s="74"/>
    </row>
    <row r="7" spans="2:4" ht="18" x14ac:dyDescent="0.55000000000000004">
      <c r="B7" s="76" t="s">
        <v>27</v>
      </c>
      <c r="C7" s="73"/>
      <c r="D7" s="74"/>
    </row>
    <row r="8" spans="2:4" ht="18" x14ac:dyDescent="0.55000000000000004">
      <c r="B8" s="76"/>
      <c r="C8" s="73"/>
      <c r="D8" s="74"/>
    </row>
    <row r="9" spans="2:4" ht="18" x14ac:dyDescent="0.55000000000000004">
      <c r="B9" s="76" t="s">
        <v>20</v>
      </c>
      <c r="C9" s="73"/>
      <c r="D9" s="74"/>
    </row>
    <row r="10" spans="2:4" ht="17.25" x14ac:dyDescent="0.45">
      <c r="B10" s="77"/>
      <c r="C10" s="75"/>
      <c r="D10" s="75"/>
    </row>
    <row r="11" spans="2:4" ht="18" x14ac:dyDescent="0.55000000000000004">
      <c r="B11" s="76"/>
      <c r="C11" s="73"/>
      <c r="D11" s="74"/>
    </row>
    <row r="12" spans="2:4" ht="18" x14ac:dyDescent="0.55000000000000004">
      <c r="B12" s="105" t="s">
        <v>103</v>
      </c>
      <c r="C12" s="73"/>
      <c r="D12" s="74"/>
    </row>
    <row r="13" spans="2:4" ht="17.25" x14ac:dyDescent="0.45">
      <c r="B13" s="78"/>
      <c r="C13" s="75"/>
      <c r="D13" s="75"/>
    </row>
    <row r="14" spans="2:4" ht="18" x14ac:dyDescent="0.55000000000000004">
      <c r="B14" s="105"/>
      <c r="C14" s="73"/>
      <c r="D14" s="74"/>
    </row>
    <row r="15" spans="2:4" ht="18" x14ac:dyDescent="0.55000000000000004">
      <c r="B15" s="105" t="s">
        <v>28</v>
      </c>
      <c r="C15" s="73"/>
      <c r="D15" s="74"/>
    </row>
    <row r="16" spans="2:4" ht="18" x14ac:dyDescent="0.55000000000000004">
      <c r="B16" s="105"/>
      <c r="C16" s="73"/>
      <c r="D16" s="74"/>
    </row>
    <row r="17" spans="2:4" ht="18" x14ac:dyDescent="0.55000000000000004">
      <c r="B17" s="105" t="s">
        <v>29</v>
      </c>
      <c r="C17" s="73"/>
      <c r="D17" s="74"/>
    </row>
    <row r="18" spans="2:4" ht="17.25" x14ac:dyDescent="0.45">
      <c r="B18" s="105"/>
      <c r="C18" s="73"/>
      <c r="D18" s="79"/>
    </row>
    <row r="19" spans="2:4" ht="17.25" x14ac:dyDescent="0.45">
      <c r="B19" s="150" t="s">
        <v>122</v>
      </c>
      <c r="C19" s="150"/>
      <c r="D19" s="150"/>
    </row>
    <row r="20" spans="2:4" ht="17.649999999999999" x14ac:dyDescent="0.5">
      <c r="B20" s="80"/>
      <c r="C20" s="81"/>
      <c r="D20" s="81"/>
    </row>
    <row r="21" spans="2:4" ht="17.649999999999999" x14ac:dyDescent="0.5">
      <c r="B21" s="105" t="s">
        <v>30</v>
      </c>
      <c r="C21" s="81"/>
      <c r="D21" s="81"/>
    </row>
    <row r="22" spans="2:4" ht="17.25" x14ac:dyDescent="0.45">
      <c r="B22" s="105"/>
      <c r="C22" s="73"/>
      <c r="D22" s="79"/>
    </row>
    <row r="23" spans="2:4" ht="17.649999999999999" x14ac:dyDescent="0.45">
      <c r="B23" s="105" t="s">
        <v>31</v>
      </c>
      <c r="C23" s="82"/>
      <c r="D23" s="79"/>
    </row>
    <row r="24" spans="2:4" ht="17.649999999999999" x14ac:dyDescent="0.5">
      <c r="B24" s="80" t="s">
        <v>90</v>
      </c>
      <c r="C24" s="81" t="s">
        <v>69</v>
      </c>
      <c r="D24" s="79"/>
    </row>
    <row r="25" spans="2:4" ht="17.649999999999999" x14ac:dyDescent="0.5">
      <c r="B25" s="105"/>
      <c r="C25" s="81" t="s">
        <v>71</v>
      </c>
      <c r="D25" s="79"/>
    </row>
    <row r="26" spans="2:4" ht="17.649999999999999" x14ac:dyDescent="0.5">
      <c r="B26" s="105"/>
      <c r="C26" s="81" t="s">
        <v>70</v>
      </c>
      <c r="D26" s="79"/>
    </row>
    <row r="27" spans="2:4" ht="17.25" x14ac:dyDescent="0.45">
      <c r="B27" s="78"/>
      <c r="C27" s="75"/>
      <c r="D27" s="75"/>
    </row>
    <row r="28" spans="2:4" ht="18" x14ac:dyDescent="0.55000000000000004">
      <c r="B28" s="76"/>
      <c r="C28" s="73"/>
      <c r="D28" s="74"/>
    </row>
    <row r="29" spans="2:4" ht="18" x14ac:dyDescent="0.55000000000000004">
      <c r="B29" s="105" t="s">
        <v>104</v>
      </c>
      <c r="C29" s="73"/>
      <c r="D29" s="74"/>
    </row>
    <row r="30" spans="2:4" ht="18" x14ac:dyDescent="0.55000000000000004">
      <c r="B30" s="105"/>
      <c r="C30" s="73"/>
      <c r="D30" s="74"/>
    </row>
    <row r="31" spans="2:4" ht="17.649999999999999" x14ac:dyDescent="0.45">
      <c r="B31" s="105" t="s">
        <v>123</v>
      </c>
      <c r="C31" s="82"/>
      <c r="D31" s="79"/>
    </row>
    <row r="32" spans="2:4" ht="17.25" x14ac:dyDescent="0.45">
      <c r="B32" s="105"/>
      <c r="C32" s="73"/>
      <c r="D32" s="79"/>
    </row>
    <row r="33" spans="2:4" ht="18" x14ac:dyDescent="0.55000000000000004">
      <c r="B33" s="83" t="s">
        <v>33</v>
      </c>
      <c r="C33" s="73"/>
      <c r="D33" s="74"/>
    </row>
    <row r="34" spans="2:4" ht="18" x14ac:dyDescent="0.55000000000000004">
      <c r="B34" s="83"/>
      <c r="C34" s="73"/>
      <c r="D34" s="74"/>
    </row>
    <row r="35" spans="2:4" ht="18" x14ac:dyDescent="0.55000000000000004">
      <c r="B35" s="105" t="s">
        <v>32</v>
      </c>
      <c r="C35" s="73"/>
      <c r="D35" s="74"/>
    </row>
    <row r="36" spans="2:4" ht="17.25" x14ac:dyDescent="0.45">
      <c r="B36" s="77"/>
      <c r="C36" s="75"/>
      <c r="D36" s="75"/>
    </row>
    <row r="37" spans="2:4" ht="17.25" x14ac:dyDescent="0.45">
      <c r="B37" s="76"/>
      <c r="C37" s="73"/>
      <c r="D37" s="79"/>
    </row>
    <row r="38" spans="2:4" ht="18" x14ac:dyDescent="0.55000000000000004">
      <c r="B38" s="105" t="s">
        <v>34</v>
      </c>
      <c r="C38" s="73"/>
      <c r="D38" s="74"/>
    </row>
    <row r="39" spans="2:4" ht="18" x14ac:dyDescent="0.55000000000000004">
      <c r="B39" s="105"/>
      <c r="C39" s="73"/>
      <c r="D39" s="74"/>
    </row>
    <row r="40" spans="2:4" ht="18" x14ac:dyDescent="0.55000000000000004">
      <c r="B40" s="105" t="s">
        <v>35</v>
      </c>
      <c r="C40" s="73"/>
      <c r="D40" s="74"/>
    </row>
    <row r="41" spans="2:4" ht="18" x14ac:dyDescent="0.55000000000000004">
      <c r="B41" s="105"/>
      <c r="C41" s="73"/>
      <c r="D41" s="74"/>
    </row>
    <row r="42" spans="2:4" ht="18" x14ac:dyDescent="0.55000000000000004">
      <c r="B42" s="105" t="s">
        <v>36</v>
      </c>
      <c r="C42" s="73"/>
      <c r="D42" s="74"/>
    </row>
    <row r="43" spans="2:4" ht="18" x14ac:dyDescent="0.55000000000000004">
      <c r="B43" s="105"/>
      <c r="C43" s="73"/>
      <c r="D43" s="74"/>
    </row>
    <row r="44" spans="2:4" ht="18" x14ac:dyDescent="0.55000000000000004">
      <c r="B44" s="105" t="s">
        <v>39</v>
      </c>
      <c r="C44" s="73"/>
      <c r="D44" s="74"/>
    </row>
    <row r="45" spans="2:4" ht="18" x14ac:dyDescent="0.55000000000000004">
      <c r="B45" s="105"/>
      <c r="C45" s="73"/>
      <c r="D45" s="74"/>
    </row>
    <row r="46" spans="2:4" ht="18" x14ac:dyDescent="0.55000000000000004">
      <c r="B46" s="105" t="s">
        <v>40</v>
      </c>
      <c r="C46" s="73"/>
      <c r="D46" s="74"/>
    </row>
    <row r="47" spans="2:4" ht="17.25" x14ac:dyDescent="0.45">
      <c r="B47" s="78"/>
      <c r="C47" s="75"/>
      <c r="D47" s="75"/>
    </row>
    <row r="48" spans="2:4" ht="18" x14ac:dyDescent="0.55000000000000004">
      <c r="B48" s="105"/>
      <c r="C48" s="73"/>
      <c r="D48" s="74"/>
    </row>
    <row r="49" spans="2:4" ht="18" x14ac:dyDescent="0.55000000000000004">
      <c r="B49" s="105" t="s">
        <v>37</v>
      </c>
      <c r="C49" s="73"/>
      <c r="D49" s="74"/>
    </row>
    <row r="50" spans="2:4" ht="18" x14ac:dyDescent="0.55000000000000004">
      <c r="B50" s="105"/>
      <c r="C50" s="73"/>
      <c r="D50" s="74"/>
    </row>
    <row r="51" spans="2:4" ht="18" x14ac:dyDescent="0.55000000000000004">
      <c r="B51" s="105" t="s">
        <v>38</v>
      </c>
      <c r="C51" s="73"/>
      <c r="D51" s="74"/>
    </row>
    <row r="52" spans="2:4" ht="18" x14ac:dyDescent="0.55000000000000004">
      <c r="B52" s="105"/>
      <c r="C52" s="73"/>
      <c r="D52" s="74"/>
    </row>
    <row r="53" spans="2:4" ht="18" x14ac:dyDescent="0.55000000000000004">
      <c r="B53" s="105" t="s">
        <v>14</v>
      </c>
      <c r="C53" s="73"/>
      <c r="D53" s="74"/>
    </row>
    <row r="54" spans="2:4" ht="17.25" x14ac:dyDescent="0.45">
      <c r="B54" s="105"/>
      <c r="C54" s="73"/>
      <c r="D54" s="105"/>
    </row>
    <row r="55" spans="2:4" ht="17.649999999999999" x14ac:dyDescent="0.45">
      <c r="B55" s="105" t="s">
        <v>125</v>
      </c>
      <c r="C55" s="82"/>
      <c r="D55" s="84"/>
    </row>
    <row r="56" spans="2:4" ht="17.649999999999999" x14ac:dyDescent="0.5">
      <c r="B56" s="80" t="s">
        <v>90</v>
      </c>
      <c r="C56" s="85" t="s">
        <v>72</v>
      </c>
      <c r="D56" s="84"/>
    </row>
    <row r="57" spans="2:4" ht="17.649999999999999" x14ac:dyDescent="0.5">
      <c r="B57" s="105"/>
      <c r="C57" s="85" t="s">
        <v>73</v>
      </c>
      <c r="D57" s="84"/>
    </row>
    <row r="58" spans="2:4" ht="17.649999999999999" x14ac:dyDescent="0.5">
      <c r="B58" s="105"/>
      <c r="C58" s="85" t="s">
        <v>74</v>
      </c>
      <c r="D58" s="84"/>
    </row>
    <row r="59" spans="2:4" ht="17.649999999999999" x14ac:dyDescent="0.5">
      <c r="B59" s="105"/>
      <c r="C59" s="85" t="s">
        <v>76</v>
      </c>
      <c r="D59" s="84"/>
    </row>
    <row r="60" spans="2:4" ht="17.649999999999999" x14ac:dyDescent="0.5">
      <c r="B60" s="105"/>
      <c r="C60" s="85" t="s">
        <v>77</v>
      </c>
      <c r="D60" s="84"/>
    </row>
    <row r="61" spans="2:4" ht="17.649999999999999" x14ac:dyDescent="0.5">
      <c r="B61" s="105"/>
      <c r="C61" s="85" t="s">
        <v>78</v>
      </c>
      <c r="D61" s="84"/>
    </row>
    <row r="62" spans="2:4" ht="17.649999999999999" x14ac:dyDescent="0.5">
      <c r="B62" s="105"/>
      <c r="C62" s="85" t="s">
        <v>79</v>
      </c>
      <c r="D62" s="84"/>
    </row>
    <row r="63" spans="2:4" ht="17.649999999999999" x14ac:dyDescent="0.5">
      <c r="B63" s="105"/>
      <c r="C63" s="85" t="s">
        <v>81</v>
      </c>
      <c r="D63" s="84"/>
    </row>
    <row r="64" spans="2:4" ht="17.649999999999999" x14ac:dyDescent="0.5">
      <c r="B64" s="105"/>
      <c r="C64" s="85" t="s">
        <v>83</v>
      </c>
      <c r="D64" s="84"/>
    </row>
    <row r="65" spans="2:4" ht="17.649999999999999" x14ac:dyDescent="0.5">
      <c r="B65" s="105"/>
      <c r="C65" s="85" t="s">
        <v>84</v>
      </c>
      <c r="D65" s="84"/>
    </row>
    <row r="66" spans="2:4" ht="17.649999999999999" x14ac:dyDescent="0.5">
      <c r="B66" s="105"/>
      <c r="C66" s="85" t="s">
        <v>86</v>
      </c>
      <c r="D66" s="84"/>
    </row>
    <row r="67" spans="2:4" ht="17.649999999999999" x14ac:dyDescent="0.5">
      <c r="B67" s="105"/>
      <c r="C67" s="85"/>
      <c r="D67" s="84"/>
    </row>
    <row r="68" spans="2:4" ht="17.649999999999999" x14ac:dyDescent="0.5">
      <c r="B68" s="105" t="s">
        <v>126</v>
      </c>
      <c r="C68" s="85"/>
      <c r="D68" s="84"/>
    </row>
    <row r="69" spans="2:4" ht="17.649999999999999" x14ac:dyDescent="0.5">
      <c r="B69" s="80" t="s">
        <v>90</v>
      </c>
      <c r="C69" s="85" t="s">
        <v>75</v>
      </c>
      <c r="D69" s="84"/>
    </row>
    <row r="70" spans="2:4" ht="17.649999999999999" x14ac:dyDescent="0.5">
      <c r="B70" s="105"/>
      <c r="C70" s="85" t="s">
        <v>80</v>
      </c>
      <c r="D70" s="84"/>
    </row>
    <row r="71" spans="2:4" ht="17.649999999999999" x14ac:dyDescent="0.5">
      <c r="B71" s="105"/>
      <c r="C71" s="85" t="s">
        <v>82</v>
      </c>
      <c r="D71" s="84"/>
    </row>
    <row r="72" spans="2:4" ht="17.649999999999999" x14ac:dyDescent="0.5">
      <c r="B72" s="105"/>
      <c r="C72" s="85" t="s">
        <v>85</v>
      </c>
      <c r="D72" s="84"/>
    </row>
    <row r="73" spans="2:4" ht="17.25" x14ac:dyDescent="0.45">
      <c r="B73" s="105"/>
      <c r="C73" s="73"/>
      <c r="D73" s="79"/>
    </row>
    <row r="74" spans="2:4" ht="17.649999999999999" x14ac:dyDescent="0.45">
      <c r="B74" s="105" t="s">
        <v>41</v>
      </c>
      <c r="C74" s="82"/>
      <c r="D74" s="84"/>
    </row>
    <row r="75" spans="2:4" ht="17.649999999999999" x14ac:dyDescent="0.5">
      <c r="B75" s="80" t="s">
        <v>90</v>
      </c>
      <c r="C75" s="85" t="s">
        <v>88</v>
      </c>
      <c r="D75" s="84"/>
    </row>
    <row r="76" spans="2:4" ht="17.649999999999999" x14ac:dyDescent="0.5">
      <c r="B76" s="105"/>
      <c r="C76" s="85" t="s">
        <v>87</v>
      </c>
      <c r="D76" s="84"/>
    </row>
    <row r="77" spans="2:4" ht="17.649999999999999" x14ac:dyDescent="0.5">
      <c r="B77" s="105"/>
      <c r="C77" s="85" t="s">
        <v>89</v>
      </c>
      <c r="D77" s="84"/>
    </row>
    <row r="78" spans="2:4" ht="17.649999999999999" x14ac:dyDescent="0.5">
      <c r="B78" s="106"/>
      <c r="C78" s="85"/>
      <c r="D78" s="84"/>
    </row>
    <row r="79" spans="2:4" ht="17.649999999999999" x14ac:dyDescent="0.5">
      <c r="B79" s="106" t="s">
        <v>120</v>
      </c>
      <c r="C79" s="85"/>
      <c r="D79" s="84"/>
    </row>
    <row r="80" spans="2:4" ht="17.649999999999999" x14ac:dyDescent="0.5">
      <c r="B80" s="80" t="s">
        <v>90</v>
      </c>
      <c r="C80" s="85" t="s">
        <v>121</v>
      </c>
      <c r="D80" s="84"/>
    </row>
    <row r="81" spans="2:4" ht="17.25" x14ac:dyDescent="0.45">
      <c r="B81" s="78"/>
      <c r="C81" s="75"/>
      <c r="D81" s="75"/>
    </row>
    <row r="82" spans="2:4" ht="18" x14ac:dyDescent="0.55000000000000004">
      <c r="B82" s="83"/>
      <c r="C82" s="73"/>
      <c r="D82" s="74"/>
    </row>
    <row r="83" spans="2:4" ht="18" x14ac:dyDescent="0.55000000000000004">
      <c r="B83" s="105" t="s">
        <v>51</v>
      </c>
      <c r="C83" s="73"/>
      <c r="D83" s="74"/>
    </row>
    <row r="84" spans="2:4" ht="18" x14ac:dyDescent="0.55000000000000004">
      <c r="B84" s="105"/>
      <c r="C84" s="73"/>
      <c r="D84" s="74"/>
    </row>
    <row r="85" spans="2:4" ht="18" x14ac:dyDescent="0.55000000000000004">
      <c r="B85" s="105" t="s">
        <v>48</v>
      </c>
      <c r="C85" s="73"/>
      <c r="D85" s="74"/>
    </row>
    <row r="86" spans="2:4" ht="18" x14ac:dyDescent="0.55000000000000004">
      <c r="B86" s="105"/>
      <c r="C86" s="73"/>
      <c r="D86" s="74"/>
    </row>
    <row r="87" spans="2:4" ht="18" x14ac:dyDescent="0.55000000000000004">
      <c r="B87" s="86" t="s">
        <v>42</v>
      </c>
      <c r="C87" s="73"/>
      <c r="D87" s="74"/>
    </row>
    <row r="88" spans="2:4" ht="18" x14ac:dyDescent="0.55000000000000004">
      <c r="B88" s="86"/>
      <c r="C88" s="73"/>
      <c r="D88" s="74"/>
    </row>
    <row r="89" spans="2:4" ht="18" x14ac:dyDescent="0.55000000000000004">
      <c r="B89" s="86" t="s">
        <v>49</v>
      </c>
      <c r="C89" s="73"/>
      <c r="D89" s="74"/>
    </row>
    <row r="90" spans="2:4" ht="18" x14ac:dyDescent="0.55000000000000004">
      <c r="B90" s="86"/>
      <c r="C90" s="73"/>
      <c r="D90" s="74"/>
    </row>
    <row r="91" spans="2:4" ht="18" x14ac:dyDescent="0.55000000000000004">
      <c r="B91" s="105" t="s">
        <v>43</v>
      </c>
      <c r="C91" s="73"/>
      <c r="D91" s="74"/>
    </row>
    <row r="92" spans="2:4" ht="18" x14ac:dyDescent="0.55000000000000004">
      <c r="B92" s="105"/>
      <c r="C92" s="73"/>
      <c r="D92" s="74"/>
    </row>
    <row r="93" spans="2:4" ht="18" x14ac:dyDescent="0.55000000000000004">
      <c r="B93" s="83" t="s">
        <v>44</v>
      </c>
      <c r="C93" s="73"/>
      <c r="D93" s="74"/>
    </row>
    <row r="94" spans="2:4" ht="18" x14ac:dyDescent="0.55000000000000004">
      <c r="B94" s="83"/>
      <c r="C94" s="73"/>
      <c r="D94" s="74"/>
    </row>
    <row r="95" spans="2:4" ht="18" x14ac:dyDescent="0.55000000000000004">
      <c r="B95" s="105" t="s">
        <v>50</v>
      </c>
      <c r="C95" s="73"/>
      <c r="D95" s="74"/>
    </row>
    <row r="96" spans="2:4" ht="18" x14ac:dyDescent="0.55000000000000004">
      <c r="B96" s="105"/>
      <c r="C96" s="73"/>
      <c r="D96" s="74"/>
    </row>
    <row r="97" spans="2:4" ht="18" x14ac:dyDescent="0.55000000000000004">
      <c r="B97" s="105" t="s">
        <v>45</v>
      </c>
      <c r="C97" s="73"/>
      <c r="D97" s="74"/>
    </row>
    <row r="98" spans="2:4" ht="18" x14ac:dyDescent="0.55000000000000004">
      <c r="B98" s="105"/>
      <c r="C98" s="73"/>
      <c r="D98" s="74"/>
    </row>
    <row r="99" spans="2:4" ht="18" x14ac:dyDescent="0.55000000000000004">
      <c r="B99" s="105" t="s">
        <v>46</v>
      </c>
      <c r="C99" s="73"/>
      <c r="D99" s="74"/>
    </row>
    <row r="100" spans="2:4" ht="18" x14ac:dyDescent="0.55000000000000004">
      <c r="B100" s="105"/>
      <c r="C100" s="73"/>
      <c r="D100" s="74"/>
    </row>
    <row r="101" spans="2:4" ht="18" x14ac:dyDescent="0.55000000000000004">
      <c r="B101" s="105" t="s">
        <v>47</v>
      </c>
      <c r="C101" s="73"/>
      <c r="D101" s="74"/>
    </row>
  </sheetData>
  <sheetProtection algorithmName="SHA-512" hashValue="WuQ3lbuivksxw1SxpxQSddFuVt6nTH0xUHgMRs4I2iRyN8pfDvTAPjUIRM690Cxtsw7rj9aiKfb7nNyOXLvw4w==" saltValue="Ae3EZKc0oqZF0t4RMoVfrA==" spinCount="100000" sheet="1" objects="1" scenarios="1" selectLockedCells="1" selectUnlockedCells="1"/>
  <mergeCells count="1">
    <mergeCell ref="B19:D19"/>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T59"/>
  <sheetViews>
    <sheetView workbookViewId="0">
      <selection activeCell="G2" sqref="G2"/>
    </sheetView>
  </sheetViews>
  <sheetFormatPr defaultRowHeight="14.25" x14ac:dyDescent="0.45"/>
  <cols>
    <col min="1" max="1" width="34.73046875" customWidth="1"/>
    <col min="2" max="2" width="23.1328125" customWidth="1"/>
    <col min="3" max="3" width="23" customWidth="1"/>
    <col min="4" max="4" width="21.1328125" customWidth="1"/>
    <col min="5" max="5" width="24.3984375" customWidth="1"/>
    <col min="6" max="6" width="16.265625" customWidth="1"/>
    <col min="7" max="7" width="14" customWidth="1"/>
    <col min="8" max="8" width="15.86328125" customWidth="1"/>
    <col min="9" max="9" width="16" customWidth="1"/>
    <col min="10" max="10" width="11" customWidth="1"/>
    <col min="11" max="11" width="24.265625" customWidth="1"/>
    <col min="12" max="12" width="11.3984375" customWidth="1"/>
  </cols>
  <sheetData>
    <row r="1" spans="1:20" x14ac:dyDescent="0.45">
      <c r="A1" s="27" t="s">
        <v>55</v>
      </c>
      <c r="B1" s="28" t="s">
        <v>55</v>
      </c>
      <c r="C1" s="11" t="s">
        <v>17</v>
      </c>
      <c r="D1" s="11" t="s">
        <v>55</v>
      </c>
      <c r="E1" s="28" t="s">
        <v>55</v>
      </c>
      <c r="F1" s="55" t="s">
        <v>55</v>
      </c>
      <c r="G1" s="55" t="str">
        <f>IF($F$1="English Language","English_Language",IF($F$1="English Literature","English_Literature",IF($F$1="Mathematics","Mathematics",IF($F$1="Physics","Physics",IF($F$1="Chemistry","Chemistry",IF($F$1="Biology","Biology",IF($F$1="Computer Science","Computer_Science",IF($F$1="Other Sciences","Other_Sciences",IF($F$1="Food Preparation and Nutrition","Food_Preparation_and_Nutrition",IF($F$1="Design &amp; Technology","Design_Technology",IF($F$1="Engineering","Engineering",IF($F$1="Business Studies","Business_Studies",IF($F$1="Geography","Geography",IF($F$1="History","History",IF($F$1="Economics","Economics",IF($F$1="Psychology","Psychology",IF($F$1="Sociology","Sociology",IF($F$1="French","French",IF($F$1="German","German",IF($F$1="Spanish","Spanish",IF($F$1="Other Modern Languages 9 to 1","Other_Modern_Languages_9_to_1",IF($F$1="Other Modern Languages A* to G","Other_Modern_Languages_A_to_G",IF($F$1="Classical Studies","Classical_Studies",IF($F$1="Ancient Languages","Ancient_Languages",IF($F$1="Art &amp; Design","Art_Design",IF($F$1="Citizenship Studies","Citizenship_Studies",IF($F$1="Dance","Dance",IF($F$1="Media Studies","Media_Studies",IF($F$1="Music","Music",IF($F$1="Performing Arts","Performing_Arts",IF($F$1="Photography","Photography",IF($F$1="Physical Education","Physical_Education",IF($F$1="Religious Studies","Religious_Studies",IF($F$1="Statistics","Statistics",$F$1))))))))))))))))))))))))))))))))))</f>
        <v>Please Select</v>
      </c>
      <c r="H1" s="56" t="s">
        <v>55</v>
      </c>
      <c r="I1" s="56" t="str">
        <f>IF($H$1="English Language","English_Language",IF($H$1="English Literature","English_Literature",IF($H$1="Mathematics","Mathematics",IF($H$1="Physics","Physics",IF($H$1="Chemistry","Chemistry",IF($H$1="Biology","Biology",IF($H$1="Computer Science","Computer_Science",IF($H$1="Other Sciences","Other_Sciences",IF($H$1="Food Preparation and Nutrition","Food_Preparation_and_Nutrition",IF($H$1="Design &amp; Technology","Design_Technology",IF($H$1="Engineering","Engineering",IF($H$1="Business Studies","Business_Studies",IF($H$1="Geography","Geography",IF($H$1="History","History",IF($H$1="Economics","Economics",IF($H$1="Psychology","Psychology",IF($H$1="Sociology","Sociology",IF($H$1="French","French",IF($H$1="German","German",IF($H$1="Spanish","Spanish",IF($H$1="Other Modern Languages 9 to 1","Other_Modern_Languages_9_to_1",IF($H$1="Other Modern Languages A* to G","Other_Modern_Languages_A_to_G",IF($H$1="Classical Studies","Classical_Studies",IF($H$1="Ancient Languages","Ancient_Languages",IF($H$1="Art &amp; Design","Art_Design",IF($H$1="Citizenship Studies","Citizenship_Studies",IF($H$1="Dance","Dance",IF($H$1="Media Studies","Media_Studies",IF($H$1="Music","Music",IF($H$1="Performing Arts","Performing_Arts",IF($H$1="Photography","Photography",IF($H$1="Physical Education","Physical_Education",IF($H$1="Religious Studies","Religious_Studies",IF($H$1="Statistics","Statistics",$H$1))))))))))))))))))))))))))))))))))</f>
        <v>Please Select</v>
      </c>
      <c r="J1" s="57" t="s">
        <v>55</v>
      </c>
      <c r="K1" s="55" t="str">
        <f>IF($J$1="Ebacc Entry","Ebacc_Entry",IF($J$1="Ebacc Achievement 9-4","Ebacc_94",IF($J$1="Ebacc Achievement 9-5","Ebacc_95",IF($J$1="English &amp; Mathematics Achievement 9-4","EM_94",IF($J$1="English &amp; Mathematics Achievement 9-5","EM_95",$J$1)))))</f>
        <v>Please Select</v>
      </c>
      <c r="L1" s="55" t="s">
        <v>55</v>
      </c>
      <c r="M1" s="55" t="str">
        <f>IF($L$1="Ebacc Entry","Ebacc_Entry",IF($L$1="Ebacc Achievement 9-4","Ebacc_94",IF($L$1="Ebacc Achievement 9-5","Ebacc_95",IF($L$1="English &amp; Mathematics Achievement 9-4","EM_94",IF($L$1="English &amp; Mathematics Achievement 9-5","EM_95",$L$1)))))</f>
        <v>Please Select</v>
      </c>
      <c r="R1" s="41">
        <v>1</v>
      </c>
      <c r="S1" s="41">
        <v>1</v>
      </c>
      <c r="T1" s="41" t="s">
        <v>93</v>
      </c>
    </row>
    <row r="2" spans="1:20" x14ac:dyDescent="0.45">
      <c r="A2" s="30"/>
      <c r="B2" s="28"/>
      <c r="C2" s="11"/>
      <c r="D2" s="29"/>
      <c r="E2" s="28"/>
      <c r="F2" s="55"/>
      <c r="G2" s="55" t="s">
        <v>55</v>
      </c>
      <c r="H2" s="56"/>
      <c r="I2" s="56" t="s">
        <v>55</v>
      </c>
      <c r="J2" s="57"/>
      <c r="K2" s="55" t="s">
        <v>55</v>
      </c>
      <c r="L2" s="55"/>
      <c r="M2" s="55" t="s">
        <v>55</v>
      </c>
      <c r="R2" s="41"/>
      <c r="S2" s="41">
        <v>2</v>
      </c>
      <c r="T2" s="41" t="s">
        <v>94</v>
      </c>
    </row>
    <row r="3" spans="1:20" x14ac:dyDescent="0.45">
      <c r="A3" s="30" t="s">
        <v>67</v>
      </c>
      <c r="B3" s="28" t="s">
        <v>21</v>
      </c>
      <c r="C3" s="11" t="s">
        <v>1</v>
      </c>
      <c r="D3" s="11" t="s">
        <v>1</v>
      </c>
      <c r="E3" s="28" t="s">
        <v>59</v>
      </c>
      <c r="F3" s="55"/>
      <c r="G3" s="55" t="s">
        <v>17</v>
      </c>
      <c r="H3" s="56"/>
      <c r="I3" s="56" t="s">
        <v>55</v>
      </c>
      <c r="J3" s="57"/>
      <c r="K3" s="55"/>
      <c r="L3" s="55"/>
      <c r="M3" s="55" t="s">
        <v>55</v>
      </c>
      <c r="R3" s="41"/>
      <c r="S3" s="41">
        <v>3</v>
      </c>
      <c r="T3" s="41" t="s">
        <v>95</v>
      </c>
    </row>
    <row r="4" spans="1:20" ht="15.4" x14ac:dyDescent="0.45">
      <c r="A4" s="30" t="s">
        <v>27</v>
      </c>
      <c r="B4" s="28" t="s">
        <v>22</v>
      </c>
      <c r="C4" s="11">
        <v>1</v>
      </c>
      <c r="D4" s="11">
        <v>1</v>
      </c>
      <c r="E4" s="38" t="s">
        <v>60</v>
      </c>
      <c r="F4" s="2"/>
      <c r="R4" s="41"/>
      <c r="S4" s="41">
        <v>4</v>
      </c>
      <c r="T4" s="41" t="s">
        <v>96</v>
      </c>
    </row>
    <row r="5" spans="1:20" x14ac:dyDescent="0.45">
      <c r="A5" s="30" t="s">
        <v>20</v>
      </c>
      <c r="B5" s="29"/>
      <c r="C5" s="11">
        <v>2</v>
      </c>
      <c r="D5" s="11" t="s">
        <v>2</v>
      </c>
      <c r="E5" s="38" t="s">
        <v>61</v>
      </c>
      <c r="F5" s="36"/>
      <c r="G5" s="36" t="str">
        <f>IF(ISBLANK('KS2-4 Subject TMs'!E$15),"",'KS2-4 Subject TMs'!E$15)</f>
        <v>U</v>
      </c>
      <c r="H5" s="36">
        <f>IF(ISBLANK('KS2-4 Subject TMs'!F$15),"",'KS2-4 Subject TMs'!F$15)</f>
        <v>1</v>
      </c>
      <c r="I5" s="36">
        <f>IF(ISBLANK('KS2-4 Subject TMs'!G$15),"",'KS2-4 Subject TMs'!G$15)</f>
        <v>2</v>
      </c>
      <c r="J5" s="36">
        <f>IF(ISBLANK('KS2-4 Subject TMs'!H$15),"",'KS2-4 Subject TMs'!H$15)</f>
        <v>3</v>
      </c>
      <c r="K5" s="36">
        <f>IF(ISBLANK('KS2-4 Subject TMs'!I$15),"",'KS2-4 Subject TMs'!I$15)</f>
        <v>4</v>
      </c>
      <c r="L5" s="36">
        <f>IF(ISBLANK('KS2-4 Subject TMs'!J$15),"",'KS2-4 Subject TMs'!J$15)</f>
        <v>5</v>
      </c>
      <c r="M5" s="36">
        <f>IF(ISBLANK('KS2-4 Subject TMs'!K$15),"",'KS2-4 Subject TMs'!K$15)</f>
        <v>6</v>
      </c>
      <c r="N5" s="36">
        <f>IF(ISBLANK('KS2-4 Subject TMs'!L$15),"",'KS2-4 Subject TMs'!L$15)</f>
        <v>7</v>
      </c>
      <c r="O5" s="36">
        <f>IF(ISBLANK('KS2-4 Subject TMs'!M$15),"",'KS2-4 Subject TMs'!M$15)</f>
        <v>8</v>
      </c>
      <c r="P5" s="36">
        <f>IF(ISBLANK('KS2-4 Subject TMs'!N$15),"",'KS2-4 Subject TMs'!N$15)</f>
        <v>9</v>
      </c>
      <c r="Q5" s="33"/>
    </row>
    <row r="6" spans="1:20" x14ac:dyDescent="0.45">
      <c r="A6" s="30"/>
      <c r="B6" s="29"/>
      <c r="C6" s="11" t="s">
        <v>3</v>
      </c>
      <c r="D6" s="11" t="s">
        <v>3</v>
      </c>
      <c r="E6" s="38" t="s">
        <v>62</v>
      </c>
      <c r="F6" s="37" t="str">
        <f>IF(NOT(OR(Inputs!$G$1="Please Select",Inputs!$G$1="",Inputs!$G$2="Please Select",Inputs!$G$2="")),IF($G$3="All",'KS2-4 Subject TMs'!D$16,IF($G$3='KS2-4 Subject TMs'!$D$16,'KS2-4 Subject TMs'!D$16,"")),"")</f>
        <v/>
      </c>
      <c r="G6" s="37" t="str">
        <f ca="1">IF($G$3="All",'KS2-4 Subject TMs'!E$16,IF($G$3='KS2-4 Subject TMs'!$D$16,'KS2-4 Subject TMs'!E$16,""))</f>
        <v/>
      </c>
      <c r="H6" s="37" t="str">
        <f ca="1">IF($G$3="All",'KS2-4 Subject TMs'!F$16,IF($G$3='KS2-4 Subject TMs'!$D$16,'KS2-4 Subject TMs'!F$16,""))</f>
        <v/>
      </c>
      <c r="I6" s="37" t="str">
        <f ca="1">IF($G$3="All",'KS2-4 Subject TMs'!G$16,IF($G$3='KS2-4 Subject TMs'!$D$16,'KS2-4 Subject TMs'!G$16,""))</f>
        <v/>
      </c>
      <c r="J6" s="37" t="str">
        <f ca="1">IF($G$3="All",'KS2-4 Subject TMs'!H$16,IF($G$3='KS2-4 Subject TMs'!$D$16,'KS2-4 Subject TMs'!H$16,""))</f>
        <v/>
      </c>
      <c r="K6" s="37" t="str">
        <f ca="1">IF($G$3="All",'KS2-4 Subject TMs'!I$16,IF($G$3='KS2-4 Subject TMs'!$D$16,'KS2-4 Subject TMs'!I$16,""))</f>
        <v/>
      </c>
      <c r="L6" s="37" t="str">
        <f ca="1">IF($G$3="All",'KS2-4 Subject TMs'!J$16,IF($G$3='KS2-4 Subject TMs'!$D$16,'KS2-4 Subject TMs'!J$16,""))</f>
        <v/>
      </c>
      <c r="M6" s="37" t="str">
        <f ca="1">IF($G$3="All",'KS2-4 Subject TMs'!K$16,IF($G$3='KS2-4 Subject TMs'!$D$16,'KS2-4 Subject TMs'!K$16,""))</f>
        <v/>
      </c>
      <c r="N6" s="37" t="str">
        <f ca="1">IF($G$3="All",'KS2-4 Subject TMs'!L$16,IF($G$3='KS2-4 Subject TMs'!$D$16,'KS2-4 Subject TMs'!L$16,""))</f>
        <v/>
      </c>
      <c r="O6" s="37" t="str">
        <f ca="1">IF($G$3="All",'KS2-4 Subject TMs'!M$16,IF($G$3='KS2-4 Subject TMs'!$D$16,'KS2-4 Subject TMs'!M$16,""))</f>
        <v/>
      </c>
      <c r="P6" s="37" t="str">
        <f ca="1">IF($G$3="All",'KS2-4 Subject TMs'!N$16,IF($G$3='KS2-4 Subject TMs'!$D$16,'KS2-4 Subject TMs'!N$16,""))</f>
        <v/>
      </c>
      <c r="Q6" s="33"/>
    </row>
    <row r="7" spans="1:20" x14ac:dyDescent="0.45">
      <c r="A7" s="31" t="s">
        <v>28</v>
      </c>
      <c r="B7" s="29"/>
      <c r="C7" s="11" t="s">
        <v>4</v>
      </c>
      <c r="D7" s="11" t="s">
        <v>4</v>
      </c>
      <c r="E7" s="38" t="s">
        <v>63</v>
      </c>
      <c r="F7" s="37" t="str">
        <f>IF(NOT(OR(Inputs!$G$1="Please Select",Inputs!$G$1="",Inputs!$G$2="Please Select",Inputs!$G$2="")),IF($G$3="All",'KS2-4 Subject TMs'!D$17,IF($G$3='KS2-4 Subject TMs'!$D$17,'KS2-4 Subject TMs'!D$17,"")),"")</f>
        <v/>
      </c>
      <c r="G7" s="37" t="str">
        <f ca="1">IF($G$3="All",'KS2-4 Subject TMs'!E$17,IF($G$3='KS2-4 Subject TMs'!$D$17,'KS2-4 Subject TMs'!E$17,""))</f>
        <v/>
      </c>
      <c r="H7" s="37" t="str">
        <f ca="1">IF($G$3="All",'KS2-4 Subject TMs'!F$17,IF($G$3='KS2-4 Subject TMs'!$D$17,'KS2-4 Subject TMs'!F$17,""))</f>
        <v/>
      </c>
      <c r="I7" s="37" t="str">
        <f ca="1">IF($G$3="All",'KS2-4 Subject TMs'!G$17,IF($G$3='KS2-4 Subject TMs'!$D$17,'KS2-4 Subject TMs'!G$17,""))</f>
        <v/>
      </c>
      <c r="J7" s="37" t="str">
        <f ca="1">IF($G$3="All",'KS2-4 Subject TMs'!H$17,IF($G$3='KS2-4 Subject TMs'!$D$17,'KS2-4 Subject TMs'!H$17,""))</f>
        <v/>
      </c>
      <c r="K7" s="37" t="str">
        <f ca="1">IF($G$3="All",'KS2-4 Subject TMs'!I$17,IF($G$3='KS2-4 Subject TMs'!$D$17,'KS2-4 Subject TMs'!I$17,""))</f>
        <v/>
      </c>
      <c r="L7" s="37" t="str">
        <f ca="1">IF($G$3="All",'KS2-4 Subject TMs'!J$17,IF($G$3='KS2-4 Subject TMs'!$D$17,'KS2-4 Subject TMs'!J$17,""))</f>
        <v/>
      </c>
      <c r="M7" s="37" t="str">
        <f ca="1">IF($G$3="All",'KS2-4 Subject TMs'!K$17,IF($G$3='KS2-4 Subject TMs'!$D$17,'KS2-4 Subject TMs'!K$17,""))</f>
        <v/>
      </c>
      <c r="N7" s="37" t="str">
        <f ca="1">IF($G$3="All",'KS2-4 Subject TMs'!L$17,IF($G$3='KS2-4 Subject TMs'!$D$17,'KS2-4 Subject TMs'!L$17,""))</f>
        <v/>
      </c>
      <c r="O7" s="37" t="str">
        <f ca="1">IF($G$3="All",'KS2-4 Subject TMs'!M$17,IF($G$3='KS2-4 Subject TMs'!$D$17,'KS2-4 Subject TMs'!M$17,""))</f>
        <v/>
      </c>
      <c r="P7" s="37" t="str">
        <f ca="1">IF($G$3="All",'KS2-4 Subject TMs'!N$17,IF($G$3='KS2-4 Subject TMs'!$D$17,'KS2-4 Subject TMs'!N$17,""))</f>
        <v/>
      </c>
      <c r="Q7" s="33"/>
    </row>
    <row r="8" spans="1:20" x14ac:dyDescent="0.45">
      <c r="A8" s="31" t="s">
        <v>29</v>
      </c>
      <c r="B8" s="29"/>
      <c r="C8" s="11" t="s">
        <v>5</v>
      </c>
      <c r="D8" s="11" t="s">
        <v>5</v>
      </c>
      <c r="E8" s="28" t="str">
        <f>IF($G$3='KS2-4 Subject TMs'!$D$17,'KS2-4 Subject TMs'!D$17,"")</f>
        <v/>
      </c>
      <c r="F8" s="37" t="str">
        <f>IF(NOT(OR(Inputs!$G$1="Please Select",Inputs!$G$1="",Inputs!$G$2="Please Select",Inputs!$G$2="")),IF($G$3="All",'KS2-4 Subject TMs'!D$18,IF($G$3='KS2-4 Subject TMs'!$D$18,'KS2-4 Subject TMs'!D$18,"")),"")</f>
        <v/>
      </c>
      <c r="G8" s="37" t="str">
        <f ca="1">IF($G$3="All",'KS2-4 Subject TMs'!E$18,IF($G$3='KS2-4 Subject TMs'!$D$18,'KS2-4 Subject TMs'!E$18,""))</f>
        <v/>
      </c>
      <c r="H8" s="37" t="str">
        <f ca="1">IF($G$3="All",'KS2-4 Subject TMs'!F$18,IF($G$3='KS2-4 Subject TMs'!$D$18,'KS2-4 Subject TMs'!F$18,""))</f>
        <v/>
      </c>
      <c r="I8" s="37" t="str">
        <f ca="1">IF($G$3="All",'KS2-4 Subject TMs'!G$18,IF($G$3='KS2-4 Subject TMs'!$D$18,'KS2-4 Subject TMs'!G$18,""))</f>
        <v/>
      </c>
      <c r="J8" s="37" t="str">
        <f ca="1">IF($G$3="All",'KS2-4 Subject TMs'!H$18,IF($G$3='KS2-4 Subject TMs'!$D$18,'KS2-4 Subject TMs'!H$18,""))</f>
        <v/>
      </c>
      <c r="K8" s="37" t="str">
        <f ca="1">IF($G$3="All",'KS2-4 Subject TMs'!I$18,IF($G$3='KS2-4 Subject TMs'!$D$18,'KS2-4 Subject TMs'!I$18,""))</f>
        <v/>
      </c>
      <c r="L8" s="37" t="str">
        <f ca="1">IF($G$3="All",'KS2-4 Subject TMs'!J$18,IF($G$3='KS2-4 Subject TMs'!$D$18,'KS2-4 Subject TMs'!J$18,""))</f>
        <v/>
      </c>
      <c r="M8" s="37" t="str">
        <f ca="1">IF($G$3="All",'KS2-4 Subject TMs'!K$18,IF($G$3='KS2-4 Subject TMs'!$D$18,'KS2-4 Subject TMs'!K$18,""))</f>
        <v/>
      </c>
      <c r="N8" s="37" t="str">
        <f ca="1">IF($G$3="All",'KS2-4 Subject TMs'!L$18,IF($G$3='KS2-4 Subject TMs'!$D$18,'KS2-4 Subject TMs'!L$18,""))</f>
        <v/>
      </c>
      <c r="O8" s="37" t="str">
        <f ca="1">IF($G$3="All",'KS2-4 Subject TMs'!M$18,IF($G$3='KS2-4 Subject TMs'!$D$18,'KS2-4 Subject TMs'!M$18,""))</f>
        <v/>
      </c>
      <c r="P8" s="37" t="str">
        <f ca="1">IF($G$3="All",'KS2-4 Subject TMs'!N$18,IF($G$3='KS2-4 Subject TMs'!$D$18,'KS2-4 Subject TMs'!N$18,""))</f>
        <v/>
      </c>
      <c r="Q8" s="33"/>
    </row>
    <row r="9" spans="1:20" x14ac:dyDescent="0.45">
      <c r="A9" s="31" t="s">
        <v>122</v>
      </c>
      <c r="B9" s="29"/>
      <c r="C9" s="11" t="s">
        <v>6</v>
      </c>
      <c r="D9" s="11" t="s">
        <v>6</v>
      </c>
      <c r="E9" s="28"/>
      <c r="F9" s="37" t="str">
        <f>IF(NOT(OR(Inputs!$G$1="Please Select",Inputs!$G$1="",Inputs!$G$2="Please Select",Inputs!$G$2="")),IF($G$3="All",'KS2-4 Subject TMs'!D$19,IF($G$3='KS2-4 Subject TMs'!$D$19,'KS2-4 Subject TMs'!D$19,"")),"")</f>
        <v/>
      </c>
      <c r="G9" s="37" t="str">
        <f ca="1">IF($G$3="All",'KS2-4 Subject TMs'!E$19,IF($G$3='KS2-4 Subject TMs'!$D$19,'KS2-4 Subject TMs'!E$19,""))</f>
        <v/>
      </c>
      <c r="H9" s="37" t="str">
        <f ca="1">IF($G$3="All",'KS2-4 Subject TMs'!F$19,IF($G$3='KS2-4 Subject TMs'!$D$19,'KS2-4 Subject TMs'!F$19,""))</f>
        <v/>
      </c>
      <c r="I9" s="37" t="str">
        <f ca="1">IF($G$3="All",'KS2-4 Subject TMs'!G$19,IF($G$3='KS2-4 Subject TMs'!$D$19,'KS2-4 Subject TMs'!G$19,""))</f>
        <v/>
      </c>
      <c r="J9" s="37" t="str">
        <f ca="1">IF($G$3="All",'KS2-4 Subject TMs'!H$19,IF($G$3='KS2-4 Subject TMs'!$D$19,'KS2-4 Subject TMs'!H$19,""))</f>
        <v/>
      </c>
      <c r="K9" s="37" t="str">
        <f ca="1">IF($G$3="All",'KS2-4 Subject TMs'!I$19,IF($G$3='KS2-4 Subject TMs'!$D$19,'KS2-4 Subject TMs'!I$19,""))</f>
        <v/>
      </c>
      <c r="L9" s="37" t="str">
        <f ca="1">IF($G$3="All",'KS2-4 Subject TMs'!J$19,IF($G$3='KS2-4 Subject TMs'!$D$19,'KS2-4 Subject TMs'!J$19,""))</f>
        <v/>
      </c>
      <c r="M9" s="37" t="str">
        <f ca="1">IF($G$3="All",'KS2-4 Subject TMs'!K$19,IF($G$3='KS2-4 Subject TMs'!$D$19,'KS2-4 Subject TMs'!K$19,""))</f>
        <v/>
      </c>
      <c r="N9" s="37" t="str">
        <f ca="1">IF($G$3="All",'KS2-4 Subject TMs'!L$19,IF($G$3='KS2-4 Subject TMs'!$D$19,'KS2-4 Subject TMs'!L$19,""))</f>
        <v/>
      </c>
      <c r="O9" s="37" t="str">
        <f ca="1">IF($G$3="All",'KS2-4 Subject TMs'!M$19,IF($G$3='KS2-4 Subject TMs'!$D$19,'KS2-4 Subject TMs'!M$19,""))</f>
        <v/>
      </c>
      <c r="P9" s="37" t="str">
        <f ca="1">IF($G$3="All",'KS2-4 Subject TMs'!N$19,IF($G$3='KS2-4 Subject TMs'!$D$19,'KS2-4 Subject TMs'!N$19,""))</f>
        <v/>
      </c>
      <c r="Q9" s="33"/>
    </row>
    <row r="10" spans="1:20" x14ac:dyDescent="0.45">
      <c r="A10" s="31" t="s">
        <v>30</v>
      </c>
      <c r="B10" s="29"/>
      <c r="C10" s="11" t="s">
        <v>7</v>
      </c>
      <c r="D10" s="11" t="s">
        <v>7</v>
      </c>
      <c r="E10" s="28"/>
      <c r="F10" s="37" t="str">
        <f>IF(NOT(OR(Inputs!$G$1="Please Select",Inputs!$G$1="",Inputs!$G$2="Please Select",Inputs!$G$2="")),IF($G$3="All",'KS2-4 Subject TMs'!D$20,IF($G$3='KS2-4 Subject TMs'!$D$20,'KS2-4 Subject TMs'!D$20,"")),"")</f>
        <v/>
      </c>
      <c r="G10" s="37" t="str">
        <f ca="1">IF($G$3="All",'KS2-4 Subject TMs'!E$20,IF($G$3='KS2-4 Subject TMs'!$D$20,'KS2-4 Subject TMs'!E$20,""))</f>
        <v/>
      </c>
      <c r="H10" s="37" t="str">
        <f ca="1">IF($G$3="All",'KS2-4 Subject TMs'!F$20,IF($G$3='KS2-4 Subject TMs'!$D$20,'KS2-4 Subject TMs'!F$20,""))</f>
        <v/>
      </c>
      <c r="I10" s="37" t="str">
        <f ca="1">IF($G$3="All",'KS2-4 Subject TMs'!G$20,IF($G$3='KS2-4 Subject TMs'!$D$20,'KS2-4 Subject TMs'!G$20,""))</f>
        <v/>
      </c>
      <c r="J10" s="37" t="str">
        <f ca="1">IF($G$3="All",'KS2-4 Subject TMs'!H$20,IF($G$3='KS2-4 Subject TMs'!$D$20,'KS2-4 Subject TMs'!H$20,""))</f>
        <v/>
      </c>
      <c r="K10" s="37" t="str">
        <f ca="1">IF($G$3="All",'KS2-4 Subject TMs'!I$20,IF($G$3='KS2-4 Subject TMs'!$D$20,'KS2-4 Subject TMs'!I$20,""))</f>
        <v/>
      </c>
      <c r="L10" s="37" t="str">
        <f ca="1">IF($G$3="All",'KS2-4 Subject TMs'!J$20,IF($G$3='KS2-4 Subject TMs'!$D$20,'KS2-4 Subject TMs'!J$20,""))</f>
        <v/>
      </c>
      <c r="M10" s="37" t="str">
        <f ca="1">IF($G$3="All",'KS2-4 Subject TMs'!K$20,IF($G$3='KS2-4 Subject TMs'!$D$20,'KS2-4 Subject TMs'!K$20,""))</f>
        <v/>
      </c>
      <c r="N10" s="37" t="str">
        <f ca="1">IF($G$3="All",'KS2-4 Subject TMs'!L$20,IF($G$3='KS2-4 Subject TMs'!$D$20,'KS2-4 Subject TMs'!L$20,""))</f>
        <v/>
      </c>
      <c r="O10" s="37" t="str">
        <f ca="1">IF($G$3="All",'KS2-4 Subject TMs'!M$20,IF($G$3='KS2-4 Subject TMs'!$D$20,'KS2-4 Subject TMs'!M$20,""))</f>
        <v/>
      </c>
      <c r="P10" s="37" t="str">
        <f ca="1">IF($G$3="All",'KS2-4 Subject TMs'!N$20,IF($G$3='KS2-4 Subject TMs'!$D$20,'KS2-4 Subject TMs'!N$20,""))</f>
        <v/>
      </c>
      <c r="Q10" s="33"/>
    </row>
    <row r="11" spans="1:20" x14ac:dyDescent="0.45">
      <c r="A11" s="31" t="s">
        <v>31</v>
      </c>
      <c r="B11" s="29"/>
      <c r="C11" s="11" t="s">
        <v>8</v>
      </c>
      <c r="D11" s="11" t="s">
        <v>8</v>
      </c>
      <c r="E11" s="28"/>
      <c r="F11" s="37" t="str">
        <f>IF(NOT(OR(Inputs!$G$1="Please Select",Inputs!$G$1="",Inputs!$G$2="Please Select",Inputs!$G$2="")),IF($G$3="All",'KS2-4 Subject TMs'!D$21,IF($G$3='KS2-4 Subject TMs'!$D$21,'KS2-4 Subject TMs'!D$21,"")),"")</f>
        <v/>
      </c>
      <c r="G11" s="37" t="str">
        <f ca="1">IF($G$3="All",'KS2-4 Subject TMs'!E$21,IF($G$3='KS2-4 Subject TMs'!$D$21,'KS2-4 Subject TMs'!E$21,""))</f>
        <v/>
      </c>
      <c r="H11" s="37" t="str">
        <f ca="1">IF($G$3="All",'KS2-4 Subject TMs'!F$21,IF($G$3='KS2-4 Subject TMs'!$D$21,'KS2-4 Subject TMs'!F$21,""))</f>
        <v/>
      </c>
      <c r="I11" s="37" t="str">
        <f ca="1">IF($G$3="All",'KS2-4 Subject TMs'!G$21,IF($G$3='KS2-4 Subject TMs'!$D$21,'KS2-4 Subject TMs'!G$21,""))</f>
        <v/>
      </c>
      <c r="J11" s="37" t="str">
        <f ca="1">IF($G$3="All",'KS2-4 Subject TMs'!H$21,IF($G$3='KS2-4 Subject TMs'!$D$21,'KS2-4 Subject TMs'!H$21,""))</f>
        <v/>
      </c>
      <c r="K11" s="37" t="str">
        <f ca="1">IF($G$3="All",'KS2-4 Subject TMs'!I$21,IF($G$3='KS2-4 Subject TMs'!$D$21,'KS2-4 Subject TMs'!I$21,""))</f>
        <v/>
      </c>
      <c r="L11" s="37" t="str">
        <f ca="1">IF($G$3="All",'KS2-4 Subject TMs'!J$21,IF($G$3='KS2-4 Subject TMs'!$D$21,'KS2-4 Subject TMs'!J$21,""))</f>
        <v/>
      </c>
      <c r="M11" s="37" t="str">
        <f ca="1">IF($G$3="All",'KS2-4 Subject TMs'!K$21,IF($G$3='KS2-4 Subject TMs'!$D$21,'KS2-4 Subject TMs'!K$21,""))</f>
        <v/>
      </c>
      <c r="N11" s="37" t="str">
        <f ca="1">IF($G$3="All",'KS2-4 Subject TMs'!L$21,IF($G$3='KS2-4 Subject TMs'!$D$21,'KS2-4 Subject TMs'!L$21,""))</f>
        <v/>
      </c>
      <c r="O11" s="37" t="str">
        <f ca="1">IF($G$3="All",'KS2-4 Subject TMs'!M$21,IF($G$3='KS2-4 Subject TMs'!$D$21,'KS2-4 Subject TMs'!M$21,""))</f>
        <v/>
      </c>
      <c r="P11" s="37" t="str">
        <f ca="1">IF($G$3="All",'KS2-4 Subject TMs'!N$21,IF($G$3='KS2-4 Subject TMs'!$D$21,'KS2-4 Subject TMs'!N$21,""))</f>
        <v/>
      </c>
      <c r="Q11" s="33"/>
    </row>
    <row r="12" spans="1:20" x14ac:dyDescent="0.45">
      <c r="A12" s="30"/>
      <c r="B12" s="29"/>
      <c r="C12" s="11" t="s">
        <v>9</v>
      </c>
      <c r="D12" s="11" t="s">
        <v>9</v>
      </c>
      <c r="E12" s="28"/>
      <c r="F12" s="37" t="str">
        <f>IF(NOT(OR(Inputs!$G$1="Please Select",Inputs!$G$1="",Inputs!$G$2="Please Select",Inputs!$G$2="")),IF($G$3="All",'KS2-4 Subject TMs'!D$22,IF($G$3='KS2-4 Subject TMs'!$D$22,'KS2-4 Subject TMs'!D$22,"")),"")</f>
        <v/>
      </c>
      <c r="G12" s="37" t="str">
        <f ca="1">IF($G$3="All",'KS2-4 Subject TMs'!E$22,IF($G$3='KS2-4 Subject TMs'!$D$22,'KS2-4 Subject TMs'!E$22,""))</f>
        <v/>
      </c>
      <c r="H12" s="37" t="str">
        <f ca="1">IF($G$3="All",'KS2-4 Subject TMs'!F$22,IF($G$3='KS2-4 Subject TMs'!$D$22,'KS2-4 Subject TMs'!F$22,""))</f>
        <v/>
      </c>
      <c r="I12" s="37" t="str">
        <f ca="1">IF($G$3="All",'KS2-4 Subject TMs'!G$22,IF($G$3='KS2-4 Subject TMs'!$D$22,'KS2-4 Subject TMs'!G$22,""))</f>
        <v/>
      </c>
      <c r="J12" s="37" t="str">
        <f ca="1">IF($G$3="All",'KS2-4 Subject TMs'!H$22,IF($G$3='KS2-4 Subject TMs'!$D$22,'KS2-4 Subject TMs'!H$22,""))</f>
        <v/>
      </c>
      <c r="K12" s="37" t="str">
        <f ca="1">IF($G$3="All",'KS2-4 Subject TMs'!I$22,IF($G$3='KS2-4 Subject TMs'!$D$22,'KS2-4 Subject TMs'!I$22,""))</f>
        <v/>
      </c>
      <c r="L12" s="37" t="str">
        <f ca="1">IF($G$3="All",'KS2-4 Subject TMs'!J$22,IF($G$3='KS2-4 Subject TMs'!$D$22,'KS2-4 Subject TMs'!J$22,""))</f>
        <v/>
      </c>
      <c r="M12" s="37" t="str">
        <f ca="1">IF($G$3="All",'KS2-4 Subject TMs'!K$22,IF($G$3='KS2-4 Subject TMs'!$D$22,'KS2-4 Subject TMs'!K$22,""))</f>
        <v/>
      </c>
      <c r="N12" s="37" t="str">
        <f ca="1">IF($G$3="All",'KS2-4 Subject TMs'!L$22,IF($G$3='KS2-4 Subject TMs'!$D$22,'KS2-4 Subject TMs'!L$22,""))</f>
        <v/>
      </c>
      <c r="O12" s="37" t="str">
        <f ca="1">IF($G$3="All",'KS2-4 Subject TMs'!M$22,IF($G$3='KS2-4 Subject TMs'!$D$22,'KS2-4 Subject TMs'!M$22,""))</f>
        <v/>
      </c>
      <c r="P12" s="37" t="str">
        <f ca="1">IF($G$3="All",'KS2-4 Subject TMs'!N$22,IF($G$3='KS2-4 Subject TMs'!$D$22,'KS2-4 Subject TMs'!N$22,""))</f>
        <v/>
      </c>
      <c r="Q12" s="33"/>
    </row>
    <row r="13" spans="1:20" x14ac:dyDescent="0.45">
      <c r="A13" s="31" t="s">
        <v>105</v>
      </c>
      <c r="B13" s="29"/>
      <c r="C13" s="11" t="s">
        <v>10</v>
      </c>
      <c r="D13" s="11" t="s">
        <v>10</v>
      </c>
      <c r="E13" s="28"/>
      <c r="F13" s="37" t="str">
        <f>IF(NOT(OR(Inputs!$G$1="Please Select",Inputs!$G$1="",Inputs!$G$2="Please Select",Inputs!$G$2="")),IF($G$3="All",'KS2-4 Subject TMs'!D$23,IF($G$3='KS2-4 Subject TMs'!$D$23,'KS2-4 Subject TMs'!D$23,"")),"")</f>
        <v/>
      </c>
      <c r="G13" s="37" t="str">
        <f ca="1">IF($G$3="All",'KS2-4 Subject TMs'!E$23,IF($G$3='KS2-4 Subject TMs'!$D$23,'KS2-4 Subject TMs'!E$23,""))</f>
        <v/>
      </c>
      <c r="H13" s="37" t="str">
        <f ca="1">IF($G$3="All",'KS2-4 Subject TMs'!F$23,IF($G$3='KS2-4 Subject TMs'!$D$23,'KS2-4 Subject TMs'!F$23,""))</f>
        <v/>
      </c>
      <c r="I13" s="37" t="str">
        <f ca="1">IF($G$3="All",'KS2-4 Subject TMs'!G$23,IF($G$3='KS2-4 Subject TMs'!$D$23,'KS2-4 Subject TMs'!G$23,""))</f>
        <v/>
      </c>
      <c r="J13" s="37" t="str">
        <f ca="1">IF($G$3="All",'KS2-4 Subject TMs'!H$23,IF($G$3='KS2-4 Subject TMs'!$D$23,'KS2-4 Subject TMs'!H$23,""))</f>
        <v/>
      </c>
      <c r="K13" s="37" t="str">
        <f ca="1">IF($G$3="All",'KS2-4 Subject TMs'!I$23,IF($G$3='KS2-4 Subject TMs'!$D$23,'KS2-4 Subject TMs'!I$23,""))</f>
        <v/>
      </c>
      <c r="L13" s="37" t="str">
        <f ca="1">IF($G$3="All",'KS2-4 Subject TMs'!J$23,IF($G$3='KS2-4 Subject TMs'!$D$23,'KS2-4 Subject TMs'!J$23,""))</f>
        <v/>
      </c>
      <c r="M13" s="37" t="str">
        <f ca="1">IF($G$3="All",'KS2-4 Subject TMs'!K$23,IF($G$3='KS2-4 Subject TMs'!$D$23,'KS2-4 Subject TMs'!K$23,""))</f>
        <v/>
      </c>
      <c r="N13" s="37" t="str">
        <f ca="1">IF($G$3="All",'KS2-4 Subject TMs'!L$23,IF($G$3='KS2-4 Subject TMs'!$D$23,'KS2-4 Subject TMs'!L$23,""))</f>
        <v/>
      </c>
      <c r="O13" s="37" t="str">
        <f ca="1">IF($G$3="All",'KS2-4 Subject TMs'!M$23,IF($G$3='KS2-4 Subject TMs'!$D$23,'KS2-4 Subject TMs'!M$23,""))</f>
        <v/>
      </c>
      <c r="P13" s="37" t="str">
        <f ca="1">IF($G$3="All",'KS2-4 Subject TMs'!N$23,IF($G$3='KS2-4 Subject TMs'!$D$23,'KS2-4 Subject TMs'!N$23,""))</f>
        <v/>
      </c>
      <c r="Q13" s="33"/>
    </row>
    <row r="14" spans="1:20" x14ac:dyDescent="0.45">
      <c r="A14" s="31" t="s">
        <v>123</v>
      </c>
      <c r="B14" s="29"/>
      <c r="C14" s="11" t="s">
        <v>11</v>
      </c>
      <c r="D14" s="11" t="s">
        <v>11</v>
      </c>
      <c r="E14" s="28"/>
      <c r="F14" s="37" t="str">
        <f>IF(NOT(OR(Inputs!$G$1="Please Select",Inputs!$G$1="",Inputs!$G$2="Please Select",Inputs!$G$2="")),IF($G$3="All",'KS2-4 Subject TMs'!D$24,IF($G$3='KS2-4 Subject TMs'!$D$24,'KS2-4 Subject TMs'!D$24,"")),"")</f>
        <v/>
      </c>
      <c r="G14" s="37" t="str">
        <f ca="1">IF($G$3="All",'KS2-4 Subject TMs'!E$24,IF($G$3='KS2-4 Subject TMs'!$D$24,'KS2-4 Subject TMs'!E$24,""))</f>
        <v/>
      </c>
      <c r="H14" s="37" t="str">
        <f ca="1">IF($G$3="All",'KS2-4 Subject TMs'!F$24,IF($G$3='KS2-4 Subject TMs'!$D$24,'KS2-4 Subject TMs'!F$24,""))</f>
        <v/>
      </c>
      <c r="I14" s="37" t="str">
        <f ca="1">IF($G$3="All",'KS2-4 Subject TMs'!G$24,IF($G$3='KS2-4 Subject TMs'!$D$24,'KS2-4 Subject TMs'!G$24,""))</f>
        <v/>
      </c>
      <c r="J14" s="37" t="str">
        <f ca="1">IF($G$3="All",'KS2-4 Subject TMs'!H$24,IF($G$3='KS2-4 Subject TMs'!$D$24,'KS2-4 Subject TMs'!H$24,""))</f>
        <v/>
      </c>
      <c r="K14" s="37" t="str">
        <f ca="1">IF($G$3="All",'KS2-4 Subject TMs'!I$24,IF($G$3='KS2-4 Subject TMs'!$D$24,'KS2-4 Subject TMs'!I$24,""))</f>
        <v/>
      </c>
      <c r="L14" s="37" t="str">
        <f ca="1">IF($G$3="All",'KS2-4 Subject TMs'!J$24,IF($G$3='KS2-4 Subject TMs'!$D$24,'KS2-4 Subject TMs'!J$24,""))</f>
        <v/>
      </c>
      <c r="M14" s="37" t="str">
        <f ca="1">IF($G$3="All",'KS2-4 Subject TMs'!K$24,IF($G$3='KS2-4 Subject TMs'!$D$24,'KS2-4 Subject TMs'!K$24,""))</f>
        <v/>
      </c>
      <c r="N14" s="37" t="str">
        <f ca="1">IF($G$3="All",'KS2-4 Subject TMs'!L$24,IF($G$3='KS2-4 Subject TMs'!$D$24,'KS2-4 Subject TMs'!L$24,""))</f>
        <v/>
      </c>
      <c r="O14" s="37" t="str">
        <f ca="1">IF($G$3="All",'KS2-4 Subject TMs'!M$24,IF($G$3='KS2-4 Subject TMs'!$D$24,'KS2-4 Subject TMs'!M$24,""))</f>
        <v/>
      </c>
      <c r="P14" s="37" t="str">
        <f ca="1">IF($G$3="All",'KS2-4 Subject TMs'!N$24,IF($G$3='KS2-4 Subject TMs'!$D$24,'KS2-4 Subject TMs'!N$24,""))</f>
        <v/>
      </c>
      <c r="Q14" s="33"/>
    </row>
    <row r="15" spans="1:20" x14ac:dyDescent="0.45">
      <c r="A15" s="32" t="s">
        <v>33</v>
      </c>
      <c r="B15" s="29"/>
      <c r="C15" s="11"/>
      <c r="D15" s="29"/>
      <c r="E15" s="28"/>
      <c r="F15" s="37" t="str">
        <f>IF(NOT(OR(Inputs!$G$1="Please Select",Inputs!$G$1="",Inputs!$G$2="Please Select",Inputs!$G$2="")),IF($G$3="All",'KS2-4 Subject TMs'!D$25,IF($G$3='KS2-4 Subject TMs'!$D$25,'KS2-4 Subject TMs'!D$25,"")),"")</f>
        <v/>
      </c>
      <c r="G15" s="37" t="str">
        <f ca="1">IF($G$3="All",'KS2-4 Subject TMs'!E$25,IF($G$3='KS2-4 Subject TMs'!$D$25,'KS2-4 Subject TMs'!E$25,""))</f>
        <v/>
      </c>
      <c r="H15" s="37" t="str">
        <f ca="1">IF($G$3="All",'KS2-4 Subject TMs'!F$25,IF($G$3='KS2-4 Subject TMs'!$D$25,'KS2-4 Subject TMs'!F$25,""))</f>
        <v/>
      </c>
      <c r="I15" s="37" t="str">
        <f ca="1">IF($G$3="All",'KS2-4 Subject TMs'!G$25,IF($G$3='KS2-4 Subject TMs'!$D$25,'KS2-4 Subject TMs'!G$25,""))</f>
        <v/>
      </c>
      <c r="J15" s="37" t="str">
        <f ca="1">IF($G$3="All",'KS2-4 Subject TMs'!H$25,IF($G$3='KS2-4 Subject TMs'!$D$25,'KS2-4 Subject TMs'!H$25,""))</f>
        <v/>
      </c>
      <c r="K15" s="37" t="str">
        <f ca="1">IF($G$3="All",'KS2-4 Subject TMs'!I$25,IF($G$3='KS2-4 Subject TMs'!$D$25,'KS2-4 Subject TMs'!I$25,""))</f>
        <v/>
      </c>
      <c r="L15" s="37" t="str">
        <f ca="1">IF($G$3="All",'KS2-4 Subject TMs'!J$25,IF($G$3='KS2-4 Subject TMs'!$D$25,'KS2-4 Subject TMs'!J$25,""))</f>
        <v/>
      </c>
      <c r="M15" s="37" t="str">
        <f ca="1">IF($G$3="All",'KS2-4 Subject TMs'!K$25,IF($G$3='KS2-4 Subject TMs'!$D$25,'KS2-4 Subject TMs'!K$25,""))</f>
        <v/>
      </c>
      <c r="N15" s="37" t="str">
        <f ca="1">IF($G$3="All",'KS2-4 Subject TMs'!L$25,IF($G$3='KS2-4 Subject TMs'!$D$25,'KS2-4 Subject TMs'!L$25,""))</f>
        <v/>
      </c>
      <c r="O15" s="37" t="str">
        <f ca="1">IF($G$3="All",'KS2-4 Subject TMs'!M$25,IF($G$3='KS2-4 Subject TMs'!$D$25,'KS2-4 Subject TMs'!M$25,""))</f>
        <v/>
      </c>
      <c r="P15" s="37" t="str">
        <f ca="1">IF($G$3="All",'KS2-4 Subject TMs'!N$25,IF($G$3='KS2-4 Subject TMs'!$D$25,'KS2-4 Subject TMs'!N$25,""))</f>
        <v/>
      </c>
      <c r="Q15" s="33"/>
    </row>
    <row r="16" spans="1:20" x14ac:dyDescent="0.45">
      <c r="A16" s="31" t="s">
        <v>32</v>
      </c>
      <c r="B16" s="29"/>
      <c r="C16" s="29"/>
      <c r="D16" s="29"/>
      <c r="E16" s="29"/>
      <c r="F16" s="37" t="str">
        <f>IF(NOT(OR(Inputs!$G$1="Please Select",Inputs!$G$1="",Inputs!$G$2="Please Select",Inputs!$G$2="")),IF($G$3="All",'KS2-4 Subject TMs'!D$26,IF($G$3='KS2-4 Subject TMs'!$D$26,'KS2-4 Subject TMs'!D$26,"")),"")</f>
        <v/>
      </c>
      <c r="G16" s="37" t="str">
        <f ca="1">IF($G$3="All",'KS2-4 Subject TMs'!E$26,IF($G$3='KS2-4 Subject TMs'!$D$26,'KS2-4 Subject TMs'!E$26,""))</f>
        <v/>
      </c>
      <c r="H16" s="37" t="str">
        <f ca="1">IF($G$3="All",'KS2-4 Subject TMs'!F$26,IF($G$3='KS2-4 Subject TMs'!$D$26,'KS2-4 Subject TMs'!F$26,""))</f>
        <v/>
      </c>
      <c r="I16" s="37" t="str">
        <f ca="1">IF($G$3="All",'KS2-4 Subject TMs'!G$26,IF($G$3='KS2-4 Subject TMs'!$D$26,'KS2-4 Subject TMs'!G$26,""))</f>
        <v/>
      </c>
      <c r="J16" s="37" t="str">
        <f ca="1">IF($G$3="All",'KS2-4 Subject TMs'!H$26,IF($G$3='KS2-4 Subject TMs'!$D$26,'KS2-4 Subject TMs'!H$26,""))</f>
        <v/>
      </c>
      <c r="K16" s="37" t="str">
        <f ca="1">IF($G$3="All",'KS2-4 Subject TMs'!I$26,IF($G$3='KS2-4 Subject TMs'!$D$26,'KS2-4 Subject TMs'!I$26,""))</f>
        <v/>
      </c>
      <c r="L16" s="37" t="str">
        <f ca="1">IF($G$3="All",'KS2-4 Subject TMs'!J$26,IF($G$3='KS2-4 Subject TMs'!$D$26,'KS2-4 Subject TMs'!J$26,""))</f>
        <v/>
      </c>
      <c r="M16" s="37" t="str">
        <f ca="1">IF($G$3="All",'KS2-4 Subject TMs'!K$26,IF($G$3='KS2-4 Subject TMs'!$D$26,'KS2-4 Subject TMs'!K$26,""))</f>
        <v/>
      </c>
      <c r="N16" s="37" t="str">
        <f ca="1">IF($G$3="All",'KS2-4 Subject TMs'!L$26,IF($G$3='KS2-4 Subject TMs'!$D$26,'KS2-4 Subject TMs'!L$26,""))</f>
        <v/>
      </c>
      <c r="O16" s="37" t="str">
        <f ca="1">IF($G$3="All",'KS2-4 Subject TMs'!M$26,IF($G$3='KS2-4 Subject TMs'!$D$26,'KS2-4 Subject TMs'!M$26,""))</f>
        <v/>
      </c>
      <c r="P16" s="37" t="str">
        <f ca="1">IF($G$3="All",'KS2-4 Subject TMs'!N$26,IF($G$3='KS2-4 Subject TMs'!$D$26,'KS2-4 Subject TMs'!N$26,""))</f>
        <v/>
      </c>
      <c r="Q16" s="33"/>
    </row>
    <row r="17" spans="1:17" x14ac:dyDescent="0.45">
      <c r="B17" s="29"/>
      <c r="C17" s="29"/>
      <c r="D17" s="29"/>
      <c r="E17" s="29"/>
      <c r="F17" s="37" t="str">
        <f>IF(NOT(OR(Inputs!$G$1="Please Select",Inputs!$G$1="",Inputs!$G$2="Please Select",Inputs!$G$2="")),IF($G$3="All",'KS2-4 Subject TMs'!D$27,IF($G$3='KS2-4 Subject TMs'!$D$27,'KS2-4 Subject TMs'!D$27,"")),"")</f>
        <v/>
      </c>
      <c r="G17" s="37" t="str">
        <f ca="1">IF($G$3="All",'KS2-4 Subject TMs'!E$27,IF($G$3='KS2-4 Subject TMs'!$D$27,'KS2-4 Subject TMs'!E$27,""))</f>
        <v/>
      </c>
      <c r="H17" s="37" t="str">
        <f ca="1">IF($G$3="All",'KS2-4 Subject TMs'!F$27,IF($G$3='KS2-4 Subject TMs'!$D$27,'KS2-4 Subject TMs'!F$27,""))</f>
        <v/>
      </c>
      <c r="I17" s="37" t="str">
        <f ca="1">IF($G$3="All",'KS2-4 Subject TMs'!G$27,IF($G$3='KS2-4 Subject TMs'!$D$27,'KS2-4 Subject TMs'!G$27,""))</f>
        <v/>
      </c>
      <c r="J17" s="37" t="str">
        <f ca="1">IF($G$3="All",'KS2-4 Subject TMs'!H$27,IF($G$3='KS2-4 Subject TMs'!$D$27,'KS2-4 Subject TMs'!H$27,""))</f>
        <v/>
      </c>
      <c r="K17" s="37" t="str">
        <f ca="1">IF($G$3="All",'KS2-4 Subject TMs'!I$27,IF($G$3='KS2-4 Subject TMs'!$D$27,'KS2-4 Subject TMs'!I$27,""))</f>
        <v/>
      </c>
      <c r="L17" s="37" t="str">
        <f ca="1">IF($G$3="All",'KS2-4 Subject TMs'!J$27,IF($G$3='KS2-4 Subject TMs'!$D$27,'KS2-4 Subject TMs'!J$27,""))</f>
        <v/>
      </c>
      <c r="M17" s="37" t="str">
        <f ca="1">IF($G$3="All",'KS2-4 Subject TMs'!K$27,IF($G$3='KS2-4 Subject TMs'!$D$27,'KS2-4 Subject TMs'!K$27,""))</f>
        <v/>
      </c>
      <c r="N17" s="37" t="str">
        <f ca="1">IF($G$3="All",'KS2-4 Subject TMs'!L$27,IF($G$3='KS2-4 Subject TMs'!$D$27,'KS2-4 Subject TMs'!L$27,""))</f>
        <v/>
      </c>
      <c r="O17" s="37" t="str">
        <f ca="1">IF($G$3="All",'KS2-4 Subject TMs'!M$27,IF($G$3='KS2-4 Subject TMs'!$D$27,'KS2-4 Subject TMs'!M$27,""))</f>
        <v/>
      </c>
      <c r="P17" s="37" t="str">
        <f ca="1">IF($G$3="All",'KS2-4 Subject TMs'!N$27,IF($G$3='KS2-4 Subject TMs'!$D$27,'KS2-4 Subject TMs'!N$27,""))</f>
        <v/>
      </c>
      <c r="Q17" s="33"/>
    </row>
    <row r="18" spans="1:17" x14ac:dyDescent="0.45">
      <c r="A18" s="31" t="s">
        <v>34</v>
      </c>
      <c r="B18" s="29"/>
      <c r="C18" s="29"/>
      <c r="D18" s="29"/>
      <c r="E18" s="29"/>
      <c r="F18" s="33"/>
      <c r="G18" s="33"/>
      <c r="H18" s="33"/>
      <c r="I18" s="33"/>
      <c r="J18" s="33"/>
      <c r="K18" s="33"/>
      <c r="L18" s="33"/>
      <c r="M18" s="33"/>
      <c r="N18" s="33"/>
      <c r="O18" s="33"/>
      <c r="P18" s="33"/>
      <c r="Q18" s="33"/>
    </row>
    <row r="19" spans="1:17" x14ac:dyDescent="0.45">
      <c r="A19" s="31" t="s">
        <v>35</v>
      </c>
      <c r="B19" s="29"/>
      <c r="C19" s="29"/>
      <c r="D19" s="29"/>
      <c r="E19" s="29"/>
      <c r="F19" s="33"/>
      <c r="G19" s="33"/>
      <c r="H19" s="33"/>
      <c r="I19" s="33"/>
      <c r="J19" s="33"/>
      <c r="K19" s="33"/>
      <c r="L19" s="33"/>
      <c r="M19" s="33"/>
      <c r="N19" s="33"/>
      <c r="O19" s="33"/>
    </row>
    <row r="20" spans="1:17" x14ac:dyDescent="0.45">
      <c r="A20" s="31" t="s">
        <v>36</v>
      </c>
      <c r="B20" s="29"/>
      <c r="C20" s="29"/>
      <c r="D20" s="29"/>
      <c r="E20" s="29"/>
      <c r="F20" s="33"/>
      <c r="G20" s="33"/>
      <c r="H20" s="33"/>
      <c r="I20" s="33"/>
      <c r="J20" s="33"/>
      <c r="K20" s="33"/>
      <c r="L20" s="33"/>
      <c r="M20" s="33"/>
      <c r="N20" s="33"/>
      <c r="O20" s="33"/>
    </row>
    <row r="21" spans="1:17" x14ac:dyDescent="0.45">
      <c r="A21" s="31" t="s">
        <v>39</v>
      </c>
      <c r="B21" s="29"/>
      <c r="C21" s="29"/>
      <c r="D21" s="29"/>
      <c r="E21" s="29"/>
      <c r="F21" s="36"/>
      <c r="G21" s="36" t="str">
        <f>IF(ISBLANK('KS2-4 Subject TMs'!E$44),"",'KS2-4 Subject TMs'!E$44)</f>
        <v>U</v>
      </c>
      <c r="H21" s="36">
        <f>IF(ISBLANK('KS2-4 Subject TMs'!F$44),"",'KS2-4 Subject TMs'!F$44)</f>
        <v>1</v>
      </c>
      <c r="I21" s="36">
        <f>IF(ISBLANK('KS2-4 Subject TMs'!G$44),"",'KS2-4 Subject TMs'!G$44)</f>
        <v>2</v>
      </c>
      <c r="J21" s="36">
        <f>IF(ISBLANK('KS2-4 Subject TMs'!H$44),"",'KS2-4 Subject TMs'!H$44)</f>
        <v>3</v>
      </c>
      <c r="K21" s="36">
        <f>IF(ISBLANK('KS2-4 Subject TMs'!I$44),"",'KS2-4 Subject TMs'!I$44)</f>
        <v>4</v>
      </c>
      <c r="L21" s="36">
        <f>IF(ISBLANK('KS2-4 Subject TMs'!J$44),"",'KS2-4 Subject TMs'!J$44)</f>
        <v>5</v>
      </c>
      <c r="M21" s="36">
        <f>IF(ISBLANK('KS2-4 Subject TMs'!K$44),"",'KS2-4 Subject TMs'!K$44)</f>
        <v>6</v>
      </c>
      <c r="N21" s="36">
        <f>IF(ISBLANK('KS2-4 Subject TMs'!L$44),"",'KS2-4 Subject TMs'!L$44)</f>
        <v>7</v>
      </c>
      <c r="O21" s="36">
        <f>IF(ISBLANK('KS2-4 Subject TMs'!M$44),"",'KS2-4 Subject TMs'!M$44)</f>
        <v>8</v>
      </c>
      <c r="P21" s="36">
        <f>IF(ISBLANK('KS2-4 Subject TMs'!N$44),"",'KS2-4 Subject TMs'!N$44)</f>
        <v>9</v>
      </c>
      <c r="Q21" s="13"/>
    </row>
    <row r="22" spans="1:17" x14ac:dyDescent="0.45">
      <c r="A22" s="31" t="s">
        <v>40</v>
      </c>
      <c r="B22" s="29"/>
      <c r="C22" s="29"/>
      <c r="D22" s="29"/>
      <c r="E22" s="29"/>
      <c r="F22" s="36" t="str">
        <f>IF('KS2-4 Subject TMs'!$S$47="Gender","Female",IF('KS2-4 Subject TMs'!$S$47="Disadvantage","Disadvantaged",IF('KS2-4 Subject TMs'!$S$47="SEN","SEN",IF('KS2-4 Subject TMs'!$S$47="EAL","EAL",""))))</f>
        <v>Female</v>
      </c>
      <c r="G22" s="36" t="e">
        <f>INDEX(f_data,MATCH($I$3,f_left,0),MATCH(G$21,f_top,0))</f>
        <v>#N/A</v>
      </c>
      <c r="H22" s="36" t="e">
        <f t="shared" ref="H22:P22" si="0">INDEX(f_data,MATCH($I$3,f_left,0),MATCH(H$21,f_top,0))</f>
        <v>#N/A</v>
      </c>
      <c r="I22" s="36" t="e">
        <f t="shared" si="0"/>
        <v>#N/A</v>
      </c>
      <c r="J22" s="36" t="e">
        <f t="shared" si="0"/>
        <v>#N/A</v>
      </c>
      <c r="K22" s="36" t="e">
        <f t="shared" si="0"/>
        <v>#N/A</v>
      </c>
      <c r="L22" s="36" t="e">
        <f t="shared" si="0"/>
        <v>#N/A</v>
      </c>
      <c r="M22" s="36" t="e">
        <f t="shared" si="0"/>
        <v>#N/A</v>
      </c>
      <c r="N22" s="36" t="e">
        <f t="shared" si="0"/>
        <v>#N/A</v>
      </c>
      <c r="O22" s="36" t="e">
        <f t="shared" si="0"/>
        <v>#N/A</v>
      </c>
      <c r="P22" s="36" t="e">
        <f t="shared" si="0"/>
        <v>#N/A</v>
      </c>
      <c r="Q22" s="13"/>
    </row>
    <row r="23" spans="1:17" x14ac:dyDescent="0.45">
      <c r="B23" s="29"/>
      <c r="C23" s="29"/>
      <c r="E23" s="29"/>
      <c r="F23" s="36" t="str">
        <f>IF('KS2-4 Subject TMs'!$S$47="Gender","Male",IF('KS2-4 Subject TMs'!$S$47="Disadvantage","Non-disadvantaged",IF('KS2-4 Subject TMs'!$S$47="SEN","Non-SEN",IF('KS2-4 Subject TMs'!$S$47="EAL","Non-EAL",""))))</f>
        <v>Male</v>
      </c>
      <c r="G23" s="36" t="e">
        <f>INDEX(m_data,MATCH($I$3,m_left,0),MATCH(G$21,m_top,0))</f>
        <v>#N/A</v>
      </c>
      <c r="H23" s="36" t="e">
        <f t="shared" ref="H23:P23" si="1">INDEX(m_data,MATCH($I$3,m_left,0),MATCH(H$21,m_top,0))</f>
        <v>#N/A</v>
      </c>
      <c r="I23" s="36" t="e">
        <f t="shared" si="1"/>
        <v>#N/A</v>
      </c>
      <c r="J23" s="36" t="e">
        <f t="shared" si="1"/>
        <v>#N/A</v>
      </c>
      <c r="K23" s="36" t="e">
        <f t="shared" si="1"/>
        <v>#N/A</v>
      </c>
      <c r="L23" s="36" t="e">
        <f t="shared" si="1"/>
        <v>#N/A</v>
      </c>
      <c r="M23" s="36" t="e">
        <f t="shared" si="1"/>
        <v>#N/A</v>
      </c>
      <c r="N23" s="36" t="e">
        <f t="shared" si="1"/>
        <v>#N/A</v>
      </c>
      <c r="O23" s="36" t="e">
        <f t="shared" si="1"/>
        <v>#N/A</v>
      </c>
      <c r="P23" s="36" t="e">
        <f t="shared" si="1"/>
        <v>#N/A</v>
      </c>
      <c r="Q23" s="13"/>
    </row>
    <row r="24" spans="1:17" x14ac:dyDescent="0.45">
      <c r="A24" s="31" t="s">
        <v>37</v>
      </c>
      <c r="B24" s="29"/>
      <c r="C24" s="29"/>
      <c r="D24" s="29"/>
      <c r="E24" s="29"/>
      <c r="F24" s="13"/>
      <c r="G24" s="13"/>
      <c r="H24" s="13"/>
      <c r="I24" s="13"/>
      <c r="J24" s="13"/>
      <c r="K24" s="13"/>
      <c r="L24" s="13"/>
      <c r="M24" s="13"/>
      <c r="N24" s="13"/>
      <c r="O24" s="13"/>
      <c r="P24" s="13"/>
      <c r="Q24" s="13"/>
    </row>
    <row r="25" spans="1:17" x14ac:dyDescent="0.45">
      <c r="A25" s="31" t="s">
        <v>38</v>
      </c>
      <c r="B25" s="29"/>
      <c r="C25" s="29"/>
      <c r="D25" s="29"/>
      <c r="E25" s="29"/>
      <c r="F25" s="28"/>
      <c r="G25" s="28" t="s">
        <v>64</v>
      </c>
      <c r="H25" s="28" t="s">
        <v>65</v>
      </c>
    </row>
    <row r="26" spans="1:17" x14ac:dyDescent="0.45">
      <c r="A26" s="31" t="s">
        <v>14</v>
      </c>
      <c r="B26" s="33"/>
      <c r="C26" s="29"/>
      <c r="D26" s="29"/>
      <c r="E26" s="29"/>
      <c r="F26" s="38">
        <f>K3</f>
        <v>0</v>
      </c>
      <c r="G26" s="38" t="e">
        <f>INDEX(ach_data,MATCH($K$3,ach_left,0),MATCH($G$25,ach_top,0))</f>
        <v>#N/A</v>
      </c>
      <c r="H26" s="38" t="e">
        <f>INDEX(ach_data,MATCH($K$3,ach_left,0),MATCH($H$25,ach_top,0))</f>
        <v>#N/A</v>
      </c>
    </row>
    <row r="27" spans="1:17" x14ac:dyDescent="0.45">
      <c r="A27" s="31" t="s">
        <v>125</v>
      </c>
      <c r="B27" s="33"/>
      <c r="C27" s="29"/>
      <c r="D27" s="29"/>
      <c r="E27" s="29"/>
      <c r="F27" s="52"/>
      <c r="G27" s="52"/>
      <c r="H27" s="52"/>
    </row>
    <row r="28" spans="1:17" x14ac:dyDescent="0.45">
      <c r="A28" s="31" t="s">
        <v>126</v>
      </c>
      <c r="B28" s="33"/>
      <c r="C28" s="29"/>
      <c r="D28" s="29"/>
      <c r="E28" s="29"/>
      <c r="G28" s="53" t="str">
        <f>'KS2-4 Attainment TMs'!$E47</f>
        <v>Achieved</v>
      </c>
      <c r="H28" s="53" t="str">
        <f>'KS2-4 Attainment TMs'!$F47</f>
        <v>Not Achieved</v>
      </c>
    </row>
    <row r="29" spans="1:17" x14ac:dyDescent="0.45">
      <c r="A29" s="31" t="s">
        <v>41</v>
      </c>
      <c r="B29" s="33"/>
      <c r="C29" s="29"/>
      <c r="D29" s="29"/>
      <c r="E29" s="29"/>
      <c r="F29" s="36" t="str">
        <f>IF('KS2-4 Attainment TMs'!$N$44="Gender","Female",IF('KS2-4 Attainment TMs'!$N$44="Disadvantage","Disadvantaged",IF('KS2-4 Attainment TMs'!$N$44="SEN","SEN",IF('KS2-4 Attainment TMs'!$N$44="EAL","EAL",""))))</f>
        <v>Female</v>
      </c>
      <c r="G29" s="41" t="e">
        <f>INDEX(fach_data,MATCH($M$3,fach_left,0),MATCH($G$28,fach_top,0))</f>
        <v>#N/A</v>
      </c>
      <c r="H29" s="41" t="e">
        <f>INDEX(fach_data,MATCH($M$3,fach_left,0),MATCH($H$28,fach_top,0))</f>
        <v>#N/A</v>
      </c>
    </row>
    <row r="30" spans="1:17" x14ac:dyDescent="0.45">
      <c r="A30" s="32" t="s">
        <v>120</v>
      </c>
      <c r="B30" s="33"/>
      <c r="C30" s="29"/>
      <c r="D30" s="29"/>
      <c r="E30" s="29"/>
      <c r="F30" s="36" t="str">
        <f>IF('KS2-4 Attainment TMs'!$N$44="Gender","Male",IF('KS2-4 Attainment TMs'!$N$44="Disadvantage","Non-disadvantaged",IF('KS2-4 Attainment TMs'!$N$44="SEN","Non-SEN",IF('KS2-4 Attainment TMs'!$N$44="EAL","Non-EAL",""))))</f>
        <v>Male</v>
      </c>
      <c r="G30" s="41" t="e">
        <f>INDEX(mach_data,MATCH($M$3,mach_left,0),MATCH($G$28,mach_top,0))</f>
        <v>#N/A</v>
      </c>
      <c r="H30" s="41" t="e">
        <f>INDEX(mach_data,MATCH($M$3,mach_left,0),MATCH($H$28,mach_top,0))</f>
        <v>#N/A</v>
      </c>
    </row>
    <row r="31" spans="1:17" x14ac:dyDescent="0.45">
      <c r="B31" s="33"/>
      <c r="C31" s="29"/>
      <c r="D31" s="29"/>
      <c r="E31" s="29"/>
    </row>
    <row r="32" spans="1:17" x14ac:dyDescent="0.45">
      <c r="A32" s="31" t="s">
        <v>51</v>
      </c>
      <c r="B32" s="33"/>
      <c r="C32" s="29"/>
      <c r="D32" s="29"/>
      <c r="E32" s="29"/>
      <c r="F32" s="28"/>
      <c r="G32" s="53" t="str">
        <f>'KS2-4 Attainment TMs'!$E14</f>
        <v>Achieved</v>
      </c>
      <c r="H32" s="53" t="str">
        <f>'KS2-4 Attainment TMs'!$F14</f>
        <v>Not Achieved</v>
      </c>
    </row>
    <row r="33" spans="1:8" x14ac:dyDescent="0.45">
      <c r="A33" s="31" t="s">
        <v>48</v>
      </c>
      <c r="B33" s="33"/>
      <c r="C33" s="29"/>
      <c r="D33" s="29"/>
      <c r="E33" s="29"/>
      <c r="F33" s="28" t="s">
        <v>1</v>
      </c>
      <c r="G33" s="53" t="str">
        <f ca="1">'KS2-4 Attainment TMs'!$E15</f>
        <v/>
      </c>
      <c r="H33" s="53" t="str">
        <f ca="1">'KS2-4 Attainment TMs'!$F15</f>
        <v/>
      </c>
    </row>
    <row r="34" spans="1:8" x14ac:dyDescent="0.45">
      <c r="A34" s="34" t="s">
        <v>42</v>
      </c>
      <c r="B34" s="33"/>
      <c r="C34" s="29"/>
      <c r="D34" s="29"/>
      <c r="E34" s="29"/>
      <c r="F34" s="28" t="s">
        <v>56</v>
      </c>
      <c r="G34" s="53" t="str">
        <f ca="1">'KS2-4 Attainment TMs'!$E16</f>
        <v/>
      </c>
      <c r="H34" s="53" t="str">
        <f ca="1">'KS2-4 Attainment TMs'!$F16</f>
        <v/>
      </c>
    </row>
    <row r="35" spans="1:8" x14ac:dyDescent="0.45">
      <c r="A35" s="35" t="s">
        <v>49</v>
      </c>
      <c r="B35" s="33"/>
      <c r="C35" s="29"/>
      <c r="D35" s="29"/>
      <c r="E35" s="29"/>
      <c r="F35" s="28" t="s">
        <v>2</v>
      </c>
      <c r="G35" s="53" t="str">
        <f ca="1">'KS2-4 Attainment TMs'!$E17</f>
        <v/>
      </c>
      <c r="H35" s="53" t="str">
        <f ca="1">'KS2-4 Attainment TMs'!$F17</f>
        <v/>
      </c>
    </row>
    <row r="36" spans="1:8" x14ac:dyDescent="0.45">
      <c r="A36" s="31" t="s">
        <v>43</v>
      </c>
      <c r="B36" s="29"/>
      <c r="C36" s="29"/>
      <c r="D36" s="29"/>
      <c r="E36" s="29"/>
      <c r="F36" s="28" t="s">
        <v>3</v>
      </c>
      <c r="G36" s="53" t="str">
        <f ca="1">'KS2-4 Attainment TMs'!$E18</f>
        <v/>
      </c>
      <c r="H36" s="53" t="str">
        <f ca="1">'KS2-4 Attainment TMs'!$F18</f>
        <v/>
      </c>
    </row>
    <row r="37" spans="1:8" x14ac:dyDescent="0.45">
      <c r="A37" s="32" t="s">
        <v>44</v>
      </c>
      <c r="B37" s="29"/>
      <c r="C37" s="29"/>
      <c r="D37" s="29"/>
      <c r="E37" s="29"/>
      <c r="F37" s="28" t="s">
        <v>4</v>
      </c>
      <c r="G37" s="53" t="str">
        <f ca="1">'KS2-4 Attainment TMs'!$E19</f>
        <v/>
      </c>
      <c r="H37" s="53" t="str">
        <f ca="1">'KS2-4 Attainment TMs'!$F19</f>
        <v/>
      </c>
    </row>
    <row r="38" spans="1:8" x14ac:dyDescent="0.45">
      <c r="A38" s="31" t="s">
        <v>50</v>
      </c>
      <c r="B38" s="29"/>
      <c r="C38" s="29"/>
      <c r="D38" s="29"/>
      <c r="E38" s="29"/>
      <c r="F38" s="28" t="s">
        <v>5</v>
      </c>
      <c r="G38" s="53" t="str">
        <f ca="1">'KS2-4 Attainment TMs'!$E20</f>
        <v/>
      </c>
      <c r="H38" s="53" t="str">
        <f ca="1">'KS2-4 Attainment TMs'!$F20</f>
        <v/>
      </c>
    </row>
    <row r="39" spans="1:8" x14ac:dyDescent="0.45">
      <c r="A39" s="31" t="s">
        <v>45</v>
      </c>
      <c r="B39" s="29"/>
      <c r="C39" s="29"/>
      <c r="D39" s="29"/>
      <c r="E39" s="29"/>
      <c r="F39" s="28" t="s">
        <v>6</v>
      </c>
      <c r="G39" s="53" t="str">
        <f ca="1">'KS2-4 Attainment TMs'!$E21</f>
        <v/>
      </c>
      <c r="H39" s="53" t="str">
        <f ca="1">'KS2-4 Attainment TMs'!$F21</f>
        <v/>
      </c>
    </row>
    <row r="40" spans="1:8" x14ac:dyDescent="0.45">
      <c r="A40" s="31" t="s">
        <v>46</v>
      </c>
      <c r="B40" s="29"/>
      <c r="C40" s="29"/>
      <c r="D40" s="29"/>
      <c r="E40" s="29"/>
      <c r="F40" s="28" t="s">
        <v>7</v>
      </c>
      <c r="G40" s="53" t="str">
        <f ca="1">'KS2-4 Attainment TMs'!$E22</f>
        <v/>
      </c>
      <c r="H40" s="53" t="str">
        <f ca="1">'KS2-4 Attainment TMs'!$F22</f>
        <v/>
      </c>
    </row>
    <row r="41" spans="1:8" x14ac:dyDescent="0.45">
      <c r="A41" s="31" t="s">
        <v>47</v>
      </c>
      <c r="B41" s="29"/>
      <c r="C41" s="29"/>
      <c r="D41" s="29"/>
      <c r="E41" s="29"/>
      <c r="F41" s="28" t="s">
        <v>8</v>
      </c>
      <c r="G41" s="53" t="str">
        <f ca="1">'KS2-4 Attainment TMs'!$E23</f>
        <v/>
      </c>
      <c r="H41" s="53" t="str">
        <f ca="1">'KS2-4 Attainment TMs'!$F23</f>
        <v/>
      </c>
    </row>
    <row r="42" spans="1:8" x14ac:dyDescent="0.45">
      <c r="B42" s="29"/>
      <c r="C42" s="29"/>
      <c r="D42" s="29"/>
      <c r="E42" s="29"/>
      <c r="F42" s="28" t="s">
        <v>9</v>
      </c>
      <c r="G42" s="53" t="str">
        <f ca="1">'KS2-4 Attainment TMs'!$E24</f>
        <v/>
      </c>
      <c r="H42" s="53" t="str">
        <f ca="1">'KS2-4 Attainment TMs'!$F24</f>
        <v/>
      </c>
    </row>
    <row r="43" spans="1:8" x14ac:dyDescent="0.45">
      <c r="B43" s="29"/>
      <c r="C43" s="29"/>
      <c r="D43" s="29"/>
      <c r="E43" s="29"/>
      <c r="F43" s="28" t="s">
        <v>10</v>
      </c>
      <c r="G43" s="53" t="str">
        <f ca="1">'KS2-4 Attainment TMs'!$E25</f>
        <v/>
      </c>
      <c r="H43" s="53" t="str">
        <f ca="1">'KS2-4 Attainment TMs'!$F25</f>
        <v/>
      </c>
    </row>
    <row r="44" spans="1:8" x14ac:dyDescent="0.45">
      <c r="B44" s="29"/>
      <c r="C44" s="29"/>
      <c r="D44" s="29"/>
      <c r="E44" s="29"/>
      <c r="F44" s="28" t="s">
        <v>11</v>
      </c>
      <c r="G44" s="53" t="str">
        <f ca="1">'KS2-4 Attainment TMs'!$E26</f>
        <v/>
      </c>
      <c r="H44" s="53" t="str">
        <f ca="1">'KS2-4 Attainment TMs'!$F26</f>
        <v/>
      </c>
    </row>
    <row r="45" spans="1:8" x14ac:dyDescent="0.45">
      <c r="B45" s="29"/>
      <c r="C45" s="29"/>
      <c r="D45" s="29"/>
      <c r="E45" s="29"/>
    </row>
    <row r="46" spans="1:8" x14ac:dyDescent="0.45">
      <c r="B46" s="29"/>
      <c r="C46" s="29"/>
      <c r="D46" s="29"/>
      <c r="E46" s="29"/>
    </row>
    <row r="47" spans="1:8" x14ac:dyDescent="0.45">
      <c r="B47" s="29"/>
      <c r="C47" s="29"/>
      <c r="D47" s="29"/>
      <c r="E47" s="29"/>
    </row>
    <row r="48" spans="1:8" x14ac:dyDescent="0.45">
      <c r="B48" s="29"/>
      <c r="C48" s="29"/>
      <c r="D48" s="29"/>
      <c r="E48" s="29"/>
    </row>
    <row r="49" spans="1:5" x14ac:dyDescent="0.45">
      <c r="B49" s="29"/>
      <c r="C49" s="29"/>
      <c r="D49" s="29"/>
      <c r="E49" s="29"/>
    </row>
    <row r="50" spans="1:5" x14ac:dyDescent="0.45">
      <c r="B50" s="29"/>
      <c r="C50" s="29"/>
      <c r="D50" s="29"/>
      <c r="E50" s="29"/>
    </row>
    <row r="51" spans="1:5" x14ac:dyDescent="0.45">
      <c r="B51" s="29"/>
      <c r="C51" s="29"/>
      <c r="D51" s="29"/>
      <c r="E51" s="29"/>
    </row>
    <row r="52" spans="1:5" x14ac:dyDescent="0.45">
      <c r="B52" s="29"/>
      <c r="C52" s="29"/>
      <c r="D52" s="29"/>
      <c r="E52" s="29"/>
    </row>
    <row r="53" spans="1:5" x14ac:dyDescent="0.45">
      <c r="A53" s="31"/>
      <c r="B53" s="29"/>
      <c r="C53" s="29"/>
      <c r="D53" s="29"/>
      <c r="E53" s="29"/>
    </row>
    <row r="54" spans="1:5" x14ac:dyDescent="0.45">
      <c r="A54" s="31"/>
      <c r="B54" s="29"/>
      <c r="C54" s="29"/>
      <c r="D54" s="29"/>
      <c r="E54" s="29"/>
    </row>
    <row r="55" spans="1:5" x14ac:dyDescent="0.45">
      <c r="A55" s="31"/>
      <c r="B55" s="29"/>
      <c r="C55" s="29"/>
      <c r="D55" s="29"/>
      <c r="E55" s="29"/>
    </row>
    <row r="56" spans="1:5" x14ac:dyDescent="0.45">
      <c r="A56" s="31"/>
      <c r="B56" s="29"/>
      <c r="C56" s="29"/>
      <c r="D56" s="29"/>
      <c r="E56" s="29"/>
    </row>
    <row r="57" spans="1:5" x14ac:dyDescent="0.45">
      <c r="A57" s="29"/>
      <c r="B57" s="29"/>
      <c r="C57" s="29"/>
      <c r="D57" s="29"/>
      <c r="E57" s="29"/>
    </row>
    <row r="58" spans="1:5" x14ac:dyDescent="0.45">
      <c r="A58" s="29"/>
      <c r="B58" s="29"/>
      <c r="C58" s="29"/>
      <c r="D58" s="29"/>
      <c r="E58" s="29"/>
    </row>
    <row r="59" spans="1:5" x14ac:dyDescent="0.45">
      <c r="A59" s="29"/>
      <c r="B59" s="29"/>
      <c r="C59" s="29"/>
      <c r="D59" s="29"/>
      <c r="E59" s="29"/>
    </row>
  </sheetData>
  <conditionalFormatting sqref="G22:P23">
    <cfRule type="expression" dxfId="1" priority="1">
      <formula>$L$37="Pupil Percentages"</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Y59"/>
  <sheetViews>
    <sheetView workbookViewId="0">
      <selection activeCell="A23" sqref="A23"/>
    </sheetView>
  </sheetViews>
  <sheetFormatPr defaultRowHeight="14.25" x14ac:dyDescent="0.45"/>
  <cols>
    <col min="1" max="1" width="34.73046875" customWidth="1"/>
    <col min="2" max="2" width="23.1328125" customWidth="1"/>
    <col min="3" max="3" width="23" customWidth="1"/>
    <col min="4" max="4" width="21.1328125" customWidth="1"/>
    <col min="5" max="5" width="24.3984375" customWidth="1"/>
    <col min="6" max="6" width="16.265625" customWidth="1"/>
    <col min="7" max="7" width="14" customWidth="1"/>
    <col min="8" max="8" width="15.86328125" customWidth="1"/>
    <col min="9" max="9" width="16" customWidth="1"/>
    <col min="10" max="10" width="11" customWidth="1"/>
    <col min="11" max="11" width="24.265625" customWidth="1"/>
    <col min="12" max="12" width="11.3984375" customWidth="1"/>
  </cols>
  <sheetData>
    <row r="1" spans="1:25" x14ac:dyDescent="0.45">
      <c r="A1" s="31" t="s">
        <v>103</v>
      </c>
      <c r="B1" s="28" t="s">
        <v>55</v>
      </c>
      <c r="C1" s="11" t="s">
        <v>17</v>
      </c>
      <c r="D1" s="11" t="s">
        <v>55</v>
      </c>
      <c r="E1" s="28" t="s">
        <v>55</v>
      </c>
      <c r="F1" s="55" t="s">
        <v>103</v>
      </c>
      <c r="G1" s="55" t="str">
        <f>IF($F$1="Combined Science","Combined_Science",$F$1)</f>
        <v>Combined_Science</v>
      </c>
      <c r="H1" s="56" t="s">
        <v>103</v>
      </c>
      <c r="I1" s="56" t="str">
        <f>IF($H$1="Combined Science","Combined_Science",$H$1)</f>
        <v>Combined_Science</v>
      </c>
      <c r="J1" s="57" t="s">
        <v>59</v>
      </c>
      <c r="K1" s="55" t="str">
        <f>IF($J$1="Ebacc Entry","Ebacc_Entry",IF($J$1="Ebacc Achievement 9-4","Ebacc_94",IF($J$1="Ebacc Achievement 9-5","Ebacc_95",IF($J$1="English &amp; Mathematics Achievement 9-4","EM_94",IF($J$1="English &amp; Mathematics Achievement 9-5","EM_95",$J$1)))))</f>
        <v>Ebacc_Entry</v>
      </c>
      <c r="L1" s="55" t="s">
        <v>60</v>
      </c>
      <c r="M1" s="55" t="str">
        <f>IF($L$1="Ebacc Entry","Ebacc_Entry",IF($L$1="Ebacc Achievement 9-4","Ebacc_94",IF($L$1="Ebacc Achievement 9-5","Ebacc_95",IF($L$1="English &amp; Mathematics Achievement 9-4","EM_94",IF($L$1="English &amp; Mathematics Achievement 9-5","EM_95",$L$1)))))</f>
        <v>Ebacc_94</v>
      </c>
      <c r="R1" s="41">
        <v>1</v>
      </c>
      <c r="S1" s="41">
        <v>1</v>
      </c>
      <c r="T1" s="41" t="s">
        <v>93</v>
      </c>
    </row>
    <row r="2" spans="1:25" x14ac:dyDescent="0.45">
      <c r="A2" s="30"/>
      <c r="B2" s="28"/>
      <c r="C2" s="11"/>
      <c r="D2" s="29"/>
      <c r="E2" s="28"/>
      <c r="F2" s="55"/>
      <c r="G2" s="55" t="s">
        <v>55</v>
      </c>
      <c r="H2" s="56"/>
      <c r="I2" s="56" t="s">
        <v>55</v>
      </c>
      <c r="J2" s="57"/>
      <c r="K2" s="55" t="s">
        <v>21</v>
      </c>
      <c r="L2" s="55"/>
      <c r="M2" s="55" t="s">
        <v>21</v>
      </c>
      <c r="R2" s="41"/>
      <c r="S2" s="41">
        <v>2</v>
      </c>
      <c r="T2" s="41" t="s">
        <v>94</v>
      </c>
    </row>
    <row r="3" spans="1:25" x14ac:dyDescent="0.45">
      <c r="B3" s="28" t="s">
        <v>21</v>
      </c>
      <c r="C3" s="11" t="s">
        <v>1</v>
      </c>
      <c r="D3" s="11" t="s">
        <v>1</v>
      </c>
      <c r="E3" s="28" t="s">
        <v>59</v>
      </c>
      <c r="F3" s="55"/>
      <c r="G3" s="55" t="s">
        <v>17</v>
      </c>
      <c r="H3" s="56"/>
      <c r="I3" s="56" t="s">
        <v>55</v>
      </c>
      <c r="J3" s="57"/>
      <c r="K3" s="55"/>
      <c r="L3" s="55"/>
      <c r="M3" s="55" t="s">
        <v>11</v>
      </c>
      <c r="R3" s="41"/>
      <c r="S3" s="41">
        <v>3</v>
      </c>
      <c r="T3" s="41" t="s">
        <v>95</v>
      </c>
    </row>
    <row r="4" spans="1:25" ht="15.4" x14ac:dyDescent="0.45">
      <c r="A4" s="30"/>
      <c r="B4" s="28" t="s">
        <v>22</v>
      </c>
      <c r="C4" s="11">
        <v>1</v>
      </c>
      <c r="D4" s="11">
        <v>1</v>
      </c>
      <c r="E4" s="38" t="s">
        <v>60</v>
      </c>
      <c r="F4" s="2"/>
      <c r="R4" s="41"/>
      <c r="S4" s="41">
        <v>4</v>
      </c>
      <c r="T4" s="41" t="s">
        <v>96</v>
      </c>
    </row>
    <row r="5" spans="1:25" x14ac:dyDescent="0.45">
      <c r="A5" s="30"/>
      <c r="B5" s="29"/>
      <c r="C5" s="11">
        <v>2</v>
      </c>
      <c r="D5" s="11" t="s">
        <v>2</v>
      </c>
      <c r="E5" s="38" t="s">
        <v>61</v>
      </c>
      <c r="F5" s="36"/>
      <c r="G5" s="36" t="str">
        <f>IF(ISBLANK('KS2-4 Combined Science TMs'!E$15),"",'KS2-4 Combined Science TMs'!E$15)</f>
        <v>U</v>
      </c>
      <c r="H5" s="36">
        <f>IF(ISBLANK('KS2-4 Combined Science TMs'!F$15),"",'KS2-4 Combined Science TMs'!F$15)</f>
        <v>11</v>
      </c>
      <c r="I5" s="36">
        <f>IF(ISBLANK('KS2-4 Combined Science TMs'!G$15),"",'KS2-4 Combined Science TMs'!G$15)</f>
        <v>21</v>
      </c>
      <c r="J5" s="36">
        <f>IF(ISBLANK('KS2-4 Combined Science TMs'!H$15),"",'KS2-4 Combined Science TMs'!H$15)</f>
        <v>22</v>
      </c>
      <c r="K5" s="36">
        <f>IF(ISBLANK('KS2-4 Combined Science TMs'!I$15),"",'KS2-4 Combined Science TMs'!I$15)</f>
        <v>32</v>
      </c>
      <c r="L5" s="36">
        <f>IF(ISBLANK('KS2-4 Combined Science TMs'!J$15),"",'KS2-4 Combined Science TMs'!J$15)</f>
        <v>33</v>
      </c>
      <c r="M5" s="36">
        <f>IF(ISBLANK('KS2-4 Combined Science TMs'!K$15),"",'KS2-4 Combined Science TMs'!K$15)</f>
        <v>43</v>
      </c>
      <c r="N5" s="36">
        <f>IF(ISBLANK('KS2-4 Combined Science TMs'!L$15),"",'KS2-4 Combined Science TMs'!L$15)</f>
        <v>44</v>
      </c>
      <c r="O5" s="36">
        <f>IF(ISBLANK('KS2-4 Combined Science TMs'!M$15),"",'KS2-4 Combined Science TMs'!M$15)</f>
        <v>54</v>
      </c>
      <c r="P5" s="36">
        <f>IF(ISBLANK('KS2-4 Combined Science TMs'!N$15),"",'KS2-4 Combined Science TMs'!N$15)</f>
        <v>55</v>
      </c>
      <c r="Q5" s="36">
        <f>IF(ISBLANK('KS2-4 Combined Science TMs'!O$15),"",'KS2-4 Combined Science TMs'!O$15)</f>
        <v>65</v>
      </c>
      <c r="R5" s="36">
        <f>IF(ISBLANK('KS2-4 Combined Science TMs'!P$15),"",'KS2-4 Combined Science TMs'!P$15)</f>
        <v>66</v>
      </c>
      <c r="S5" s="36">
        <f>IF(ISBLANK('KS2-4 Combined Science TMs'!Q$15),"",'KS2-4 Combined Science TMs'!Q$15)</f>
        <v>76</v>
      </c>
      <c r="T5" s="36">
        <f>IF(ISBLANK('KS2-4 Combined Science TMs'!R$15),"",'KS2-4 Combined Science TMs'!R$15)</f>
        <v>77</v>
      </c>
      <c r="U5" s="36">
        <f>IF(ISBLANK('KS2-4 Combined Science TMs'!S$15),"",'KS2-4 Combined Science TMs'!S$15)</f>
        <v>87</v>
      </c>
      <c r="V5" s="36">
        <f>IF(ISBLANK('KS2-4 Combined Science TMs'!T$15),"",'KS2-4 Combined Science TMs'!T$15)</f>
        <v>88</v>
      </c>
      <c r="W5" s="36">
        <f>IF(ISBLANK('KS2-4 Combined Science TMs'!U$15),"",'KS2-4 Combined Science TMs'!U$15)</f>
        <v>98</v>
      </c>
      <c r="X5" s="36">
        <f>IF(ISBLANK('KS2-4 Combined Science TMs'!V$15),"",'KS2-4 Combined Science TMs'!V$15)</f>
        <v>99</v>
      </c>
      <c r="Y5" s="36" t="str">
        <f>IF(ISBLANK('KS2-4 Combined Science TMs'!W$15),"",'KS2-4 Combined Science TMs'!W$15)</f>
        <v/>
      </c>
    </row>
    <row r="6" spans="1:25" x14ac:dyDescent="0.45">
      <c r="A6" s="30"/>
      <c r="B6" s="29"/>
      <c r="C6" s="11" t="s">
        <v>3</v>
      </c>
      <c r="D6" s="11" t="s">
        <v>3</v>
      </c>
      <c r="E6" s="38" t="s">
        <v>62</v>
      </c>
      <c r="F6" s="37" t="str">
        <f>IF(NOT(OR(InputsCS!$G$1="Please Select",InputsCS!$G$1="",InputsCS!$G$2="Please Select",InputsCS!$G$2="")),IF($G$3="All",'KS2-4 Combined Science TMs'!D$16,IF($G$3='KS2-4 Combined Science TMs'!$D$16,'KS2-4 Combined Science TMs'!D$16,"")),"")</f>
        <v/>
      </c>
      <c r="G6" s="37" t="str">
        <f ca="1">IF($G$3="All",'KS2-4 Combined Science TMs'!E$16,IF($G$3='KS2-4 Combined Science TMs'!$D$16,'KS2-4 Combined Science TMs'!E$16,""))</f>
        <v/>
      </c>
      <c r="H6" s="37" t="str">
        <f ca="1">IF($G$3="All",'KS2-4 Combined Science TMs'!F$16,IF($G$3='KS2-4 Combined Science TMs'!$D$16,'KS2-4 Combined Science TMs'!F$16,""))</f>
        <v/>
      </c>
      <c r="I6" s="37" t="str">
        <f ca="1">IF($G$3="All",'KS2-4 Combined Science TMs'!G$16,IF($G$3='KS2-4 Combined Science TMs'!$D$16,'KS2-4 Combined Science TMs'!G$16,""))</f>
        <v/>
      </c>
      <c r="J6" s="37" t="str">
        <f ca="1">IF($G$3="All",'KS2-4 Combined Science TMs'!H$16,IF($G$3='KS2-4 Combined Science TMs'!$D$16,'KS2-4 Combined Science TMs'!H$16,""))</f>
        <v/>
      </c>
      <c r="K6" s="37" t="str">
        <f ca="1">IF($G$3="All",'KS2-4 Combined Science TMs'!I$16,IF($G$3='KS2-4 Combined Science TMs'!$D$16,'KS2-4 Combined Science TMs'!I$16,""))</f>
        <v/>
      </c>
      <c r="L6" s="37" t="str">
        <f ca="1">IF($G$3="All",'KS2-4 Combined Science TMs'!J$16,IF($G$3='KS2-4 Combined Science TMs'!$D$16,'KS2-4 Combined Science TMs'!J$16,""))</f>
        <v/>
      </c>
      <c r="M6" s="37" t="str">
        <f ca="1">IF($G$3="All",'KS2-4 Combined Science TMs'!K$16,IF($G$3='KS2-4 Combined Science TMs'!$D$16,'KS2-4 Combined Science TMs'!K$16,""))</f>
        <v/>
      </c>
      <c r="N6" s="37" t="str">
        <f ca="1">IF($G$3="All",'KS2-4 Combined Science TMs'!L$16,IF($G$3='KS2-4 Combined Science TMs'!$D$16,'KS2-4 Combined Science TMs'!L$16,""))</f>
        <v/>
      </c>
      <c r="O6" s="37" t="str">
        <f ca="1">IF($G$3="All",'KS2-4 Combined Science TMs'!M$16,IF($G$3='KS2-4 Combined Science TMs'!$D$16,'KS2-4 Combined Science TMs'!M$16,""))</f>
        <v/>
      </c>
      <c r="P6" s="37" t="str">
        <f ca="1">IF($G$3="All",'KS2-4 Combined Science TMs'!N$16,IF($G$3='KS2-4 Combined Science TMs'!$D$16,'KS2-4 Combined Science TMs'!N$16,""))</f>
        <v/>
      </c>
      <c r="Q6" s="37" t="str">
        <f ca="1">IF($G$3="All",'KS2-4 Combined Science TMs'!O$16,IF($G$3='KS2-4 Combined Science TMs'!$D$16,'KS2-4 Combined Science TMs'!O$16,""))</f>
        <v/>
      </c>
      <c r="R6" s="37" t="str">
        <f ca="1">IF($G$3="All",'KS2-4 Combined Science TMs'!P$16,IF($G$3='KS2-4 Combined Science TMs'!$D$16,'KS2-4 Combined Science TMs'!P$16,""))</f>
        <v/>
      </c>
      <c r="S6" s="37" t="str">
        <f ca="1">IF($G$3="All",'KS2-4 Combined Science TMs'!Q$16,IF($G$3='KS2-4 Combined Science TMs'!$D$16,'KS2-4 Combined Science TMs'!Q$16,""))</f>
        <v/>
      </c>
      <c r="T6" s="37" t="str">
        <f ca="1">IF($G$3="All",'KS2-4 Combined Science TMs'!R$16,IF($G$3='KS2-4 Combined Science TMs'!$D$16,'KS2-4 Combined Science TMs'!R$16,""))</f>
        <v/>
      </c>
      <c r="U6" s="37" t="str">
        <f ca="1">IF($G$3="All",'KS2-4 Combined Science TMs'!S$16,IF($G$3='KS2-4 Combined Science TMs'!$D$16,'KS2-4 Combined Science TMs'!S$16,""))</f>
        <v/>
      </c>
      <c r="V6" s="37" t="str">
        <f ca="1">IF($G$3="All",'KS2-4 Combined Science TMs'!T$16,IF($G$3='KS2-4 Combined Science TMs'!$D$16,'KS2-4 Combined Science TMs'!T$16,""))</f>
        <v/>
      </c>
      <c r="W6" s="37" t="str">
        <f ca="1">IF($G$3="All",'KS2-4 Combined Science TMs'!U$16,IF($G$3='KS2-4 Combined Science TMs'!$D$16,'KS2-4 Combined Science TMs'!U$16,""))</f>
        <v/>
      </c>
      <c r="X6" s="37" t="str">
        <f ca="1">IF($G$3="All",'KS2-4 Combined Science TMs'!V$16,IF($G$3='KS2-4 Combined Science TMs'!$D$16,'KS2-4 Combined Science TMs'!V$16,""))</f>
        <v/>
      </c>
      <c r="Y6" s="37">
        <f>IF($G$3="All",'KS2-4 Combined Science TMs'!W$16,IF($G$3='KS2-4 Combined Science TMs'!$D$16,'KS2-4 Combined Science TMs'!W$16,""))</f>
        <v>0</v>
      </c>
    </row>
    <row r="7" spans="1:25" x14ac:dyDescent="0.45">
      <c r="A7" s="31"/>
      <c r="B7" s="29"/>
      <c r="C7" s="11" t="s">
        <v>4</v>
      </c>
      <c r="D7" s="11" t="s">
        <v>4</v>
      </c>
      <c r="E7" s="38" t="s">
        <v>63</v>
      </c>
      <c r="F7" s="37" t="str">
        <f>IF(NOT(OR(InputsCS!$G$1="Please Select",InputsCS!$G$1="",InputsCS!$G$2="Please Select",InputsCS!$G$2="")),IF($G$3="All",'KS2-4 Combined Science TMs'!D$17,IF($G$3='KS2-4 Combined Science TMs'!$D$17,'KS2-4 Combined Science TMs'!D$17,"")),"")</f>
        <v/>
      </c>
      <c r="G7" s="37" t="str">
        <f ca="1">IF($G$3="All",'KS2-4 Combined Science TMs'!E$17,IF($G$3='KS2-4 Combined Science TMs'!$D$17,'KS2-4 Combined Science TMs'!E$17,""))</f>
        <v/>
      </c>
      <c r="H7" s="37" t="str">
        <f ca="1">IF($G$3="All",'KS2-4 Combined Science TMs'!F$17,IF($G$3='KS2-4 Combined Science TMs'!$D$17,'KS2-4 Combined Science TMs'!F$17,""))</f>
        <v/>
      </c>
      <c r="I7" s="37" t="str">
        <f ca="1">IF($G$3="All",'KS2-4 Combined Science TMs'!G$17,IF($G$3='KS2-4 Combined Science TMs'!$D$17,'KS2-4 Combined Science TMs'!G$17,""))</f>
        <v/>
      </c>
      <c r="J7" s="37" t="str">
        <f ca="1">IF($G$3="All",'KS2-4 Combined Science TMs'!H$17,IF($G$3='KS2-4 Combined Science TMs'!$D$17,'KS2-4 Combined Science TMs'!H$17,""))</f>
        <v/>
      </c>
      <c r="K7" s="37" t="str">
        <f ca="1">IF($G$3="All",'KS2-4 Combined Science TMs'!I$17,IF($G$3='KS2-4 Combined Science TMs'!$D$17,'KS2-4 Combined Science TMs'!I$17,""))</f>
        <v/>
      </c>
      <c r="L7" s="37" t="str">
        <f ca="1">IF($G$3="All",'KS2-4 Combined Science TMs'!J$17,IF($G$3='KS2-4 Combined Science TMs'!$D$17,'KS2-4 Combined Science TMs'!J$17,""))</f>
        <v/>
      </c>
      <c r="M7" s="37" t="str">
        <f ca="1">IF($G$3="All",'KS2-4 Combined Science TMs'!K$17,IF($G$3='KS2-4 Combined Science TMs'!$D$17,'KS2-4 Combined Science TMs'!K$17,""))</f>
        <v/>
      </c>
      <c r="N7" s="37" t="str">
        <f ca="1">IF($G$3="All",'KS2-4 Combined Science TMs'!L$17,IF($G$3='KS2-4 Combined Science TMs'!$D$17,'KS2-4 Combined Science TMs'!L$17,""))</f>
        <v/>
      </c>
      <c r="O7" s="37" t="str">
        <f ca="1">IF($G$3="All",'KS2-4 Combined Science TMs'!M$17,IF($G$3='KS2-4 Combined Science TMs'!$D$17,'KS2-4 Combined Science TMs'!M$17,""))</f>
        <v/>
      </c>
      <c r="P7" s="37" t="str">
        <f ca="1">IF($G$3="All",'KS2-4 Combined Science TMs'!N$17,IF($G$3='KS2-4 Combined Science TMs'!$D$17,'KS2-4 Combined Science TMs'!N$17,""))</f>
        <v/>
      </c>
      <c r="Q7" s="37" t="str">
        <f ca="1">IF($G$3="All",'KS2-4 Combined Science TMs'!O$17,IF($G$3='KS2-4 Combined Science TMs'!$D$17,'KS2-4 Combined Science TMs'!O$17,""))</f>
        <v/>
      </c>
      <c r="R7" s="37" t="str">
        <f ca="1">IF($G$3="All",'KS2-4 Combined Science TMs'!P$17,IF($G$3='KS2-4 Combined Science TMs'!$D$17,'KS2-4 Combined Science TMs'!P$17,""))</f>
        <v/>
      </c>
      <c r="S7" s="37" t="str">
        <f ca="1">IF($G$3="All",'KS2-4 Combined Science TMs'!Q$17,IF($G$3='KS2-4 Combined Science TMs'!$D$17,'KS2-4 Combined Science TMs'!Q$17,""))</f>
        <v/>
      </c>
      <c r="T7" s="37" t="str">
        <f ca="1">IF($G$3="All",'KS2-4 Combined Science TMs'!R$17,IF($G$3='KS2-4 Combined Science TMs'!$D$17,'KS2-4 Combined Science TMs'!R$17,""))</f>
        <v/>
      </c>
      <c r="U7" s="37" t="str">
        <f ca="1">IF($G$3="All",'KS2-4 Combined Science TMs'!S$17,IF($G$3='KS2-4 Combined Science TMs'!$D$17,'KS2-4 Combined Science TMs'!S$17,""))</f>
        <v/>
      </c>
      <c r="V7" s="37" t="str">
        <f ca="1">IF($G$3="All",'KS2-4 Combined Science TMs'!T$17,IF($G$3='KS2-4 Combined Science TMs'!$D$17,'KS2-4 Combined Science TMs'!T$17,""))</f>
        <v/>
      </c>
      <c r="W7" s="37" t="str">
        <f ca="1">IF($G$3="All",'KS2-4 Combined Science TMs'!U$17,IF($G$3='KS2-4 Combined Science TMs'!$D$17,'KS2-4 Combined Science TMs'!U$17,""))</f>
        <v/>
      </c>
      <c r="X7" s="37" t="str">
        <f ca="1">IF($G$3="All",'KS2-4 Combined Science TMs'!V$17,IF($G$3='KS2-4 Combined Science TMs'!$D$17,'KS2-4 Combined Science TMs'!V$17,""))</f>
        <v/>
      </c>
      <c r="Y7" s="37">
        <f>IF($G$3="All",'KS2-4 Combined Science TMs'!W$17,IF($G$3='KS2-4 Combined Science TMs'!$D$17,'KS2-4 Combined Science TMs'!W$17,""))</f>
        <v>0</v>
      </c>
    </row>
    <row r="8" spans="1:25" x14ac:dyDescent="0.45">
      <c r="A8" s="31"/>
      <c r="B8" s="29"/>
      <c r="C8" s="11" t="s">
        <v>5</v>
      </c>
      <c r="D8" s="11" t="s">
        <v>5</v>
      </c>
      <c r="E8" s="28" t="str">
        <f>IF($G$3='KS2-4 Combined Science TMs'!$D$17,'KS2-4 Combined Science TMs'!D$17,"")</f>
        <v/>
      </c>
      <c r="F8" s="37" t="str">
        <f>IF(NOT(OR(InputsCS!$G$1="Please Select",InputsCS!$G$1="",InputsCS!$G$2="Please Select",InputsCS!$G$2="")),IF($G$3="All",'KS2-4 Combined Science TMs'!D$18,IF($G$3='KS2-4 Combined Science TMs'!$D$18,'KS2-4 Combined Science TMs'!D$18,"")),"")</f>
        <v/>
      </c>
      <c r="G8" s="37" t="str">
        <f ca="1">IF($G$3="All",'KS2-4 Combined Science TMs'!E$18,IF($G$3='KS2-4 Combined Science TMs'!$D$18,'KS2-4 Combined Science TMs'!E$18,""))</f>
        <v/>
      </c>
      <c r="H8" s="37" t="str">
        <f ca="1">IF($G$3="All",'KS2-4 Combined Science TMs'!F$18,IF($G$3='KS2-4 Combined Science TMs'!$D$18,'KS2-4 Combined Science TMs'!F$18,""))</f>
        <v/>
      </c>
      <c r="I8" s="37" t="str">
        <f ca="1">IF($G$3="All",'KS2-4 Combined Science TMs'!G$18,IF($G$3='KS2-4 Combined Science TMs'!$D$18,'KS2-4 Combined Science TMs'!G$18,""))</f>
        <v/>
      </c>
      <c r="J8" s="37" t="str">
        <f ca="1">IF($G$3="All",'KS2-4 Combined Science TMs'!H$18,IF($G$3='KS2-4 Combined Science TMs'!$D$18,'KS2-4 Combined Science TMs'!H$18,""))</f>
        <v/>
      </c>
      <c r="K8" s="37" t="str">
        <f ca="1">IF($G$3="All",'KS2-4 Combined Science TMs'!I$18,IF($G$3='KS2-4 Combined Science TMs'!$D$18,'KS2-4 Combined Science TMs'!I$18,""))</f>
        <v/>
      </c>
      <c r="L8" s="37" t="str">
        <f ca="1">IF($G$3="All",'KS2-4 Combined Science TMs'!J$18,IF($G$3='KS2-4 Combined Science TMs'!$D$18,'KS2-4 Combined Science TMs'!J$18,""))</f>
        <v/>
      </c>
      <c r="M8" s="37" t="str">
        <f ca="1">IF($G$3="All",'KS2-4 Combined Science TMs'!K$18,IF($G$3='KS2-4 Combined Science TMs'!$D$18,'KS2-4 Combined Science TMs'!K$18,""))</f>
        <v/>
      </c>
      <c r="N8" s="37" t="str">
        <f ca="1">IF($G$3="All",'KS2-4 Combined Science TMs'!L$18,IF($G$3='KS2-4 Combined Science TMs'!$D$18,'KS2-4 Combined Science TMs'!L$18,""))</f>
        <v/>
      </c>
      <c r="O8" s="37" t="str">
        <f ca="1">IF($G$3="All",'KS2-4 Combined Science TMs'!M$18,IF($G$3='KS2-4 Combined Science TMs'!$D$18,'KS2-4 Combined Science TMs'!M$18,""))</f>
        <v/>
      </c>
      <c r="P8" s="37" t="str">
        <f ca="1">IF($G$3="All",'KS2-4 Combined Science TMs'!N$18,IF($G$3='KS2-4 Combined Science TMs'!$D$18,'KS2-4 Combined Science TMs'!N$18,""))</f>
        <v/>
      </c>
      <c r="Q8" s="37" t="str">
        <f ca="1">IF($G$3="All",'KS2-4 Combined Science TMs'!O$18,IF($G$3='KS2-4 Combined Science TMs'!$D$18,'KS2-4 Combined Science TMs'!O$18,""))</f>
        <v/>
      </c>
      <c r="R8" s="37" t="str">
        <f ca="1">IF($G$3="All",'KS2-4 Combined Science TMs'!P$18,IF($G$3='KS2-4 Combined Science TMs'!$D$18,'KS2-4 Combined Science TMs'!P$18,""))</f>
        <v/>
      </c>
      <c r="S8" s="37" t="str">
        <f ca="1">IF($G$3="All",'KS2-4 Combined Science TMs'!Q$18,IF($G$3='KS2-4 Combined Science TMs'!$D$18,'KS2-4 Combined Science TMs'!Q$18,""))</f>
        <v/>
      </c>
      <c r="T8" s="37" t="str">
        <f ca="1">IF($G$3="All",'KS2-4 Combined Science TMs'!R$18,IF($G$3='KS2-4 Combined Science TMs'!$D$18,'KS2-4 Combined Science TMs'!R$18,""))</f>
        <v/>
      </c>
      <c r="U8" s="37" t="str">
        <f ca="1">IF($G$3="All",'KS2-4 Combined Science TMs'!S$18,IF($G$3='KS2-4 Combined Science TMs'!$D$18,'KS2-4 Combined Science TMs'!S$18,""))</f>
        <v/>
      </c>
      <c r="V8" s="37" t="str">
        <f ca="1">IF($G$3="All",'KS2-4 Combined Science TMs'!T$18,IF($G$3='KS2-4 Combined Science TMs'!$D$18,'KS2-4 Combined Science TMs'!T$18,""))</f>
        <v/>
      </c>
      <c r="W8" s="37" t="str">
        <f ca="1">IF($G$3="All",'KS2-4 Combined Science TMs'!U$18,IF($G$3='KS2-4 Combined Science TMs'!$D$18,'KS2-4 Combined Science TMs'!U$18,""))</f>
        <v/>
      </c>
      <c r="X8" s="37" t="str">
        <f ca="1">IF($G$3="All",'KS2-4 Combined Science TMs'!V$18,IF($G$3='KS2-4 Combined Science TMs'!$D$18,'KS2-4 Combined Science TMs'!V$18,""))</f>
        <v/>
      </c>
      <c r="Y8" s="37">
        <f>IF($G$3="All",'KS2-4 Combined Science TMs'!W$18,IF($G$3='KS2-4 Combined Science TMs'!$D$18,'KS2-4 Combined Science TMs'!W$18,""))</f>
        <v>0</v>
      </c>
    </row>
    <row r="9" spans="1:25" x14ac:dyDescent="0.45">
      <c r="A9" s="31"/>
      <c r="B9" s="29"/>
      <c r="C9" s="11" t="s">
        <v>6</v>
      </c>
      <c r="D9" s="11" t="s">
        <v>6</v>
      </c>
      <c r="E9" s="28"/>
      <c r="F9" s="37" t="str">
        <f>IF(NOT(OR(InputsCS!$G$1="Please Select",InputsCS!$G$1="",InputsCS!$G$2="Please Select",InputsCS!$G$2="")),IF($G$3="All",'KS2-4 Combined Science TMs'!D$19,IF($G$3='KS2-4 Combined Science TMs'!$D$19,'KS2-4 Combined Science TMs'!D$19,"")),"")</f>
        <v/>
      </c>
      <c r="G9" s="37" t="str">
        <f ca="1">IF($G$3="All",'KS2-4 Combined Science TMs'!E$19,IF($G$3='KS2-4 Combined Science TMs'!$D$19,'KS2-4 Combined Science TMs'!E$19,""))</f>
        <v/>
      </c>
      <c r="H9" s="37" t="str">
        <f ca="1">IF($G$3="All",'KS2-4 Combined Science TMs'!F$19,IF($G$3='KS2-4 Combined Science TMs'!$D$19,'KS2-4 Combined Science TMs'!F$19,""))</f>
        <v/>
      </c>
      <c r="I9" s="37" t="str">
        <f ca="1">IF($G$3="All",'KS2-4 Combined Science TMs'!G$19,IF($G$3='KS2-4 Combined Science TMs'!$D$19,'KS2-4 Combined Science TMs'!G$19,""))</f>
        <v/>
      </c>
      <c r="J9" s="37" t="str">
        <f ca="1">IF($G$3="All",'KS2-4 Combined Science TMs'!H$19,IF($G$3='KS2-4 Combined Science TMs'!$D$19,'KS2-4 Combined Science TMs'!H$19,""))</f>
        <v/>
      </c>
      <c r="K9" s="37" t="str">
        <f ca="1">IF($G$3="All",'KS2-4 Combined Science TMs'!I$19,IF($G$3='KS2-4 Combined Science TMs'!$D$19,'KS2-4 Combined Science TMs'!I$19,""))</f>
        <v/>
      </c>
      <c r="L9" s="37" t="str">
        <f ca="1">IF($G$3="All",'KS2-4 Combined Science TMs'!J$19,IF($G$3='KS2-4 Combined Science TMs'!$D$19,'KS2-4 Combined Science TMs'!J$19,""))</f>
        <v/>
      </c>
      <c r="M9" s="37" t="str">
        <f ca="1">IF($G$3="All",'KS2-4 Combined Science TMs'!K$19,IF($G$3='KS2-4 Combined Science TMs'!$D$19,'KS2-4 Combined Science TMs'!K$19,""))</f>
        <v/>
      </c>
      <c r="N9" s="37" t="str">
        <f ca="1">IF($G$3="All",'KS2-4 Combined Science TMs'!L$19,IF($G$3='KS2-4 Combined Science TMs'!$D$19,'KS2-4 Combined Science TMs'!L$19,""))</f>
        <v/>
      </c>
      <c r="O9" s="37" t="str">
        <f ca="1">IF($G$3="All",'KS2-4 Combined Science TMs'!M$19,IF($G$3='KS2-4 Combined Science TMs'!$D$19,'KS2-4 Combined Science TMs'!M$19,""))</f>
        <v/>
      </c>
      <c r="P9" s="37" t="str">
        <f ca="1">IF($G$3="All",'KS2-4 Combined Science TMs'!N$19,IF($G$3='KS2-4 Combined Science TMs'!$D$19,'KS2-4 Combined Science TMs'!N$19,""))</f>
        <v/>
      </c>
      <c r="Q9" s="37" t="str">
        <f ca="1">IF($G$3="All",'KS2-4 Combined Science TMs'!O$19,IF($G$3='KS2-4 Combined Science TMs'!$D$19,'KS2-4 Combined Science TMs'!O$19,""))</f>
        <v/>
      </c>
      <c r="R9" s="37" t="str">
        <f ca="1">IF($G$3="All",'KS2-4 Combined Science TMs'!P$19,IF($G$3='KS2-4 Combined Science TMs'!$D$19,'KS2-4 Combined Science TMs'!P$19,""))</f>
        <v/>
      </c>
      <c r="S9" s="37" t="str">
        <f ca="1">IF($G$3="All",'KS2-4 Combined Science TMs'!Q$19,IF($G$3='KS2-4 Combined Science TMs'!$D$19,'KS2-4 Combined Science TMs'!Q$19,""))</f>
        <v/>
      </c>
      <c r="T9" s="37" t="str">
        <f ca="1">IF($G$3="All",'KS2-4 Combined Science TMs'!R$19,IF($G$3='KS2-4 Combined Science TMs'!$D$19,'KS2-4 Combined Science TMs'!R$19,""))</f>
        <v/>
      </c>
      <c r="U9" s="37" t="str">
        <f ca="1">IF($G$3="All",'KS2-4 Combined Science TMs'!S$19,IF($G$3='KS2-4 Combined Science TMs'!$D$19,'KS2-4 Combined Science TMs'!S$19,""))</f>
        <v/>
      </c>
      <c r="V9" s="37" t="str">
        <f ca="1">IF($G$3="All",'KS2-4 Combined Science TMs'!T$19,IF($G$3='KS2-4 Combined Science TMs'!$D$19,'KS2-4 Combined Science TMs'!T$19,""))</f>
        <v/>
      </c>
      <c r="W9" s="37" t="str">
        <f ca="1">IF($G$3="All",'KS2-4 Combined Science TMs'!U$19,IF($G$3='KS2-4 Combined Science TMs'!$D$19,'KS2-4 Combined Science TMs'!U$19,""))</f>
        <v/>
      </c>
      <c r="X9" s="37" t="str">
        <f ca="1">IF($G$3="All",'KS2-4 Combined Science TMs'!V$19,IF($G$3='KS2-4 Combined Science TMs'!$D$19,'KS2-4 Combined Science TMs'!V$19,""))</f>
        <v/>
      </c>
      <c r="Y9" s="37">
        <f>IF($G$3="All",'KS2-4 Combined Science TMs'!W$19,IF($G$3='KS2-4 Combined Science TMs'!$D$19,'KS2-4 Combined Science TMs'!W$19,""))</f>
        <v>0</v>
      </c>
    </row>
    <row r="10" spans="1:25" x14ac:dyDescent="0.45">
      <c r="B10" s="29"/>
      <c r="C10" s="11" t="s">
        <v>7</v>
      </c>
      <c r="D10" s="11" t="s">
        <v>7</v>
      </c>
      <c r="E10" s="28"/>
      <c r="F10" s="37" t="str">
        <f>IF(NOT(OR(InputsCS!$G$1="Please Select",InputsCS!$G$1="",InputsCS!$G$2="Please Select",InputsCS!$G$2="")),IF($G$3="All",'KS2-4 Combined Science TMs'!D$20,IF($G$3='KS2-4 Combined Science TMs'!$D$20,'KS2-4 Combined Science TMs'!D$20,"")),"")</f>
        <v/>
      </c>
      <c r="G10" s="37" t="str">
        <f ca="1">IF($G$3="All",'KS2-4 Combined Science TMs'!E$20,IF($G$3='KS2-4 Combined Science TMs'!$D$20,'KS2-4 Combined Science TMs'!E$20,""))</f>
        <v/>
      </c>
      <c r="H10" s="37" t="str">
        <f ca="1">IF($G$3="All",'KS2-4 Combined Science TMs'!F$20,IF($G$3='KS2-4 Combined Science TMs'!$D$20,'KS2-4 Combined Science TMs'!F$20,""))</f>
        <v/>
      </c>
      <c r="I10" s="37" t="str">
        <f ca="1">IF($G$3="All",'KS2-4 Combined Science TMs'!G$20,IF($G$3='KS2-4 Combined Science TMs'!$D$20,'KS2-4 Combined Science TMs'!G$20,""))</f>
        <v/>
      </c>
      <c r="J10" s="37" t="str">
        <f ca="1">IF($G$3="All",'KS2-4 Combined Science TMs'!H$20,IF($G$3='KS2-4 Combined Science TMs'!$D$20,'KS2-4 Combined Science TMs'!H$20,""))</f>
        <v/>
      </c>
      <c r="K10" s="37" t="str">
        <f ca="1">IF($G$3="All",'KS2-4 Combined Science TMs'!I$20,IF($G$3='KS2-4 Combined Science TMs'!$D$20,'KS2-4 Combined Science TMs'!I$20,""))</f>
        <v/>
      </c>
      <c r="L10" s="37" t="str">
        <f ca="1">IF($G$3="All",'KS2-4 Combined Science TMs'!J$20,IF($G$3='KS2-4 Combined Science TMs'!$D$20,'KS2-4 Combined Science TMs'!J$20,""))</f>
        <v/>
      </c>
      <c r="M10" s="37" t="str">
        <f ca="1">IF($G$3="All",'KS2-4 Combined Science TMs'!K$20,IF($G$3='KS2-4 Combined Science TMs'!$D$20,'KS2-4 Combined Science TMs'!K$20,""))</f>
        <v/>
      </c>
      <c r="N10" s="37" t="str">
        <f ca="1">IF($G$3="All",'KS2-4 Combined Science TMs'!L$20,IF($G$3='KS2-4 Combined Science TMs'!$D$20,'KS2-4 Combined Science TMs'!L$20,""))</f>
        <v/>
      </c>
      <c r="O10" s="37" t="str">
        <f ca="1">IF($G$3="All",'KS2-4 Combined Science TMs'!M$20,IF($G$3='KS2-4 Combined Science TMs'!$D$20,'KS2-4 Combined Science TMs'!M$20,""))</f>
        <v/>
      </c>
      <c r="P10" s="37" t="str">
        <f ca="1">IF($G$3="All",'KS2-4 Combined Science TMs'!N$20,IF($G$3='KS2-4 Combined Science TMs'!$D$20,'KS2-4 Combined Science TMs'!N$20,""))</f>
        <v/>
      </c>
      <c r="Q10" s="37" t="str">
        <f ca="1">IF($G$3="All",'KS2-4 Combined Science TMs'!O$20,IF($G$3='KS2-4 Combined Science TMs'!$D$20,'KS2-4 Combined Science TMs'!O$20,""))</f>
        <v/>
      </c>
      <c r="R10" s="37" t="str">
        <f ca="1">IF($G$3="All",'KS2-4 Combined Science TMs'!P$20,IF($G$3='KS2-4 Combined Science TMs'!$D$20,'KS2-4 Combined Science TMs'!P$20,""))</f>
        <v/>
      </c>
      <c r="S10" s="37" t="str">
        <f ca="1">IF($G$3="All",'KS2-4 Combined Science TMs'!Q$20,IF($G$3='KS2-4 Combined Science TMs'!$D$20,'KS2-4 Combined Science TMs'!Q$20,""))</f>
        <v/>
      </c>
      <c r="T10" s="37" t="str">
        <f ca="1">IF($G$3="All",'KS2-4 Combined Science TMs'!R$20,IF($G$3='KS2-4 Combined Science TMs'!$D$20,'KS2-4 Combined Science TMs'!R$20,""))</f>
        <v/>
      </c>
      <c r="U10" s="37" t="str">
        <f ca="1">IF($G$3="All",'KS2-4 Combined Science TMs'!S$20,IF($G$3='KS2-4 Combined Science TMs'!$D$20,'KS2-4 Combined Science TMs'!S$20,""))</f>
        <v/>
      </c>
      <c r="V10" s="37" t="str">
        <f ca="1">IF($G$3="All",'KS2-4 Combined Science TMs'!T$20,IF($G$3='KS2-4 Combined Science TMs'!$D$20,'KS2-4 Combined Science TMs'!T$20,""))</f>
        <v/>
      </c>
      <c r="W10" s="37" t="str">
        <f ca="1">IF($G$3="All",'KS2-4 Combined Science TMs'!U$20,IF($G$3='KS2-4 Combined Science TMs'!$D$20,'KS2-4 Combined Science TMs'!U$20,""))</f>
        <v/>
      </c>
      <c r="X10" s="37" t="str">
        <f ca="1">IF($G$3="All",'KS2-4 Combined Science TMs'!V$20,IF($G$3='KS2-4 Combined Science TMs'!$D$20,'KS2-4 Combined Science TMs'!V$20,""))</f>
        <v/>
      </c>
      <c r="Y10" s="37">
        <f>IF($G$3="All",'KS2-4 Combined Science TMs'!W$20,IF($G$3='KS2-4 Combined Science TMs'!$D$20,'KS2-4 Combined Science TMs'!W$20,""))</f>
        <v>0</v>
      </c>
    </row>
    <row r="11" spans="1:25" x14ac:dyDescent="0.45">
      <c r="A11" s="31"/>
      <c r="B11" s="29"/>
      <c r="C11" s="11" t="s">
        <v>8</v>
      </c>
      <c r="D11" s="11" t="s">
        <v>8</v>
      </c>
      <c r="E11" s="28"/>
      <c r="F11" s="37" t="str">
        <f>IF(NOT(OR(InputsCS!$G$1="Please Select",InputsCS!$G$1="",InputsCS!$G$2="Please Select",InputsCS!$G$2="")),IF($G$3="All",'KS2-4 Combined Science TMs'!D$21,IF($G$3='KS2-4 Combined Science TMs'!$D$21,'KS2-4 Combined Science TMs'!D$21,"")),"")</f>
        <v/>
      </c>
      <c r="G11" s="37" t="str">
        <f ca="1">IF($G$3="All",'KS2-4 Combined Science TMs'!E$21,IF($G$3='KS2-4 Combined Science TMs'!$D$21,'KS2-4 Combined Science TMs'!E$21,""))</f>
        <v/>
      </c>
      <c r="H11" s="37" t="str">
        <f ca="1">IF($G$3="All",'KS2-4 Combined Science TMs'!F$21,IF($G$3='KS2-4 Combined Science TMs'!$D$21,'KS2-4 Combined Science TMs'!F$21,""))</f>
        <v/>
      </c>
      <c r="I11" s="37" t="str">
        <f ca="1">IF($G$3="All",'KS2-4 Combined Science TMs'!G$21,IF($G$3='KS2-4 Combined Science TMs'!$D$21,'KS2-4 Combined Science TMs'!G$21,""))</f>
        <v/>
      </c>
      <c r="J11" s="37" t="str">
        <f ca="1">IF($G$3="All",'KS2-4 Combined Science TMs'!H$21,IF($G$3='KS2-4 Combined Science TMs'!$D$21,'KS2-4 Combined Science TMs'!H$21,""))</f>
        <v/>
      </c>
      <c r="K11" s="37" t="str">
        <f ca="1">IF($G$3="All",'KS2-4 Combined Science TMs'!I$21,IF($G$3='KS2-4 Combined Science TMs'!$D$21,'KS2-4 Combined Science TMs'!I$21,""))</f>
        <v/>
      </c>
      <c r="L11" s="37" t="str">
        <f ca="1">IF($G$3="All",'KS2-4 Combined Science TMs'!J$21,IF($G$3='KS2-4 Combined Science TMs'!$D$21,'KS2-4 Combined Science TMs'!J$21,""))</f>
        <v/>
      </c>
      <c r="M11" s="37" t="str">
        <f ca="1">IF($G$3="All",'KS2-4 Combined Science TMs'!K$21,IF($G$3='KS2-4 Combined Science TMs'!$D$21,'KS2-4 Combined Science TMs'!K$21,""))</f>
        <v/>
      </c>
      <c r="N11" s="37" t="str">
        <f ca="1">IF($G$3="All",'KS2-4 Combined Science TMs'!L$21,IF($G$3='KS2-4 Combined Science TMs'!$D$21,'KS2-4 Combined Science TMs'!L$21,""))</f>
        <v/>
      </c>
      <c r="O11" s="37" t="str">
        <f ca="1">IF($G$3="All",'KS2-4 Combined Science TMs'!M$21,IF($G$3='KS2-4 Combined Science TMs'!$D$21,'KS2-4 Combined Science TMs'!M$21,""))</f>
        <v/>
      </c>
      <c r="P11" s="37" t="str">
        <f ca="1">IF($G$3="All",'KS2-4 Combined Science TMs'!N$21,IF($G$3='KS2-4 Combined Science TMs'!$D$21,'KS2-4 Combined Science TMs'!N$21,""))</f>
        <v/>
      </c>
      <c r="Q11" s="37" t="str">
        <f ca="1">IF($G$3="All",'KS2-4 Combined Science TMs'!O$21,IF($G$3='KS2-4 Combined Science TMs'!$D$21,'KS2-4 Combined Science TMs'!O$21,""))</f>
        <v/>
      </c>
      <c r="R11" s="37" t="str">
        <f ca="1">IF($G$3="All",'KS2-4 Combined Science TMs'!P$21,IF($G$3='KS2-4 Combined Science TMs'!$D$21,'KS2-4 Combined Science TMs'!P$21,""))</f>
        <v/>
      </c>
      <c r="S11" s="37" t="str">
        <f ca="1">IF($G$3="All",'KS2-4 Combined Science TMs'!Q$21,IF($G$3='KS2-4 Combined Science TMs'!$D$21,'KS2-4 Combined Science TMs'!Q$21,""))</f>
        <v/>
      </c>
      <c r="T11" s="37" t="str">
        <f ca="1">IF($G$3="All",'KS2-4 Combined Science TMs'!R$21,IF($G$3='KS2-4 Combined Science TMs'!$D$21,'KS2-4 Combined Science TMs'!R$21,""))</f>
        <v/>
      </c>
      <c r="U11" s="37" t="str">
        <f ca="1">IF($G$3="All",'KS2-4 Combined Science TMs'!S$21,IF($G$3='KS2-4 Combined Science TMs'!$D$21,'KS2-4 Combined Science TMs'!S$21,""))</f>
        <v/>
      </c>
      <c r="V11" s="37" t="str">
        <f ca="1">IF($G$3="All",'KS2-4 Combined Science TMs'!T$21,IF($G$3='KS2-4 Combined Science TMs'!$D$21,'KS2-4 Combined Science TMs'!T$21,""))</f>
        <v/>
      </c>
      <c r="W11" s="37" t="str">
        <f ca="1">IF($G$3="All",'KS2-4 Combined Science TMs'!U$21,IF($G$3='KS2-4 Combined Science TMs'!$D$21,'KS2-4 Combined Science TMs'!U$21,""))</f>
        <v/>
      </c>
      <c r="X11" s="37" t="str">
        <f ca="1">IF($G$3="All",'KS2-4 Combined Science TMs'!V$21,IF($G$3='KS2-4 Combined Science TMs'!$D$21,'KS2-4 Combined Science TMs'!V$21,""))</f>
        <v/>
      </c>
      <c r="Y11" s="37">
        <f>IF($G$3="All",'KS2-4 Combined Science TMs'!W$21,IF($G$3='KS2-4 Combined Science TMs'!$D$21,'KS2-4 Combined Science TMs'!W$21,""))</f>
        <v>0</v>
      </c>
    </row>
    <row r="12" spans="1:25" x14ac:dyDescent="0.45">
      <c r="A12" s="30"/>
      <c r="B12" s="29"/>
      <c r="C12" s="11" t="s">
        <v>9</v>
      </c>
      <c r="D12" s="11" t="s">
        <v>9</v>
      </c>
      <c r="E12" s="28"/>
      <c r="F12" s="37" t="str">
        <f>IF(NOT(OR(InputsCS!$G$1="Please Select",InputsCS!$G$1="",InputsCS!$G$2="Please Select",InputsCS!$G$2="")),IF($G$3="All",'KS2-4 Combined Science TMs'!D$22,IF($G$3='KS2-4 Combined Science TMs'!$D$22,'KS2-4 Combined Science TMs'!D$22,"")),"")</f>
        <v/>
      </c>
      <c r="G12" s="37" t="str">
        <f ca="1">IF($G$3="All",'KS2-4 Combined Science TMs'!E$22,IF($G$3='KS2-4 Combined Science TMs'!$D$22,'KS2-4 Combined Science TMs'!E$22,""))</f>
        <v/>
      </c>
      <c r="H12" s="37" t="str">
        <f ca="1">IF($G$3="All",'KS2-4 Combined Science TMs'!F$22,IF($G$3='KS2-4 Combined Science TMs'!$D$22,'KS2-4 Combined Science TMs'!F$22,""))</f>
        <v/>
      </c>
      <c r="I12" s="37" t="str">
        <f ca="1">IF($G$3="All",'KS2-4 Combined Science TMs'!G$22,IF($G$3='KS2-4 Combined Science TMs'!$D$22,'KS2-4 Combined Science TMs'!G$22,""))</f>
        <v/>
      </c>
      <c r="J12" s="37" t="str">
        <f ca="1">IF($G$3="All",'KS2-4 Combined Science TMs'!H$22,IF($G$3='KS2-4 Combined Science TMs'!$D$22,'KS2-4 Combined Science TMs'!H$22,""))</f>
        <v/>
      </c>
      <c r="K12" s="37" t="str">
        <f ca="1">IF($G$3="All",'KS2-4 Combined Science TMs'!I$22,IF($G$3='KS2-4 Combined Science TMs'!$D$22,'KS2-4 Combined Science TMs'!I$22,""))</f>
        <v/>
      </c>
      <c r="L12" s="37" t="str">
        <f ca="1">IF($G$3="All",'KS2-4 Combined Science TMs'!J$22,IF($G$3='KS2-4 Combined Science TMs'!$D$22,'KS2-4 Combined Science TMs'!J$22,""))</f>
        <v/>
      </c>
      <c r="M12" s="37" t="str">
        <f ca="1">IF($G$3="All",'KS2-4 Combined Science TMs'!K$22,IF($G$3='KS2-4 Combined Science TMs'!$D$22,'KS2-4 Combined Science TMs'!K$22,""))</f>
        <v/>
      </c>
      <c r="N12" s="37" t="str">
        <f ca="1">IF($G$3="All",'KS2-4 Combined Science TMs'!L$22,IF($G$3='KS2-4 Combined Science TMs'!$D$22,'KS2-4 Combined Science TMs'!L$22,""))</f>
        <v/>
      </c>
      <c r="O12" s="37" t="str">
        <f ca="1">IF($G$3="All",'KS2-4 Combined Science TMs'!M$22,IF($G$3='KS2-4 Combined Science TMs'!$D$22,'KS2-4 Combined Science TMs'!M$22,""))</f>
        <v/>
      </c>
      <c r="P12" s="37" t="str">
        <f ca="1">IF($G$3="All",'KS2-4 Combined Science TMs'!N$22,IF($G$3='KS2-4 Combined Science TMs'!$D$22,'KS2-4 Combined Science TMs'!N$22,""))</f>
        <v/>
      </c>
      <c r="Q12" s="37" t="str">
        <f ca="1">IF($G$3="All",'KS2-4 Combined Science TMs'!O$22,IF($G$3='KS2-4 Combined Science TMs'!$D$22,'KS2-4 Combined Science TMs'!O$22,""))</f>
        <v/>
      </c>
      <c r="R12" s="37" t="str">
        <f ca="1">IF($G$3="All",'KS2-4 Combined Science TMs'!P$22,IF($G$3='KS2-4 Combined Science TMs'!$D$22,'KS2-4 Combined Science TMs'!P$22,""))</f>
        <v/>
      </c>
      <c r="S12" s="37" t="str">
        <f ca="1">IF($G$3="All",'KS2-4 Combined Science TMs'!Q$22,IF($G$3='KS2-4 Combined Science TMs'!$D$22,'KS2-4 Combined Science TMs'!Q$22,""))</f>
        <v/>
      </c>
      <c r="T12" s="37" t="str">
        <f ca="1">IF($G$3="All",'KS2-4 Combined Science TMs'!R$22,IF($G$3='KS2-4 Combined Science TMs'!$D$22,'KS2-4 Combined Science TMs'!R$22,""))</f>
        <v/>
      </c>
      <c r="U12" s="37" t="str">
        <f ca="1">IF($G$3="All",'KS2-4 Combined Science TMs'!S$22,IF($G$3='KS2-4 Combined Science TMs'!$D$22,'KS2-4 Combined Science TMs'!S$22,""))</f>
        <v/>
      </c>
      <c r="V12" s="37" t="str">
        <f ca="1">IF($G$3="All",'KS2-4 Combined Science TMs'!T$22,IF($G$3='KS2-4 Combined Science TMs'!$D$22,'KS2-4 Combined Science TMs'!T$22,""))</f>
        <v/>
      </c>
      <c r="W12" s="37" t="str">
        <f ca="1">IF($G$3="All",'KS2-4 Combined Science TMs'!U$22,IF($G$3='KS2-4 Combined Science TMs'!$D$22,'KS2-4 Combined Science TMs'!U$22,""))</f>
        <v/>
      </c>
      <c r="X12" s="37" t="str">
        <f ca="1">IF($G$3="All",'KS2-4 Combined Science TMs'!V$22,IF($G$3='KS2-4 Combined Science TMs'!$D$22,'KS2-4 Combined Science TMs'!V$22,""))</f>
        <v/>
      </c>
      <c r="Y12" s="37">
        <f>IF($G$3="All",'KS2-4 Combined Science TMs'!W$22,IF($G$3='KS2-4 Combined Science TMs'!$D$22,'KS2-4 Combined Science TMs'!W$22,""))</f>
        <v>0</v>
      </c>
    </row>
    <row r="13" spans="1:25" x14ac:dyDescent="0.45">
      <c r="A13" s="31"/>
      <c r="B13" s="29"/>
      <c r="C13" s="11" t="s">
        <v>10</v>
      </c>
      <c r="D13" s="11" t="s">
        <v>10</v>
      </c>
      <c r="E13" s="28"/>
      <c r="F13" s="37" t="str">
        <f>IF(NOT(OR(InputsCS!$G$1="Please Select",InputsCS!$G$1="",InputsCS!$G$2="Please Select",InputsCS!$G$2="")),IF($G$3="All",'KS2-4 Combined Science TMs'!D$23,IF($G$3='KS2-4 Combined Science TMs'!$D$23,'KS2-4 Combined Science TMs'!D$23,"")),"")</f>
        <v/>
      </c>
      <c r="G13" s="37" t="str">
        <f ca="1">IF($G$3="All",'KS2-4 Combined Science TMs'!E$23,IF($G$3='KS2-4 Combined Science TMs'!$D$23,'KS2-4 Combined Science TMs'!E$23,""))</f>
        <v/>
      </c>
      <c r="H13" s="37" t="str">
        <f ca="1">IF($G$3="All",'KS2-4 Combined Science TMs'!F$23,IF($G$3='KS2-4 Combined Science TMs'!$D$23,'KS2-4 Combined Science TMs'!F$23,""))</f>
        <v/>
      </c>
      <c r="I13" s="37" t="str">
        <f ca="1">IF($G$3="All",'KS2-4 Combined Science TMs'!G$23,IF($G$3='KS2-4 Combined Science TMs'!$D$23,'KS2-4 Combined Science TMs'!G$23,""))</f>
        <v/>
      </c>
      <c r="J13" s="37" t="str">
        <f ca="1">IF($G$3="All",'KS2-4 Combined Science TMs'!H$23,IF($G$3='KS2-4 Combined Science TMs'!$D$23,'KS2-4 Combined Science TMs'!H$23,""))</f>
        <v/>
      </c>
      <c r="K13" s="37" t="str">
        <f ca="1">IF($G$3="All",'KS2-4 Combined Science TMs'!I$23,IF($G$3='KS2-4 Combined Science TMs'!$D$23,'KS2-4 Combined Science TMs'!I$23,""))</f>
        <v/>
      </c>
      <c r="L13" s="37" t="str">
        <f ca="1">IF($G$3="All",'KS2-4 Combined Science TMs'!J$23,IF($G$3='KS2-4 Combined Science TMs'!$D$23,'KS2-4 Combined Science TMs'!J$23,""))</f>
        <v/>
      </c>
      <c r="M13" s="37" t="str">
        <f ca="1">IF($G$3="All",'KS2-4 Combined Science TMs'!K$23,IF($G$3='KS2-4 Combined Science TMs'!$D$23,'KS2-4 Combined Science TMs'!K$23,""))</f>
        <v/>
      </c>
      <c r="N13" s="37" t="str">
        <f ca="1">IF($G$3="All",'KS2-4 Combined Science TMs'!L$23,IF($G$3='KS2-4 Combined Science TMs'!$D$23,'KS2-4 Combined Science TMs'!L$23,""))</f>
        <v/>
      </c>
      <c r="O13" s="37" t="str">
        <f ca="1">IF($G$3="All",'KS2-4 Combined Science TMs'!M$23,IF($G$3='KS2-4 Combined Science TMs'!$D$23,'KS2-4 Combined Science TMs'!M$23,""))</f>
        <v/>
      </c>
      <c r="P13" s="37" t="str">
        <f ca="1">IF($G$3="All",'KS2-4 Combined Science TMs'!N$23,IF($G$3='KS2-4 Combined Science TMs'!$D$23,'KS2-4 Combined Science TMs'!N$23,""))</f>
        <v/>
      </c>
      <c r="Q13" s="37" t="str">
        <f ca="1">IF($G$3="All",'KS2-4 Combined Science TMs'!O$23,IF($G$3='KS2-4 Combined Science TMs'!$D$23,'KS2-4 Combined Science TMs'!O$23,""))</f>
        <v/>
      </c>
      <c r="R13" s="37" t="str">
        <f ca="1">IF($G$3="All",'KS2-4 Combined Science TMs'!P$23,IF($G$3='KS2-4 Combined Science TMs'!$D$23,'KS2-4 Combined Science TMs'!P$23,""))</f>
        <v/>
      </c>
      <c r="S13" s="37" t="str">
        <f ca="1">IF($G$3="All",'KS2-4 Combined Science TMs'!Q$23,IF($G$3='KS2-4 Combined Science TMs'!$D$23,'KS2-4 Combined Science TMs'!Q$23,""))</f>
        <v/>
      </c>
      <c r="T13" s="37" t="str">
        <f ca="1">IF($G$3="All",'KS2-4 Combined Science TMs'!R$23,IF($G$3='KS2-4 Combined Science TMs'!$D$23,'KS2-4 Combined Science TMs'!R$23,""))</f>
        <v/>
      </c>
      <c r="U13" s="37" t="str">
        <f ca="1">IF($G$3="All",'KS2-4 Combined Science TMs'!S$23,IF($G$3='KS2-4 Combined Science TMs'!$D$23,'KS2-4 Combined Science TMs'!S$23,""))</f>
        <v/>
      </c>
      <c r="V13" s="37" t="str">
        <f ca="1">IF($G$3="All",'KS2-4 Combined Science TMs'!T$23,IF($G$3='KS2-4 Combined Science TMs'!$D$23,'KS2-4 Combined Science TMs'!T$23,""))</f>
        <v/>
      </c>
      <c r="W13" s="37" t="str">
        <f ca="1">IF($G$3="All",'KS2-4 Combined Science TMs'!U$23,IF($G$3='KS2-4 Combined Science TMs'!$D$23,'KS2-4 Combined Science TMs'!U$23,""))</f>
        <v/>
      </c>
      <c r="X13" s="37" t="str">
        <f ca="1">IF($G$3="All",'KS2-4 Combined Science TMs'!V$23,IF($G$3='KS2-4 Combined Science TMs'!$D$23,'KS2-4 Combined Science TMs'!V$23,""))</f>
        <v/>
      </c>
      <c r="Y13" s="37">
        <f>IF($G$3="All",'KS2-4 Combined Science TMs'!W$23,IF($G$3='KS2-4 Combined Science TMs'!$D$23,'KS2-4 Combined Science TMs'!W$23,""))</f>
        <v>0</v>
      </c>
    </row>
    <row r="14" spans="1:25" x14ac:dyDescent="0.45">
      <c r="A14" s="31"/>
      <c r="B14" s="29"/>
      <c r="C14" s="11" t="s">
        <v>11</v>
      </c>
      <c r="D14" s="11" t="s">
        <v>11</v>
      </c>
      <c r="E14" s="28"/>
      <c r="F14" s="37" t="str">
        <f>IF(NOT(OR(InputsCS!$G$1="Please Select",InputsCS!$G$1="",InputsCS!$G$2="Please Select",InputsCS!$G$2="")),IF($G$3="All",'KS2-4 Combined Science TMs'!D$24,IF($G$3='KS2-4 Combined Science TMs'!$D$24,'KS2-4 Combined Science TMs'!D$24,"")),"")</f>
        <v/>
      </c>
      <c r="G14" s="37" t="str">
        <f ca="1">IF($G$3="All",'KS2-4 Combined Science TMs'!E$24,IF($G$3='KS2-4 Combined Science TMs'!$D$24,'KS2-4 Combined Science TMs'!E$24,""))</f>
        <v/>
      </c>
      <c r="H14" s="37" t="str">
        <f ca="1">IF($G$3="All",'KS2-4 Combined Science TMs'!F$24,IF($G$3='KS2-4 Combined Science TMs'!$D$24,'KS2-4 Combined Science TMs'!F$24,""))</f>
        <v/>
      </c>
      <c r="I14" s="37" t="str">
        <f ca="1">IF($G$3="All",'KS2-4 Combined Science TMs'!G$24,IF($G$3='KS2-4 Combined Science TMs'!$D$24,'KS2-4 Combined Science TMs'!G$24,""))</f>
        <v/>
      </c>
      <c r="J14" s="37" t="str">
        <f ca="1">IF($G$3="All",'KS2-4 Combined Science TMs'!H$24,IF($G$3='KS2-4 Combined Science TMs'!$D$24,'KS2-4 Combined Science TMs'!H$24,""))</f>
        <v/>
      </c>
      <c r="K14" s="37" t="str">
        <f ca="1">IF($G$3="All",'KS2-4 Combined Science TMs'!I$24,IF($G$3='KS2-4 Combined Science TMs'!$D$24,'KS2-4 Combined Science TMs'!I$24,""))</f>
        <v/>
      </c>
      <c r="L14" s="37" t="str">
        <f ca="1">IF($G$3="All",'KS2-4 Combined Science TMs'!J$24,IF($G$3='KS2-4 Combined Science TMs'!$D$24,'KS2-4 Combined Science TMs'!J$24,""))</f>
        <v/>
      </c>
      <c r="M14" s="37" t="str">
        <f ca="1">IF($G$3="All",'KS2-4 Combined Science TMs'!K$24,IF($G$3='KS2-4 Combined Science TMs'!$D$24,'KS2-4 Combined Science TMs'!K$24,""))</f>
        <v/>
      </c>
      <c r="N14" s="37" t="str">
        <f ca="1">IF($G$3="All",'KS2-4 Combined Science TMs'!L$24,IF($G$3='KS2-4 Combined Science TMs'!$D$24,'KS2-4 Combined Science TMs'!L$24,""))</f>
        <v/>
      </c>
      <c r="O14" s="37" t="str">
        <f ca="1">IF($G$3="All",'KS2-4 Combined Science TMs'!M$24,IF($G$3='KS2-4 Combined Science TMs'!$D$24,'KS2-4 Combined Science TMs'!M$24,""))</f>
        <v/>
      </c>
      <c r="P14" s="37" t="str">
        <f ca="1">IF($G$3="All",'KS2-4 Combined Science TMs'!N$24,IF($G$3='KS2-4 Combined Science TMs'!$D$24,'KS2-4 Combined Science TMs'!N$24,""))</f>
        <v/>
      </c>
      <c r="Q14" s="37" t="str">
        <f ca="1">IF($G$3="All",'KS2-4 Combined Science TMs'!O$24,IF($G$3='KS2-4 Combined Science TMs'!$D$24,'KS2-4 Combined Science TMs'!O$24,""))</f>
        <v/>
      </c>
      <c r="R14" s="37" t="str">
        <f ca="1">IF($G$3="All",'KS2-4 Combined Science TMs'!P$24,IF($G$3='KS2-4 Combined Science TMs'!$D$24,'KS2-4 Combined Science TMs'!P$24,""))</f>
        <v/>
      </c>
      <c r="S14" s="37" t="str">
        <f ca="1">IF($G$3="All",'KS2-4 Combined Science TMs'!Q$24,IF($G$3='KS2-4 Combined Science TMs'!$D$24,'KS2-4 Combined Science TMs'!Q$24,""))</f>
        <v/>
      </c>
      <c r="T14" s="37" t="str">
        <f ca="1">IF($G$3="All",'KS2-4 Combined Science TMs'!R$24,IF($G$3='KS2-4 Combined Science TMs'!$D$24,'KS2-4 Combined Science TMs'!R$24,""))</f>
        <v/>
      </c>
      <c r="U14" s="37" t="str">
        <f ca="1">IF($G$3="All",'KS2-4 Combined Science TMs'!S$24,IF($G$3='KS2-4 Combined Science TMs'!$D$24,'KS2-4 Combined Science TMs'!S$24,""))</f>
        <v/>
      </c>
      <c r="V14" s="37" t="str">
        <f ca="1">IF($G$3="All",'KS2-4 Combined Science TMs'!T$24,IF($G$3='KS2-4 Combined Science TMs'!$D$24,'KS2-4 Combined Science TMs'!T$24,""))</f>
        <v/>
      </c>
      <c r="W14" s="37" t="str">
        <f ca="1">IF($G$3="All",'KS2-4 Combined Science TMs'!U$24,IF($G$3='KS2-4 Combined Science TMs'!$D$24,'KS2-4 Combined Science TMs'!U$24,""))</f>
        <v/>
      </c>
      <c r="X14" s="37" t="str">
        <f ca="1">IF($G$3="All",'KS2-4 Combined Science TMs'!V$24,IF($G$3='KS2-4 Combined Science TMs'!$D$24,'KS2-4 Combined Science TMs'!V$24,""))</f>
        <v/>
      </c>
      <c r="Y14" s="37">
        <f>IF($G$3="All",'KS2-4 Combined Science TMs'!W$24,IF($G$3='KS2-4 Combined Science TMs'!$D$24,'KS2-4 Combined Science TMs'!W$24,""))</f>
        <v>0</v>
      </c>
    </row>
    <row r="15" spans="1:25" x14ac:dyDescent="0.45">
      <c r="A15" s="31"/>
      <c r="B15" s="29"/>
      <c r="C15" s="11"/>
      <c r="D15" s="29"/>
      <c r="E15" s="28"/>
      <c r="F15" s="37" t="str">
        <f>IF(NOT(OR(InputsCS!$G$1="Please Select",InputsCS!$G$1="",InputsCS!$G$2="Please Select",InputsCS!$G$2="")),IF($G$3="All",'KS2-4 Combined Science TMs'!D$25,IF($G$3='KS2-4 Combined Science TMs'!$D$25,'KS2-4 Combined Science TMs'!D$25,"")),"")</f>
        <v/>
      </c>
      <c r="G15" s="37" t="str">
        <f ca="1">IF($G$3="All",'KS2-4 Combined Science TMs'!E$25,IF($G$3='KS2-4 Combined Science TMs'!$D$25,'KS2-4 Combined Science TMs'!E$25,""))</f>
        <v/>
      </c>
      <c r="H15" s="37" t="str">
        <f ca="1">IF($G$3="All",'KS2-4 Combined Science TMs'!F$25,IF($G$3='KS2-4 Combined Science TMs'!$D$25,'KS2-4 Combined Science TMs'!F$25,""))</f>
        <v/>
      </c>
      <c r="I15" s="37" t="str">
        <f ca="1">IF($G$3="All",'KS2-4 Combined Science TMs'!G$25,IF($G$3='KS2-4 Combined Science TMs'!$D$25,'KS2-4 Combined Science TMs'!G$25,""))</f>
        <v/>
      </c>
      <c r="J15" s="37" t="str">
        <f ca="1">IF($G$3="All",'KS2-4 Combined Science TMs'!H$25,IF($G$3='KS2-4 Combined Science TMs'!$D$25,'KS2-4 Combined Science TMs'!H$25,""))</f>
        <v/>
      </c>
      <c r="K15" s="37" t="str">
        <f ca="1">IF($G$3="All",'KS2-4 Combined Science TMs'!I$25,IF($G$3='KS2-4 Combined Science TMs'!$D$25,'KS2-4 Combined Science TMs'!I$25,""))</f>
        <v/>
      </c>
      <c r="L15" s="37" t="str">
        <f ca="1">IF($G$3="All",'KS2-4 Combined Science TMs'!J$25,IF($G$3='KS2-4 Combined Science TMs'!$D$25,'KS2-4 Combined Science TMs'!J$25,""))</f>
        <v/>
      </c>
      <c r="M15" s="37" t="str">
        <f ca="1">IF($G$3="All",'KS2-4 Combined Science TMs'!K$25,IF($G$3='KS2-4 Combined Science TMs'!$D$25,'KS2-4 Combined Science TMs'!K$25,""))</f>
        <v/>
      </c>
      <c r="N15" s="37" t="str">
        <f ca="1">IF($G$3="All",'KS2-4 Combined Science TMs'!L$25,IF($G$3='KS2-4 Combined Science TMs'!$D$25,'KS2-4 Combined Science TMs'!L$25,""))</f>
        <v/>
      </c>
      <c r="O15" s="37" t="str">
        <f ca="1">IF($G$3="All",'KS2-4 Combined Science TMs'!M$25,IF($G$3='KS2-4 Combined Science TMs'!$D$25,'KS2-4 Combined Science TMs'!M$25,""))</f>
        <v/>
      </c>
      <c r="P15" s="37" t="str">
        <f ca="1">IF($G$3="All",'KS2-4 Combined Science TMs'!N$25,IF($G$3='KS2-4 Combined Science TMs'!$D$25,'KS2-4 Combined Science TMs'!N$25,""))</f>
        <v/>
      </c>
      <c r="Q15" s="37" t="str">
        <f ca="1">IF($G$3="All",'KS2-4 Combined Science TMs'!O$25,IF($G$3='KS2-4 Combined Science TMs'!$D$25,'KS2-4 Combined Science TMs'!O$25,""))</f>
        <v/>
      </c>
      <c r="R15" s="37" t="str">
        <f ca="1">IF($G$3="All",'KS2-4 Combined Science TMs'!P$25,IF($G$3='KS2-4 Combined Science TMs'!$D$25,'KS2-4 Combined Science TMs'!P$25,""))</f>
        <v/>
      </c>
      <c r="S15" s="37" t="str">
        <f ca="1">IF($G$3="All",'KS2-4 Combined Science TMs'!Q$25,IF($G$3='KS2-4 Combined Science TMs'!$D$25,'KS2-4 Combined Science TMs'!Q$25,""))</f>
        <v/>
      </c>
      <c r="T15" s="37" t="str">
        <f ca="1">IF($G$3="All",'KS2-4 Combined Science TMs'!R$25,IF($G$3='KS2-4 Combined Science TMs'!$D$25,'KS2-4 Combined Science TMs'!R$25,""))</f>
        <v/>
      </c>
      <c r="U15" s="37" t="str">
        <f ca="1">IF($G$3="All",'KS2-4 Combined Science TMs'!S$25,IF($G$3='KS2-4 Combined Science TMs'!$D$25,'KS2-4 Combined Science TMs'!S$25,""))</f>
        <v/>
      </c>
      <c r="V15" s="37" t="str">
        <f ca="1">IF($G$3="All",'KS2-4 Combined Science TMs'!T$25,IF($G$3='KS2-4 Combined Science TMs'!$D$25,'KS2-4 Combined Science TMs'!T$25,""))</f>
        <v/>
      </c>
      <c r="W15" s="37" t="str">
        <f ca="1">IF($G$3="All",'KS2-4 Combined Science TMs'!U$25,IF($G$3='KS2-4 Combined Science TMs'!$D$25,'KS2-4 Combined Science TMs'!U$25,""))</f>
        <v/>
      </c>
      <c r="X15" s="37" t="str">
        <f ca="1">IF($G$3="All",'KS2-4 Combined Science TMs'!V$25,IF($G$3='KS2-4 Combined Science TMs'!$D$25,'KS2-4 Combined Science TMs'!V$25,""))</f>
        <v/>
      </c>
      <c r="Y15" s="37">
        <f>IF($G$3="All",'KS2-4 Combined Science TMs'!W$25,IF($G$3='KS2-4 Combined Science TMs'!$D$25,'KS2-4 Combined Science TMs'!W$25,""))</f>
        <v>0</v>
      </c>
    </row>
    <row r="16" spans="1:25" x14ac:dyDescent="0.45">
      <c r="A16" s="31"/>
      <c r="B16" s="29"/>
      <c r="C16" s="29"/>
      <c r="D16" s="29"/>
      <c r="E16" s="29"/>
      <c r="F16" s="37" t="str">
        <f>IF(NOT(OR(InputsCS!$G$1="Please Select",InputsCS!$G$1="",InputsCS!$G$2="Please Select",InputsCS!$G$2="")),IF($G$3="All",'KS2-4 Combined Science TMs'!D$26,IF($G$3='KS2-4 Combined Science TMs'!$D$26,'KS2-4 Combined Science TMs'!D$26,"")),"")</f>
        <v/>
      </c>
      <c r="G16" s="37" t="str">
        <f ca="1">IF($G$3="All",'KS2-4 Combined Science TMs'!E$26,IF($G$3='KS2-4 Combined Science TMs'!$D$26,'KS2-4 Combined Science TMs'!E$26,""))</f>
        <v/>
      </c>
      <c r="H16" s="37" t="str">
        <f ca="1">IF($G$3="All",'KS2-4 Combined Science TMs'!F$26,IF($G$3='KS2-4 Combined Science TMs'!$D$26,'KS2-4 Combined Science TMs'!F$26,""))</f>
        <v/>
      </c>
      <c r="I16" s="37" t="str">
        <f ca="1">IF($G$3="All",'KS2-4 Combined Science TMs'!G$26,IF($G$3='KS2-4 Combined Science TMs'!$D$26,'KS2-4 Combined Science TMs'!G$26,""))</f>
        <v/>
      </c>
      <c r="J16" s="37" t="str">
        <f ca="1">IF($G$3="All",'KS2-4 Combined Science TMs'!H$26,IF($G$3='KS2-4 Combined Science TMs'!$D$26,'KS2-4 Combined Science TMs'!H$26,""))</f>
        <v/>
      </c>
      <c r="K16" s="37" t="str">
        <f ca="1">IF($G$3="All",'KS2-4 Combined Science TMs'!I$26,IF($G$3='KS2-4 Combined Science TMs'!$D$26,'KS2-4 Combined Science TMs'!I$26,""))</f>
        <v/>
      </c>
      <c r="L16" s="37" t="str">
        <f ca="1">IF($G$3="All",'KS2-4 Combined Science TMs'!J$26,IF($G$3='KS2-4 Combined Science TMs'!$D$26,'KS2-4 Combined Science TMs'!J$26,""))</f>
        <v/>
      </c>
      <c r="M16" s="37" t="str">
        <f ca="1">IF($G$3="All",'KS2-4 Combined Science TMs'!K$26,IF($G$3='KS2-4 Combined Science TMs'!$D$26,'KS2-4 Combined Science TMs'!K$26,""))</f>
        <v/>
      </c>
      <c r="N16" s="37" t="str">
        <f ca="1">IF($G$3="All",'KS2-4 Combined Science TMs'!L$26,IF($G$3='KS2-4 Combined Science TMs'!$D$26,'KS2-4 Combined Science TMs'!L$26,""))</f>
        <v/>
      </c>
      <c r="O16" s="37" t="str">
        <f ca="1">IF($G$3="All",'KS2-4 Combined Science TMs'!M$26,IF($G$3='KS2-4 Combined Science TMs'!$D$26,'KS2-4 Combined Science TMs'!M$26,""))</f>
        <v/>
      </c>
      <c r="P16" s="37" t="str">
        <f ca="1">IF($G$3="All",'KS2-4 Combined Science TMs'!N$26,IF($G$3='KS2-4 Combined Science TMs'!$D$26,'KS2-4 Combined Science TMs'!N$26,""))</f>
        <v/>
      </c>
      <c r="Q16" s="37" t="str">
        <f ca="1">IF($G$3="All",'KS2-4 Combined Science TMs'!O$26,IF($G$3='KS2-4 Combined Science TMs'!$D$26,'KS2-4 Combined Science TMs'!O$26,""))</f>
        <v/>
      </c>
      <c r="R16" s="37" t="str">
        <f ca="1">IF($G$3="All",'KS2-4 Combined Science TMs'!P$26,IF($G$3='KS2-4 Combined Science TMs'!$D$26,'KS2-4 Combined Science TMs'!P$26,""))</f>
        <v/>
      </c>
      <c r="S16" s="37" t="str">
        <f ca="1">IF($G$3="All",'KS2-4 Combined Science TMs'!Q$26,IF($G$3='KS2-4 Combined Science TMs'!$D$26,'KS2-4 Combined Science TMs'!Q$26,""))</f>
        <v/>
      </c>
      <c r="T16" s="37" t="str">
        <f ca="1">IF($G$3="All",'KS2-4 Combined Science TMs'!R$26,IF($G$3='KS2-4 Combined Science TMs'!$D$26,'KS2-4 Combined Science TMs'!R$26,""))</f>
        <v/>
      </c>
      <c r="U16" s="37" t="str">
        <f ca="1">IF($G$3="All",'KS2-4 Combined Science TMs'!S$26,IF($G$3='KS2-4 Combined Science TMs'!$D$26,'KS2-4 Combined Science TMs'!S$26,""))</f>
        <v/>
      </c>
      <c r="V16" s="37" t="str">
        <f ca="1">IF($G$3="All",'KS2-4 Combined Science TMs'!T$26,IF($G$3='KS2-4 Combined Science TMs'!$D$26,'KS2-4 Combined Science TMs'!T$26,""))</f>
        <v/>
      </c>
      <c r="W16" s="37" t="str">
        <f ca="1">IF($G$3="All",'KS2-4 Combined Science TMs'!U$26,IF($G$3='KS2-4 Combined Science TMs'!$D$26,'KS2-4 Combined Science TMs'!U$26,""))</f>
        <v/>
      </c>
      <c r="X16" s="37" t="str">
        <f ca="1">IF($G$3="All",'KS2-4 Combined Science TMs'!V$26,IF($G$3='KS2-4 Combined Science TMs'!$D$26,'KS2-4 Combined Science TMs'!V$26,""))</f>
        <v/>
      </c>
      <c r="Y16" s="37">
        <f>IF($G$3="All",'KS2-4 Combined Science TMs'!W$26,IF($G$3='KS2-4 Combined Science TMs'!$D$26,'KS2-4 Combined Science TMs'!W$26,""))</f>
        <v>0</v>
      </c>
    </row>
    <row r="17" spans="1:25" x14ac:dyDescent="0.45">
      <c r="A17" s="31"/>
      <c r="B17" s="29"/>
      <c r="C17" s="29"/>
      <c r="D17" s="29"/>
      <c r="E17" s="29"/>
      <c r="F17" s="37" t="str">
        <f>IF(NOT(OR(InputsCS!$G$1="Please Select",InputsCS!$G$1="",InputsCS!$G$2="Please Select",InputsCS!$G$2="")),IF($G$3="All",'KS2-4 Combined Science TMs'!D$27,IF($G$3='KS2-4 Combined Science TMs'!$D$27,'KS2-4 Combined Science TMs'!D$27,"")),"")</f>
        <v/>
      </c>
      <c r="G17" s="37" t="str">
        <f ca="1">IF($G$3="All",'KS2-4 Combined Science TMs'!E$27,IF($G$3='KS2-4 Combined Science TMs'!$D$27,'KS2-4 Combined Science TMs'!E$27,""))</f>
        <v/>
      </c>
      <c r="H17" s="37" t="str">
        <f ca="1">IF($G$3="All",'KS2-4 Combined Science TMs'!F$27,IF($G$3='KS2-4 Combined Science TMs'!$D$27,'KS2-4 Combined Science TMs'!F$27,""))</f>
        <v/>
      </c>
      <c r="I17" s="37" t="str">
        <f ca="1">IF($G$3="All",'KS2-4 Combined Science TMs'!G$27,IF($G$3='KS2-4 Combined Science TMs'!$D$27,'KS2-4 Combined Science TMs'!G$27,""))</f>
        <v/>
      </c>
      <c r="J17" s="37" t="str">
        <f ca="1">IF($G$3="All",'KS2-4 Combined Science TMs'!H$27,IF($G$3='KS2-4 Combined Science TMs'!$D$27,'KS2-4 Combined Science TMs'!H$27,""))</f>
        <v/>
      </c>
      <c r="K17" s="37" t="str">
        <f ca="1">IF($G$3="All",'KS2-4 Combined Science TMs'!I$27,IF($G$3='KS2-4 Combined Science TMs'!$D$27,'KS2-4 Combined Science TMs'!I$27,""))</f>
        <v/>
      </c>
      <c r="L17" s="37" t="str">
        <f ca="1">IF($G$3="All",'KS2-4 Combined Science TMs'!J$27,IF($G$3='KS2-4 Combined Science TMs'!$D$27,'KS2-4 Combined Science TMs'!J$27,""))</f>
        <v/>
      </c>
      <c r="M17" s="37" t="str">
        <f ca="1">IF($G$3="All",'KS2-4 Combined Science TMs'!K$27,IF($G$3='KS2-4 Combined Science TMs'!$D$27,'KS2-4 Combined Science TMs'!K$27,""))</f>
        <v/>
      </c>
      <c r="N17" s="37" t="str">
        <f ca="1">IF($G$3="All",'KS2-4 Combined Science TMs'!L$27,IF($G$3='KS2-4 Combined Science TMs'!$D$27,'KS2-4 Combined Science TMs'!L$27,""))</f>
        <v/>
      </c>
      <c r="O17" s="37" t="str">
        <f ca="1">IF($G$3="All",'KS2-4 Combined Science TMs'!M$27,IF($G$3='KS2-4 Combined Science TMs'!$D$27,'KS2-4 Combined Science TMs'!M$27,""))</f>
        <v/>
      </c>
      <c r="P17" s="37" t="str">
        <f ca="1">IF($G$3="All",'KS2-4 Combined Science TMs'!N$27,IF($G$3='KS2-4 Combined Science TMs'!$D$27,'KS2-4 Combined Science TMs'!N$27,""))</f>
        <v/>
      </c>
      <c r="Q17" s="37" t="str">
        <f ca="1">IF($G$3="All",'KS2-4 Combined Science TMs'!O$27,IF($G$3='KS2-4 Combined Science TMs'!$D$27,'KS2-4 Combined Science TMs'!O$27,""))</f>
        <v/>
      </c>
      <c r="R17" s="37" t="str">
        <f ca="1">IF($G$3="All",'KS2-4 Combined Science TMs'!P$27,IF($G$3='KS2-4 Combined Science TMs'!$D$27,'KS2-4 Combined Science TMs'!P$27,""))</f>
        <v/>
      </c>
      <c r="S17" s="37" t="str">
        <f ca="1">IF($G$3="All",'KS2-4 Combined Science TMs'!Q$27,IF($G$3='KS2-4 Combined Science TMs'!$D$27,'KS2-4 Combined Science TMs'!Q$27,""))</f>
        <v/>
      </c>
      <c r="T17" s="37" t="str">
        <f ca="1">IF($G$3="All",'KS2-4 Combined Science TMs'!R$27,IF($G$3='KS2-4 Combined Science TMs'!$D$27,'KS2-4 Combined Science TMs'!R$27,""))</f>
        <v/>
      </c>
      <c r="U17" s="37" t="str">
        <f ca="1">IF($G$3="All",'KS2-4 Combined Science TMs'!S$27,IF($G$3='KS2-4 Combined Science TMs'!$D$27,'KS2-4 Combined Science TMs'!S$27,""))</f>
        <v/>
      </c>
      <c r="V17" s="37" t="str">
        <f ca="1">IF($G$3="All",'KS2-4 Combined Science TMs'!T$27,IF($G$3='KS2-4 Combined Science TMs'!$D$27,'KS2-4 Combined Science TMs'!T$27,""))</f>
        <v/>
      </c>
      <c r="W17" s="37" t="str">
        <f ca="1">IF($G$3="All",'KS2-4 Combined Science TMs'!U$27,IF($G$3='KS2-4 Combined Science TMs'!$D$27,'KS2-4 Combined Science TMs'!U$27,""))</f>
        <v/>
      </c>
      <c r="X17" s="37" t="str">
        <f ca="1">IF($G$3="All",'KS2-4 Combined Science TMs'!V$27,IF($G$3='KS2-4 Combined Science TMs'!$D$27,'KS2-4 Combined Science TMs'!V$27,""))</f>
        <v/>
      </c>
      <c r="Y17" s="37">
        <f>IF($G$3="All",'KS2-4 Combined Science TMs'!W$27,IF($G$3='KS2-4 Combined Science TMs'!$D$27,'KS2-4 Combined Science TMs'!W$27,""))</f>
        <v>0</v>
      </c>
    </row>
    <row r="18" spans="1:25" x14ac:dyDescent="0.45">
      <c r="A18" s="31"/>
      <c r="B18" s="29"/>
      <c r="C18" s="29"/>
      <c r="D18" s="29"/>
      <c r="E18" s="29"/>
      <c r="F18" s="33"/>
      <c r="G18" s="33"/>
      <c r="H18" s="33"/>
      <c r="I18" s="33"/>
      <c r="J18" s="33"/>
      <c r="K18" s="33"/>
      <c r="L18" s="33"/>
      <c r="M18" s="33"/>
      <c r="N18" s="33"/>
      <c r="O18" s="33"/>
      <c r="P18" s="33"/>
      <c r="Q18" s="33"/>
    </row>
    <row r="19" spans="1:25" x14ac:dyDescent="0.45">
      <c r="A19" s="31"/>
      <c r="B19" s="29"/>
      <c r="C19" s="29"/>
      <c r="D19" s="29"/>
      <c r="E19" s="29"/>
      <c r="F19" s="33"/>
      <c r="G19" s="33"/>
      <c r="H19" s="33"/>
      <c r="I19" s="33"/>
      <c r="J19" s="33"/>
      <c r="K19" s="33"/>
      <c r="L19" s="33"/>
      <c r="M19" s="33"/>
      <c r="N19" s="33"/>
      <c r="O19" s="33"/>
    </row>
    <row r="20" spans="1:25" x14ac:dyDescent="0.45">
      <c r="A20" s="32"/>
      <c r="B20" s="29"/>
      <c r="C20" s="29"/>
      <c r="D20" s="29"/>
      <c r="E20" s="29"/>
      <c r="F20" s="33"/>
      <c r="G20" s="33"/>
      <c r="H20" s="33"/>
      <c r="I20" s="33"/>
      <c r="J20" s="33"/>
      <c r="K20" s="33"/>
      <c r="L20" s="33"/>
      <c r="M20" s="33"/>
      <c r="N20" s="33"/>
      <c r="O20" s="33"/>
    </row>
    <row r="21" spans="1:25" x14ac:dyDescent="0.45">
      <c r="A21" s="31"/>
      <c r="B21" s="29"/>
      <c r="C21" s="29"/>
      <c r="D21" s="29"/>
      <c r="E21" s="29"/>
      <c r="F21" s="36"/>
      <c r="G21" s="36" t="str">
        <f>IF(ISBLANK('KS2-4 Combined Science TMs'!E$44),"",'KS2-4 Combined Science TMs'!E$44)</f>
        <v>U</v>
      </c>
      <c r="H21" s="36">
        <f>IF(ISBLANK('KS2-4 Combined Science TMs'!F$44),"",'KS2-4 Combined Science TMs'!F$44)</f>
        <v>11</v>
      </c>
      <c r="I21" s="36">
        <f>IF(ISBLANK('KS2-4 Combined Science TMs'!G$44),"",'KS2-4 Combined Science TMs'!G$44)</f>
        <v>21</v>
      </c>
      <c r="J21" s="36">
        <f>IF(ISBLANK('KS2-4 Combined Science TMs'!H$44),"",'KS2-4 Combined Science TMs'!H$44)</f>
        <v>22</v>
      </c>
      <c r="K21" s="36">
        <f>IF(ISBLANK('KS2-4 Combined Science TMs'!I$44),"",'KS2-4 Combined Science TMs'!I$44)</f>
        <v>32</v>
      </c>
      <c r="L21" s="36">
        <f>IF(ISBLANK('KS2-4 Combined Science TMs'!J$44),"",'KS2-4 Combined Science TMs'!J$44)</f>
        <v>33</v>
      </c>
      <c r="M21" s="36">
        <f>IF(ISBLANK('KS2-4 Combined Science TMs'!K$44),"",'KS2-4 Combined Science TMs'!K$44)</f>
        <v>43</v>
      </c>
      <c r="N21" s="36">
        <f>IF(ISBLANK('KS2-4 Combined Science TMs'!L$44),"",'KS2-4 Combined Science TMs'!L$44)</f>
        <v>44</v>
      </c>
      <c r="O21" s="36">
        <f>IF(ISBLANK('KS2-4 Combined Science TMs'!M$44),"",'KS2-4 Combined Science TMs'!M$44)</f>
        <v>54</v>
      </c>
      <c r="P21" s="36">
        <f>IF(ISBLANK('KS2-4 Combined Science TMs'!N$44),"",'KS2-4 Combined Science TMs'!N$44)</f>
        <v>55</v>
      </c>
      <c r="Q21" s="36">
        <f>IF(ISBLANK('KS2-4 Combined Science TMs'!O$44),"",'KS2-4 Combined Science TMs'!O$44)</f>
        <v>65</v>
      </c>
      <c r="R21" s="36">
        <f>IF(ISBLANK('KS2-4 Combined Science TMs'!P$44),"",'KS2-4 Combined Science TMs'!P$44)</f>
        <v>66</v>
      </c>
      <c r="S21" s="36">
        <f>IF(ISBLANK('KS2-4 Combined Science TMs'!Q$44),"",'KS2-4 Combined Science TMs'!Q$44)</f>
        <v>76</v>
      </c>
      <c r="T21" s="36">
        <f>IF(ISBLANK('KS2-4 Combined Science TMs'!R$44),"",'KS2-4 Combined Science TMs'!R$44)</f>
        <v>77</v>
      </c>
      <c r="U21" s="36">
        <f>IF(ISBLANK('KS2-4 Combined Science TMs'!S$44),"",'KS2-4 Combined Science TMs'!S$44)</f>
        <v>87</v>
      </c>
      <c r="V21" s="36">
        <f>IF(ISBLANK('KS2-4 Combined Science TMs'!T$44),"",'KS2-4 Combined Science TMs'!T$44)</f>
        <v>88</v>
      </c>
      <c r="W21" s="36">
        <f>IF(ISBLANK('KS2-4 Combined Science TMs'!U$44),"",'KS2-4 Combined Science TMs'!U$44)</f>
        <v>98</v>
      </c>
      <c r="X21" s="36">
        <f>IF(ISBLANK('KS2-4 Combined Science TMs'!V$44),"",'KS2-4 Combined Science TMs'!V$44)</f>
        <v>99</v>
      </c>
      <c r="Y21" s="36" t="str">
        <f>IF(ISBLANK('KS2-4 Combined Science TMs'!W$44),"",'KS2-4 Combined Science TMs'!W$44)</f>
        <v/>
      </c>
    </row>
    <row r="22" spans="1:25" x14ac:dyDescent="0.45">
      <c r="A22" s="31"/>
      <c r="B22" s="29"/>
      <c r="C22" s="29"/>
      <c r="D22" s="29"/>
      <c r="E22" s="29"/>
      <c r="F22" s="36" t="str">
        <f>IF('KS2-4 Combined Science TMs'!$AA$47="Gender","Female",IF('KS2-4 Combined Science TMs'!$AA$47="Disadvantage","Disadvantaged",IF('KS2-4 Combined Science TMs'!$AA$47="SEN","SEN",IF('KS2-4 Combined Science TMs'!$AA$47="EAL","EAL",""))))</f>
        <v>Female</v>
      </c>
      <c r="G22" s="36" t="e">
        <f t="shared" ref="G22:Y22" si="0">INDEX(f_data2,MATCH($I$3,f_left2,0),MATCH(G$21,f_top2,0))</f>
        <v>#N/A</v>
      </c>
      <c r="H22" s="36" t="e">
        <f t="shared" si="0"/>
        <v>#N/A</v>
      </c>
      <c r="I22" s="36" t="e">
        <f t="shared" si="0"/>
        <v>#N/A</v>
      </c>
      <c r="J22" s="36" t="e">
        <f t="shared" si="0"/>
        <v>#N/A</v>
      </c>
      <c r="K22" s="36" t="e">
        <f t="shared" si="0"/>
        <v>#N/A</v>
      </c>
      <c r="L22" s="36" t="e">
        <f t="shared" si="0"/>
        <v>#N/A</v>
      </c>
      <c r="M22" s="36" t="e">
        <f t="shared" si="0"/>
        <v>#N/A</v>
      </c>
      <c r="N22" s="36" t="e">
        <f t="shared" si="0"/>
        <v>#N/A</v>
      </c>
      <c r="O22" s="36" t="e">
        <f t="shared" si="0"/>
        <v>#N/A</v>
      </c>
      <c r="P22" s="36" t="e">
        <f t="shared" si="0"/>
        <v>#N/A</v>
      </c>
      <c r="Q22" s="36" t="e">
        <f t="shared" si="0"/>
        <v>#N/A</v>
      </c>
      <c r="R22" s="36" t="e">
        <f t="shared" si="0"/>
        <v>#N/A</v>
      </c>
      <c r="S22" s="36" t="e">
        <f t="shared" si="0"/>
        <v>#N/A</v>
      </c>
      <c r="T22" s="36" t="e">
        <f t="shared" si="0"/>
        <v>#N/A</v>
      </c>
      <c r="U22" s="36" t="e">
        <f t="shared" si="0"/>
        <v>#N/A</v>
      </c>
      <c r="V22" s="36" t="e">
        <f t="shared" si="0"/>
        <v>#N/A</v>
      </c>
      <c r="W22" s="36" t="e">
        <f t="shared" si="0"/>
        <v>#N/A</v>
      </c>
      <c r="X22" s="36" t="e">
        <f t="shared" si="0"/>
        <v>#N/A</v>
      </c>
      <c r="Y22" s="36" t="e">
        <f t="shared" si="0"/>
        <v>#N/A</v>
      </c>
    </row>
    <row r="23" spans="1:25" x14ac:dyDescent="0.45">
      <c r="A23" s="31"/>
      <c r="B23" s="29"/>
      <c r="C23" s="29"/>
      <c r="E23" s="29"/>
      <c r="F23" s="36" t="str">
        <f>IF('KS2-4 Combined Science TMs'!$AA$47="Gender","Male",IF('KS2-4 Combined Science TMs'!$AA$47="Disadvantage","Non-disadvantaged",IF('KS2-4 Combined Science TMs'!$AA$47="SEN","Non-SEN",IF('KS2-4 Combined Science TMs'!$AA$47="EAL","Non-EAL",""))))</f>
        <v>Male</v>
      </c>
      <c r="G23" s="36" t="e">
        <f t="shared" ref="G23:Y23" si="1">INDEX(m_data2,MATCH($I$3,m_left2,0),MATCH(G$21,m_top2,0))</f>
        <v>#N/A</v>
      </c>
      <c r="H23" s="36" t="e">
        <f t="shared" si="1"/>
        <v>#N/A</v>
      </c>
      <c r="I23" s="36" t="e">
        <f t="shared" si="1"/>
        <v>#N/A</v>
      </c>
      <c r="J23" s="36" t="e">
        <f t="shared" si="1"/>
        <v>#N/A</v>
      </c>
      <c r="K23" s="36" t="e">
        <f t="shared" si="1"/>
        <v>#N/A</v>
      </c>
      <c r="L23" s="36" t="e">
        <f t="shared" si="1"/>
        <v>#N/A</v>
      </c>
      <c r="M23" s="36" t="e">
        <f t="shared" si="1"/>
        <v>#N/A</v>
      </c>
      <c r="N23" s="36" t="e">
        <f t="shared" si="1"/>
        <v>#N/A</v>
      </c>
      <c r="O23" s="36" t="e">
        <f t="shared" si="1"/>
        <v>#N/A</v>
      </c>
      <c r="P23" s="36" t="e">
        <f t="shared" si="1"/>
        <v>#N/A</v>
      </c>
      <c r="Q23" s="36" t="e">
        <f t="shared" si="1"/>
        <v>#N/A</v>
      </c>
      <c r="R23" s="36" t="e">
        <f t="shared" si="1"/>
        <v>#N/A</v>
      </c>
      <c r="S23" s="36" t="e">
        <f t="shared" si="1"/>
        <v>#N/A</v>
      </c>
      <c r="T23" s="36" t="e">
        <f t="shared" si="1"/>
        <v>#N/A</v>
      </c>
      <c r="U23" s="36" t="e">
        <f t="shared" si="1"/>
        <v>#N/A</v>
      </c>
      <c r="V23" s="36" t="e">
        <f t="shared" si="1"/>
        <v>#N/A</v>
      </c>
      <c r="W23" s="36" t="e">
        <f t="shared" si="1"/>
        <v>#N/A</v>
      </c>
      <c r="X23" s="36" t="e">
        <f t="shared" si="1"/>
        <v>#N/A</v>
      </c>
      <c r="Y23" s="36" t="e">
        <f t="shared" si="1"/>
        <v>#N/A</v>
      </c>
    </row>
    <row r="24" spans="1:25" x14ac:dyDescent="0.45">
      <c r="A24" s="31"/>
      <c r="B24" s="29"/>
      <c r="C24" s="29"/>
      <c r="D24" s="29"/>
      <c r="E24" s="29"/>
      <c r="F24" s="13"/>
      <c r="G24" s="13"/>
      <c r="H24" s="13"/>
      <c r="I24" s="13"/>
      <c r="J24" s="13"/>
      <c r="K24" s="13"/>
      <c r="L24" s="13"/>
      <c r="M24" s="13"/>
      <c r="N24" s="13"/>
      <c r="O24" s="13"/>
      <c r="P24" s="13"/>
      <c r="Q24" s="13"/>
    </row>
    <row r="25" spans="1:25" x14ac:dyDescent="0.45">
      <c r="A25" s="31"/>
      <c r="B25" s="29"/>
      <c r="C25" s="29"/>
      <c r="D25" s="29"/>
      <c r="E25" s="29"/>
      <c r="F25" s="28"/>
      <c r="G25" s="28" t="s">
        <v>64</v>
      </c>
      <c r="H25" s="28" t="s">
        <v>65</v>
      </c>
    </row>
    <row r="26" spans="1:25" x14ac:dyDescent="0.45">
      <c r="A26" s="31"/>
      <c r="B26" s="33"/>
      <c r="C26" s="29"/>
      <c r="D26" s="29"/>
      <c r="E26" s="29"/>
      <c r="F26" s="38">
        <f>K3</f>
        <v>0</v>
      </c>
      <c r="G26" s="38" t="e">
        <f>INDEX(ach_data,MATCH($K$3,ach_left,0),MATCH($G$25,ach_top,0))</f>
        <v>#N/A</v>
      </c>
      <c r="H26" s="38" t="e">
        <f>INDEX(ach_data,MATCH($K$3,ach_left,0),MATCH($H$25,ach_top,0))</f>
        <v>#N/A</v>
      </c>
    </row>
    <row r="27" spans="1:25" x14ac:dyDescent="0.45">
      <c r="A27" s="31"/>
      <c r="B27" s="33"/>
      <c r="C27" s="29"/>
      <c r="D27" s="29"/>
      <c r="E27" s="29"/>
      <c r="F27" s="52"/>
      <c r="G27" s="52"/>
      <c r="H27" s="52"/>
    </row>
    <row r="28" spans="1:25" x14ac:dyDescent="0.45">
      <c r="A28" s="31"/>
      <c r="B28" s="33"/>
      <c r="C28" s="29"/>
      <c r="D28" s="29"/>
      <c r="E28" s="29"/>
      <c r="G28" s="53" t="str">
        <f>'KS2-4 Attainment TMs'!$E47</f>
        <v>Achieved</v>
      </c>
      <c r="H28" s="53" t="str">
        <f>'KS2-4 Attainment TMs'!$F47</f>
        <v>Not Achieved</v>
      </c>
    </row>
    <row r="29" spans="1:25" x14ac:dyDescent="0.45">
      <c r="A29" s="31"/>
      <c r="B29" s="33"/>
      <c r="C29" s="29"/>
      <c r="D29" s="29"/>
      <c r="E29" s="29"/>
      <c r="F29" s="36" t="s">
        <v>15</v>
      </c>
      <c r="G29" s="41" t="str">
        <f ca="1">INDEX(fach_data,MATCH($M$3,fach_left,0),MATCH($G$28,fach_top,0))</f>
        <v/>
      </c>
      <c r="H29" s="41" t="str">
        <f ca="1">INDEX(fach_data,MATCH($M$3,fach_left,0),MATCH($H$28,fach_top,0))</f>
        <v/>
      </c>
    </row>
    <row r="30" spans="1:25" x14ac:dyDescent="0.45">
      <c r="B30" s="33"/>
      <c r="C30" s="29"/>
      <c r="D30" s="29"/>
      <c r="E30" s="29"/>
      <c r="F30" s="36" t="s">
        <v>19</v>
      </c>
      <c r="G30" s="41" t="str">
        <f ca="1">INDEX(mach_data,MATCH($M$3,mach_left,0),MATCH($G$28,mach_top,0))</f>
        <v/>
      </c>
      <c r="H30" s="41" t="str">
        <f ca="1">INDEX(mach_data,MATCH($M$3,mach_left,0),MATCH($H$28,mach_top,0))</f>
        <v/>
      </c>
    </row>
    <row r="31" spans="1:25" x14ac:dyDescent="0.45">
      <c r="A31" s="31"/>
      <c r="B31" s="33"/>
      <c r="C31" s="29"/>
      <c r="D31" s="29"/>
      <c r="E31" s="29"/>
    </row>
    <row r="32" spans="1:25" x14ac:dyDescent="0.45">
      <c r="A32" s="31"/>
      <c r="B32" s="33"/>
      <c r="C32" s="29"/>
      <c r="D32" s="29"/>
      <c r="E32" s="29"/>
      <c r="F32" s="28"/>
      <c r="G32" s="53" t="str">
        <f>'KS2-4 Attainment TMs'!$E14</f>
        <v>Achieved</v>
      </c>
      <c r="H32" s="53" t="str">
        <f>'KS2-4 Attainment TMs'!$F14</f>
        <v>Not Achieved</v>
      </c>
    </row>
    <row r="33" spans="1:8" x14ac:dyDescent="0.45">
      <c r="A33" s="31"/>
      <c r="B33" s="33"/>
      <c r="C33" s="29"/>
      <c r="D33" s="29"/>
      <c r="E33" s="29"/>
      <c r="F33" s="28" t="s">
        <v>1</v>
      </c>
      <c r="G33" s="53" t="str">
        <f ca="1">'KS2-4 Attainment TMs'!$E15</f>
        <v/>
      </c>
      <c r="H33" s="53" t="str">
        <f ca="1">'KS2-4 Attainment TMs'!$F15</f>
        <v/>
      </c>
    </row>
    <row r="34" spans="1:8" x14ac:dyDescent="0.45">
      <c r="A34" s="31"/>
      <c r="B34" s="33"/>
      <c r="C34" s="29"/>
      <c r="D34" s="29"/>
      <c r="E34" s="29"/>
      <c r="F34" s="28" t="s">
        <v>56</v>
      </c>
      <c r="G34" s="53" t="str">
        <f ca="1">'KS2-4 Attainment TMs'!$E16</f>
        <v/>
      </c>
      <c r="H34" s="53" t="str">
        <f ca="1">'KS2-4 Attainment TMs'!$F16</f>
        <v/>
      </c>
    </row>
    <row r="35" spans="1:8" x14ac:dyDescent="0.45">
      <c r="A35" s="31"/>
      <c r="B35" s="33"/>
      <c r="C35" s="29"/>
      <c r="D35" s="29"/>
      <c r="E35" s="29"/>
      <c r="F35" s="28" t="s">
        <v>2</v>
      </c>
      <c r="G35" s="53" t="str">
        <f ca="1">'KS2-4 Attainment TMs'!$E17</f>
        <v/>
      </c>
      <c r="H35" s="53" t="str">
        <f ca="1">'KS2-4 Attainment TMs'!$F17</f>
        <v/>
      </c>
    </row>
    <row r="36" spans="1:8" x14ac:dyDescent="0.45">
      <c r="A36" s="32"/>
      <c r="B36" s="29"/>
      <c r="C36" s="29"/>
      <c r="D36" s="29"/>
      <c r="E36" s="29"/>
      <c r="F36" s="28" t="s">
        <v>3</v>
      </c>
      <c r="G36" s="53" t="str">
        <f ca="1">'KS2-4 Attainment TMs'!$E18</f>
        <v/>
      </c>
      <c r="H36" s="53" t="str">
        <f ca="1">'KS2-4 Attainment TMs'!$F18</f>
        <v/>
      </c>
    </row>
    <row r="37" spans="1:8" x14ac:dyDescent="0.45">
      <c r="A37" s="31"/>
      <c r="B37" s="29"/>
      <c r="C37" s="29"/>
      <c r="D37" s="29"/>
      <c r="E37" s="29"/>
      <c r="F37" s="28" t="s">
        <v>4</v>
      </c>
      <c r="G37" s="53" t="str">
        <f ca="1">'KS2-4 Attainment TMs'!$E19</f>
        <v/>
      </c>
      <c r="H37" s="53" t="str">
        <f ca="1">'KS2-4 Attainment TMs'!$F19</f>
        <v/>
      </c>
    </row>
    <row r="38" spans="1:8" x14ac:dyDescent="0.45">
      <c r="A38" s="31"/>
      <c r="B38" s="29"/>
      <c r="C38" s="29"/>
      <c r="D38" s="29"/>
      <c r="E38" s="29"/>
      <c r="F38" s="28" t="s">
        <v>5</v>
      </c>
      <c r="G38" s="53" t="str">
        <f ca="1">'KS2-4 Attainment TMs'!$E20</f>
        <v/>
      </c>
      <c r="H38" s="53" t="str">
        <f ca="1">'KS2-4 Attainment TMs'!$F20</f>
        <v/>
      </c>
    </row>
    <row r="39" spans="1:8" x14ac:dyDescent="0.45">
      <c r="A39" s="34"/>
      <c r="B39" s="29"/>
      <c r="C39" s="29"/>
      <c r="D39" s="29"/>
      <c r="E39" s="29"/>
      <c r="F39" s="28" t="s">
        <v>6</v>
      </c>
      <c r="G39" s="53" t="str">
        <f ca="1">'KS2-4 Attainment TMs'!$E21</f>
        <v/>
      </c>
      <c r="H39" s="53" t="str">
        <f ca="1">'KS2-4 Attainment TMs'!$F21</f>
        <v/>
      </c>
    </row>
    <row r="40" spans="1:8" x14ac:dyDescent="0.45">
      <c r="A40" s="32"/>
      <c r="B40" s="29"/>
      <c r="C40" s="29"/>
      <c r="D40" s="29"/>
      <c r="E40" s="29"/>
      <c r="F40" s="28" t="s">
        <v>7</v>
      </c>
      <c r="G40" s="53" t="str">
        <f ca="1">'KS2-4 Attainment TMs'!$E22</f>
        <v/>
      </c>
      <c r="H40" s="53" t="str">
        <f ca="1">'KS2-4 Attainment TMs'!$F22</f>
        <v/>
      </c>
    </row>
    <row r="41" spans="1:8" x14ac:dyDescent="0.45">
      <c r="A41" s="32"/>
      <c r="B41" s="29"/>
      <c r="C41" s="29"/>
      <c r="D41" s="29"/>
      <c r="E41" s="29"/>
      <c r="F41" s="28" t="s">
        <v>8</v>
      </c>
      <c r="G41" s="53" t="str">
        <f ca="1">'KS2-4 Attainment TMs'!$E23</f>
        <v/>
      </c>
      <c r="H41" s="53" t="str">
        <f ca="1">'KS2-4 Attainment TMs'!$F23</f>
        <v/>
      </c>
    </row>
    <row r="42" spans="1:8" x14ac:dyDescent="0.45">
      <c r="A42" s="35"/>
      <c r="B42" s="29"/>
      <c r="C42" s="29"/>
      <c r="D42" s="29"/>
      <c r="E42" s="29"/>
      <c r="F42" s="28" t="s">
        <v>9</v>
      </c>
      <c r="G42" s="53" t="str">
        <f ca="1">'KS2-4 Attainment TMs'!$E24</f>
        <v/>
      </c>
      <c r="H42" s="53" t="str">
        <f ca="1">'KS2-4 Attainment TMs'!$F24</f>
        <v/>
      </c>
    </row>
    <row r="43" spans="1:8" x14ac:dyDescent="0.45">
      <c r="A43" s="35"/>
      <c r="B43" s="29"/>
      <c r="C43" s="29"/>
      <c r="D43" s="29"/>
      <c r="E43" s="29"/>
      <c r="F43" s="28" t="s">
        <v>10</v>
      </c>
      <c r="G43" s="53" t="str">
        <f ca="1">'KS2-4 Attainment TMs'!$E25</f>
        <v/>
      </c>
      <c r="H43" s="53" t="str">
        <f ca="1">'KS2-4 Attainment TMs'!$F25</f>
        <v/>
      </c>
    </row>
    <row r="44" spans="1:8" x14ac:dyDescent="0.45">
      <c r="A44" s="35"/>
      <c r="B44" s="29"/>
      <c r="C44" s="29"/>
      <c r="D44" s="29"/>
      <c r="E44" s="29"/>
      <c r="F44" s="28" t="s">
        <v>11</v>
      </c>
      <c r="G44" s="53" t="str">
        <f ca="1">'KS2-4 Attainment TMs'!$E26</f>
        <v/>
      </c>
      <c r="H44" s="53" t="str">
        <f ca="1">'KS2-4 Attainment TMs'!$F26</f>
        <v/>
      </c>
    </row>
    <row r="45" spans="1:8" x14ac:dyDescent="0.45">
      <c r="A45" s="31"/>
      <c r="B45" s="29"/>
      <c r="C45" s="29"/>
      <c r="D45" s="29"/>
      <c r="E45" s="29"/>
    </row>
    <row r="46" spans="1:8" x14ac:dyDescent="0.45">
      <c r="A46" s="32"/>
      <c r="B46" s="29"/>
      <c r="C46" s="29"/>
      <c r="D46" s="29"/>
      <c r="E46" s="29"/>
    </row>
    <row r="47" spans="1:8" x14ac:dyDescent="0.45">
      <c r="A47" s="31"/>
      <c r="B47" s="29"/>
      <c r="C47" s="29"/>
      <c r="D47" s="29"/>
      <c r="E47" s="29"/>
    </row>
    <row r="48" spans="1:8" x14ac:dyDescent="0.45">
      <c r="A48" s="31"/>
      <c r="B48" s="29"/>
      <c r="C48" s="29"/>
      <c r="D48" s="29"/>
      <c r="E48" s="29"/>
    </row>
    <row r="49" spans="1:5" x14ac:dyDescent="0.45">
      <c r="A49" s="31"/>
      <c r="B49" s="29"/>
      <c r="C49" s="29"/>
      <c r="D49" s="29"/>
      <c r="E49" s="29"/>
    </row>
    <row r="50" spans="1:5" x14ac:dyDescent="0.45">
      <c r="A50" s="31"/>
      <c r="B50" s="29"/>
      <c r="C50" s="29"/>
      <c r="D50" s="29"/>
      <c r="E50" s="29"/>
    </row>
    <row r="51" spans="1:5" x14ac:dyDescent="0.45">
      <c r="A51" s="31"/>
      <c r="B51" s="29"/>
      <c r="C51" s="29"/>
      <c r="D51" s="29"/>
      <c r="E51" s="29"/>
    </row>
    <row r="52" spans="1:5" x14ac:dyDescent="0.45">
      <c r="A52" s="32"/>
      <c r="B52" s="29"/>
      <c r="C52" s="29"/>
      <c r="D52" s="29"/>
      <c r="E52" s="29"/>
    </row>
    <row r="53" spans="1:5" x14ac:dyDescent="0.45">
      <c r="A53" s="31"/>
      <c r="B53" s="29"/>
      <c r="C53" s="29"/>
      <c r="D53" s="29"/>
      <c r="E53" s="29"/>
    </row>
    <row r="54" spans="1:5" x14ac:dyDescent="0.45">
      <c r="A54" s="31"/>
      <c r="B54" s="29"/>
      <c r="C54" s="29"/>
      <c r="D54" s="29"/>
      <c r="E54" s="29"/>
    </row>
    <row r="55" spans="1:5" x14ac:dyDescent="0.45">
      <c r="A55" s="31"/>
      <c r="B55" s="29"/>
      <c r="C55" s="29"/>
      <c r="D55" s="29"/>
      <c r="E55" s="29"/>
    </row>
    <row r="56" spans="1:5" x14ac:dyDescent="0.45">
      <c r="A56" s="31"/>
      <c r="B56" s="29"/>
      <c r="C56" s="29"/>
      <c r="D56" s="29"/>
      <c r="E56" s="29"/>
    </row>
    <row r="57" spans="1:5" x14ac:dyDescent="0.45">
      <c r="A57" s="29"/>
      <c r="B57" s="29"/>
      <c r="C57" s="29"/>
      <c r="D57" s="29"/>
      <c r="E57" s="29"/>
    </row>
    <row r="58" spans="1:5" x14ac:dyDescent="0.45">
      <c r="A58" s="29"/>
      <c r="B58" s="29"/>
      <c r="C58" s="29"/>
      <c r="D58" s="29"/>
      <c r="E58" s="29"/>
    </row>
    <row r="59" spans="1:5" x14ac:dyDescent="0.45">
      <c r="A59" s="29"/>
      <c r="B59" s="29"/>
      <c r="C59" s="29"/>
      <c r="D59" s="29"/>
      <c r="E59" s="29"/>
    </row>
  </sheetData>
  <conditionalFormatting sqref="G22:Y23">
    <cfRule type="expression" dxfId="0" priority="1">
      <formula>$L$37="Pupil Percentages"</formula>
    </cfRule>
  </conditionalFormatting>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W o r k b o o k S t a t e   x m l n s : i = " h t t p : / / w w w . w 3 . o r g / 2 0 0 1 / X M L S c h e m a - i n s t a n c e "   x m l n s = " h t t p : / / s c h e m a s . m i c r o s o f t . c o m / P o w e r B I A d d I n " > < L a s t P r o v i d e d R a n g e N a m e I d > 0 < / L a s t P r o v i d e d R a n g e N a m e I d > < L a s t U s e d G r o u p O b j e c t I d > < / L a s t U s e d G r o u p O b j e c t I d > < T i l e s L i s t > < T i l e s / > < / T i l e s L i s t > < / W o r k b o o k S t a t e > 
</file>

<file path=customXml/itemProps1.xml><?xml version="1.0" encoding="utf-8"?>
<ds:datastoreItem xmlns:ds="http://schemas.openxmlformats.org/officeDocument/2006/customXml" ds:itemID="{0EB67DEB-815B-4034-A4DF-E3CEE4180535}">
  <ds:schemaRefs>
    <ds:schemaRef ds:uri="http://schemas.microsoft.com/PowerBIAdd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70</vt:i4>
      </vt:variant>
    </vt:vector>
  </HeadingPairs>
  <TitlesOfParts>
    <vt:vector size="78" baseType="lpstr">
      <vt:lpstr>TM Information</vt:lpstr>
      <vt:lpstr>KS2-4 Subject TMs</vt:lpstr>
      <vt:lpstr>KS2-4 Combined Science TMs</vt:lpstr>
      <vt:lpstr>KS2-4 Attainment TMs</vt:lpstr>
      <vt:lpstr>KS2-4 Underlying TM data</vt:lpstr>
      <vt:lpstr>TM Subject Groupings</vt:lpstr>
      <vt:lpstr>Inputs</vt:lpstr>
      <vt:lpstr>InputsCS</vt:lpstr>
      <vt:lpstr>ach_data</vt:lpstr>
      <vt:lpstr>ach_left</vt:lpstr>
      <vt:lpstr>ach_top</vt:lpstr>
      <vt:lpstr>Ancient_Languages</vt:lpstr>
      <vt:lpstr>Art_Design</vt:lpstr>
      <vt:lpstr>Attainment</vt:lpstr>
      <vt:lpstr>Biology</vt:lpstr>
      <vt:lpstr>Business_Studies</vt:lpstr>
      <vt:lpstr>Chemistry</vt:lpstr>
      <vt:lpstr>Citizenship_Studies</vt:lpstr>
      <vt:lpstr>Classical_Studies</vt:lpstr>
      <vt:lpstr>Combined_Science</vt:lpstr>
      <vt:lpstr>Computer_Science</vt:lpstr>
      <vt:lpstr>Dance</vt:lpstr>
      <vt:lpstr>datat</vt:lpstr>
      <vt:lpstr>datatCS</vt:lpstr>
      <vt:lpstr>Design_Technology</vt:lpstr>
      <vt:lpstr>Ebacc_94</vt:lpstr>
      <vt:lpstr>Ebacc_95</vt:lpstr>
      <vt:lpstr>Ebacc_Entry</vt:lpstr>
      <vt:lpstr>Economics</vt:lpstr>
      <vt:lpstr>EM_94</vt:lpstr>
      <vt:lpstr>EM_95</vt:lpstr>
      <vt:lpstr>Engineering</vt:lpstr>
      <vt:lpstr>English_Language</vt:lpstr>
      <vt:lpstr>English_Literature</vt:lpstr>
      <vt:lpstr>f_data</vt:lpstr>
      <vt:lpstr>f_data2</vt:lpstr>
      <vt:lpstr>f_left</vt:lpstr>
      <vt:lpstr>f_left2</vt:lpstr>
      <vt:lpstr>f_top</vt:lpstr>
      <vt:lpstr>f_top2</vt:lpstr>
      <vt:lpstr>fach_data</vt:lpstr>
      <vt:lpstr>fach_left</vt:lpstr>
      <vt:lpstr>fach_top</vt:lpstr>
      <vt:lpstr>Food_Preparation_and_Nutrition</vt:lpstr>
      <vt:lpstr>French</vt:lpstr>
      <vt:lpstr>Geography</vt:lpstr>
      <vt:lpstr>German</vt:lpstr>
      <vt:lpstr>History</vt:lpstr>
      <vt:lpstr>m_data</vt:lpstr>
      <vt:lpstr>m_data2</vt:lpstr>
      <vt:lpstr>m_left</vt:lpstr>
      <vt:lpstr>m_left2</vt:lpstr>
      <vt:lpstr>m_top</vt:lpstr>
      <vt:lpstr>m_top2</vt:lpstr>
      <vt:lpstr>mach_data</vt:lpstr>
      <vt:lpstr>mach_left</vt:lpstr>
      <vt:lpstr>mach_top</vt:lpstr>
      <vt:lpstr>Mathematics</vt:lpstr>
      <vt:lpstr>Media_Studies</vt:lpstr>
      <vt:lpstr>Music</vt:lpstr>
      <vt:lpstr>Other_Modern_Languages_9_to_1</vt:lpstr>
      <vt:lpstr>Other_Modern_Languages_A_to_G</vt:lpstr>
      <vt:lpstr>Other_Sciences</vt:lpstr>
      <vt:lpstr>Performing_Arts</vt:lpstr>
      <vt:lpstr>Photography</vt:lpstr>
      <vt:lpstr>Physical_Education</vt:lpstr>
      <vt:lpstr>Physics</vt:lpstr>
      <vt:lpstr>prior</vt:lpstr>
      <vt:lpstr>prior_2</vt:lpstr>
      <vt:lpstr>prior_2CS</vt:lpstr>
      <vt:lpstr>priorCS</vt:lpstr>
      <vt:lpstr>Psychology</vt:lpstr>
      <vt:lpstr>Religious_Studies</vt:lpstr>
      <vt:lpstr>Sociology</vt:lpstr>
      <vt:lpstr>Spanish</vt:lpstr>
      <vt:lpstr>Statistics</vt:lpstr>
      <vt:lpstr>subj</vt:lpstr>
      <vt:lpstr>subj_CS</vt:lpstr>
    </vt:vector>
  </TitlesOfParts>
  <Company>DfE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GORKA, Maddy</dc:creator>
  <cp:lastModifiedBy>MANCHESTER, Simon</cp:lastModifiedBy>
  <cp:lastPrinted>2016-07-05T08:47:55Z</cp:lastPrinted>
  <dcterms:created xsi:type="dcterms:W3CDTF">2016-02-19T09:31:51Z</dcterms:created>
  <dcterms:modified xsi:type="dcterms:W3CDTF">2020-02-05T10:37:30Z</dcterms:modified>
</cp:coreProperties>
</file>